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Public\OH\Tallmadge\2020\2020280 East Ave\112869_Phase_1\400-Engineering\Roadway\EngData\"/>
    </mc:Choice>
  </mc:AlternateContent>
  <xr:revisionPtr revIDLastSave="0" documentId="13_ncr:1_{E6EA8C08-AD2C-4778-998B-03585AEBC527}" xr6:coauthVersionLast="47" xr6:coauthVersionMax="47" xr10:uidLastSave="{00000000-0000-0000-0000-000000000000}"/>
  <bookViews>
    <workbookView xWindow="-28920" yWindow="-3150" windowWidth="29040" windowHeight="15720" xr2:uid="{6E0CB45E-DF80-43B9-A265-3EEBF053823D}"/>
  </bookViews>
  <sheets>
    <sheet name="Sheet1" sheetId="1" r:id="rId1"/>
  </sheets>
  <definedNames>
    <definedName name="_xlnm._FilterDatabase" localSheetId="0" hidden="1">Sheet1!$E$8:$J$277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7" i="1" l="1"/>
  <c r="N12" i="1"/>
  <c r="K272" i="1"/>
  <c r="J272" i="1"/>
  <c r="I272" i="1"/>
  <c r="K266" i="1"/>
  <c r="J266" i="1"/>
  <c r="I266" i="1"/>
  <c r="K260" i="1"/>
  <c r="J260" i="1"/>
  <c r="I260" i="1"/>
  <c r="K254" i="1"/>
  <c r="J254" i="1"/>
  <c r="I254" i="1"/>
  <c r="K248" i="1"/>
  <c r="J248" i="1"/>
  <c r="I248" i="1"/>
  <c r="K242" i="1"/>
  <c r="J242" i="1"/>
  <c r="I242" i="1"/>
  <c r="K236" i="1"/>
  <c r="J236" i="1"/>
  <c r="I236" i="1"/>
  <c r="K230" i="1"/>
  <c r="J230" i="1"/>
  <c r="I230" i="1"/>
  <c r="K224" i="1"/>
  <c r="J224" i="1"/>
  <c r="I224" i="1"/>
  <c r="K218" i="1"/>
  <c r="J218" i="1"/>
  <c r="I218" i="1"/>
  <c r="K212" i="1"/>
  <c r="J212" i="1"/>
  <c r="I212" i="1"/>
  <c r="K206" i="1"/>
  <c r="J206" i="1"/>
  <c r="I206" i="1"/>
  <c r="K202" i="1"/>
  <c r="J202" i="1"/>
  <c r="I202" i="1"/>
  <c r="K196" i="1"/>
  <c r="J196" i="1"/>
  <c r="I196" i="1"/>
  <c r="K190" i="1"/>
  <c r="J190" i="1"/>
  <c r="I190" i="1"/>
  <c r="K184" i="1"/>
  <c r="J184" i="1"/>
  <c r="I184" i="1"/>
  <c r="K178" i="1"/>
  <c r="J178" i="1"/>
  <c r="I178" i="1"/>
  <c r="K172" i="1"/>
  <c r="J172" i="1"/>
  <c r="I172" i="1"/>
  <c r="K166" i="1"/>
  <c r="J166" i="1"/>
  <c r="I166" i="1"/>
  <c r="K160" i="1"/>
  <c r="J160" i="1"/>
  <c r="I160" i="1"/>
  <c r="K154" i="1"/>
  <c r="J154" i="1"/>
  <c r="I154" i="1"/>
  <c r="K148" i="1"/>
  <c r="J148" i="1"/>
  <c r="I148" i="1"/>
  <c r="K142" i="1"/>
  <c r="J142" i="1"/>
  <c r="I142" i="1"/>
  <c r="K136" i="1"/>
  <c r="J136" i="1"/>
  <c r="I136" i="1"/>
  <c r="K130" i="1"/>
  <c r="J130" i="1"/>
  <c r="I130" i="1"/>
  <c r="K124" i="1"/>
  <c r="J124" i="1"/>
  <c r="I124" i="1"/>
  <c r="K118" i="1"/>
  <c r="J118" i="1"/>
  <c r="I118" i="1"/>
  <c r="K112" i="1"/>
  <c r="J112" i="1"/>
  <c r="I112" i="1"/>
  <c r="K106" i="1"/>
  <c r="J106" i="1"/>
  <c r="I106" i="1"/>
  <c r="K100" i="1"/>
  <c r="J100" i="1"/>
  <c r="I100" i="1"/>
  <c r="K94" i="1"/>
  <c r="J94" i="1"/>
  <c r="I94" i="1"/>
  <c r="K88" i="1"/>
  <c r="J88" i="1"/>
  <c r="I88" i="1"/>
  <c r="K82" i="1"/>
  <c r="J82" i="1"/>
  <c r="I82" i="1"/>
  <c r="K76" i="1"/>
  <c r="J76" i="1"/>
  <c r="I76" i="1"/>
  <c r="K70" i="1"/>
  <c r="J70" i="1"/>
  <c r="I70" i="1"/>
  <c r="K64" i="1"/>
  <c r="J64" i="1"/>
  <c r="I64" i="1"/>
  <c r="K58" i="1"/>
  <c r="J58" i="1"/>
  <c r="I58" i="1"/>
  <c r="K52" i="1"/>
  <c r="J52" i="1"/>
  <c r="I52" i="1"/>
  <c r="K46" i="1"/>
  <c r="J46" i="1"/>
  <c r="I46" i="1"/>
  <c r="K40" i="1"/>
  <c r="J40" i="1"/>
  <c r="I40" i="1"/>
  <c r="K34" i="1"/>
  <c r="J34" i="1"/>
  <c r="I34" i="1"/>
  <c r="K30" i="1"/>
  <c r="J30" i="1"/>
  <c r="I30" i="1"/>
  <c r="K26" i="1"/>
  <c r="J26" i="1"/>
  <c r="I26" i="1"/>
  <c r="K20" i="1"/>
  <c r="I20" i="1"/>
  <c r="K14" i="1"/>
  <c r="I14" i="1"/>
  <c r="K8" i="1"/>
  <c r="I8" i="1"/>
  <c r="K2" i="1"/>
  <c r="I2" i="1"/>
  <c r="G248" i="1"/>
  <c r="F248" i="1"/>
  <c r="G242" i="1"/>
  <c r="F242" i="1"/>
  <c r="G236" i="1"/>
  <c r="F236" i="1"/>
  <c r="G230" i="1"/>
  <c r="F230" i="1"/>
  <c r="G224" i="1"/>
  <c r="F224" i="1"/>
  <c r="G218" i="1"/>
  <c r="F218" i="1"/>
  <c r="G212" i="1"/>
  <c r="F212" i="1"/>
  <c r="G206" i="1"/>
  <c r="F206" i="1"/>
  <c r="G202" i="1"/>
  <c r="F202" i="1"/>
  <c r="G196" i="1"/>
  <c r="F196" i="1"/>
  <c r="G190" i="1"/>
  <c r="F190" i="1"/>
  <c r="G184" i="1"/>
  <c r="F184" i="1"/>
  <c r="G178" i="1"/>
  <c r="F178" i="1"/>
  <c r="G172" i="1"/>
  <c r="F172" i="1"/>
  <c r="G166" i="1"/>
  <c r="F166" i="1"/>
  <c r="G160" i="1"/>
  <c r="F160" i="1"/>
  <c r="G154" i="1"/>
  <c r="F154" i="1"/>
  <c r="G148" i="1"/>
  <c r="F148" i="1"/>
  <c r="G142" i="1"/>
  <c r="F142" i="1"/>
  <c r="G136" i="1"/>
  <c r="F136" i="1"/>
  <c r="G130" i="1"/>
  <c r="F130" i="1"/>
  <c r="G124" i="1"/>
  <c r="F124" i="1"/>
  <c r="G118" i="1"/>
  <c r="F118" i="1"/>
  <c r="G112" i="1"/>
  <c r="F112" i="1"/>
  <c r="G106" i="1"/>
  <c r="F106" i="1"/>
  <c r="G100" i="1"/>
  <c r="F100" i="1"/>
  <c r="G94" i="1"/>
  <c r="F94" i="1"/>
  <c r="G88" i="1"/>
  <c r="F88" i="1"/>
  <c r="G82" i="1"/>
  <c r="F82" i="1"/>
  <c r="G76" i="1"/>
  <c r="F76" i="1"/>
  <c r="G70" i="1"/>
  <c r="F70" i="1"/>
  <c r="G64" i="1"/>
  <c r="F64" i="1"/>
  <c r="G58" i="1"/>
  <c r="F58" i="1"/>
  <c r="G52" i="1"/>
  <c r="F52" i="1"/>
  <c r="G46" i="1"/>
  <c r="F46" i="1"/>
  <c r="G40" i="1"/>
  <c r="F40" i="1"/>
  <c r="G34" i="1"/>
  <c r="F34" i="1"/>
  <c r="G30" i="1"/>
  <c r="F30" i="1"/>
  <c r="G26" i="1"/>
  <c r="F26" i="1"/>
  <c r="G20" i="1"/>
  <c r="F20" i="1"/>
  <c r="G14" i="1"/>
  <c r="F14" i="1"/>
  <c r="J2" i="1"/>
  <c r="G2" i="1"/>
  <c r="E2" i="1"/>
  <c r="D2" i="1"/>
  <c r="H2" i="1"/>
  <c r="D187" i="1"/>
  <c r="D189" i="1"/>
  <c r="C10" i="1"/>
  <c r="G273" i="1" l="1"/>
  <c r="G272" i="1" s="1"/>
  <c r="F273" i="1"/>
  <c r="F272" i="1" s="1"/>
  <c r="G271" i="1"/>
  <c r="F271" i="1"/>
  <c r="G269" i="1"/>
  <c r="F269" i="1"/>
  <c r="G267" i="1"/>
  <c r="F267" i="1"/>
  <c r="G265" i="1"/>
  <c r="F265" i="1"/>
  <c r="F263" i="1"/>
  <c r="G263" i="1"/>
  <c r="G261" i="1"/>
  <c r="F261" i="1"/>
  <c r="G259" i="1"/>
  <c r="F259" i="1"/>
  <c r="G257" i="1"/>
  <c r="F257" i="1"/>
  <c r="G9" i="1"/>
  <c r="F9" i="1"/>
  <c r="F7" i="1"/>
  <c r="D273" i="1"/>
  <c r="D272" i="1" s="1"/>
  <c r="D271" i="1"/>
  <c r="D269" i="1"/>
  <c r="D267" i="1"/>
  <c r="D265" i="1"/>
  <c r="D263" i="1"/>
  <c r="D261" i="1"/>
  <c r="D259" i="1"/>
  <c r="D257" i="1"/>
  <c r="D255" i="1"/>
  <c r="D253" i="1"/>
  <c r="D251" i="1"/>
  <c r="D249" i="1"/>
  <c r="D247" i="1"/>
  <c r="D245" i="1"/>
  <c r="D243" i="1"/>
  <c r="D241" i="1"/>
  <c r="D239" i="1"/>
  <c r="D237" i="1"/>
  <c r="D236" i="1" s="1"/>
  <c r="D235" i="1"/>
  <c r="D233" i="1"/>
  <c r="D231" i="1"/>
  <c r="D230" i="1" s="1"/>
  <c r="D229" i="1"/>
  <c r="D227" i="1"/>
  <c r="D225" i="1"/>
  <c r="D224" i="1" s="1"/>
  <c r="D223" i="1"/>
  <c r="D221" i="1"/>
  <c r="D219" i="1"/>
  <c r="D217" i="1"/>
  <c r="D215" i="1"/>
  <c r="D213" i="1"/>
  <c r="D211" i="1"/>
  <c r="D209" i="1"/>
  <c r="D207" i="1"/>
  <c r="D205" i="1"/>
  <c r="D203" i="1"/>
  <c r="D201" i="1"/>
  <c r="D199" i="1"/>
  <c r="D197" i="1"/>
  <c r="D195" i="1"/>
  <c r="D190" i="1" s="1"/>
  <c r="D185" i="1"/>
  <c r="D184" i="1" s="1"/>
  <c r="D177" i="1"/>
  <c r="D175" i="1"/>
  <c r="D173" i="1"/>
  <c r="D172" i="1" s="1"/>
  <c r="D171" i="1"/>
  <c r="D169" i="1"/>
  <c r="D167" i="1"/>
  <c r="D166" i="1" s="1"/>
  <c r="D165" i="1"/>
  <c r="D163" i="1"/>
  <c r="D161" i="1"/>
  <c r="D160" i="1" s="1"/>
  <c r="D159" i="1"/>
  <c r="D157" i="1"/>
  <c r="D155" i="1"/>
  <c r="D153" i="1"/>
  <c r="D151" i="1"/>
  <c r="D149" i="1"/>
  <c r="D147" i="1"/>
  <c r="D145" i="1"/>
  <c r="D143" i="1"/>
  <c r="D142" i="1" s="1"/>
  <c r="D141" i="1"/>
  <c r="D139" i="1"/>
  <c r="D137" i="1"/>
  <c r="D135" i="1"/>
  <c r="D133" i="1"/>
  <c r="D131" i="1"/>
  <c r="D129" i="1"/>
  <c r="D127" i="1"/>
  <c r="D125" i="1"/>
  <c r="D124" i="1" s="1"/>
  <c r="D123" i="1"/>
  <c r="D121" i="1"/>
  <c r="D119" i="1"/>
  <c r="D118" i="1" s="1"/>
  <c r="D117" i="1"/>
  <c r="D115" i="1"/>
  <c r="D113" i="1"/>
  <c r="D111" i="1"/>
  <c r="D109" i="1"/>
  <c r="D107" i="1"/>
  <c r="D105" i="1"/>
  <c r="D103" i="1"/>
  <c r="D101" i="1"/>
  <c r="D100" i="1" s="1"/>
  <c r="D99" i="1"/>
  <c r="D97" i="1"/>
  <c r="D95" i="1"/>
  <c r="D94" i="1" s="1"/>
  <c r="D93" i="1"/>
  <c r="D91" i="1"/>
  <c r="D89" i="1"/>
  <c r="D88" i="1" s="1"/>
  <c r="D87" i="1"/>
  <c r="D85" i="1"/>
  <c r="D83" i="1"/>
  <c r="D81" i="1"/>
  <c r="D79" i="1"/>
  <c r="D77" i="1"/>
  <c r="D76" i="1" s="1"/>
  <c r="D75" i="1"/>
  <c r="D73" i="1"/>
  <c r="D71" i="1"/>
  <c r="D70" i="1" s="1"/>
  <c r="D11" i="1"/>
  <c r="D69" i="1"/>
  <c r="D67" i="1"/>
  <c r="D65" i="1"/>
  <c r="D63" i="1"/>
  <c r="D61" i="1"/>
  <c r="D59" i="1"/>
  <c r="D57" i="1"/>
  <c r="D55" i="1"/>
  <c r="D53" i="1"/>
  <c r="D52" i="1" s="1"/>
  <c r="D51" i="1"/>
  <c r="D49" i="1"/>
  <c r="D47" i="1"/>
  <c r="D46" i="1" s="1"/>
  <c r="D45" i="1"/>
  <c r="D43" i="1"/>
  <c r="D41" i="1"/>
  <c r="D40" i="1" s="1"/>
  <c r="D39" i="1"/>
  <c r="D37" i="1"/>
  <c r="D35" i="1"/>
  <c r="D34" i="1" s="1"/>
  <c r="D33" i="1"/>
  <c r="D31" i="1"/>
  <c r="D30" i="1" s="1"/>
  <c r="D29" i="1"/>
  <c r="D27" i="1"/>
  <c r="D26" i="1" s="1"/>
  <c r="D25" i="1"/>
  <c r="D23" i="1"/>
  <c r="D21" i="1"/>
  <c r="D19" i="1"/>
  <c r="D17" i="1"/>
  <c r="D15" i="1"/>
  <c r="D13" i="1"/>
  <c r="D9" i="1"/>
  <c r="A8" i="1"/>
  <c r="A14" i="1" s="1"/>
  <c r="A20" i="1" s="1"/>
  <c r="A26" i="1" s="1"/>
  <c r="A30" i="1" s="1"/>
  <c r="A34" i="1" s="1"/>
  <c r="A40" i="1" s="1"/>
  <c r="A46" i="1" s="1"/>
  <c r="A52" i="1" s="1"/>
  <c r="A58" i="1" s="1"/>
  <c r="A64" i="1" s="1"/>
  <c r="A70" i="1" s="1"/>
  <c r="A76" i="1" s="1"/>
  <c r="A82" i="1" s="1"/>
  <c r="A88" i="1" s="1"/>
  <c r="A94" i="1" s="1"/>
  <c r="A100" i="1" s="1"/>
  <c r="A106" i="1" s="1"/>
  <c r="A112" i="1" s="1"/>
  <c r="A118" i="1" s="1"/>
  <c r="A124" i="1" s="1"/>
  <c r="A130" i="1" s="1"/>
  <c r="A136" i="1" s="1"/>
  <c r="A142" i="1" s="1"/>
  <c r="A148" i="1" s="1"/>
  <c r="A154" i="1" s="1"/>
  <c r="A160" i="1" s="1"/>
  <c r="A166" i="1" s="1"/>
  <c r="A172" i="1" s="1"/>
  <c r="A178" i="1" s="1"/>
  <c r="A184" i="1" s="1"/>
  <c r="A190" i="1" s="1"/>
  <c r="A196" i="1" s="1"/>
  <c r="A202" i="1" s="1"/>
  <c r="A206" i="1" s="1"/>
  <c r="A212" i="1" s="1"/>
  <c r="A218" i="1" s="1"/>
  <c r="A224" i="1" s="1"/>
  <c r="A230" i="1" s="1"/>
  <c r="A236" i="1" s="1"/>
  <c r="A242" i="1" s="1"/>
  <c r="A248" i="1" s="1"/>
  <c r="A254" i="1" s="1"/>
  <c r="A260" i="1" s="1"/>
  <c r="A266" i="1" s="1"/>
  <c r="A272" i="1" s="1"/>
  <c r="D136" i="1" l="1"/>
  <c r="D58" i="1"/>
  <c r="D206" i="1"/>
  <c r="D148" i="1"/>
  <c r="D112" i="1"/>
  <c r="D8" i="1"/>
  <c r="D82" i="1"/>
  <c r="D130" i="1"/>
  <c r="D242" i="1"/>
  <c r="D212" i="1"/>
  <c r="D260" i="1"/>
  <c r="D106" i="1"/>
  <c r="D154" i="1"/>
  <c r="D196" i="1"/>
  <c r="D14" i="1"/>
  <c r="D218" i="1"/>
  <c r="D20" i="1"/>
  <c r="F2" i="1"/>
  <c r="F8" i="1"/>
  <c r="H11" i="1"/>
  <c r="J11" i="1"/>
  <c r="G8" i="1"/>
  <c r="F254" i="1"/>
  <c r="H259" i="1"/>
  <c r="G254" i="1"/>
  <c r="F260" i="1"/>
  <c r="G260" i="1"/>
  <c r="D202" i="1"/>
  <c r="F266" i="1"/>
  <c r="D254" i="1"/>
  <c r="G266" i="1"/>
  <c r="D248" i="1"/>
  <c r="D64" i="1"/>
  <c r="D266" i="1"/>
  <c r="S12" i="1"/>
  <c r="C8" i="1"/>
  <c r="H9" i="1" s="1"/>
  <c r="S24" i="1"/>
  <c r="S21" i="1"/>
  <c r="S18" i="1"/>
  <c r="S15" i="1"/>
  <c r="C6" i="1"/>
  <c r="C4" i="1"/>
  <c r="C272" i="1"/>
  <c r="H273" i="1" s="1"/>
  <c r="C266" i="1"/>
  <c r="J267" i="1" s="1"/>
  <c r="C260" i="1"/>
  <c r="H261" i="1" s="1"/>
  <c r="C254" i="1"/>
  <c r="C248" i="1"/>
  <c r="C242" i="1"/>
  <c r="C236" i="1"/>
  <c r="C230" i="1"/>
  <c r="C224" i="1"/>
  <c r="C218" i="1"/>
  <c r="C212" i="1"/>
  <c r="C206" i="1"/>
  <c r="C202" i="1"/>
  <c r="C196" i="1"/>
  <c r="C190" i="1"/>
  <c r="C184" i="1"/>
  <c r="C178" i="1"/>
  <c r="C172" i="1"/>
  <c r="C166" i="1"/>
  <c r="C160" i="1"/>
  <c r="C154" i="1"/>
  <c r="C148" i="1"/>
  <c r="C142" i="1"/>
  <c r="C136" i="1"/>
  <c r="C130" i="1"/>
  <c r="C124" i="1"/>
  <c r="C118" i="1"/>
  <c r="C112" i="1"/>
  <c r="C106" i="1"/>
  <c r="C100" i="1"/>
  <c r="C94" i="1"/>
  <c r="C88" i="1"/>
  <c r="C82" i="1"/>
  <c r="C76" i="1"/>
  <c r="C70" i="1"/>
  <c r="C64" i="1"/>
  <c r="C58" i="1"/>
  <c r="C52" i="1"/>
  <c r="C46" i="1"/>
  <c r="C40" i="1"/>
  <c r="C34" i="1"/>
  <c r="C30" i="1"/>
  <c r="C26" i="1"/>
  <c r="C270" i="1"/>
  <c r="H271" i="1" s="1"/>
  <c r="C274" i="1"/>
  <c r="C276" i="1"/>
  <c r="C226" i="1"/>
  <c r="C228" i="1"/>
  <c r="C232" i="1"/>
  <c r="C234" i="1"/>
  <c r="C238" i="1"/>
  <c r="C240" i="1"/>
  <c r="C244" i="1"/>
  <c r="C246" i="1"/>
  <c r="C250" i="1"/>
  <c r="C252" i="1"/>
  <c r="C256" i="1"/>
  <c r="J257" i="1" s="1"/>
  <c r="C258" i="1"/>
  <c r="J259" i="1" s="1"/>
  <c r="C262" i="1"/>
  <c r="H263" i="1" s="1"/>
  <c r="C264" i="1"/>
  <c r="J265" i="1" s="1"/>
  <c r="C268" i="1"/>
  <c r="H269" i="1" s="1"/>
  <c r="D183" i="1"/>
  <c r="D181" i="1"/>
  <c r="C180" i="1"/>
  <c r="C182" i="1"/>
  <c r="C186" i="1"/>
  <c r="C188" i="1"/>
  <c r="C192" i="1"/>
  <c r="C194" i="1"/>
  <c r="C198" i="1"/>
  <c r="C200" i="1"/>
  <c r="C204" i="1"/>
  <c r="C208" i="1"/>
  <c r="C210" i="1"/>
  <c r="C214" i="1"/>
  <c r="C216" i="1"/>
  <c r="C220" i="1"/>
  <c r="C222" i="1"/>
  <c r="D179" i="1"/>
  <c r="C144" i="1"/>
  <c r="C146" i="1"/>
  <c r="C150" i="1"/>
  <c r="C152" i="1"/>
  <c r="C156" i="1"/>
  <c r="C158" i="1"/>
  <c r="C162" i="1"/>
  <c r="C164" i="1"/>
  <c r="C168" i="1"/>
  <c r="C170" i="1"/>
  <c r="C174" i="1"/>
  <c r="C176" i="1"/>
  <c r="C108" i="1"/>
  <c r="C110" i="1"/>
  <c r="C114" i="1"/>
  <c r="C116" i="1"/>
  <c r="C120" i="1"/>
  <c r="C122" i="1"/>
  <c r="C126" i="1"/>
  <c r="C128" i="1"/>
  <c r="C132" i="1"/>
  <c r="C134" i="1"/>
  <c r="C138" i="1"/>
  <c r="C140" i="1"/>
  <c r="C72" i="1"/>
  <c r="C74" i="1"/>
  <c r="C78" i="1"/>
  <c r="C80" i="1"/>
  <c r="C84" i="1"/>
  <c r="C86" i="1"/>
  <c r="C90" i="1"/>
  <c r="C92" i="1"/>
  <c r="C96" i="1"/>
  <c r="C98" i="1"/>
  <c r="C102" i="1"/>
  <c r="C104" i="1"/>
  <c r="C38" i="1"/>
  <c r="C42" i="1"/>
  <c r="C44" i="1"/>
  <c r="C48" i="1"/>
  <c r="C50" i="1"/>
  <c r="C54" i="1"/>
  <c r="C56" i="1"/>
  <c r="C60" i="1"/>
  <c r="C62" i="1"/>
  <c r="C66" i="1"/>
  <c r="C68" i="1"/>
  <c r="C36" i="1"/>
  <c r="C32" i="1"/>
  <c r="C28" i="1"/>
  <c r="C24" i="1"/>
  <c r="C22" i="1"/>
  <c r="C20" i="1"/>
  <c r="C18" i="1"/>
  <c r="C16" i="1"/>
  <c r="C14" i="1"/>
  <c r="C12" i="1"/>
  <c r="H257" i="1" l="1"/>
  <c r="J261" i="1"/>
  <c r="H267" i="1"/>
  <c r="H265" i="1"/>
  <c r="J263" i="1"/>
  <c r="H266" i="1"/>
  <c r="J209" i="1"/>
  <c r="H209" i="1"/>
  <c r="H233" i="1"/>
  <c r="J233" i="1"/>
  <c r="H229" i="1"/>
  <c r="J229" i="1"/>
  <c r="J117" i="1"/>
  <c r="H117" i="1"/>
  <c r="H143" i="1"/>
  <c r="J143" i="1"/>
  <c r="E277" i="1"/>
  <c r="H277" i="1"/>
  <c r="J277" i="1"/>
  <c r="H177" i="1"/>
  <c r="J177" i="1"/>
  <c r="H171" i="1"/>
  <c r="J171" i="1"/>
  <c r="J165" i="1"/>
  <c r="H165" i="1"/>
  <c r="H191" i="1"/>
  <c r="J191" i="1"/>
  <c r="E191" i="1"/>
  <c r="J55" i="1"/>
  <c r="H55" i="1"/>
  <c r="H131" i="1"/>
  <c r="J131" i="1"/>
  <c r="J51" i="1"/>
  <c r="H51" i="1"/>
  <c r="J205" i="1"/>
  <c r="H205" i="1"/>
  <c r="J49" i="1"/>
  <c r="H49" i="1"/>
  <c r="H227" i="1"/>
  <c r="J227" i="1"/>
  <c r="H45" i="1"/>
  <c r="J45" i="1"/>
  <c r="J155" i="1"/>
  <c r="H155" i="1"/>
  <c r="H35" i="1"/>
  <c r="J35" i="1"/>
  <c r="J13" i="1"/>
  <c r="H13" i="1"/>
  <c r="H8" i="1" s="1"/>
  <c r="H185" i="1"/>
  <c r="J185" i="1"/>
  <c r="J163" i="1"/>
  <c r="H163" i="1"/>
  <c r="H53" i="1"/>
  <c r="J53" i="1"/>
  <c r="J197" i="1"/>
  <c r="H197" i="1"/>
  <c r="H201" i="1"/>
  <c r="J201" i="1"/>
  <c r="H149" i="1"/>
  <c r="J149" i="1"/>
  <c r="H39" i="1"/>
  <c r="J39" i="1"/>
  <c r="J105" i="1"/>
  <c r="H105" i="1"/>
  <c r="H27" i="1"/>
  <c r="J27" i="1"/>
  <c r="H31" i="1"/>
  <c r="J31" i="1"/>
  <c r="H179" i="1"/>
  <c r="J179" i="1"/>
  <c r="H181" i="1"/>
  <c r="J181" i="1"/>
  <c r="J59" i="1"/>
  <c r="H59" i="1"/>
  <c r="H93" i="1"/>
  <c r="J93" i="1"/>
  <c r="H123" i="1"/>
  <c r="J123" i="1"/>
  <c r="J111" i="1"/>
  <c r="H111" i="1"/>
  <c r="H189" i="1"/>
  <c r="J189" i="1"/>
  <c r="E189" i="1"/>
  <c r="J169" i="1"/>
  <c r="H169" i="1"/>
  <c r="H41" i="1"/>
  <c r="J41" i="1"/>
  <c r="H47" i="1"/>
  <c r="J47" i="1"/>
  <c r="H87" i="1"/>
  <c r="J87" i="1"/>
  <c r="J159" i="1"/>
  <c r="H159" i="1"/>
  <c r="J203" i="1"/>
  <c r="H203" i="1"/>
  <c r="J21" i="1"/>
  <c r="H21" i="1"/>
  <c r="J157" i="1"/>
  <c r="H157" i="1"/>
  <c r="J65" i="1"/>
  <c r="H65" i="1"/>
  <c r="H81" i="1"/>
  <c r="J81" i="1"/>
  <c r="J273" i="1"/>
  <c r="J151" i="1"/>
  <c r="H151" i="1"/>
  <c r="J219" i="1"/>
  <c r="H219" i="1"/>
  <c r="J147" i="1"/>
  <c r="H147" i="1"/>
  <c r="H225" i="1"/>
  <c r="J225" i="1"/>
  <c r="H231" i="1"/>
  <c r="J231" i="1"/>
  <c r="J199" i="1"/>
  <c r="H199" i="1"/>
  <c r="E193" i="1"/>
  <c r="H193" i="1"/>
  <c r="J193" i="1"/>
  <c r="J175" i="1"/>
  <c r="H175" i="1"/>
  <c r="J97" i="1"/>
  <c r="H97" i="1"/>
  <c r="H17" i="1"/>
  <c r="H91" i="1"/>
  <c r="J91" i="1"/>
  <c r="H23" i="1"/>
  <c r="J23" i="1"/>
  <c r="J153" i="1"/>
  <c r="H153" i="1"/>
  <c r="H71" i="1"/>
  <c r="J71" i="1"/>
  <c r="J213" i="1"/>
  <c r="H213" i="1"/>
  <c r="H79" i="1"/>
  <c r="J79" i="1"/>
  <c r="H77" i="1"/>
  <c r="J77" i="1"/>
  <c r="H29" i="1"/>
  <c r="J29" i="1"/>
  <c r="H83" i="1"/>
  <c r="J83" i="1"/>
  <c r="H73" i="1"/>
  <c r="J73" i="1"/>
  <c r="J145" i="1"/>
  <c r="H145" i="1"/>
  <c r="H89" i="1"/>
  <c r="J89" i="1"/>
  <c r="J9" i="1"/>
  <c r="H37" i="1"/>
  <c r="J37" i="1"/>
  <c r="H141" i="1"/>
  <c r="J141" i="1"/>
  <c r="D178" i="1"/>
  <c r="J251" i="1"/>
  <c r="H251" i="1"/>
  <c r="J95" i="1"/>
  <c r="H95" i="1"/>
  <c r="H237" i="1"/>
  <c r="J237" i="1"/>
  <c r="J269" i="1"/>
  <c r="J69" i="1"/>
  <c r="H69" i="1"/>
  <c r="J247" i="1"/>
  <c r="H247" i="1"/>
  <c r="H243" i="1"/>
  <c r="J243" i="1"/>
  <c r="J67" i="1"/>
  <c r="H67" i="1"/>
  <c r="J107" i="1"/>
  <c r="H107" i="1"/>
  <c r="H133" i="1"/>
  <c r="J133" i="1"/>
  <c r="J255" i="1"/>
  <c r="H255" i="1"/>
  <c r="H239" i="1"/>
  <c r="J239" i="1"/>
  <c r="H121" i="1"/>
  <c r="J121" i="1"/>
  <c r="H137" i="1"/>
  <c r="J137" i="1"/>
  <c r="J115" i="1"/>
  <c r="H115" i="1"/>
  <c r="H43" i="1"/>
  <c r="J43" i="1"/>
  <c r="J109" i="1"/>
  <c r="H109" i="1"/>
  <c r="J161" i="1"/>
  <c r="H161" i="1"/>
  <c r="H167" i="1"/>
  <c r="J167" i="1"/>
  <c r="J103" i="1"/>
  <c r="H103" i="1"/>
  <c r="H173" i="1"/>
  <c r="J173" i="1"/>
  <c r="J99" i="1"/>
  <c r="H99" i="1"/>
  <c r="H183" i="1"/>
  <c r="J183" i="1"/>
  <c r="H260" i="1"/>
  <c r="J15" i="1"/>
  <c r="H15" i="1"/>
  <c r="J19" i="1"/>
  <c r="H19" i="1"/>
  <c r="H85" i="1"/>
  <c r="J85" i="1"/>
  <c r="J207" i="1"/>
  <c r="H207" i="1"/>
  <c r="H25" i="1"/>
  <c r="J25" i="1"/>
  <c r="H75" i="1"/>
  <c r="J75" i="1"/>
  <c r="J271" i="1"/>
  <c r="H33" i="1"/>
  <c r="J33" i="1"/>
  <c r="J253" i="1"/>
  <c r="H253" i="1"/>
  <c r="H139" i="1"/>
  <c r="J139" i="1"/>
  <c r="H223" i="1"/>
  <c r="J223" i="1"/>
  <c r="J101" i="1"/>
  <c r="H101" i="1"/>
  <c r="H135" i="1"/>
  <c r="J135" i="1"/>
  <c r="J221" i="1"/>
  <c r="H221" i="1"/>
  <c r="J245" i="1"/>
  <c r="H245" i="1"/>
  <c r="J249" i="1"/>
  <c r="H249" i="1"/>
  <c r="J63" i="1"/>
  <c r="H63" i="1"/>
  <c r="J217" i="1"/>
  <c r="H217" i="1"/>
  <c r="H241" i="1"/>
  <c r="J241" i="1"/>
  <c r="J113" i="1"/>
  <c r="H113" i="1"/>
  <c r="J61" i="1"/>
  <c r="H61" i="1"/>
  <c r="H129" i="1"/>
  <c r="J129" i="1"/>
  <c r="J215" i="1"/>
  <c r="H215" i="1"/>
  <c r="H119" i="1"/>
  <c r="J119" i="1"/>
  <c r="J57" i="1"/>
  <c r="H57" i="1"/>
  <c r="J127" i="1"/>
  <c r="H127" i="1"/>
  <c r="J211" i="1"/>
  <c r="H211" i="1"/>
  <c r="H235" i="1"/>
  <c r="J235" i="1"/>
  <c r="H125" i="1"/>
  <c r="J125" i="1"/>
  <c r="E15" i="1"/>
  <c r="E185" i="1"/>
  <c r="E11" i="1"/>
  <c r="E13" i="1"/>
  <c r="E223" i="1"/>
  <c r="E9" i="1"/>
  <c r="E241" i="1"/>
  <c r="E39" i="1"/>
  <c r="E67" i="1"/>
  <c r="E141" i="1"/>
  <c r="E137" i="1"/>
  <c r="E19" i="1"/>
  <c r="E47" i="1"/>
  <c r="E45" i="1"/>
  <c r="E143" i="1"/>
  <c r="E43" i="1"/>
  <c r="E109" i="1"/>
  <c r="E65" i="1"/>
  <c r="E101" i="1"/>
  <c r="E115" i="1"/>
  <c r="E111" i="1"/>
  <c r="E165" i="1"/>
  <c r="E235" i="1"/>
  <c r="E155" i="1"/>
  <c r="E175" i="1"/>
  <c r="E121" i="1"/>
  <c r="E117" i="1"/>
  <c r="E171" i="1"/>
  <c r="E71" i="1"/>
  <c r="E69" i="1"/>
  <c r="E157" i="1"/>
  <c r="E153" i="1"/>
  <c r="E221" i="1"/>
  <c r="E163" i="1"/>
  <c r="E261" i="1"/>
  <c r="E159" i="1"/>
  <c r="E219" i="1"/>
  <c r="E151" i="1"/>
  <c r="E217" i="1"/>
  <c r="E41" i="1"/>
  <c r="E267" i="1"/>
  <c r="E145" i="1"/>
  <c r="E99" i="1"/>
  <c r="E21" i="1"/>
  <c r="E49" i="1"/>
  <c r="E97" i="1"/>
  <c r="E31" i="1"/>
  <c r="E63" i="1"/>
  <c r="E61" i="1"/>
  <c r="E147" i="1"/>
  <c r="E269" i="1"/>
  <c r="E77" i="1"/>
  <c r="E113" i="1"/>
  <c r="E149" i="1"/>
  <c r="E57" i="1"/>
  <c r="E105" i="1"/>
  <c r="E211" i="1"/>
  <c r="E265" i="1"/>
  <c r="E17" i="1"/>
  <c r="E55" i="1"/>
  <c r="E103" i="1"/>
  <c r="E209" i="1"/>
  <c r="E263" i="1"/>
  <c r="E199" i="1"/>
  <c r="E251" i="1"/>
  <c r="E33" i="1"/>
  <c r="E85" i="1"/>
  <c r="E139" i="1"/>
  <c r="E245" i="1"/>
  <c r="E53" i="1"/>
  <c r="E89" i="1"/>
  <c r="E125" i="1"/>
  <c r="E161" i="1"/>
  <c r="E197" i="1"/>
  <c r="E37" i="1"/>
  <c r="E81" i="1"/>
  <c r="E135" i="1"/>
  <c r="E79" i="1"/>
  <c r="E133" i="1"/>
  <c r="E183" i="1"/>
  <c r="E107" i="1"/>
  <c r="E257" i="1"/>
  <c r="E119" i="1"/>
  <c r="E93" i="1"/>
  <c r="E253" i="1"/>
  <c r="E91" i="1"/>
  <c r="E29" i="1"/>
  <c r="E87" i="1"/>
  <c r="E75" i="1"/>
  <c r="E129" i="1"/>
  <c r="E181" i="1"/>
  <c r="E51" i="1"/>
  <c r="E259" i="1"/>
  <c r="E247" i="1"/>
  <c r="E127" i="1"/>
  <c r="E233" i="1"/>
  <c r="E59" i="1"/>
  <c r="E95" i="1"/>
  <c r="E131" i="1"/>
  <c r="E167" i="1"/>
  <c r="E203" i="1"/>
  <c r="E27" i="1"/>
  <c r="E35" i="1"/>
  <c r="E179" i="1"/>
  <c r="E205" i="1"/>
  <c r="E83" i="1"/>
  <c r="E23" i="1"/>
  <c r="E25" i="1"/>
  <c r="E73" i="1"/>
  <c r="E123" i="1"/>
  <c r="E207" i="1"/>
  <c r="E173" i="1"/>
  <c r="E169" i="1"/>
  <c r="E201" i="1"/>
  <c r="E177" i="1"/>
  <c r="E255" i="1"/>
  <c r="E239" i="1"/>
  <c r="E227" i="1"/>
  <c r="E225" i="1"/>
  <c r="E215" i="1"/>
  <c r="E231" i="1"/>
  <c r="E273" i="1"/>
  <c r="E271" i="1"/>
  <c r="E243" i="1"/>
  <c r="E249" i="1"/>
  <c r="E237" i="1"/>
  <c r="E229" i="1"/>
  <c r="E213" i="1"/>
  <c r="E112" i="1" l="1"/>
  <c r="E94" i="1"/>
  <c r="E196" i="1"/>
  <c r="E206" i="1"/>
  <c r="E242" i="1"/>
  <c r="E124" i="1"/>
  <c r="E30" i="1"/>
  <c r="E142" i="1"/>
  <c r="E46" i="1"/>
  <c r="E106" i="1"/>
  <c r="E136" i="1"/>
  <c r="E166" i="1"/>
  <c r="E218" i="1"/>
  <c r="E82" i="1"/>
  <c r="E178" i="1"/>
  <c r="E8" i="1"/>
  <c r="E118" i="1"/>
  <c r="E236" i="1"/>
  <c r="H106" i="1"/>
  <c r="E248" i="1"/>
  <c r="H172" i="1"/>
  <c r="H64" i="1"/>
  <c r="E76" i="1"/>
  <c r="H154" i="1"/>
  <c r="H118" i="1"/>
  <c r="E184" i="1"/>
  <c r="H196" i="1"/>
  <c r="E230" i="1"/>
  <c r="E58" i="1"/>
  <c r="E160" i="1"/>
  <c r="E14" i="1"/>
  <c r="H166" i="1"/>
  <c r="H242" i="1"/>
  <c r="H20" i="1"/>
  <c r="H130" i="1"/>
  <c r="J14" i="1"/>
  <c r="E130" i="1"/>
  <c r="H160" i="1"/>
  <c r="H30" i="1"/>
  <c r="H218" i="1"/>
  <c r="H254" i="1"/>
  <c r="E148" i="1"/>
  <c r="H202" i="1"/>
  <c r="H52" i="1"/>
  <c r="H14" i="1"/>
  <c r="E260" i="1"/>
  <c r="E26" i="1"/>
  <c r="H88" i="1"/>
  <c r="H248" i="1"/>
  <c r="E190" i="1"/>
  <c r="H224" i="1"/>
  <c r="E70" i="1"/>
  <c r="E272" i="1"/>
  <c r="E154" i="1"/>
  <c r="H82" i="1"/>
  <c r="H58" i="1"/>
  <c r="H70" i="1"/>
  <c r="H26" i="1"/>
  <c r="E202" i="1"/>
  <c r="E224" i="1"/>
  <c r="E52" i="1"/>
  <c r="E254" i="1"/>
  <c r="E20" i="1"/>
  <c r="H76" i="1"/>
  <c r="E100" i="1"/>
  <c r="H184" i="1"/>
  <c r="H136" i="1"/>
  <c r="H34" i="1"/>
  <c r="H100" i="1"/>
  <c r="H40" i="1"/>
  <c r="E212" i="1"/>
  <c r="J8" i="1"/>
  <c r="H148" i="1"/>
  <c r="J20" i="1"/>
  <c r="E88" i="1"/>
  <c r="H124" i="1"/>
  <c r="H190" i="1"/>
  <c r="E64" i="1"/>
  <c r="H236" i="1"/>
  <c r="H272" i="1"/>
  <c r="H142" i="1"/>
  <c r="E34" i="1"/>
  <c r="H112" i="1"/>
  <c r="H206" i="1"/>
  <c r="E266" i="1"/>
  <c r="H94" i="1"/>
  <c r="H212" i="1"/>
  <c r="H230" i="1"/>
  <c r="E172" i="1"/>
  <c r="E40" i="1"/>
  <c r="H46" i="1"/>
  <c r="H178" i="1"/>
  <c r="M9" i="1" l="1"/>
  <c r="N15" i="1" l="1"/>
  <c r="N21" i="1"/>
  <c r="N24" i="1"/>
  <c r="N18" i="1"/>
</calcChain>
</file>

<file path=xl/sharedStrings.xml><?xml version="1.0" encoding="utf-8"?>
<sst xmlns="http://schemas.openxmlformats.org/spreadsheetml/2006/main" count="40" uniqueCount="29">
  <si>
    <t>STATION</t>
  </si>
  <si>
    <t>LENGTH</t>
  </si>
  <si>
    <t>VOLUME (CUT)</t>
  </si>
  <si>
    <t>VOLUME (FILL)</t>
  </si>
  <si>
    <t>CROSS SECTION</t>
  </si>
  <si>
    <t>SEEDING (FT)</t>
  </si>
  <si>
    <t>SEEDING (SY)</t>
  </si>
  <si>
    <t>SEEDING (SY) SUM</t>
  </si>
  <si>
    <t>TOPSOIL</t>
  </si>
  <si>
    <t>CY</t>
  </si>
  <si>
    <t>REPAIR SEEDING</t>
  </si>
  <si>
    <t>SY</t>
  </si>
  <si>
    <t>LIME</t>
  </si>
  <si>
    <t>ACRE</t>
  </si>
  <si>
    <t>COMM FERT</t>
  </si>
  <si>
    <t>TON</t>
  </si>
  <si>
    <t>WATER</t>
  </si>
  <si>
    <t>MGAL</t>
  </si>
  <si>
    <t>SOIL ANALYSIS TEST</t>
  </si>
  <si>
    <t>FILL (SF)</t>
  </si>
  <si>
    <t>CUT (SF)</t>
  </si>
  <si>
    <t>END PROJECT</t>
  </si>
  <si>
    <t>BEGIN WIDENING RT</t>
  </si>
  <si>
    <t>END RESURFACING</t>
  </si>
  <si>
    <t>BEGIN RESURFACING</t>
  </si>
  <si>
    <t>BEGIN PROJECT</t>
  </si>
  <si>
    <t>BEGIN WORK LT</t>
  </si>
  <si>
    <t>CADD CUT</t>
  </si>
  <si>
    <t>CADD FILL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</si>
</sst>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+00.00"/>
    <numFmt numFmtId="165" formatCode="0.000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164" fontId="2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4" fontId="3" fillId="0" borderId="2" xfId="1" applyNumberFormat="1" applyFont="1" applyBorder="1" applyAlignment="1">
      <alignment horizontal="center" vertical="center"/>
    </xf>
    <xf numFmtId="164" fontId="3" fillId="0" borderId="3" xfId="1" applyNumberFormat="1" applyFont="1" applyBorder="1" applyAlignment="1">
      <alignment horizontal="center" vertical="center"/>
    </xf>
    <xf numFmtId="164" fontId="2" fillId="0" borderId="5" xfId="1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164" fontId="2" fillId="0" borderId="7" xfId="1" applyNumberFormat="1" applyFont="1" applyBorder="1" applyAlignment="1">
      <alignment horizontal="center" vertical="center"/>
    </xf>
    <xf numFmtId="164" fontId="2" fillId="0" borderId="8" xfId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2" fontId="2" fillId="0" borderId="1" xfId="1" applyNumberFormat="1" applyFont="1" applyBorder="1" applyAlignment="1">
      <alignment horizontal="center" vertical="center"/>
    </xf>
    <xf numFmtId="2" fontId="2" fillId="2" borderId="1" xfId="1" applyNumberFormat="1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/>
    </xf>
    <xf numFmtId="165" fontId="4" fillId="0" borderId="0" xfId="0" applyNumberFormat="1" applyFont="1" applyAlignment="1">
      <alignment horizontal="center"/>
    </xf>
    <xf numFmtId="164" fontId="3" fillId="0" borderId="9" xfId="1" applyNumberFormat="1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/>
    </xf>
    <xf numFmtId="164" fontId="3" fillId="0" borderId="11" xfId="1" applyNumberFormat="1" applyFont="1" applyBorder="1" applyAlignment="1">
      <alignment horizontal="center" vertical="center"/>
    </xf>
    <xf numFmtId="164" fontId="2" fillId="0" borderId="10" xfId="1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164" fontId="2" fillId="0" borderId="12" xfId="1" applyNumberFormat="1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164" fontId="2" fillId="2" borderId="5" xfId="1" applyNumberFormat="1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164" fontId="3" fillId="2" borderId="5" xfId="1" applyNumberFormat="1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164" fontId="3" fillId="5" borderId="3" xfId="1" applyNumberFormat="1" applyFont="1" applyFill="1" applyBorder="1" applyAlignment="1">
      <alignment horizontal="center" vertical="center"/>
    </xf>
    <xf numFmtId="164" fontId="3" fillId="5" borderId="4" xfId="1" applyNumberFormat="1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164" fontId="3" fillId="0" borderId="0" xfId="1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84DF074C-0512-4752-89BD-B42BE5D999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788E3-84F9-4B2F-8C59-21CDAC789AFD}">
  <dimension ref="A1:W277"/>
  <sheetViews>
    <sheetView tabSelected="1" topLeftCell="B1" zoomScale="85" zoomScaleNormal="85" workbookViewId="0">
      <pane ySplit="1" topLeftCell="A253" activePane="bottomLeft" state="frozen"/>
      <selection activeCell="B1" sqref="B1"/>
      <selection pane="bottomLeft" activeCell="I263" sqref="I263"/>
    </sheetView>
  </sheetViews>
  <sheetFormatPr defaultRowHeight="15" x14ac:dyDescent="0.2"/>
  <cols>
    <col min="1" max="1" width="25.7109375" style="2" bestFit="1" customWidth="1"/>
    <col min="2" max="2" width="12.5703125" style="2" bestFit="1" customWidth="1"/>
    <col min="3" max="3" width="10.85546875" style="2" bestFit="1" customWidth="1"/>
    <col min="4" max="4" width="17" style="2" bestFit="1" customWidth="1"/>
    <col min="5" max="5" width="17.28515625" style="2" bestFit="1" customWidth="1"/>
    <col min="6" max="6" width="11.28515625" style="2" bestFit="1" customWidth="1"/>
    <col min="7" max="7" width="11.42578125" style="2" bestFit="1" customWidth="1"/>
    <col min="8" max="8" width="18.5703125" style="2" customWidth="1"/>
    <col min="9" max="11" width="18.85546875" style="2" bestFit="1" customWidth="1"/>
    <col min="12" max="22" width="9.140625" style="2"/>
    <col min="23" max="23" width="9.85546875" style="2" bestFit="1" customWidth="1"/>
    <col min="24" max="16384" width="9.140625" style="2"/>
  </cols>
  <sheetData>
    <row r="1" spans="1:22" ht="15.75" x14ac:dyDescent="0.2">
      <c r="A1" s="16" t="s">
        <v>4</v>
      </c>
      <c r="B1" s="5" t="s">
        <v>0</v>
      </c>
      <c r="C1" s="6" t="s">
        <v>1</v>
      </c>
      <c r="D1" s="6" t="s">
        <v>5</v>
      </c>
      <c r="E1" s="31" t="s">
        <v>6</v>
      </c>
      <c r="F1" s="6" t="s">
        <v>20</v>
      </c>
      <c r="G1" s="6" t="s">
        <v>19</v>
      </c>
      <c r="H1" s="6" t="s">
        <v>2</v>
      </c>
      <c r="I1" s="31" t="s">
        <v>27</v>
      </c>
      <c r="J1" s="6" t="s">
        <v>3</v>
      </c>
      <c r="K1" s="32" t="s">
        <v>28</v>
      </c>
    </row>
    <row r="2" spans="1:22" ht="15.75" x14ac:dyDescent="0.2">
      <c r="A2" s="17">
        <v>146</v>
      </c>
      <c r="B2" s="25"/>
      <c r="C2" s="26"/>
      <c r="D2" s="4">
        <f t="shared" ref="D2:G2" si="0">SUM(D3:D7)</f>
        <v>4</v>
      </c>
      <c r="E2" s="4">
        <f t="shared" si="0"/>
        <v>0</v>
      </c>
      <c r="F2" s="4">
        <f t="shared" si="0"/>
        <v>3</v>
      </c>
      <c r="G2" s="4">
        <f t="shared" si="0"/>
        <v>0</v>
      </c>
      <c r="H2" s="4">
        <f>SUM(H3:H7)</f>
        <v>0</v>
      </c>
      <c r="I2" s="4">
        <f>SUM(I3:I7)</f>
        <v>0</v>
      </c>
      <c r="J2" s="4">
        <f>SUM(J3:J7)</f>
        <v>0</v>
      </c>
      <c r="K2" s="22">
        <f>SUM(K3:K7)</f>
        <v>0</v>
      </c>
    </row>
    <row r="3" spans="1:22" ht="15.75" x14ac:dyDescent="0.2">
      <c r="A3" s="18"/>
      <c r="B3" s="7">
        <v>15300</v>
      </c>
      <c r="C3" s="27"/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8">
        <v>0</v>
      </c>
    </row>
    <row r="4" spans="1:22" ht="15.75" x14ac:dyDescent="0.2">
      <c r="A4" s="18"/>
      <c r="B4" s="7"/>
      <c r="C4" s="12">
        <f>B5-B3</f>
        <v>100</v>
      </c>
      <c r="D4" s="3"/>
      <c r="E4" s="3"/>
      <c r="F4" s="3"/>
      <c r="G4" s="3"/>
      <c r="H4" s="3"/>
      <c r="I4" s="3"/>
      <c r="J4" s="3"/>
      <c r="K4" s="8"/>
    </row>
    <row r="5" spans="1:22" ht="15.75" x14ac:dyDescent="0.2">
      <c r="A5" s="18"/>
      <c r="B5" s="7">
        <v>15400</v>
      </c>
      <c r="C5" s="27"/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8">
        <v>0</v>
      </c>
    </row>
    <row r="6" spans="1:22" ht="15.75" x14ac:dyDescent="0.2">
      <c r="A6" s="18"/>
      <c r="B6" s="7"/>
      <c r="C6" s="12">
        <f>B7-B5</f>
        <v>38</v>
      </c>
      <c r="D6" s="3"/>
      <c r="E6" s="3"/>
      <c r="F6" s="3"/>
      <c r="G6" s="3"/>
      <c r="H6" s="3"/>
      <c r="I6" s="3"/>
      <c r="J6" s="3"/>
      <c r="K6" s="8"/>
    </row>
    <row r="7" spans="1:22" ht="15.75" x14ac:dyDescent="0.2">
      <c r="A7" s="19" t="s">
        <v>26</v>
      </c>
      <c r="B7" s="7">
        <v>15438</v>
      </c>
      <c r="C7" s="27"/>
      <c r="D7" s="3">
        <v>4</v>
      </c>
      <c r="E7" s="3">
        <v>0</v>
      </c>
      <c r="F7" s="3">
        <f>ROUNDUP(0.6167+1.583,0)</f>
        <v>3</v>
      </c>
      <c r="G7" s="3">
        <v>0</v>
      </c>
      <c r="H7" s="3">
        <v>0</v>
      </c>
      <c r="I7" s="3">
        <v>0</v>
      </c>
      <c r="J7" s="3">
        <v>0</v>
      </c>
      <c r="K7" s="8">
        <v>0</v>
      </c>
    </row>
    <row r="8" spans="1:22" ht="15.75" x14ac:dyDescent="0.25">
      <c r="A8" s="17">
        <f>A2+1</f>
        <v>147</v>
      </c>
      <c r="B8" s="23"/>
      <c r="C8" s="13">
        <f>B9-B7</f>
        <v>12</v>
      </c>
      <c r="D8" s="4">
        <f t="shared" ref="D8:G8" si="1">SUM(D9:D13)</f>
        <v>144</v>
      </c>
      <c r="E8" s="4">
        <f t="shared" si="1"/>
        <v>289</v>
      </c>
      <c r="F8" s="4">
        <f t="shared" si="1"/>
        <v>127</v>
      </c>
      <c r="G8" s="4">
        <f t="shared" si="1"/>
        <v>72</v>
      </c>
      <c r="H8" s="4">
        <f>SUM(H9:H13)</f>
        <v>89</v>
      </c>
      <c r="I8" s="4">
        <f>SUM(I9:I13)</f>
        <v>89</v>
      </c>
      <c r="J8" s="4">
        <f>SUM(J9:J13)</f>
        <v>54</v>
      </c>
      <c r="K8" s="22">
        <f>SUM(K9:K13)</f>
        <v>52</v>
      </c>
      <c r="M8" s="35" t="s">
        <v>7</v>
      </c>
      <c r="N8" s="35"/>
      <c r="O8" s="35"/>
      <c r="R8" s="35" t="s">
        <v>7</v>
      </c>
      <c r="S8" s="35"/>
      <c r="T8" s="35"/>
      <c r="V8"/>
    </row>
    <row r="9" spans="1:22" ht="15.75" x14ac:dyDescent="0.25">
      <c r="A9" s="19"/>
      <c r="B9" s="7">
        <v>15450</v>
      </c>
      <c r="C9" s="1"/>
      <c r="D9" s="3">
        <f>ROUNDUP(2.8632+15.7689,0)</f>
        <v>19</v>
      </c>
      <c r="E9" s="3">
        <f>ROUNDUP((((D7+D9)/2)*C8)/9,0)</f>
        <v>16</v>
      </c>
      <c r="F9" s="3">
        <f>ROUNDUP(1.7181,0)</f>
        <v>2</v>
      </c>
      <c r="G9" s="3">
        <f>ROUNDUP(5,0)</f>
        <v>5</v>
      </c>
      <c r="H9" s="3">
        <f>ROUND((((F7+F9)/2)*(C8))/27,0)</f>
        <v>1</v>
      </c>
      <c r="I9" s="3">
        <v>1</v>
      </c>
      <c r="J9" s="3">
        <f>ROUND((((G7+G9)/2)*(1.1)*(C8))/27,0)</f>
        <v>1</v>
      </c>
      <c r="K9" s="8">
        <v>1</v>
      </c>
      <c r="M9" s="34">
        <f>SUM(E2,E8,E14,E20,E26,E30,E34,E40,E46,E52,E58,E64,E70,E76,E82,E88,E94,E100,E106,E112,E118,E124,E130,E136,E142,E148,E154,E160,E166,E172,E178,E184,E190,E196,E202,E206,E212,E218,E224,E230,E236,E242,E248,E254,E260,E266,E272)</f>
        <v>19754</v>
      </c>
      <c r="N9" s="34"/>
      <c r="O9" s="34"/>
      <c r="R9" s="34">
        <v>6677</v>
      </c>
      <c r="S9" s="34"/>
      <c r="T9" s="34"/>
      <c r="V9"/>
    </row>
    <row r="10" spans="1:22" ht="15.75" x14ac:dyDescent="0.25">
      <c r="A10" s="19"/>
      <c r="B10" s="7"/>
      <c r="C10" s="12">
        <f>B11-B9</f>
        <v>25</v>
      </c>
      <c r="D10" s="3"/>
      <c r="E10" s="3"/>
      <c r="F10" s="3"/>
      <c r="G10" s="3"/>
      <c r="H10" s="3"/>
      <c r="I10" s="3"/>
      <c r="J10" s="3"/>
      <c r="K10" s="8"/>
      <c r="V10"/>
    </row>
    <row r="11" spans="1:22" x14ac:dyDescent="0.2">
      <c r="A11" s="19" t="s">
        <v>25</v>
      </c>
      <c r="B11" s="7">
        <v>15475</v>
      </c>
      <c r="C11" s="1"/>
      <c r="D11" s="3">
        <f>ROUNDUP(5.8829+22.8516+8.1694+14.8946,0)</f>
        <v>52</v>
      </c>
      <c r="E11" s="3">
        <f>ROUND((((D9+D11)/2)*C10)/9,0)</f>
        <v>99</v>
      </c>
      <c r="F11" s="3">
        <v>62</v>
      </c>
      <c r="G11" s="3">
        <v>33</v>
      </c>
      <c r="H11" s="3">
        <f>ROUND((((F9+F11)/2)*(C10))/27,0)</f>
        <v>30</v>
      </c>
      <c r="I11" s="3">
        <v>30</v>
      </c>
      <c r="J11" s="3">
        <f>ROUND((((G9+G11)/2)*(1.1)*(C10))/27,0)</f>
        <v>19</v>
      </c>
      <c r="K11" s="29">
        <v>17</v>
      </c>
      <c r="M11" s="2">
        <v>659</v>
      </c>
      <c r="N11" s="33" t="s">
        <v>8</v>
      </c>
      <c r="O11" s="33"/>
      <c r="P11" s="2" t="s">
        <v>9</v>
      </c>
      <c r="R11" s="2">
        <v>659</v>
      </c>
      <c r="S11" s="33" t="s">
        <v>8</v>
      </c>
      <c r="T11" s="33"/>
      <c r="U11" s="2" t="s">
        <v>9</v>
      </c>
    </row>
    <row r="12" spans="1:22" x14ac:dyDescent="0.2">
      <c r="A12" s="20"/>
      <c r="B12" s="7"/>
      <c r="C12" s="12">
        <f>B13-B11</f>
        <v>25</v>
      </c>
      <c r="D12" s="3"/>
      <c r="E12" s="3"/>
      <c r="F12" s="3"/>
      <c r="G12" s="3"/>
      <c r="H12" s="3"/>
      <c r="I12" s="3"/>
      <c r="J12" s="3"/>
      <c r="K12" s="8"/>
      <c r="N12" s="34">
        <f>ROUNDUP(M9*(111/1000),0)</f>
        <v>2193</v>
      </c>
      <c r="O12" s="34"/>
      <c r="S12" s="34">
        <f>ROUNDUP(R9*(111/1000),0)</f>
        <v>742</v>
      </c>
      <c r="T12" s="34"/>
    </row>
    <row r="13" spans="1:22" x14ac:dyDescent="0.2">
      <c r="A13" s="19"/>
      <c r="B13" s="7">
        <v>15500</v>
      </c>
      <c r="C13" s="1"/>
      <c r="D13" s="3">
        <f>ROUNDUP(4.637+24.1226+7.9285+36.0783,0)</f>
        <v>73</v>
      </c>
      <c r="E13" s="3">
        <f>ROUNDUP((((D11+D13)/2)*C12)/9,0)</f>
        <v>174</v>
      </c>
      <c r="F13" s="3">
        <v>63</v>
      </c>
      <c r="G13" s="3">
        <v>34</v>
      </c>
      <c r="H13" s="3">
        <f>ROUND((((F11+F13)/2)*(C12))/27,0)</f>
        <v>58</v>
      </c>
      <c r="I13" s="3">
        <v>58</v>
      </c>
      <c r="J13" s="3">
        <f>ROUND((((G11+G13)/2)*(1.1)*(C12))/27,0)</f>
        <v>34</v>
      </c>
      <c r="K13" s="8">
        <v>34</v>
      </c>
    </row>
    <row r="14" spans="1:22" x14ac:dyDescent="0.2">
      <c r="A14" s="17">
        <f>A8+1</f>
        <v>148</v>
      </c>
      <c r="B14" s="23"/>
      <c r="C14" s="13">
        <f>B15-B13</f>
        <v>50</v>
      </c>
      <c r="D14" s="4">
        <f t="shared" ref="D14:G14" si="2">SUM(D15:D19)</f>
        <v>91</v>
      </c>
      <c r="E14" s="4">
        <f t="shared" si="2"/>
        <v>645</v>
      </c>
      <c r="F14" s="4">
        <f t="shared" si="2"/>
        <v>187</v>
      </c>
      <c r="G14" s="4">
        <f t="shared" si="2"/>
        <v>67</v>
      </c>
      <c r="H14" s="4">
        <f>SUM(H15:H19)</f>
        <v>341</v>
      </c>
      <c r="I14" s="4">
        <f>SUM(I15:I19)</f>
        <v>341</v>
      </c>
      <c r="J14" s="4">
        <f>SUM(J15:J19)</f>
        <v>162</v>
      </c>
      <c r="K14" s="22">
        <f>SUM(K15:K19)</f>
        <v>160</v>
      </c>
      <c r="M14" s="2">
        <v>659</v>
      </c>
      <c r="N14" s="33" t="s">
        <v>10</v>
      </c>
      <c r="O14" s="33"/>
      <c r="P14" s="33"/>
      <c r="Q14" s="2" t="s">
        <v>11</v>
      </c>
      <c r="R14" s="2">
        <v>659</v>
      </c>
      <c r="S14" s="33" t="s">
        <v>10</v>
      </c>
      <c r="T14" s="33"/>
      <c r="U14" s="33"/>
    </row>
    <row r="15" spans="1:22" x14ac:dyDescent="0.2">
      <c r="A15" s="19"/>
      <c r="B15" s="7">
        <v>15550</v>
      </c>
      <c r="C15" s="1"/>
      <c r="D15" s="3">
        <f>ROUNDUP(11.0289+13.1197+7.4467+8.441,0)</f>
        <v>41</v>
      </c>
      <c r="E15" s="3">
        <f>ROUNDUP((((D13+D15)/2)*C14)/9,0)</f>
        <v>317</v>
      </c>
      <c r="F15" s="3">
        <v>56</v>
      </c>
      <c r="G15" s="3">
        <v>37</v>
      </c>
      <c r="H15" s="3">
        <f>ROUND((((F13+F15)/2)*(C14))/27,0)</f>
        <v>110</v>
      </c>
      <c r="I15" s="3">
        <v>110</v>
      </c>
      <c r="J15" s="3">
        <f>ROUND((((G13+G15)/2)*(1.1)*(C14))/27,0)</f>
        <v>72</v>
      </c>
      <c r="K15" s="8">
        <v>72</v>
      </c>
      <c r="N15" s="34">
        <f>ROUNDUP(M9*(5/100),0)</f>
        <v>988</v>
      </c>
      <c r="O15" s="34"/>
      <c r="P15" s="34"/>
      <c r="S15" s="34">
        <f>ROUNDUP(R9*(5/100),0)</f>
        <v>334</v>
      </c>
      <c r="T15" s="34"/>
      <c r="U15" s="34"/>
    </row>
    <row r="16" spans="1:22" x14ac:dyDescent="0.2">
      <c r="A16" s="19"/>
      <c r="B16" s="7"/>
      <c r="C16" s="12">
        <f>B17-B15</f>
        <v>50</v>
      </c>
      <c r="D16" s="3"/>
      <c r="E16" s="3"/>
      <c r="F16" s="3"/>
      <c r="G16" s="3"/>
      <c r="H16" s="3"/>
      <c r="I16" s="3"/>
      <c r="J16" s="3"/>
      <c r="K16" s="8"/>
    </row>
    <row r="17" spans="1:23" x14ac:dyDescent="0.2">
      <c r="A17" s="19"/>
      <c r="B17" s="7">
        <v>15600</v>
      </c>
      <c r="C17" s="1"/>
      <c r="D17" s="3">
        <f>ROUNDUP(6.2758+4.0375+6.9648+8.8525,0)</f>
        <v>27</v>
      </c>
      <c r="E17" s="3">
        <f>ROUNDUP((((D15+D17)/2)*C16)/9,0)</f>
        <v>189</v>
      </c>
      <c r="F17" s="3">
        <v>63</v>
      </c>
      <c r="G17" s="3">
        <v>21</v>
      </c>
      <c r="H17" s="3">
        <f>ROUND((((F15+F17)/2)*(C16))/27,0)</f>
        <v>110</v>
      </c>
      <c r="I17" s="3">
        <v>110</v>
      </c>
      <c r="J17" s="3">
        <f>ROUND((((G15+G17)/2)*(1.1)*(C16))/27,0)</f>
        <v>59</v>
      </c>
      <c r="K17" s="29">
        <v>58</v>
      </c>
      <c r="M17" s="2">
        <v>659</v>
      </c>
      <c r="N17" s="14" t="s">
        <v>12</v>
      </c>
      <c r="O17" s="2" t="s">
        <v>13</v>
      </c>
      <c r="R17" s="2">
        <v>659</v>
      </c>
      <c r="S17" s="14" t="s">
        <v>12</v>
      </c>
      <c r="T17" s="2" t="s">
        <v>13</v>
      </c>
    </row>
    <row r="18" spans="1:23" x14ac:dyDescent="0.2">
      <c r="A18" s="20"/>
      <c r="B18" s="7"/>
      <c r="C18" s="12">
        <f>B19-B17</f>
        <v>50</v>
      </c>
      <c r="D18" s="3"/>
      <c r="E18" s="3"/>
      <c r="F18" s="3"/>
      <c r="G18" s="3"/>
      <c r="H18" s="3"/>
      <c r="I18" s="3"/>
      <c r="J18" s="3"/>
      <c r="K18" s="8"/>
      <c r="N18" s="2">
        <f>ROUNDUP(M9/4840,1)</f>
        <v>4.0999999999999996</v>
      </c>
      <c r="S18" s="2">
        <f>ROUNDUP(R9/4840,1)</f>
        <v>1.4000000000000001</v>
      </c>
    </row>
    <row r="19" spans="1:23" x14ac:dyDescent="0.2">
      <c r="A19" s="19"/>
      <c r="B19" s="7">
        <v>15650</v>
      </c>
      <c r="C19" s="1"/>
      <c r="D19" s="3">
        <f>ROUNDUP(7.1756+4.3505+6.483+4.2648,0)</f>
        <v>23</v>
      </c>
      <c r="E19" s="3">
        <f>ROUNDUP((((D17+D19)/2)*C18)/9,0)</f>
        <v>139</v>
      </c>
      <c r="F19" s="3">
        <v>68</v>
      </c>
      <c r="G19" s="3">
        <v>9</v>
      </c>
      <c r="H19" s="3">
        <f>ROUND((((F17+F19)/2)*(C18))/27,0)</f>
        <v>121</v>
      </c>
      <c r="I19" s="3">
        <v>121</v>
      </c>
      <c r="J19" s="3">
        <f>ROUND((((G17+G19)/2)*(1.1)*(C18))/27,0)</f>
        <v>31</v>
      </c>
      <c r="K19" s="29">
        <v>30</v>
      </c>
    </row>
    <row r="20" spans="1:23" x14ac:dyDescent="0.2">
      <c r="A20" s="17">
        <f>A14+1</f>
        <v>149</v>
      </c>
      <c r="B20" s="23"/>
      <c r="C20" s="13">
        <f>B21-B19</f>
        <v>50</v>
      </c>
      <c r="D20" s="4">
        <f t="shared" ref="D20:G20" si="3">SUM(D21:D25)</f>
        <v>97</v>
      </c>
      <c r="E20" s="4">
        <f t="shared" si="3"/>
        <v>548</v>
      </c>
      <c r="F20" s="4">
        <f t="shared" si="3"/>
        <v>311</v>
      </c>
      <c r="G20" s="4">
        <f t="shared" si="3"/>
        <v>8</v>
      </c>
      <c r="H20" s="4">
        <f>SUM(H21:H25)</f>
        <v>550</v>
      </c>
      <c r="I20" s="4">
        <f>SUM(I21:I25)</f>
        <v>550</v>
      </c>
      <c r="J20" s="4">
        <f>SUM(J21:J25)</f>
        <v>25</v>
      </c>
      <c r="K20" s="22">
        <f>SUM(K21:K25)</f>
        <v>27</v>
      </c>
      <c r="M20" s="2">
        <v>659</v>
      </c>
      <c r="N20" s="33" t="s">
        <v>14</v>
      </c>
      <c r="O20" s="33"/>
      <c r="P20" s="2" t="s">
        <v>15</v>
      </c>
      <c r="R20" s="2">
        <v>659</v>
      </c>
      <c r="S20" s="33" t="s">
        <v>14</v>
      </c>
      <c r="T20" s="33"/>
      <c r="U20" s="2" t="s">
        <v>15</v>
      </c>
    </row>
    <row r="21" spans="1:23" x14ac:dyDescent="0.2">
      <c r="A21" s="19"/>
      <c r="B21" s="7">
        <v>15700</v>
      </c>
      <c r="C21" s="1"/>
      <c r="D21" s="3">
        <f>ROUNDUP(5.7208+5.0009+5.4935+2.6754,0)</f>
        <v>19</v>
      </c>
      <c r="E21" s="3">
        <f>ROUNDUP((((D19+D21)/2)*C20)/9,0)</f>
        <v>117</v>
      </c>
      <c r="F21" s="3">
        <v>81</v>
      </c>
      <c r="G21" s="3">
        <v>8</v>
      </c>
      <c r="H21" s="3">
        <f>ROUND((((F19+F21)/2)*(C20))/27,0)</f>
        <v>138</v>
      </c>
      <c r="I21" s="3">
        <v>138</v>
      </c>
      <c r="J21" s="3">
        <f>ROUND((((G19+G21)/2)*(1.1)*(C20))/27,0)</f>
        <v>17</v>
      </c>
      <c r="K21" s="29">
        <v>18</v>
      </c>
      <c r="N21" s="34">
        <f>ROUNDUP(M9*(1/7410),1)</f>
        <v>2.7</v>
      </c>
      <c r="O21" s="34"/>
      <c r="S21" s="36">
        <f>ROUNDUP(R9*(1/7410),2)</f>
        <v>0.91</v>
      </c>
      <c r="T21" s="36"/>
    </row>
    <row r="22" spans="1:23" x14ac:dyDescent="0.2">
      <c r="A22" s="19"/>
      <c r="B22" s="7"/>
      <c r="C22" s="12">
        <f>B23-B21</f>
        <v>50</v>
      </c>
      <c r="D22" s="3"/>
      <c r="E22" s="3"/>
      <c r="F22" s="3"/>
      <c r="G22" s="3"/>
      <c r="H22" s="3"/>
      <c r="I22" s="3"/>
      <c r="J22" s="3"/>
      <c r="K22" s="8"/>
      <c r="N22" s="2">
        <v>5</v>
      </c>
      <c r="S22" s="2">
        <v>5</v>
      </c>
    </row>
    <row r="23" spans="1:23" x14ac:dyDescent="0.2">
      <c r="A23" s="19"/>
      <c r="B23" s="7">
        <v>15750</v>
      </c>
      <c r="C23" s="1"/>
      <c r="D23" s="3">
        <f>ROUNDUP(19.95+5.0009+5.0009+27.8706,0)</f>
        <v>58</v>
      </c>
      <c r="E23" s="3">
        <f>ROUNDUP((((D21+D23)/2)*C22)/9,0)</f>
        <v>214</v>
      </c>
      <c r="F23" s="3">
        <v>134</v>
      </c>
      <c r="G23" s="3">
        <v>0</v>
      </c>
      <c r="H23" s="3">
        <f>ROUND((((F21+F23)/2)*(C22))/27,0)</f>
        <v>199</v>
      </c>
      <c r="I23" s="3">
        <v>199</v>
      </c>
      <c r="J23" s="3">
        <f>ROUND((((G21+G23)/2)*(1.1)*(C22))/27,0)</f>
        <v>8</v>
      </c>
      <c r="K23" s="29">
        <v>9</v>
      </c>
      <c r="M23" s="2">
        <v>659</v>
      </c>
      <c r="N23" s="14" t="s">
        <v>16</v>
      </c>
      <c r="O23" s="2" t="s">
        <v>17</v>
      </c>
      <c r="R23" s="2">
        <v>659</v>
      </c>
      <c r="S23" s="14" t="s">
        <v>16</v>
      </c>
      <c r="T23" s="2" t="s">
        <v>17</v>
      </c>
    </row>
    <row r="24" spans="1:23" x14ac:dyDescent="0.2">
      <c r="A24" s="20"/>
      <c r="B24" s="7"/>
      <c r="C24" s="12">
        <f>B25-B23</f>
        <v>50</v>
      </c>
      <c r="D24" s="3"/>
      <c r="E24" s="3"/>
      <c r="F24" s="3"/>
      <c r="G24" s="3"/>
      <c r="H24" s="3"/>
      <c r="I24" s="3"/>
      <c r="J24" s="3"/>
      <c r="K24" s="8"/>
      <c r="N24" s="2">
        <f>ROUNDUP(M9*(0.0027/1),0)</f>
        <v>54</v>
      </c>
      <c r="S24" s="2">
        <f>ROUNDUP(R9*(0.0027/1),0)</f>
        <v>19</v>
      </c>
      <c r="W24" s="15"/>
    </row>
    <row r="25" spans="1:23" x14ac:dyDescent="0.2">
      <c r="A25" s="19"/>
      <c r="B25" s="7">
        <v>15800</v>
      </c>
      <c r="C25" s="12"/>
      <c r="D25" s="3">
        <f>ROUNDUP(5.0964+5.0009+5.0009+4.4373,0)</f>
        <v>20</v>
      </c>
      <c r="E25" s="3">
        <f>ROUNDUP((((D23+D25)/2)*C24)/9,0)</f>
        <v>217</v>
      </c>
      <c r="F25" s="3">
        <v>96</v>
      </c>
      <c r="G25" s="3">
        <v>0</v>
      </c>
      <c r="H25" s="3">
        <f>ROUND((((F23+F25)/2)*(C24))/27,0)</f>
        <v>213</v>
      </c>
      <c r="I25" s="3">
        <v>213</v>
      </c>
      <c r="J25" s="3">
        <f>ROUND((((G23+G25)/2)*(1.1)*(C24))/27,0)</f>
        <v>0</v>
      </c>
      <c r="K25" s="8">
        <v>0</v>
      </c>
    </row>
    <row r="26" spans="1:23" x14ac:dyDescent="0.2">
      <c r="A26" s="17">
        <f>A20+1</f>
        <v>150</v>
      </c>
      <c r="B26" s="23"/>
      <c r="C26" s="13">
        <f>B27-B25</f>
        <v>50</v>
      </c>
      <c r="D26" s="4">
        <f t="shared" ref="D26:G26" si="4">SUM(D27:D29)</f>
        <v>62</v>
      </c>
      <c r="E26" s="4">
        <f t="shared" si="4"/>
        <v>312</v>
      </c>
      <c r="F26" s="4">
        <f t="shared" si="4"/>
        <v>141</v>
      </c>
      <c r="G26" s="4">
        <f t="shared" si="4"/>
        <v>17</v>
      </c>
      <c r="H26" s="4">
        <f>SUM(H27:H29)</f>
        <v>291</v>
      </c>
      <c r="I26" s="4">
        <f t="shared" ref="I26:K26" si="5">SUM(I27:I29)</f>
        <v>290</v>
      </c>
      <c r="J26" s="4">
        <f t="shared" si="5"/>
        <v>22</v>
      </c>
      <c r="K26" s="22">
        <f t="shared" si="5"/>
        <v>24</v>
      </c>
      <c r="N26" s="2" t="s">
        <v>18</v>
      </c>
      <c r="S26" s="2" t="s">
        <v>18</v>
      </c>
    </row>
    <row r="27" spans="1:23" x14ac:dyDescent="0.2">
      <c r="A27" s="19"/>
      <c r="B27" s="7">
        <v>15850</v>
      </c>
      <c r="C27" s="1"/>
      <c r="D27" s="3">
        <f>ROUNDUP(6.4306+5.0009+5.0009+13.3992,0)</f>
        <v>30</v>
      </c>
      <c r="E27" s="3">
        <f>ROUNDUP((((D25+D27)/2)*C26)/9,0)</f>
        <v>139</v>
      </c>
      <c r="F27" s="3">
        <v>77</v>
      </c>
      <c r="G27" s="3">
        <v>5</v>
      </c>
      <c r="H27" s="3">
        <f>ROUND((((F25+F27)/2)*(C26))/27,0)</f>
        <v>160</v>
      </c>
      <c r="I27" s="3">
        <v>160</v>
      </c>
      <c r="J27" s="3">
        <f>ROUND((((G25+G27)/2)*(1.1)*(C26))/27,0)</f>
        <v>5</v>
      </c>
      <c r="K27" s="29">
        <v>6</v>
      </c>
    </row>
    <row r="28" spans="1:23" x14ac:dyDescent="0.2">
      <c r="A28" s="20"/>
      <c r="B28" s="7"/>
      <c r="C28" s="12">
        <f>B29-B27</f>
        <v>50</v>
      </c>
      <c r="D28" s="3"/>
      <c r="E28" s="3"/>
      <c r="F28" s="3"/>
      <c r="G28" s="3"/>
      <c r="H28" s="3"/>
      <c r="I28" s="3"/>
      <c r="J28" s="3"/>
      <c r="K28" s="8"/>
    </row>
    <row r="29" spans="1:23" x14ac:dyDescent="0.2">
      <c r="A29" s="19"/>
      <c r="B29" s="7">
        <v>15900</v>
      </c>
      <c r="C29" s="1"/>
      <c r="D29" s="3">
        <f>ROUNDUP(7.7517+5.0009+5.0009+13.7966,0)</f>
        <v>32</v>
      </c>
      <c r="E29" s="3">
        <f>ROUNDUP((((D27+D29)/2)*C28)/9,0)</f>
        <v>173</v>
      </c>
      <c r="F29" s="3">
        <v>64</v>
      </c>
      <c r="G29" s="3">
        <v>12</v>
      </c>
      <c r="H29" s="3">
        <f>ROUND((((F27+F29)/2)*(C28))/27,0)</f>
        <v>131</v>
      </c>
      <c r="I29" s="28">
        <v>130</v>
      </c>
      <c r="J29" s="3">
        <f>ROUND((((G27+G29)/2)*(1.1)*(C28))/27,0)</f>
        <v>17</v>
      </c>
      <c r="K29" s="29">
        <v>18</v>
      </c>
    </row>
    <row r="30" spans="1:23" x14ac:dyDescent="0.2">
      <c r="A30" s="17">
        <f>A26+1</f>
        <v>151</v>
      </c>
      <c r="B30" s="23"/>
      <c r="C30" s="13">
        <f>B31-B29</f>
        <v>50</v>
      </c>
      <c r="D30" s="4">
        <f t="shared" ref="D30:G30" si="6">SUM(D31:D33)</f>
        <v>43</v>
      </c>
      <c r="E30" s="4">
        <f t="shared" si="6"/>
        <v>265</v>
      </c>
      <c r="F30" s="4">
        <f t="shared" si="6"/>
        <v>138</v>
      </c>
      <c r="G30" s="4">
        <f t="shared" si="6"/>
        <v>11</v>
      </c>
      <c r="H30" s="4">
        <f>SUM(H31:H33)</f>
        <v>247</v>
      </c>
      <c r="I30" s="4">
        <f t="shared" ref="I30:K30" si="7">SUM(I31:I33)</f>
        <v>247</v>
      </c>
      <c r="J30" s="4">
        <f t="shared" si="7"/>
        <v>30</v>
      </c>
      <c r="K30" s="22">
        <f t="shared" si="7"/>
        <v>30</v>
      </c>
    </row>
    <row r="31" spans="1:23" x14ac:dyDescent="0.2">
      <c r="A31" s="19"/>
      <c r="B31" s="7">
        <v>15950</v>
      </c>
      <c r="C31" s="1"/>
      <c r="D31" s="3">
        <f>ROUNDUP(2.4905+5.0009+5.0009+6.9457,0)</f>
        <v>20</v>
      </c>
      <c r="E31" s="3">
        <f>ROUNDUP((((D29+D31)/2)*C30)/9,0)</f>
        <v>145</v>
      </c>
      <c r="F31" s="3">
        <v>65</v>
      </c>
      <c r="G31" s="3">
        <v>7</v>
      </c>
      <c r="H31" s="3">
        <f>ROUND((((F29+F31)/2)*(C30))/27,0)</f>
        <v>119</v>
      </c>
      <c r="I31" s="3">
        <v>119</v>
      </c>
      <c r="J31" s="3">
        <f>ROUND((((G29+G31)/2)*(1.1)*(C30))/27,0)</f>
        <v>19</v>
      </c>
      <c r="K31" s="8">
        <v>19</v>
      </c>
    </row>
    <row r="32" spans="1:23" x14ac:dyDescent="0.2">
      <c r="A32" s="20"/>
      <c r="B32" s="7"/>
      <c r="C32" s="12">
        <f>B33-B31</f>
        <v>50</v>
      </c>
      <c r="D32" s="3"/>
      <c r="E32" s="3"/>
      <c r="F32" s="3"/>
      <c r="G32" s="3"/>
      <c r="H32" s="3"/>
      <c r="I32" s="3"/>
      <c r="J32" s="3"/>
      <c r="K32" s="8"/>
    </row>
    <row r="33" spans="1:11" x14ac:dyDescent="0.2">
      <c r="A33" s="19"/>
      <c r="B33" s="7">
        <v>16000</v>
      </c>
      <c r="C33" s="1"/>
      <c r="D33" s="3">
        <f>ROUNDUP(4.0641+5.0629+5.0009+8.8648,0)</f>
        <v>23</v>
      </c>
      <c r="E33" s="3">
        <f>ROUNDUP((((D31+D33)/2)*C32)/9,0)</f>
        <v>120</v>
      </c>
      <c r="F33" s="3">
        <v>73</v>
      </c>
      <c r="G33" s="3">
        <v>4</v>
      </c>
      <c r="H33" s="3">
        <f>ROUND((((F31+F33)/2)*(C32))/27,0)</f>
        <v>128</v>
      </c>
      <c r="I33" s="3">
        <v>128</v>
      </c>
      <c r="J33" s="3">
        <f>ROUND((((G31+G33)/2)*(1.1)*(C32))/27,0)</f>
        <v>11</v>
      </c>
      <c r="K33" s="8">
        <v>11</v>
      </c>
    </row>
    <row r="34" spans="1:11" x14ac:dyDescent="0.2">
      <c r="A34" s="17">
        <f>A30+1</f>
        <v>152</v>
      </c>
      <c r="B34" s="23"/>
      <c r="C34" s="13">
        <f>B35-B33</f>
        <v>50</v>
      </c>
      <c r="D34" s="4">
        <f t="shared" ref="D34:G34" si="8">SUM(D35:D39)</f>
        <v>59</v>
      </c>
      <c r="E34" s="4">
        <f t="shared" si="8"/>
        <v>329</v>
      </c>
      <c r="F34" s="4">
        <f t="shared" si="8"/>
        <v>255</v>
      </c>
      <c r="G34" s="4">
        <f t="shared" si="8"/>
        <v>13</v>
      </c>
      <c r="H34" s="4">
        <f>SUM(H35:H39)</f>
        <v>454</v>
      </c>
      <c r="I34" s="4">
        <f t="shared" ref="I34:K34" si="9">SUM(I35:I39)</f>
        <v>454</v>
      </c>
      <c r="J34" s="4">
        <f t="shared" si="9"/>
        <v>23</v>
      </c>
      <c r="K34" s="22">
        <f t="shared" si="9"/>
        <v>23</v>
      </c>
    </row>
    <row r="35" spans="1:11" x14ac:dyDescent="0.2">
      <c r="A35" s="19"/>
      <c r="B35" s="7">
        <v>16050</v>
      </c>
      <c r="C35" s="1"/>
      <c r="D35" s="3">
        <f>ROUNDUP(3.1833+5.4861+5.0009+6.691,0)</f>
        <v>21</v>
      </c>
      <c r="E35" s="3">
        <f>ROUNDUP((((D33+D35)/2)*C34)/9,0)</f>
        <v>123</v>
      </c>
      <c r="F35" s="3">
        <v>77</v>
      </c>
      <c r="G35" s="3">
        <v>4</v>
      </c>
      <c r="H35" s="3">
        <f>ROUND((((F33+F35)/2)*(C34))/27,0)</f>
        <v>139</v>
      </c>
      <c r="I35" s="3">
        <v>139</v>
      </c>
      <c r="J35" s="3">
        <f>ROUND((((G33+G35)/2)*(1.1)*(C34))/27,0)</f>
        <v>8</v>
      </c>
      <c r="K35" s="8">
        <v>8</v>
      </c>
    </row>
    <row r="36" spans="1:11" x14ac:dyDescent="0.2">
      <c r="A36" s="20"/>
      <c r="B36" s="7"/>
      <c r="C36" s="12">
        <f>B37-B35</f>
        <v>50</v>
      </c>
      <c r="D36" s="3"/>
      <c r="E36" s="3"/>
      <c r="F36" s="3"/>
      <c r="G36" s="3"/>
      <c r="H36" s="3"/>
      <c r="I36" s="3"/>
      <c r="J36" s="3"/>
      <c r="K36" s="8"/>
    </row>
    <row r="37" spans="1:11" x14ac:dyDescent="0.2">
      <c r="A37" s="19"/>
      <c r="B37" s="7">
        <v>16100</v>
      </c>
      <c r="C37" s="1"/>
      <c r="D37" s="3">
        <f>ROUNDUP(1.424+5.9092+5.0009+2.0004,0)</f>
        <v>15</v>
      </c>
      <c r="E37" s="3">
        <f>ROUNDUP((((D35+D37)/2)*C36)/9,0)</f>
        <v>100</v>
      </c>
      <c r="F37" s="3">
        <v>85</v>
      </c>
      <c r="G37" s="3">
        <v>2</v>
      </c>
      <c r="H37" s="3">
        <f>ROUND((((F35+F37)/2)*(C36))/27,0)</f>
        <v>150</v>
      </c>
      <c r="I37" s="3">
        <v>150</v>
      </c>
      <c r="J37" s="3">
        <f>ROUND((((G35+G37)/2)*(1.1)*(C36))/27,0)</f>
        <v>6</v>
      </c>
      <c r="K37" s="8">
        <v>6</v>
      </c>
    </row>
    <row r="38" spans="1:11" x14ac:dyDescent="0.2">
      <c r="A38" s="20"/>
      <c r="B38" s="7"/>
      <c r="C38" s="12">
        <f t="shared" ref="C38" si="10">B39-B37</f>
        <v>50</v>
      </c>
      <c r="D38" s="3"/>
      <c r="E38" s="3"/>
      <c r="F38" s="3"/>
      <c r="G38" s="3"/>
      <c r="H38" s="3"/>
      <c r="I38" s="3"/>
      <c r="J38" s="3"/>
      <c r="K38" s="8"/>
    </row>
    <row r="39" spans="1:11" x14ac:dyDescent="0.2">
      <c r="A39" s="19"/>
      <c r="B39" s="7">
        <v>16150</v>
      </c>
      <c r="C39" s="1"/>
      <c r="D39" s="3">
        <f>ROUNDUP(3.2553+6.0011+5.0009+8.2222,0)</f>
        <v>23</v>
      </c>
      <c r="E39" s="3">
        <f t="shared" ref="E39" si="11">ROUND((((D37+D39)/2)*C38)/9,0)</f>
        <v>106</v>
      </c>
      <c r="F39" s="3">
        <v>93</v>
      </c>
      <c r="G39" s="3">
        <v>7</v>
      </c>
      <c r="H39" s="3">
        <f>ROUND((((F37+F39)/2)*(C38))/27,0)</f>
        <v>165</v>
      </c>
      <c r="I39" s="3">
        <v>165</v>
      </c>
      <c r="J39" s="3">
        <f>ROUND((((G37+G39)/2)*(1.1)*(C38))/27,0)</f>
        <v>9</v>
      </c>
      <c r="K39" s="8">
        <v>9</v>
      </c>
    </row>
    <row r="40" spans="1:11" x14ac:dyDescent="0.2">
      <c r="A40" s="17">
        <f>A34+1</f>
        <v>153</v>
      </c>
      <c r="B40" s="23"/>
      <c r="C40" s="13">
        <f>B41-B39</f>
        <v>50</v>
      </c>
      <c r="D40" s="4">
        <f t="shared" ref="D40:G40" si="12">SUM(D41:D45)</f>
        <v>90</v>
      </c>
      <c r="E40" s="4">
        <f t="shared" si="12"/>
        <v>510</v>
      </c>
      <c r="F40" s="4">
        <f t="shared" si="12"/>
        <v>373</v>
      </c>
      <c r="G40" s="4">
        <f t="shared" si="12"/>
        <v>14</v>
      </c>
      <c r="H40" s="4">
        <f>SUM(H41:H45)</f>
        <v>668</v>
      </c>
      <c r="I40" s="4">
        <f t="shared" ref="I40:K40" si="13">SUM(I41:I45)</f>
        <v>667</v>
      </c>
      <c r="J40" s="4">
        <f t="shared" si="13"/>
        <v>29</v>
      </c>
      <c r="K40" s="22">
        <f t="shared" si="13"/>
        <v>29</v>
      </c>
    </row>
    <row r="41" spans="1:11" x14ac:dyDescent="0.2">
      <c r="A41" s="19"/>
      <c r="B41" s="7">
        <v>16200</v>
      </c>
      <c r="C41" s="1"/>
      <c r="D41" s="3">
        <f>ROUNDUP(4.725+6.0011+5.0009+17.3221,0)</f>
        <v>34</v>
      </c>
      <c r="E41" s="3">
        <f>ROUNDUP((((D39+D41)/2)*C40)/9,0)</f>
        <v>159</v>
      </c>
      <c r="F41" s="3">
        <v>123</v>
      </c>
      <c r="G41" s="3">
        <v>7</v>
      </c>
      <c r="H41" s="3">
        <f>ROUND((((F39+F41)/2)*(C40))/27,0)</f>
        <v>200</v>
      </c>
      <c r="I41" s="3">
        <v>200</v>
      </c>
      <c r="J41" s="3">
        <f>ROUND((((G39+G41)/2)*(1.1)*(C40))/27,0)</f>
        <v>14</v>
      </c>
      <c r="K41" s="8">
        <v>14</v>
      </c>
    </row>
    <row r="42" spans="1:11" x14ac:dyDescent="0.2">
      <c r="A42" s="20"/>
      <c r="B42" s="7"/>
      <c r="C42" s="12">
        <f t="shared" ref="C42" si="14">B43-B41</f>
        <v>50</v>
      </c>
      <c r="D42" s="3"/>
      <c r="E42" s="3"/>
      <c r="F42" s="3"/>
      <c r="G42" s="3"/>
      <c r="H42" s="3"/>
      <c r="I42" s="3"/>
      <c r="J42" s="3"/>
      <c r="K42" s="8"/>
    </row>
    <row r="43" spans="1:11" x14ac:dyDescent="0.2">
      <c r="A43" s="19"/>
      <c r="B43" s="7">
        <v>16250</v>
      </c>
      <c r="C43" s="1"/>
      <c r="D43" s="3">
        <f>ROUNDUP(16.7194+6.0011+5.0009+8.2514,0)</f>
        <v>36</v>
      </c>
      <c r="E43" s="3">
        <f>ROUNDUP((((D41+D43)/2)*C42)/9,0)</f>
        <v>195</v>
      </c>
      <c r="F43" s="3">
        <v>133</v>
      </c>
      <c r="G43" s="3">
        <v>1</v>
      </c>
      <c r="H43" s="3">
        <f>ROUND((((F41+F43)/2)*(C42))/27,0)</f>
        <v>237</v>
      </c>
      <c r="I43" s="28">
        <v>236</v>
      </c>
      <c r="J43" s="3">
        <f>ROUND((((G41+G43)/2)*(1.1)*(C42))/27,0)</f>
        <v>8</v>
      </c>
      <c r="K43" s="8">
        <v>8</v>
      </c>
    </row>
    <row r="44" spans="1:11" x14ac:dyDescent="0.2">
      <c r="A44" s="20"/>
      <c r="B44" s="7"/>
      <c r="C44" s="12">
        <f t="shared" ref="C44" si="15">B45-B43</f>
        <v>50</v>
      </c>
      <c r="D44" s="3"/>
      <c r="E44" s="3"/>
      <c r="F44" s="3"/>
      <c r="G44" s="3"/>
      <c r="H44" s="3"/>
      <c r="I44" s="3"/>
      <c r="J44" s="3"/>
      <c r="K44" s="8"/>
    </row>
    <row r="45" spans="1:11" x14ac:dyDescent="0.2">
      <c r="A45" s="19"/>
      <c r="B45" s="7">
        <v>16300</v>
      </c>
      <c r="C45" s="1"/>
      <c r="D45" s="3">
        <f>ROUNDUP(5.2414+6.0011+5.0009+3.7,0)</f>
        <v>20</v>
      </c>
      <c r="E45" s="3">
        <f>ROUNDUP((((D43+D45)/2)*C44)/9,0)</f>
        <v>156</v>
      </c>
      <c r="F45" s="3">
        <v>117</v>
      </c>
      <c r="G45" s="3">
        <v>6</v>
      </c>
      <c r="H45" s="3">
        <f>ROUND((((F43+F45)/2)*(C44))/27,0)</f>
        <v>231</v>
      </c>
      <c r="I45" s="3">
        <v>231</v>
      </c>
      <c r="J45" s="3">
        <f>ROUND((((G43+G45)/2)*(1.1)*(C44))/27,0)</f>
        <v>7</v>
      </c>
      <c r="K45" s="8">
        <v>7</v>
      </c>
    </row>
    <row r="46" spans="1:11" x14ac:dyDescent="0.2">
      <c r="A46" s="17">
        <f>A40+1</f>
        <v>154</v>
      </c>
      <c r="B46" s="23"/>
      <c r="C46" s="13">
        <f>B47-B45</f>
        <v>50</v>
      </c>
      <c r="D46" s="4">
        <f t="shared" ref="D46:G46" si="16">SUM(D47:D51)</f>
        <v>53</v>
      </c>
      <c r="E46" s="4">
        <f t="shared" si="16"/>
        <v>326</v>
      </c>
      <c r="F46" s="4">
        <f t="shared" si="16"/>
        <v>412</v>
      </c>
      <c r="G46" s="4">
        <f t="shared" si="16"/>
        <v>37</v>
      </c>
      <c r="H46" s="4">
        <f>SUM(H47:H51)</f>
        <v>703</v>
      </c>
      <c r="I46" s="4">
        <f t="shared" ref="I46:K46" si="17">SUM(I47:I51)</f>
        <v>704</v>
      </c>
      <c r="J46" s="4">
        <f t="shared" si="17"/>
        <v>81</v>
      </c>
      <c r="K46" s="22">
        <f t="shared" si="17"/>
        <v>83</v>
      </c>
    </row>
    <row r="47" spans="1:11" x14ac:dyDescent="0.2">
      <c r="A47" s="19"/>
      <c r="B47" s="7">
        <v>16350</v>
      </c>
      <c r="C47" s="1"/>
      <c r="D47" s="3">
        <f>ROUNDUP(4.9291+6.0011+5.0009+4.9042,0)</f>
        <v>21</v>
      </c>
      <c r="E47" s="3">
        <f>ROUNDUP((((D45+D47)/2)*C46)/9,0)</f>
        <v>114</v>
      </c>
      <c r="F47" s="3">
        <v>116</v>
      </c>
      <c r="G47" s="3">
        <v>7</v>
      </c>
      <c r="H47" s="3">
        <f>ROUND((((F45+F47)/2)*(C46))/27,0)</f>
        <v>216</v>
      </c>
      <c r="I47" s="3">
        <v>216</v>
      </c>
      <c r="J47" s="3">
        <f>ROUND((((G45+G47)/2)*(1.1)*(C46))/27,0)</f>
        <v>13</v>
      </c>
      <c r="K47" s="8">
        <v>13</v>
      </c>
    </row>
    <row r="48" spans="1:11" x14ac:dyDescent="0.2">
      <c r="A48" s="20"/>
      <c r="B48" s="7"/>
      <c r="C48" s="12">
        <f t="shared" ref="C48" si="18">B49-B47</f>
        <v>50</v>
      </c>
      <c r="D48" s="3"/>
      <c r="E48" s="3"/>
      <c r="F48" s="3"/>
      <c r="G48" s="3"/>
      <c r="H48" s="3"/>
      <c r="I48" s="3"/>
      <c r="J48" s="3"/>
      <c r="K48" s="8"/>
    </row>
    <row r="49" spans="1:11" x14ac:dyDescent="0.2">
      <c r="A49" s="19"/>
      <c r="B49" s="7">
        <v>16400</v>
      </c>
      <c r="C49" s="1"/>
      <c r="D49" s="3">
        <f>ROUNDUP(2.0291+6.0011+5.0036+9.5277,0)</f>
        <v>23</v>
      </c>
      <c r="E49" s="3">
        <f>ROUNDUP((((D47+D49)/2)*C48)/9,0)</f>
        <v>123</v>
      </c>
      <c r="F49" s="3">
        <v>114</v>
      </c>
      <c r="G49" s="3">
        <v>29</v>
      </c>
      <c r="H49" s="3">
        <f>ROUND((((F47+F49)/2)*(C48))/27,0)</f>
        <v>213</v>
      </c>
      <c r="I49" s="3">
        <v>213</v>
      </c>
      <c r="J49" s="3">
        <f>ROUND((((G47+G49)/2)*(1.1)*(C48))/27,0)</f>
        <v>37</v>
      </c>
      <c r="K49" s="29">
        <v>38</v>
      </c>
    </row>
    <row r="50" spans="1:11" x14ac:dyDescent="0.2">
      <c r="A50" s="20"/>
      <c r="B50" s="7"/>
      <c r="C50" s="12">
        <f t="shared" ref="C50" si="19">B51-B49</f>
        <v>50</v>
      </c>
      <c r="D50" s="3"/>
      <c r="E50" s="3"/>
      <c r="F50" s="3"/>
      <c r="G50" s="3"/>
      <c r="H50" s="3"/>
      <c r="I50" s="3"/>
      <c r="J50" s="3"/>
      <c r="K50" s="8"/>
    </row>
    <row r="51" spans="1:11" x14ac:dyDescent="0.2">
      <c r="A51" s="19"/>
      <c r="B51" s="7">
        <v>16450</v>
      </c>
      <c r="C51" s="1"/>
      <c r="D51" s="3">
        <f>ROUNDUP(2.8071+6.0011,0)</f>
        <v>9</v>
      </c>
      <c r="E51" s="3">
        <f>ROUNDUP((((D49+D51)/2)*C50)/9,0)</f>
        <v>89</v>
      </c>
      <c r="F51" s="3">
        <v>182</v>
      </c>
      <c r="G51" s="3">
        <v>1</v>
      </c>
      <c r="H51" s="3">
        <f>ROUND((((F49+F51)/2)*(C50))/27,0)</f>
        <v>274</v>
      </c>
      <c r="I51" s="28">
        <v>275</v>
      </c>
      <c r="J51" s="3">
        <f>ROUND((((G49+G51)/2)*(1.1)*(C50))/27,0)</f>
        <v>31</v>
      </c>
      <c r="K51" s="29">
        <v>32</v>
      </c>
    </row>
    <row r="52" spans="1:11" x14ac:dyDescent="0.2">
      <c r="A52" s="17">
        <f>A46+1</f>
        <v>155</v>
      </c>
      <c r="B52" s="23"/>
      <c r="C52" s="13">
        <f>B53-B51</f>
        <v>50</v>
      </c>
      <c r="D52" s="4">
        <f t="shared" ref="D52:G52" si="20">SUM(D53:D57)</f>
        <v>64</v>
      </c>
      <c r="E52" s="4">
        <f t="shared" si="20"/>
        <v>318</v>
      </c>
      <c r="F52" s="4">
        <f t="shared" si="20"/>
        <v>332</v>
      </c>
      <c r="G52" s="4">
        <f t="shared" si="20"/>
        <v>21</v>
      </c>
      <c r="H52" s="4">
        <f>SUM(H53:H57)</f>
        <v>682</v>
      </c>
      <c r="I52" s="4">
        <f t="shared" ref="I52:K52" si="21">SUM(I53:I57)</f>
        <v>681</v>
      </c>
      <c r="J52" s="4">
        <f t="shared" si="21"/>
        <v>36</v>
      </c>
      <c r="K52" s="22">
        <f t="shared" si="21"/>
        <v>37</v>
      </c>
    </row>
    <row r="53" spans="1:11" x14ac:dyDescent="0.2">
      <c r="A53" s="19"/>
      <c r="B53" s="7">
        <v>16500</v>
      </c>
      <c r="C53" s="1"/>
      <c r="D53" s="3">
        <f>ROUNDUP(4.6768+6.0011+5.0009+7.6377,0)</f>
        <v>24</v>
      </c>
      <c r="E53" s="3">
        <f>ROUNDUP((((D51+D53)/2)*C52)/9,0)</f>
        <v>92</v>
      </c>
      <c r="F53" s="3">
        <v>110</v>
      </c>
      <c r="G53" s="3">
        <v>6</v>
      </c>
      <c r="H53" s="3">
        <f>ROUND((((F51+F53)/2)*(C52))/27,0)</f>
        <v>270</v>
      </c>
      <c r="I53" s="3">
        <v>270</v>
      </c>
      <c r="J53" s="3">
        <f>ROUND((((G51+G53)/2)*(1.1)*(C52))/27,0)</f>
        <v>7</v>
      </c>
      <c r="K53" s="8">
        <v>7</v>
      </c>
    </row>
    <row r="54" spans="1:11" x14ac:dyDescent="0.2">
      <c r="A54" s="20"/>
      <c r="B54" s="7"/>
      <c r="C54" s="12">
        <f t="shared" ref="C54" si="22">B55-B53</f>
        <v>50</v>
      </c>
      <c r="D54" s="3"/>
      <c r="E54" s="3"/>
      <c r="F54" s="3"/>
      <c r="G54" s="3"/>
      <c r="H54" s="3"/>
      <c r="I54" s="3"/>
      <c r="J54" s="3"/>
      <c r="K54" s="8"/>
    </row>
    <row r="55" spans="1:11" x14ac:dyDescent="0.2">
      <c r="A55" s="19"/>
      <c r="B55" s="7">
        <v>16550</v>
      </c>
      <c r="C55" s="1"/>
      <c r="D55" s="3">
        <f>ROUNDUP(4.132+6.0011+5.0009+1.799,0)</f>
        <v>17</v>
      </c>
      <c r="E55" s="3">
        <f>ROUNDUP((((D53+D55)/2)*C54)/9,0)</f>
        <v>114</v>
      </c>
      <c r="F55" s="3">
        <v>113</v>
      </c>
      <c r="G55" s="3">
        <v>8</v>
      </c>
      <c r="H55" s="3">
        <f>ROUND((((F53+F55)/2)*(C54))/27,0)</f>
        <v>206</v>
      </c>
      <c r="I55" s="3">
        <v>206</v>
      </c>
      <c r="J55" s="3">
        <f>ROUND((((G53+G55)/2)*(1.1)*(C54))/27,0)</f>
        <v>14</v>
      </c>
      <c r="K55" s="29">
        <v>15</v>
      </c>
    </row>
    <row r="56" spans="1:11" x14ac:dyDescent="0.2">
      <c r="A56" s="20"/>
      <c r="B56" s="7"/>
      <c r="C56" s="12">
        <f t="shared" ref="C56" si="23">B57-B55</f>
        <v>50</v>
      </c>
      <c r="D56" s="3"/>
      <c r="E56" s="3"/>
      <c r="F56" s="3"/>
      <c r="G56" s="3"/>
      <c r="H56" s="3"/>
      <c r="I56" s="3"/>
      <c r="J56" s="3"/>
      <c r="K56" s="8"/>
    </row>
    <row r="57" spans="1:11" x14ac:dyDescent="0.2">
      <c r="A57" s="19"/>
      <c r="B57" s="7">
        <v>16600</v>
      </c>
      <c r="C57" s="1"/>
      <c r="D57" s="3">
        <f>ROUNDUP(4.323+6.0011+5.0009+6.7591,0)</f>
        <v>23</v>
      </c>
      <c r="E57" s="3">
        <f>ROUNDUP((((D55+D57)/2)*C56)/9,0)</f>
        <v>112</v>
      </c>
      <c r="F57" s="3">
        <v>109</v>
      </c>
      <c r="G57" s="3">
        <v>7</v>
      </c>
      <c r="H57" s="3">
        <f>ROUND((((F55+F57)/2)*(C56))/27,0)</f>
        <v>206</v>
      </c>
      <c r="I57" s="28">
        <v>205</v>
      </c>
      <c r="J57" s="3">
        <f>ROUND((((G55+G57)/2)*(1.1)*(C56))/27,0)</f>
        <v>15</v>
      </c>
      <c r="K57" s="8">
        <v>15</v>
      </c>
    </row>
    <row r="58" spans="1:11" x14ac:dyDescent="0.2">
      <c r="A58" s="17">
        <f>A52+1</f>
        <v>156</v>
      </c>
      <c r="B58" s="23"/>
      <c r="C58" s="13">
        <f>B59-B57</f>
        <v>50</v>
      </c>
      <c r="D58" s="4">
        <f t="shared" ref="D58:G58" si="24">SUM(D59:D63)</f>
        <v>78</v>
      </c>
      <c r="E58" s="4">
        <f t="shared" si="24"/>
        <v>438</v>
      </c>
      <c r="F58" s="4">
        <f t="shared" si="24"/>
        <v>308</v>
      </c>
      <c r="G58" s="4">
        <f t="shared" si="24"/>
        <v>6</v>
      </c>
      <c r="H58" s="4">
        <f>SUM(H59:H63)</f>
        <v>582</v>
      </c>
      <c r="I58" s="4">
        <f t="shared" ref="I58:K58" si="25">SUM(I59:I63)</f>
        <v>584</v>
      </c>
      <c r="J58" s="4">
        <f t="shared" si="25"/>
        <v>18</v>
      </c>
      <c r="K58" s="22">
        <f t="shared" si="25"/>
        <v>18</v>
      </c>
    </row>
    <row r="59" spans="1:11" x14ac:dyDescent="0.2">
      <c r="A59" s="19"/>
      <c r="B59" s="7">
        <v>16650</v>
      </c>
      <c r="C59" s="1"/>
      <c r="D59" s="3">
        <f>ROUNDUP(4.9037+6.0011+5.0009+4.2814,0)</f>
        <v>21</v>
      </c>
      <c r="E59" s="3">
        <f>ROUNDUP((((D57+D59)/2)*C58)/9,0)</f>
        <v>123</v>
      </c>
      <c r="F59" s="3">
        <v>101</v>
      </c>
      <c r="G59" s="3">
        <v>5</v>
      </c>
      <c r="H59" s="3">
        <f>ROUND((((F57+F59)/2)*(C58))/27,0)</f>
        <v>194</v>
      </c>
      <c r="I59" s="28">
        <v>195</v>
      </c>
      <c r="J59" s="3">
        <f>ROUND((((G57+G59)/2)*(1.1)*(C58))/27,0)</f>
        <v>12</v>
      </c>
      <c r="K59" s="8">
        <v>12</v>
      </c>
    </row>
    <row r="60" spans="1:11" x14ac:dyDescent="0.2">
      <c r="A60" s="20"/>
      <c r="B60" s="7"/>
      <c r="C60" s="12">
        <f t="shared" ref="C60" si="26">B61-B59</f>
        <v>50</v>
      </c>
      <c r="D60" s="3"/>
      <c r="E60" s="3"/>
      <c r="F60" s="3"/>
      <c r="G60" s="3"/>
      <c r="H60" s="3"/>
      <c r="I60" s="3"/>
      <c r="J60" s="3"/>
      <c r="K60" s="8"/>
    </row>
    <row r="61" spans="1:11" x14ac:dyDescent="0.2">
      <c r="A61" s="19"/>
      <c r="B61" s="7">
        <v>16700</v>
      </c>
      <c r="C61" s="1"/>
      <c r="D61" s="3">
        <f>ROUNDUP(1.0002+6.0011+5.0009+22.8148,0)</f>
        <v>35</v>
      </c>
      <c r="E61" s="3">
        <f>ROUNDUP((((D59+D61)/2)*C60)/9,0)</f>
        <v>156</v>
      </c>
      <c r="F61" s="3">
        <v>111</v>
      </c>
      <c r="G61" s="3">
        <v>0</v>
      </c>
      <c r="H61" s="3">
        <f>ROUND((((F59+F61)/2)*(C60))/27,0)</f>
        <v>196</v>
      </c>
      <c r="I61" s="28">
        <v>197</v>
      </c>
      <c r="J61" s="3">
        <f>ROUND((((G59+G61)/2)*(1.1)*(C60))/27,0)</f>
        <v>5</v>
      </c>
      <c r="K61" s="8">
        <v>5</v>
      </c>
    </row>
    <row r="62" spans="1:11" x14ac:dyDescent="0.2">
      <c r="A62" s="20"/>
      <c r="B62" s="7"/>
      <c r="C62" s="12">
        <f t="shared" ref="C62" si="27">B63-B61</f>
        <v>50</v>
      </c>
      <c r="D62" s="3"/>
      <c r="E62" s="3"/>
      <c r="F62" s="3"/>
      <c r="G62" s="3"/>
      <c r="H62" s="3"/>
      <c r="I62" s="3"/>
      <c r="J62" s="3"/>
      <c r="K62" s="8"/>
    </row>
    <row r="63" spans="1:11" x14ac:dyDescent="0.2">
      <c r="A63" s="19"/>
      <c r="B63" s="7">
        <v>16750</v>
      </c>
      <c r="C63" s="1"/>
      <c r="D63" s="3">
        <f>ROUNDUP(7.4039+6.0011+5+3.5708,0)</f>
        <v>22</v>
      </c>
      <c r="E63" s="3">
        <f>ROUNDUP((((D61+D63)/2)*C62)/9,0)</f>
        <v>159</v>
      </c>
      <c r="F63" s="3">
        <v>96</v>
      </c>
      <c r="G63" s="3">
        <v>1</v>
      </c>
      <c r="H63" s="3">
        <f>ROUND((((F61+F63)/2)*(C62))/27,0)</f>
        <v>192</v>
      </c>
      <c r="I63" s="3">
        <v>192</v>
      </c>
      <c r="J63" s="3">
        <f>ROUND((((G61+G63)/2)*(1.1)*(C62))/27,0)</f>
        <v>1</v>
      </c>
      <c r="K63" s="8">
        <v>1</v>
      </c>
    </row>
    <row r="64" spans="1:11" x14ac:dyDescent="0.2">
      <c r="A64" s="17">
        <f>A58+1</f>
        <v>157</v>
      </c>
      <c r="B64" s="23"/>
      <c r="C64" s="13">
        <f>B65-B63</f>
        <v>50</v>
      </c>
      <c r="D64" s="4">
        <f t="shared" ref="D64:G64" si="28">SUM(D65:D69)</f>
        <v>69</v>
      </c>
      <c r="E64" s="4">
        <f t="shared" si="28"/>
        <v>373</v>
      </c>
      <c r="F64" s="4">
        <f t="shared" si="28"/>
        <v>318</v>
      </c>
      <c r="G64" s="4">
        <f t="shared" si="28"/>
        <v>1</v>
      </c>
      <c r="H64" s="4">
        <f>SUM(H65:H69)</f>
        <v>576</v>
      </c>
      <c r="I64" s="4">
        <f t="shared" ref="I64:K64" si="29">SUM(I65:I69)</f>
        <v>576</v>
      </c>
      <c r="J64" s="4">
        <f t="shared" si="29"/>
        <v>3</v>
      </c>
      <c r="K64" s="22">
        <f t="shared" si="29"/>
        <v>3</v>
      </c>
    </row>
    <row r="65" spans="1:11" x14ac:dyDescent="0.2">
      <c r="A65" s="19"/>
      <c r="B65" s="7">
        <v>16800</v>
      </c>
      <c r="C65" s="1"/>
      <c r="D65" s="3">
        <f>ROUNDUP(10.4992+6.0011+5.0009+2.1976,0)</f>
        <v>24</v>
      </c>
      <c r="E65" s="3">
        <f>ROUNDUP((((D63+D65)/2)*C64)/9,0)</f>
        <v>128</v>
      </c>
      <c r="F65" s="3">
        <v>103</v>
      </c>
      <c r="G65" s="3">
        <v>0</v>
      </c>
      <c r="H65" s="3">
        <f>ROUND((((F63+F65)/2)*(C64))/27,0)</f>
        <v>184</v>
      </c>
      <c r="I65" s="3">
        <v>184</v>
      </c>
      <c r="J65" s="3">
        <f>ROUND((((G63+G65)/2)*(1.1)*(C64))/27,0)</f>
        <v>1</v>
      </c>
      <c r="K65" s="8">
        <v>1</v>
      </c>
    </row>
    <row r="66" spans="1:11" x14ac:dyDescent="0.2">
      <c r="A66" s="20"/>
      <c r="B66" s="7"/>
      <c r="C66" s="12">
        <f t="shared" ref="C66" si="30">B67-B65</f>
        <v>50</v>
      </c>
      <c r="D66" s="3"/>
      <c r="E66" s="3"/>
      <c r="F66" s="3"/>
      <c r="G66" s="3"/>
      <c r="H66" s="3"/>
      <c r="I66" s="3"/>
      <c r="J66" s="3"/>
      <c r="K66" s="8"/>
    </row>
    <row r="67" spans="1:11" x14ac:dyDescent="0.2">
      <c r="A67" s="19"/>
      <c r="B67" s="7">
        <v>16850</v>
      </c>
      <c r="C67" s="1"/>
      <c r="D67" s="3">
        <f>ROUNDUP(4.9777+6.0011+5.0062+2.1377,0)</f>
        <v>19</v>
      </c>
      <c r="E67" s="3">
        <f>ROUNDUP((((D65+D67)/2)*C66)/9,0)</f>
        <v>120</v>
      </c>
      <c r="F67" s="3">
        <v>105</v>
      </c>
      <c r="G67" s="3">
        <v>1</v>
      </c>
      <c r="H67" s="3">
        <f>ROUND((((F65+F67)/2)*(C66))/27,0)</f>
        <v>193</v>
      </c>
      <c r="I67" s="3">
        <v>193</v>
      </c>
      <c r="J67" s="3">
        <f>ROUND((((G65+G67)/2)*(1.1)*(C66))/27,0)</f>
        <v>1</v>
      </c>
      <c r="K67" s="8">
        <v>1</v>
      </c>
    </row>
    <row r="68" spans="1:11" x14ac:dyDescent="0.2">
      <c r="A68" s="20"/>
      <c r="B68" s="7"/>
      <c r="C68" s="12">
        <f t="shared" ref="C68" si="31">B69-B67</f>
        <v>50</v>
      </c>
      <c r="D68" s="3"/>
      <c r="E68" s="3"/>
      <c r="F68" s="3"/>
      <c r="G68" s="3"/>
      <c r="H68" s="3"/>
      <c r="I68" s="3"/>
      <c r="J68" s="3"/>
      <c r="K68" s="8"/>
    </row>
    <row r="69" spans="1:11" x14ac:dyDescent="0.2">
      <c r="A69" s="19"/>
      <c r="B69" s="7">
        <v>16900</v>
      </c>
      <c r="C69" s="1"/>
      <c r="D69" s="3">
        <f>ROUNDUP(12.1237+6.0011+5.0159+2.1664,0)</f>
        <v>26</v>
      </c>
      <c r="E69" s="3">
        <f>ROUNDUP((((D67+D69)/2)*C68)/9,0)</f>
        <v>125</v>
      </c>
      <c r="F69" s="3">
        <v>110</v>
      </c>
      <c r="G69" s="3">
        <v>0</v>
      </c>
      <c r="H69" s="3">
        <f>ROUND((((F67+F69)/2)*(C68))/27,0)</f>
        <v>199</v>
      </c>
      <c r="I69" s="3">
        <v>199</v>
      </c>
      <c r="J69" s="3">
        <f>ROUND((((G67+G69)/2)*(1.1)*(C68))/27,0)</f>
        <v>1</v>
      </c>
      <c r="K69" s="8">
        <v>1</v>
      </c>
    </row>
    <row r="70" spans="1:11" x14ac:dyDescent="0.2">
      <c r="A70" s="17">
        <f>A64+1</f>
        <v>158</v>
      </c>
      <c r="B70" s="23"/>
      <c r="C70" s="13">
        <f>B71-B69</f>
        <v>50</v>
      </c>
      <c r="D70" s="4">
        <f t="shared" ref="D70:G70" si="32">SUM(D71:D75)</f>
        <v>63</v>
      </c>
      <c r="E70" s="4">
        <f t="shared" si="32"/>
        <v>368</v>
      </c>
      <c r="F70" s="4">
        <f t="shared" si="32"/>
        <v>302</v>
      </c>
      <c r="G70" s="4">
        <f t="shared" si="32"/>
        <v>1</v>
      </c>
      <c r="H70" s="4">
        <f>SUM(H71:H75)</f>
        <v>574</v>
      </c>
      <c r="I70" s="4">
        <f t="shared" ref="I70:K70" si="33">SUM(I71:I75)</f>
        <v>573</v>
      </c>
      <c r="J70" s="4">
        <f t="shared" si="33"/>
        <v>1</v>
      </c>
      <c r="K70" s="22">
        <f t="shared" si="33"/>
        <v>1</v>
      </c>
    </row>
    <row r="71" spans="1:11" x14ac:dyDescent="0.2">
      <c r="A71" s="19"/>
      <c r="B71" s="7">
        <v>16950</v>
      </c>
      <c r="C71" s="1"/>
      <c r="D71" s="3">
        <f>ROUNDUP(8.2021+6.0011+5.0159+2.1586,0)</f>
        <v>22</v>
      </c>
      <c r="E71" s="3">
        <f>ROUNDUP((((D69+D71)/2)*C70)/9,0)</f>
        <v>134</v>
      </c>
      <c r="F71" s="3">
        <v>104</v>
      </c>
      <c r="G71" s="3">
        <v>0</v>
      </c>
      <c r="H71" s="3">
        <f>ROUND((((F69+F71)/2)*(C70))/27,0)</f>
        <v>198</v>
      </c>
      <c r="I71" s="3">
        <v>198</v>
      </c>
      <c r="J71" s="3">
        <f>ROUND((((G69+G71)/2)*(1.1)*(C70))/27,0)</f>
        <v>0</v>
      </c>
      <c r="K71" s="8">
        <v>0</v>
      </c>
    </row>
    <row r="72" spans="1:11" x14ac:dyDescent="0.2">
      <c r="A72" s="20"/>
      <c r="B72" s="7"/>
      <c r="C72" s="12">
        <f t="shared" ref="C72:C132" si="34">B73-B71</f>
        <v>50</v>
      </c>
      <c r="D72" s="3"/>
      <c r="E72" s="3"/>
      <c r="F72" s="3"/>
      <c r="G72" s="3"/>
      <c r="H72" s="3"/>
      <c r="I72" s="3"/>
      <c r="J72" s="3"/>
      <c r="K72" s="8"/>
    </row>
    <row r="73" spans="1:11" x14ac:dyDescent="0.2">
      <c r="A73" s="19"/>
      <c r="B73" s="7">
        <v>17000</v>
      </c>
      <c r="C73" s="1"/>
      <c r="D73" s="3">
        <f>ROUNDUP(5.1338+6.0011+5.0009+4.2203,0)</f>
        <v>21</v>
      </c>
      <c r="E73" s="3">
        <f>ROUNDUP((((D71+D73)/2)*C72)/9,0)</f>
        <v>120</v>
      </c>
      <c r="F73" s="3">
        <v>104</v>
      </c>
      <c r="G73" s="3">
        <v>0</v>
      </c>
      <c r="H73" s="3">
        <f>ROUND((((F71+F73)/2)*(C72))/27,0)</f>
        <v>193</v>
      </c>
      <c r="I73" s="28">
        <v>192</v>
      </c>
      <c r="J73" s="3">
        <f>ROUND((((G71+G73)/2)*(1.1)*(C72))/27,0)</f>
        <v>0</v>
      </c>
      <c r="K73" s="8">
        <v>0</v>
      </c>
    </row>
    <row r="74" spans="1:11" x14ac:dyDescent="0.2">
      <c r="A74" s="20"/>
      <c r="B74" s="7"/>
      <c r="C74" s="12">
        <f t="shared" si="34"/>
        <v>50</v>
      </c>
      <c r="D74" s="3"/>
      <c r="E74" s="3"/>
      <c r="F74" s="3"/>
      <c r="G74" s="3"/>
      <c r="H74" s="3"/>
      <c r="I74" s="3"/>
      <c r="J74" s="3"/>
      <c r="K74" s="8"/>
    </row>
    <row r="75" spans="1:11" x14ac:dyDescent="0.2">
      <c r="A75" s="19"/>
      <c r="B75" s="7">
        <v>17050</v>
      </c>
      <c r="C75" s="1"/>
      <c r="D75" s="3">
        <f>ROUNDUP(3.3423+6.0011+5.0009+5.5286,0)</f>
        <v>20</v>
      </c>
      <c r="E75" s="3">
        <f>ROUNDUP((((D73+D75)/2)*C74)/9,0)</f>
        <v>114</v>
      </c>
      <c r="F75" s="3">
        <v>94</v>
      </c>
      <c r="G75" s="3">
        <v>1</v>
      </c>
      <c r="H75" s="3">
        <f>ROUND((((F73+F75)/2)*(C74))/27,0)</f>
        <v>183</v>
      </c>
      <c r="I75" s="3">
        <v>183</v>
      </c>
      <c r="J75" s="3">
        <f>ROUND((((G73+G75)/2)*(1.1)*(C74))/27,0)</f>
        <v>1</v>
      </c>
      <c r="K75" s="8">
        <v>1</v>
      </c>
    </row>
    <row r="76" spans="1:11" x14ac:dyDescent="0.2">
      <c r="A76" s="17">
        <f>A70+1</f>
        <v>159</v>
      </c>
      <c r="B76" s="23"/>
      <c r="C76" s="13">
        <f>B77-B75</f>
        <v>50</v>
      </c>
      <c r="D76" s="4">
        <f t="shared" ref="D76:G76" si="35">SUM(D77:D81)</f>
        <v>101</v>
      </c>
      <c r="E76" s="4">
        <f t="shared" si="35"/>
        <v>535</v>
      </c>
      <c r="F76" s="4">
        <f t="shared" si="35"/>
        <v>490</v>
      </c>
      <c r="G76" s="4">
        <f t="shared" si="35"/>
        <v>0</v>
      </c>
      <c r="H76" s="4">
        <f>SUM(H77:H81)</f>
        <v>885</v>
      </c>
      <c r="I76" s="4">
        <f t="shared" ref="I76:K76" si="36">SUM(I77:I81)</f>
        <v>886</v>
      </c>
      <c r="J76" s="4">
        <f t="shared" si="36"/>
        <v>1</v>
      </c>
      <c r="K76" s="22">
        <f t="shared" si="36"/>
        <v>1</v>
      </c>
    </row>
    <row r="77" spans="1:11" x14ac:dyDescent="0.2">
      <c r="A77" s="19"/>
      <c r="B77" s="7">
        <v>17100</v>
      </c>
      <c r="C77" s="1"/>
      <c r="D77" s="3">
        <f>ROUNDUP(5.0009+32.1489,0)</f>
        <v>38</v>
      </c>
      <c r="E77" s="3">
        <f>ROUNDUP((((D75+D77)/2)*C76)/9,0)</f>
        <v>162</v>
      </c>
      <c r="F77" s="3">
        <v>250</v>
      </c>
      <c r="G77" s="3">
        <v>0</v>
      </c>
      <c r="H77" s="3">
        <f>ROUND((((F75+F77)/2)*(C76))/27,0)</f>
        <v>319</v>
      </c>
      <c r="I77" s="3">
        <v>319</v>
      </c>
      <c r="J77" s="3">
        <f>ROUND((((G75+G77)/2)*(1.1)*(C76))/27,0)</f>
        <v>1</v>
      </c>
      <c r="K77" s="8">
        <v>1</v>
      </c>
    </row>
    <row r="78" spans="1:11" x14ac:dyDescent="0.2">
      <c r="A78" s="20"/>
      <c r="B78" s="7"/>
      <c r="C78" s="12">
        <f t="shared" si="34"/>
        <v>50</v>
      </c>
      <c r="D78" s="3"/>
      <c r="E78" s="3"/>
      <c r="F78" s="3"/>
      <c r="G78" s="3"/>
      <c r="H78" s="3"/>
      <c r="I78" s="3"/>
      <c r="J78" s="3"/>
      <c r="K78" s="8"/>
    </row>
    <row r="79" spans="1:11" x14ac:dyDescent="0.2">
      <c r="A79" s="19"/>
      <c r="B79" s="7">
        <v>17150</v>
      </c>
      <c r="C79" s="1"/>
      <c r="D79" s="3">
        <f>ROUNDUP(13.8012+4.3639+5.0009+9.5112,0)</f>
        <v>33</v>
      </c>
      <c r="E79" s="3">
        <f>ROUNDUP((((D77+D79)/2)*C78)/9,0)</f>
        <v>198</v>
      </c>
      <c r="F79" s="3">
        <v>122</v>
      </c>
      <c r="G79" s="3">
        <v>0</v>
      </c>
      <c r="H79" s="3">
        <f>ROUND((((F77+F79)/2)*(C78))/27,0)</f>
        <v>344</v>
      </c>
      <c r="I79" s="28">
        <v>345</v>
      </c>
      <c r="J79" s="3">
        <f>ROUND((((G77+G79)/2)*(1.1)*(C78))/27,0)</f>
        <v>0</v>
      </c>
      <c r="K79" s="8">
        <v>0</v>
      </c>
    </row>
    <row r="80" spans="1:11" x14ac:dyDescent="0.2">
      <c r="A80" s="20"/>
      <c r="B80" s="7"/>
      <c r="C80" s="12">
        <f t="shared" si="34"/>
        <v>50</v>
      </c>
      <c r="D80" s="3"/>
      <c r="E80" s="3"/>
      <c r="F80" s="3"/>
      <c r="G80" s="3"/>
      <c r="H80" s="3"/>
      <c r="I80" s="3"/>
      <c r="J80" s="3"/>
      <c r="K80" s="8"/>
    </row>
    <row r="81" spans="1:11" x14ac:dyDescent="0.2">
      <c r="A81" s="19"/>
      <c r="B81" s="7">
        <v>17200</v>
      </c>
      <c r="C81" s="1"/>
      <c r="D81" s="3">
        <f>ROUNDUP(8.4122+6.0011+5.0009+9.7937,0)</f>
        <v>30</v>
      </c>
      <c r="E81" s="3">
        <f>ROUNDUP((((D79+D81)/2)*C80)/9,0)</f>
        <v>175</v>
      </c>
      <c r="F81" s="3">
        <v>118</v>
      </c>
      <c r="G81" s="3">
        <v>0</v>
      </c>
      <c r="H81" s="3">
        <f>ROUND((((F79+F81)/2)*(C80))/27,0)</f>
        <v>222</v>
      </c>
      <c r="I81" s="3">
        <v>222</v>
      </c>
      <c r="J81" s="3">
        <f>ROUND((((G79+G81)/2)*(1.1)*(C80))/27,0)</f>
        <v>0</v>
      </c>
      <c r="K81" s="8">
        <v>0</v>
      </c>
    </row>
    <row r="82" spans="1:11" x14ac:dyDescent="0.2">
      <c r="A82" s="17">
        <f>A76+1</f>
        <v>160</v>
      </c>
      <c r="B82" s="23"/>
      <c r="C82" s="13">
        <f>B83-B81</f>
        <v>50</v>
      </c>
      <c r="D82" s="4">
        <f t="shared" ref="D82:G82" si="37">SUM(D83:D87)</f>
        <v>72</v>
      </c>
      <c r="E82" s="4">
        <f t="shared" si="37"/>
        <v>423</v>
      </c>
      <c r="F82" s="4">
        <f t="shared" si="37"/>
        <v>326</v>
      </c>
      <c r="G82" s="4">
        <f t="shared" si="37"/>
        <v>5</v>
      </c>
      <c r="H82" s="4">
        <f>SUM(H83:H87)</f>
        <v>615</v>
      </c>
      <c r="I82" s="4">
        <f t="shared" ref="I82:K82" si="38">SUM(I83:I87)</f>
        <v>616</v>
      </c>
      <c r="J82" s="4">
        <f t="shared" si="38"/>
        <v>7</v>
      </c>
      <c r="K82" s="22">
        <f t="shared" si="38"/>
        <v>8</v>
      </c>
    </row>
    <row r="83" spans="1:11" x14ac:dyDescent="0.2">
      <c r="A83" s="19"/>
      <c r="B83" s="7">
        <v>17250</v>
      </c>
      <c r="C83" s="1"/>
      <c r="D83" s="3">
        <f>ROUNDUP(4.4037+6.0011+5.0009+8.0485,0)</f>
        <v>24</v>
      </c>
      <c r="E83" s="3">
        <f>ROUNDUP((((D81+D83)/2)*C82)/9,0)</f>
        <v>150</v>
      </c>
      <c r="F83" s="3">
        <v>112</v>
      </c>
      <c r="G83" s="3">
        <v>0</v>
      </c>
      <c r="H83" s="3">
        <f>ROUND((((F81+F83)/2)*(C82))/27,0)</f>
        <v>213</v>
      </c>
      <c r="I83" s="28">
        <v>214</v>
      </c>
      <c r="J83" s="3">
        <f>ROUND((((G81+G83)/2)*(1.1)*(C82))/27,0)</f>
        <v>0</v>
      </c>
      <c r="K83" s="8">
        <v>0</v>
      </c>
    </row>
    <row r="84" spans="1:11" x14ac:dyDescent="0.2">
      <c r="A84" s="20"/>
      <c r="B84" s="7"/>
      <c r="C84" s="12">
        <f t="shared" si="34"/>
        <v>50</v>
      </c>
      <c r="D84" s="3"/>
      <c r="E84" s="3"/>
      <c r="F84" s="3"/>
      <c r="G84" s="3"/>
      <c r="H84" s="3"/>
      <c r="I84" s="3"/>
      <c r="J84" s="3"/>
      <c r="K84" s="8"/>
    </row>
    <row r="85" spans="1:11" x14ac:dyDescent="0.2">
      <c r="A85" s="19"/>
      <c r="B85" s="7">
        <v>17300</v>
      </c>
      <c r="C85" s="1"/>
      <c r="D85" s="3">
        <f>ROUNDUP(8.7849+6.0011+5.0009+5.2385,0)</f>
        <v>26</v>
      </c>
      <c r="E85" s="3">
        <f>ROUNDUP((((D83+D85)/2)*C84)/9,0)</f>
        <v>139</v>
      </c>
      <c r="F85" s="3">
        <v>108</v>
      </c>
      <c r="G85" s="3">
        <v>2</v>
      </c>
      <c r="H85" s="3">
        <f>ROUND((((F83+F85)/2)*(C84))/27,0)</f>
        <v>204</v>
      </c>
      <c r="I85" s="3">
        <v>204</v>
      </c>
      <c r="J85" s="3">
        <f>ROUND((((G83+G85)/2)*(1.1)*(C84))/27,0)</f>
        <v>2</v>
      </c>
      <c r="K85" s="8">
        <v>2</v>
      </c>
    </row>
    <row r="86" spans="1:11" x14ac:dyDescent="0.2">
      <c r="A86" s="20"/>
      <c r="B86" s="7"/>
      <c r="C86" s="12">
        <f t="shared" si="34"/>
        <v>50</v>
      </c>
      <c r="D86" s="3"/>
      <c r="E86" s="3"/>
      <c r="F86" s="3"/>
      <c r="G86" s="3"/>
      <c r="H86" s="3"/>
      <c r="I86" s="3"/>
      <c r="J86" s="3"/>
      <c r="K86" s="8"/>
    </row>
    <row r="87" spans="1:11" x14ac:dyDescent="0.2">
      <c r="A87" s="19"/>
      <c r="B87" s="7">
        <v>17350</v>
      </c>
      <c r="C87" s="1"/>
      <c r="D87" s="3">
        <f>ROUNDUP(7.0497+6.0011+4.4564+3.6182,0)</f>
        <v>22</v>
      </c>
      <c r="E87" s="3">
        <f>ROUNDUP((((D85+D87)/2)*C86)/9,0)</f>
        <v>134</v>
      </c>
      <c r="F87" s="3">
        <v>106</v>
      </c>
      <c r="G87" s="3">
        <v>3</v>
      </c>
      <c r="H87" s="3">
        <f>ROUND((((F85+F87)/2)*(C86))/27,0)</f>
        <v>198</v>
      </c>
      <c r="I87" s="3">
        <v>198</v>
      </c>
      <c r="J87" s="3">
        <f>ROUND((((G85+G87)/2)*(1.1)*(C86))/27,0)</f>
        <v>5</v>
      </c>
      <c r="K87" s="29">
        <v>6</v>
      </c>
    </row>
    <row r="88" spans="1:11" x14ac:dyDescent="0.2">
      <c r="A88" s="17">
        <f>A82+1</f>
        <v>161</v>
      </c>
      <c r="B88" s="23"/>
      <c r="C88" s="13">
        <f>B89-B87</f>
        <v>50</v>
      </c>
      <c r="D88" s="4">
        <f t="shared" ref="D88:G88" si="39">SUM(D89:D93)</f>
        <v>67</v>
      </c>
      <c r="E88" s="4">
        <f t="shared" si="39"/>
        <v>383</v>
      </c>
      <c r="F88" s="4">
        <f t="shared" si="39"/>
        <v>460</v>
      </c>
      <c r="G88" s="4">
        <f t="shared" si="39"/>
        <v>4</v>
      </c>
      <c r="H88" s="4">
        <f>SUM(H89:H93)</f>
        <v>841</v>
      </c>
      <c r="I88" s="4">
        <f t="shared" ref="I88:K88" si="40">SUM(I89:I93)</f>
        <v>842</v>
      </c>
      <c r="J88" s="4">
        <f t="shared" si="40"/>
        <v>9</v>
      </c>
      <c r="K88" s="22">
        <f t="shared" si="40"/>
        <v>11</v>
      </c>
    </row>
    <row r="89" spans="1:11" x14ac:dyDescent="0.2">
      <c r="A89" s="19"/>
      <c r="B89" s="7">
        <v>17400</v>
      </c>
      <c r="C89" s="1"/>
      <c r="D89" s="3">
        <f>ROUNDUP(2.511+6.0011,0)</f>
        <v>9</v>
      </c>
      <c r="E89" s="3">
        <f>ROUNDUP((((D87+D89)/2)*C88)/9,0)</f>
        <v>87</v>
      </c>
      <c r="F89" s="3">
        <v>206</v>
      </c>
      <c r="G89" s="3">
        <v>2</v>
      </c>
      <c r="H89" s="3">
        <f>ROUND((((F87+F89)/2)*(C88))/27,0)</f>
        <v>289</v>
      </c>
      <c r="I89" s="3">
        <v>289</v>
      </c>
      <c r="J89" s="3">
        <f>ROUND((((G87+G89)/2)*(1.1)*(C88))/27,0)</f>
        <v>5</v>
      </c>
      <c r="K89" s="29">
        <v>6</v>
      </c>
    </row>
    <row r="90" spans="1:11" x14ac:dyDescent="0.2">
      <c r="A90" s="20"/>
      <c r="B90" s="7"/>
      <c r="C90" s="12">
        <f t="shared" si="34"/>
        <v>50</v>
      </c>
      <c r="D90" s="3"/>
      <c r="E90" s="3"/>
      <c r="F90" s="3"/>
      <c r="G90" s="3"/>
      <c r="H90" s="3"/>
      <c r="I90" s="3"/>
      <c r="J90" s="3"/>
      <c r="K90" s="8"/>
    </row>
    <row r="91" spans="1:11" x14ac:dyDescent="0.2">
      <c r="A91" s="19"/>
      <c r="B91" s="7">
        <v>17450</v>
      </c>
      <c r="C91" s="1"/>
      <c r="D91" s="3">
        <f>ROUNDUP(24.0939+6.0047+5.0009+2.9032,0)</f>
        <v>39</v>
      </c>
      <c r="E91" s="3">
        <f>ROUNDUP((((D89+D91)/2)*C90)/9,0)</f>
        <v>134</v>
      </c>
      <c r="F91" s="3">
        <v>136</v>
      </c>
      <c r="G91" s="3">
        <v>0</v>
      </c>
      <c r="H91" s="3">
        <f>ROUND((((F89+F91)/2)*(C90))/27,0)</f>
        <v>317</v>
      </c>
      <c r="I91" s="3">
        <v>317</v>
      </c>
      <c r="J91" s="3">
        <f>ROUND((((G89+G91)/2)*(1.1)*(C90))/27,0)</f>
        <v>2</v>
      </c>
      <c r="K91" s="29">
        <v>3</v>
      </c>
    </row>
    <row r="92" spans="1:11" x14ac:dyDescent="0.2">
      <c r="A92" s="20"/>
      <c r="B92" s="7"/>
      <c r="C92" s="12">
        <f t="shared" si="34"/>
        <v>50</v>
      </c>
      <c r="D92" s="3"/>
      <c r="E92" s="3"/>
      <c r="F92" s="3"/>
      <c r="G92" s="3"/>
      <c r="H92" s="3"/>
      <c r="I92" s="3"/>
      <c r="J92" s="3"/>
      <c r="K92" s="8"/>
    </row>
    <row r="93" spans="1:11" x14ac:dyDescent="0.2">
      <c r="A93" s="19"/>
      <c r="B93" s="7">
        <v>17500</v>
      </c>
      <c r="C93" s="1"/>
      <c r="D93" s="3">
        <f>ROUNDUP(5.1093+5.2242+5.0009+3.5073,0)</f>
        <v>19</v>
      </c>
      <c r="E93" s="3">
        <f>ROUNDUP((((D91+D93)/2)*C92)/9,0)</f>
        <v>162</v>
      </c>
      <c r="F93" s="3">
        <v>118</v>
      </c>
      <c r="G93" s="3">
        <v>2</v>
      </c>
      <c r="H93" s="3">
        <f>ROUND((((F91+F93)/2)*(C92))/27,0)</f>
        <v>235</v>
      </c>
      <c r="I93" s="28">
        <v>236</v>
      </c>
      <c r="J93" s="3">
        <f>ROUND((((G91+G93)/2)*(1.1)*(C92))/27,0)</f>
        <v>2</v>
      </c>
      <c r="K93" s="8">
        <v>2</v>
      </c>
    </row>
    <row r="94" spans="1:11" x14ac:dyDescent="0.2">
      <c r="A94" s="17">
        <f>A88+1</f>
        <v>162</v>
      </c>
      <c r="B94" s="23"/>
      <c r="C94" s="13">
        <f>B95-B93</f>
        <v>50</v>
      </c>
      <c r="D94" s="4">
        <f t="shared" ref="D94:G94" si="41">SUM(D95:D99)</f>
        <v>54</v>
      </c>
      <c r="E94" s="4">
        <f t="shared" si="41"/>
        <v>295</v>
      </c>
      <c r="F94" s="4">
        <f t="shared" si="41"/>
        <v>383</v>
      </c>
      <c r="G94" s="4">
        <f t="shared" si="41"/>
        <v>2</v>
      </c>
      <c r="H94" s="4">
        <f>SUM(H95:H99)</f>
        <v>695</v>
      </c>
      <c r="I94" s="4">
        <f t="shared" ref="I94:K94" si="42">SUM(I95:I99)</f>
        <v>695</v>
      </c>
      <c r="J94" s="4">
        <f t="shared" si="42"/>
        <v>6</v>
      </c>
      <c r="K94" s="22">
        <f t="shared" si="42"/>
        <v>6</v>
      </c>
    </row>
    <row r="95" spans="1:11" x14ac:dyDescent="0.2">
      <c r="A95" s="19"/>
      <c r="B95" s="7">
        <v>17550</v>
      </c>
      <c r="C95" s="1"/>
      <c r="D95" s="3">
        <f>ROUNDUP(3.9243+5.0002+5.0009+2.1562,0)</f>
        <v>17</v>
      </c>
      <c r="E95" s="3">
        <f>ROUNDUP((((D93+D95)/2)*C94)/9,0)</f>
        <v>100</v>
      </c>
      <c r="F95" s="3">
        <v>122</v>
      </c>
      <c r="G95" s="3">
        <v>1</v>
      </c>
      <c r="H95" s="3">
        <f>ROUND((((F93+F95)/2)*(C94))/27,0)</f>
        <v>222</v>
      </c>
      <c r="I95" s="3">
        <v>222</v>
      </c>
      <c r="J95" s="3">
        <f>ROUND((((G93+G95)/2)*(1.1)*(C94))/27,0)</f>
        <v>3</v>
      </c>
      <c r="K95" s="8">
        <v>3</v>
      </c>
    </row>
    <row r="96" spans="1:11" x14ac:dyDescent="0.2">
      <c r="A96" s="20"/>
      <c r="B96" s="7"/>
      <c r="C96" s="12">
        <f t="shared" si="34"/>
        <v>50</v>
      </c>
      <c r="D96" s="3"/>
      <c r="E96" s="3"/>
      <c r="F96" s="3"/>
      <c r="G96" s="3"/>
      <c r="H96" s="3"/>
      <c r="I96" s="3"/>
      <c r="J96" s="3"/>
      <c r="K96" s="8"/>
    </row>
    <row r="97" spans="1:11" x14ac:dyDescent="0.2">
      <c r="A97" s="19"/>
      <c r="B97" s="7">
        <v>17600</v>
      </c>
      <c r="C97" s="1"/>
      <c r="D97" s="3">
        <f>ROUNDUP(3.161+4.3299+5.0009+2.8097,0)</f>
        <v>16</v>
      </c>
      <c r="E97" s="3">
        <f>ROUNDUP((((D95+D97)/2)*C96)/9,0)</f>
        <v>92</v>
      </c>
      <c r="F97" s="3">
        <v>127</v>
      </c>
      <c r="G97" s="3">
        <v>1</v>
      </c>
      <c r="H97" s="3">
        <f>ROUND((((F95+F97)/2)*(C96))/27,0)</f>
        <v>231</v>
      </c>
      <c r="I97" s="3">
        <v>231</v>
      </c>
      <c r="J97" s="3">
        <f>ROUND((((G95+G97)/2)*(1.1)*(C96))/27,0)</f>
        <v>2</v>
      </c>
      <c r="K97" s="8">
        <v>2</v>
      </c>
    </row>
    <row r="98" spans="1:11" x14ac:dyDescent="0.2">
      <c r="A98" s="20"/>
      <c r="B98" s="7"/>
      <c r="C98" s="12">
        <f t="shared" si="34"/>
        <v>50</v>
      </c>
      <c r="D98" s="3"/>
      <c r="E98" s="3"/>
      <c r="F98" s="3"/>
      <c r="G98" s="3"/>
      <c r="H98" s="3"/>
      <c r="I98" s="3"/>
      <c r="J98" s="3"/>
      <c r="K98" s="8"/>
    </row>
    <row r="99" spans="1:11" x14ac:dyDescent="0.2">
      <c r="A99" s="19"/>
      <c r="B99" s="7">
        <v>17650</v>
      </c>
      <c r="C99" s="1"/>
      <c r="D99" s="3">
        <f>ROUNDUP(6.6859+5.0009+5.0009+4.1837,0)</f>
        <v>21</v>
      </c>
      <c r="E99" s="3">
        <f>ROUNDUP((((D97+D99)/2)*C98)/9,0)</f>
        <v>103</v>
      </c>
      <c r="F99" s="3">
        <v>134</v>
      </c>
      <c r="G99" s="3">
        <v>0</v>
      </c>
      <c r="H99" s="3">
        <f>ROUND((((F97+F99)/2)*(C98))/27,0)</f>
        <v>242</v>
      </c>
      <c r="I99" s="3">
        <v>242</v>
      </c>
      <c r="J99" s="3">
        <f>ROUND((((G97+G99)/2)*(1.1)*(C98))/27,0)</f>
        <v>1</v>
      </c>
      <c r="K99" s="8">
        <v>1</v>
      </c>
    </row>
    <row r="100" spans="1:11" x14ac:dyDescent="0.2">
      <c r="A100" s="17">
        <f>A94+1</f>
        <v>163</v>
      </c>
      <c r="B100" s="23"/>
      <c r="C100" s="13">
        <f>B101-B99</f>
        <v>50</v>
      </c>
      <c r="D100" s="4">
        <f t="shared" ref="D100:G100" si="43">SUM(D101:D105)</f>
        <v>101</v>
      </c>
      <c r="E100" s="4">
        <f t="shared" si="43"/>
        <v>571</v>
      </c>
      <c r="F100" s="4">
        <f t="shared" si="43"/>
        <v>434</v>
      </c>
      <c r="G100" s="4">
        <f t="shared" si="43"/>
        <v>7</v>
      </c>
      <c r="H100" s="4">
        <f>SUM(H101:H105)</f>
        <v>813</v>
      </c>
      <c r="I100" s="4">
        <f t="shared" ref="I100:K100" si="44">SUM(I101:I105)</f>
        <v>813</v>
      </c>
      <c r="J100" s="4">
        <f t="shared" si="44"/>
        <v>9</v>
      </c>
      <c r="K100" s="22">
        <f t="shared" si="44"/>
        <v>9</v>
      </c>
    </row>
    <row r="101" spans="1:11" x14ac:dyDescent="0.2">
      <c r="A101" s="19"/>
      <c r="B101" s="7">
        <v>17700</v>
      </c>
      <c r="C101" s="1"/>
      <c r="D101" s="3">
        <f>ROUNDUP(35.4122+5.0039+5.0009+8.2541,0)</f>
        <v>54</v>
      </c>
      <c r="E101" s="3">
        <f>ROUNDUP((((D99+D101)/2)*C100)/9,0)</f>
        <v>209</v>
      </c>
      <c r="F101" s="3">
        <v>172</v>
      </c>
      <c r="G101" s="3">
        <v>0</v>
      </c>
      <c r="H101" s="3">
        <f>ROUND((((F99+F101)/2)*(C100))/27,0)</f>
        <v>283</v>
      </c>
      <c r="I101" s="28">
        <v>284</v>
      </c>
      <c r="J101" s="3">
        <f>ROUND((((G99+G101)/2)*(1.1)*(C100))/27,0)</f>
        <v>0</v>
      </c>
      <c r="K101" s="8">
        <v>0</v>
      </c>
    </row>
    <row r="102" spans="1:11" x14ac:dyDescent="0.2">
      <c r="A102" s="20"/>
      <c r="B102" s="7"/>
      <c r="C102" s="12">
        <f t="shared" si="34"/>
        <v>50</v>
      </c>
      <c r="D102" s="3"/>
      <c r="E102" s="3"/>
      <c r="F102" s="3"/>
      <c r="G102" s="3"/>
      <c r="H102" s="3"/>
      <c r="I102" s="3"/>
      <c r="J102" s="3"/>
      <c r="K102" s="8"/>
    </row>
    <row r="103" spans="1:11" x14ac:dyDescent="0.2">
      <c r="A103" s="19"/>
      <c r="B103" s="7">
        <v>17750</v>
      </c>
      <c r="C103" s="1"/>
      <c r="D103" s="3">
        <f>ROUNDUP(12.2534+5.0009+5.0009+6.2693,0)</f>
        <v>29</v>
      </c>
      <c r="E103" s="3">
        <f>ROUNDUP((((D101+D103)/2)*C102)/9,0)</f>
        <v>231</v>
      </c>
      <c r="F103" s="3">
        <v>138</v>
      </c>
      <c r="G103" s="3">
        <v>2</v>
      </c>
      <c r="H103" s="3">
        <f>ROUND((((F101+F103)/2)*(C102))/27,0)</f>
        <v>287</v>
      </c>
      <c r="I103" s="3">
        <v>287</v>
      </c>
      <c r="J103" s="3">
        <f>ROUND((((G101+G103)/2)*(1.1)*(C102))/27,0)</f>
        <v>2</v>
      </c>
      <c r="K103" s="8">
        <v>2</v>
      </c>
    </row>
    <row r="104" spans="1:11" x14ac:dyDescent="0.2">
      <c r="A104" s="20"/>
      <c r="B104" s="7"/>
      <c r="C104" s="12">
        <f t="shared" si="34"/>
        <v>50</v>
      </c>
      <c r="D104" s="3"/>
      <c r="E104" s="3"/>
      <c r="F104" s="3"/>
      <c r="G104" s="3"/>
      <c r="H104" s="3"/>
      <c r="I104" s="3"/>
      <c r="J104" s="3"/>
      <c r="K104" s="8"/>
    </row>
    <row r="105" spans="1:11" x14ac:dyDescent="0.2">
      <c r="A105" s="19"/>
      <c r="B105" s="7">
        <v>17800</v>
      </c>
      <c r="C105" s="1"/>
      <c r="D105" s="3">
        <f>ROUNDUP(4.7977+5.0009+5.0009+2.6032,0)</f>
        <v>18</v>
      </c>
      <c r="E105" s="3">
        <f>ROUNDUP((((D103+D105)/2)*C104)/9,0)</f>
        <v>131</v>
      </c>
      <c r="F105" s="3">
        <v>124</v>
      </c>
      <c r="G105" s="3">
        <v>5</v>
      </c>
      <c r="H105" s="3">
        <f>ROUND((((F103+F105)/2)*(C104))/27,0)</f>
        <v>243</v>
      </c>
      <c r="I105" s="28">
        <v>242</v>
      </c>
      <c r="J105" s="3">
        <f>ROUND((((G103+G105)/2)*(1.1)*(C104))/27,0)</f>
        <v>7</v>
      </c>
      <c r="K105" s="8">
        <v>7</v>
      </c>
    </row>
    <row r="106" spans="1:11" x14ac:dyDescent="0.2">
      <c r="A106" s="17">
        <f>A100+1</f>
        <v>164</v>
      </c>
      <c r="B106" s="23"/>
      <c r="C106" s="13">
        <f>B107-B105</f>
        <v>50</v>
      </c>
      <c r="D106" s="4">
        <f t="shared" ref="D106:G106" si="45">SUM(D107:D111)</f>
        <v>99</v>
      </c>
      <c r="E106" s="4">
        <f t="shared" si="45"/>
        <v>499</v>
      </c>
      <c r="F106" s="4">
        <f t="shared" si="45"/>
        <v>370</v>
      </c>
      <c r="G106" s="4">
        <f t="shared" si="45"/>
        <v>2</v>
      </c>
      <c r="H106" s="4">
        <f>SUM(H107:H111)</f>
        <v>695</v>
      </c>
      <c r="I106" s="4">
        <f t="shared" ref="I106:K106" si="46">SUM(I107:I111)</f>
        <v>694</v>
      </c>
      <c r="J106" s="4">
        <f t="shared" si="46"/>
        <v>9</v>
      </c>
      <c r="K106" s="22">
        <f t="shared" si="46"/>
        <v>9</v>
      </c>
    </row>
    <row r="107" spans="1:11" x14ac:dyDescent="0.2">
      <c r="A107" s="19"/>
      <c r="B107" s="7">
        <v>17850</v>
      </c>
      <c r="C107" s="1"/>
      <c r="D107" s="3">
        <f>ROUNDUP(3.9953+5.0009+5.0009+4.7995,0)</f>
        <v>19</v>
      </c>
      <c r="E107" s="3">
        <f>ROUNDUP((((D105+D107)/2)*C106)/9,0)</f>
        <v>103</v>
      </c>
      <c r="F107" s="3">
        <v>122</v>
      </c>
      <c r="G107" s="3">
        <v>2</v>
      </c>
      <c r="H107" s="3">
        <f>ROUND((((F105+F107)/2)*(C106))/27,0)</f>
        <v>228</v>
      </c>
      <c r="I107" s="28">
        <v>227</v>
      </c>
      <c r="J107" s="3">
        <f>ROUND((((G105+G107)/2)*(1.1)*(C106))/27,0)</f>
        <v>7</v>
      </c>
      <c r="K107" s="8">
        <v>7</v>
      </c>
    </row>
    <row r="108" spans="1:11" x14ac:dyDescent="0.2">
      <c r="A108" s="20"/>
      <c r="B108" s="7"/>
      <c r="C108" s="12">
        <f t="shared" si="34"/>
        <v>50</v>
      </c>
      <c r="D108" s="3"/>
      <c r="E108" s="3"/>
      <c r="F108" s="3"/>
      <c r="G108" s="3"/>
      <c r="H108" s="3"/>
      <c r="I108" s="3"/>
      <c r="J108" s="3"/>
      <c r="K108" s="8"/>
    </row>
    <row r="109" spans="1:11" x14ac:dyDescent="0.2">
      <c r="A109" s="19"/>
      <c r="B109" s="7">
        <v>17900</v>
      </c>
      <c r="C109" s="1"/>
      <c r="D109" s="3">
        <f>ROUNDUP(21.7552+5.0039+5.0039+10.7993,0)</f>
        <v>43</v>
      </c>
      <c r="E109" s="3">
        <f>ROUNDUP((((D107+D109)/2)*C108)/9,0)</f>
        <v>173</v>
      </c>
      <c r="F109" s="3">
        <v>134</v>
      </c>
      <c r="G109" s="3">
        <v>0</v>
      </c>
      <c r="H109" s="3">
        <f>ROUND((((F107+F109)/2)*(C108))/27,0)</f>
        <v>237</v>
      </c>
      <c r="I109" s="3">
        <v>237</v>
      </c>
      <c r="J109" s="3">
        <f>ROUND((((G107+G109)/2)*(1.1)*(C108))/27,0)</f>
        <v>2</v>
      </c>
      <c r="K109" s="8">
        <v>2</v>
      </c>
    </row>
    <row r="110" spans="1:11" x14ac:dyDescent="0.2">
      <c r="A110" s="20"/>
      <c r="B110" s="7"/>
      <c r="C110" s="12">
        <f t="shared" si="34"/>
        <v>50</v>
      </c>
      <c r="D110" s="3"/>
      <c r="E110" s="3"/>
      <c r="F110" s="3"/>
      <c r="G110" s="3"/>
      <c r="H110" s="3"/>
      <c r="I110" s="3"/>
      <c r="J110" s="3"/>
      <c r="K110" s="8"/>
    </row>
    <row r="111" spans="1:11" x14ac:dyDescent="0.2">
      <c r="A111" s="19"/>
      <c r="B111" s="7">
        <v>17950</v>
      </c>
      <c r="C111" s="1"/>
      <c r="D111" s="3">
        <f>ROUNDUP(20.9959+5.0039+5.0009+5.8071,0)</f>
        <v>37</v>
      </c>
      <c r="E111" s="3">
        <f>ROUNDUP((((D109+D111)/2)*C110)/9,0)</f>
        <v>223</v>
      </c>
      <c r="F111" s="3">
        <v>114</v>
      </c>
      <c r="G111" s="3">
        <v>0</v>
      </c>
      <c r="H111" s="3">
        <f>ROUND((((F109+F111)/2)*(C110))/27,0)</f>
        <v>230</v>
      </c>
      <c r="I111" s="3">
        <v>230</v>
      </c>
      <c r="J111" s="3">
        <f>ROUND((((G109+G111)/2)*(1.1)*(C110))/27,0)</f>
        <v>0</v>
      </c>
      <c r="K111" s="8">
        <v>0</v>
      </c>
    </row>
    <row r="112" spans="1:11" x14ac:dyDescent="0.2">
      <c r="A112" s="17">
        <f>A106+1</f>
        <v>165</v>
      </c>
      <c r="B112" s="23"/>
      <c r="C112" s="13">
        <f>B113-B111</f>
        <v>50</v>
      </c>
      <c r="D112" s="4">
        <f t="shared" ref="D112:G112" si="47">SUM(D113:D117)</f>
        <v>93</v>
      </c>
      <c r="E112" s="4">
        <f t="shared" si="47"/>
        <v>476</v>
      </c>
      <c r="F112" s="4">
        <f t="shared" si="47"/>
        <v>351</v>
      </c>
      <c r="G112" s="4">
        <f t="shared" si="47"/>
        <v>2</v>
      </c>
      <c r="H112" s="4">
        <f>SUM(H113:H117)</f>
        <v>635</v>
      </c>
      <c r="I112" s="4">
        <f t="shared" ref="I112:K112" si="48">SUM(I113:I117)</f>
        <v>634</v>
      </c>
      <c r="J112" s="4">
        <f t="shared" si="48"/>
        <v>3</v>
      </c>
      <c r="K112" s="22">
        <f t="shared" si="48"/>
        <v>3</v>
      </c>
    </row>
    <row r="113" spans="1:11" x14ac:dyDescent="0.2">
      <c r="A113" s="19"/>
      <c r="B113" s="7">
        <v>18000</v>
      </c>
      <c r="C113" s="1"/>
      <c r="D113" s="3">
        <f>ROUNDUP(3.9899+5.2927+5.0009+5.266,0)</f>
        <v>20</v>
      </c>
      <c r="E113" s="3">
        <f>ROUNDUP((((D111+D113)/2)*C112)/9,0)</f>
        <v>159</v>
      </c>
      <c r="F113" s="3">
        <v>112</v>
      </c>
      <c r="G113" s="3">
        <v>0</v>
      </c>
      <c r="H113" s="3">
        <f>ROUND((((F111+F113)/2)*(C112))/27,0)</f>
        <v>209</v>
      </c>
      <c r="I113" s="3">
        <v>209</v>
      </c>
      <c r="J113" s="3">
        <f>ROUND((((G111+G113)/2)*(1.1)*(C112))/27,0)</f>
        <v>0</v>
      </c>
      <c r="K113" s="8">
        <v>0</v>
      </c>
    </row>
    <row r="114" spans="1:11" x14ac:dyDescent="0.2">
      <c r="A114" s="20"/>
      <c r="B114" s="7"/>
      <c r="C114" s="12">
        <f t="shared" si="34"/>
        <v>50</v>
      </c>
      <c r="D114" s="3"/>
      <c r="E114" s="3"/>
      <c r="F114" s="3"/>
      <c r="G114" s="3"/>
      <c r="H114" s="3"/>
      <c r="I114" s="3"/>
      <c r="J114" s="3"/>
      <c r="K114" s="8"/>
    </row>
    <row r="115" spans="1:11" x14ac:dyDescent="0.2">
      <c r="A115" s="19"/>
      <c r="B115" s="7">
        <v>18050</v>
      </c>
      <c r="C115" s="1"/>
      <c r="D115" s="3">
        <f>ROUNDUP(5.1209+5.6928+5.0009+4.4761,0)</f>
        <v>21</v>
      </c>
      <c r="E115" s="3">
        <f>ROUNDUP((((D113+D115)/2)*C114)/9,0)</f>
        <v>114</v>
      </c>
      <c r="F115" s="3">
        <v>109</v>
      </c>
      <c r="G115" s="3">
        <v>1</v>
      </c>
      <c r="H115" s="3">
        <f>ROUND((((F113+F115)/2)*(C114))/27,0)</f>
        <v>205</v>
      </c>
      <c r="I115" s="28">
        <v>204</v>
      </c>
      <c r="J115" s="3">
        <f>ROUND((((G113+G115)/2)*(1.1)*(C114))/27,0)</f>
        <v>1</v>
      </c>
      <c r="K115" s="8">
        <v>1</v>
      </c>
    </row>
    <row r="116" spans="1:11" x14ac:dyDescent="0.2">
      <c r="A116" s="20"/>
      <c r="B116" s="7"/>
      <c r="C116" s="12">
        <f t="shared" si="34"/>
        <v>50</v>
      </c>
      <c r="D116" s="3"/>
      <c r="E116" s="3"/>
      <c r="F116" s="3"/>
      <c r="G116" s="3"/>
      <c r="H116" s="3"/>
      <c r="I116" s="3"/>
      <c r="J116" s="3"/>
      <c r="K116" s="8"/>
    </row>
    <row r="117" spans="1:11" x14ac:dyDescent="0.2">
      <c r="A117" s="19"/>
      <c r="B117" s="7">
        <v>18100</v>
      </c>
      <c r="C117" s="1"/>
      <c r="D117" s="3">
        <f>ROUNDUP(27.0094+6.0047+5.0009+13.9802,0)</f>
        <v>52</v>
      </c>
      <c r="E117" s="3">
        <f>ROUNDUP((((D115+D117)/2)*C116)/9,0)</f>
        <v>203</v>
      </c>
      <c r="F117" s="3">
        <v>130</v>
      </c>
      <c r="G117" s="3">
        <v>1</v>
      </c>
      <c r="H117" s="3">
        <f>ROUND((((F115+F117)/2)*(C116))/27,0)</f>
        <v>221</v>
      </c>
      <c r="I117" s="3">
        <v>221</v>
      </c>
      <c r="J117" s="3">
        <f>ROUND((((G115+G117)/2)*(1.1)*(C116))/27,0)</f>
        <v>2</v>
      </c>
      <c r="K117" s="8">
        <v>2</v>
      </c>
    </row>
    <row r="118" spans="1:11" x14ac:dyDescent="0.2">
      <c r="A118" s="17">
        <f>A112+1</f>
        <v>166</v>
      </c>
      <c r="B118" s="23"/>
      <c r="C118" s="13">
        <f>B119-B117</f>
        <v>50</v>
      </c>
      <c r="D118" s="4">
        <f t="shared" ref="D118:G118" si="49">SUM(D119:D123)</f>
        <v>67</v>
      </c>
      <c r="E118" s="4">
        <f t="shared" si="49"/>
        <v>457</v>
      </c>
      <c r="F118" s="4">
        <f t="shared" si="49"/>
        <v>343</v>
      </c>
      <c r="G118" s="4">
        <f t="shared" si="49"/>
        <v>5</v>
      </c>
      <c r="H118" s="4">
        <f>SUM(H119:H123)</f>
        <v>644</v>
      </c>
      <c r="I118" s="4">
        <f t="shared" ref="I118:K118" si="50">SUM(I119:I123)</f>
        <v>645</v>
      </c>
      <c r="J118" s="4">
        <f t="shared" si="50"/>
        <v>11</v>
      </c>
      <c r="K118" s="22">
        <f t="shared" si="50"/>
        <v>11</v>
      </c>
    </row>
    <row r="119" spans="1:11" x14ac:dyDescent="0.2">
      <c r="A119" s="19"/>
      <c r="B119" s="7">
        <v>18150</v>
      </c>
      <c r="C119" s="1"/>
      <c r="D119" s="3">
        <f>ROUNDUP(5.6163+6.0011+5.0009+5.8784,0)</f>
        <v>23</v>
      </c>
      <c r="E119" s="3">
        <f>ROUNDUP((((D117+D119)/2)*C118)/9,0)</f>
        <v>209</v>
      </c>
      <c r="F119" s="3">
        <v>108</v>
      </c>
      <c r="G119" s="3">
        <v>4</v>
      </c>
      <c r="H119" s="3">
        <f>ROUND((((F117+F119)/2)*(C118))/27,0)</f>
        <v>220</v>
      </c>
      <c r="I119" s="28">
        <v>221</v>
      </c>
      <c r="J119" s="3">
        <f>ROUND((((G117+G119)/2)*(1.1)*(C118))/27,0)</f>
        <v>5</v>
      </c>
      <c r="K119" s="8">
        <v>5</v>
      </c>
    </row>
    <row r="120" spans="1:11" x14ac:dyDescent="0.2">
      <c r="A120" s="20"/>
      <c r="B120" s="7"/>
      <c r="C120" s="12">
        <f t="shared" si="34"/>
        <v>50</v>
      </c>
      <c r="D120" s="3"/>
      <c r="E120" s="3"/>
      <c r="F120" s="3"/>
      <c r="G120" s="3"/>
      <c r="H120" s="3"/>
      <c r="I120" s="3"/>
      <c r="J120" s="3"/>
      <c r="K120" s="8"/>
    </row>
    <row r="121" spans="1:11" x14ac:dyDescent="0.2">
      <c r="A121" s="19"/>
      <c r="B121" s="7">
        <v>18200</v>
      </c>
      <c r="C121" s="1"/>
      <c r="D121" s="3">
        <f>ROUNDUP(4.1508+6.0011+5.0009+5.9098,0)</f>
        <v>22</v>
      </c>
      <c r="E121" s="3">
        <f>ROUNDUP((((D119+D121)/2)*C120)/9,0)</f>
        <v>125</v>
      </c>
      <c r="F121" s="3">
        <v>115</v>
      </c>
      <c r="G121" s="3">
        <v>1</v>
      </c>
      <c r="H121" s="3">
        <f>ROUND((((F119+F121)/2)*(C120))/27,0)</f>
        <v>206</v>
      </c>
      <c r="I121" s="3">
        <v>206</v>
      </c>
      <c r="J121" s="3">
        <f>ROUND((((G119+G121)/2)*(1.1)*(C120))/27,0)</f>
        <v>5</v>
      </c>
      <c r="K121" s="8">
        <v>5</v>
      </c>
    </row>
    <row r="122" spans="1:11" x14ac:dyDescent="0.2">
      <c r="A122" s="20"/>
      <c r="B122" s="7"/>
      <c r="C122" s="12">
        <f t="shared" si="34"/>
        <v>50</v>
      </c>
      <c r="D122" s="3"/>
      <c r="E122" s="3"/>
      <c r="F122" s="3"/>
      <c r="G122" s="3"/>
      <c r="H122" s="3"/>
      <c r="I122" s="3"/>
      <c r="J122" s="3"/>
      <c r="K122" s="8"/>
    </row>
    <row r="123" spans="1:11" x14ac:dyDescent="0.2">
      <c r="A123" s="19"/>
      <c r="B123" s="7">
        <v>18250</v>
      </c>
      <c r="C123" s="1"/>
      <c r="D123" s="3">
        <f>ROUNDUP(3.6336+6.0011+5.0009+6.7679,0)</f>
        <v>22</v>
      </c>
      <c r="E123" s="3">
        <f>ROUNDUP((((D121+D123)/2)*C122)/9,0)</f>
        <v>123</v>
      </c>
      <c r="F123" s="3">
        <v>120</v>
      </c>
      <c r="G123" s="3">
        <v>0</v>
      </c>
      <c r="H123" s="3">
        <f>ROUND((((F121+F123)/2)*(C122))/27,0)</f>
        <v>218</v>
      </c>
      <c r="I123" s="3">
        <v>218</v>
      </c>
      <c r="J123" s="3">
        <f>ROUND((((G121+G123)/2)*(1.1)*(C122))/27,0)</f>
        <v>1</v>
      </c>
      <c r="K123" s="8">
        <v>1</v>
      </c>
    </row>
    <row r="124" spans="1:11" x14ac:dyDescent="0.2">
      <c r="A124" s="17">
        <f>A118+1</f>
        <v>167</v>
      </c>
      <c r="B124" s="23"/>
      <c r="C124" s="13">
        <f>B125-B123</f>
        <v>50</v>
      </c>
      <c r="D124" s="4">
        <f t="shared" ref="D124:G124" si="51">SUM(D125:D129)</f>
        <v>61</v>
      </c>
      <c r="E124" s="4">
        <f t="shared" si="51"/>
        <v>349</v>
      </c>
      <c r="F124" s="4">
        <f t="shared" si="51"/>
        <v>354</v>
      </c>
      <c r="G124" s="4">
        <f t="shared" si="51"/>
        <v>3</v>
      </c>
      <c r="H124" s="4">
        <f>SUM(H125:H129)</f>
        <v>663</v>
      </c>
      <c r="I124" s="4">
        <f t="shared" ref="I124:K124" si="52">SUM(I125:I129)</f>
        <v>663</v>
      </c>
      <c r="J124" s="4">
        <f t="shared" si="52"/>
        <v>4</v>
      </c>
      <c r="K124" s="22">
        <f t="shared" si="52"/>
        <v>4</v>
      </c>
    </row>
    <row r="125" spans="1:11" x14ac:dyDescent="0.2">
      <c r="A125" s="19"/>
      <c r="B125" s="7">
        <v>18300</v>
      </c>
      <c r="C125" s="1"/>
      <c r="D125" s="3">
        <f>ROUNDUP(2.3847+5.5383+5.0009+8.4743,0)</f>
        <v>22</v>
      </c>
      <c r="E125" s="3">
        <f>ROUNDUP((((D123+D125)/2)*C124)/9,0)</f>
        <v>123</v>
      </c>
      <c r="F125" s="3">
        <v>126</v>
      </c>
      <c r="G125" s="3">
        <v>0</v>
      </c>
      <c r="H125" s="3">
        <f>ROUND((((F123+F125)/2)*(C124))/27,0)</f>
        <v>228</v>
      </c>
      <c r="I125" s="3">
        <v>228</v>
      </c>
      <c r="J125" s="3">
        <f>ROUND((((G123+G125)/2)*(1.1)*(C124))/27,0)</f>
        <v>0</v>
      </c>
      <c r="K125" s="8">
        <v>0</v>
      </c>
    </row>
    <row r="126" spans="1:11" x14ac:dyDescent="0.2">
      <c r="A126" s="20"/>
      <c r="B126" s="7"/>
      <c r="C126" s="12">
        <f t="shared" si="34"/>
        <v>50</v>
      </c>
      <c r="D126" s="3"/>
      <c r="E126" s="3"/>
      <c r="F126" s="3"/>
      <c r="G126" s="3"/>
      <c r="H126" s="3"/>
      <c r="I126" s="3"/>
      <c r="J126" s="3"/>
      <c r="K126" s="8"/>
    </row>
    <row r="127" spans="1:11" x14ac:dyDescent="0.2">
      <c r="A127" s="19"/>
      <c r="B127" s="7">
        <v>18350</v>
      </c>
      <c r="C127" s="1"/>
      <c r="D127" s="3">
        <f>ROUNDUP(4.9664+5.0039+5.0009+4.2561,0)</f>
        <v>20</v>
      </c>
      <c r="E127" s="3">
        <f>ROUNDUP((((D125+D127)/2)*C126)/9,0)</f>
        <v>117</v>
      </c>
      <c r="F127" s="3">
        <v>116</v>
      </c>
      <c r="G127" s="3">
        <v>1</v>
      </c>
      <c r="H127" s="3">
        <f>ROUND((((F125+F127)/2)*(C126))/27,0)</f>
        <v>224</v>
      </c>
      <c r="I127" s="3">
        <v>224</v>
      </c>
      <c r="J127" s="3">
        <f>ROUND((((G125+G127)/2)*(1.1)*(C126))/27,0)</f>
        <v>1</v>
      </c>
      <c r="K127" s="8">
        <v>1</v>
      </c>
    </row>
    <row r="128" spans="1:11" x14ac:dyDescent="0.2">
      <c r="A128" s="20"/>
      <c r="B128" s="7"/>
      <c r="C128" s="12">
        <f t="shared" si="34"/>
        <v>50</v>
      </c>
      <c r="D128" s="3"/>
      <c r="E128" s="3"/>
      <c r="F128" s="3"/>
      <c r="G128" s="3"/>
      <c r="H128" s="3"/>
      <c r="I128" s="3"/>
      <c r="J128" s="3"/>
      <c r="K128" s="8"/>
    </row>
    <row r="129" spans="1:11" x14ac:dyDescent="0.2">
      <c r="A129" s="19"/>
      <c r="B129" s="7">
        <v>18400</v>
      </c>
      <c r="C129" s="1"/>
      <c r="D129" s="3">
        <f>ROUNDUP(3.1108+5.0009+5.0009+5.179,0)</f>
        <v>19</v>
      </c>
      <c r="E129" s="3">
        <f>ROUNDUP((((D127+D129)/2)*C128)/9,0)</f>
        <v>109</v>
      </c>
      <c r="F129" s="3">
        <v>112</v>
      </c>
      <c r="G129" s="3">
        <v>2</v>
      </c>
      <c r="H129" s="3">
        <f>ROUND((((F127+F129)/2)*(C128))/27,0)</f>
        <v>211</v>
      </c>
      <c r="I129" s="3">
        <v>211</v>
      </c>
      <c r="J129" s="3">
        <f>ROUND((((G127+G129)/2)*(1.1)*(C128))/27,0)</f>
        <v>3</v>
      </c>
      <c r="K129" s="8">
        <v>3</v>
      </c>
    </row>
    <row r="130" spans="1:11" x14ac:dyDescent="0.2">
      <c r="A130" s="17">
        <f>A124+1</f>
        <v>168</v>
      </c>
      <c r="B130" s="23"/>
      <c r="C130" s="13">
        <f>B131-B129</f>
        <v>50</v>
      </c>
      <c r="D130" s="4">
        <f t="shared" ref="D130:G130" si="53">SUM(D131:D135)</f>
        <v>67</v>
      </c>
      <c r="E130" s="4">
        <f t="shared" si="53"/>
        <v>337</v>
      </c>
      <c r="F130" s="4">
        <f t="shared" si="53"/>
        <v>435</v>
      </c>
      <c r="G130" s="4">
        <f t="shared" si="53"/>
        <v>7</v>
      </c>
      <c r="H130" s="4">
        <f>SUM(H131:H135)</f>
        <v>798</v>
      </c>
      <c r="I130" s="4">
        <f t="shared" ref="I130:K130" si="54">SUM(I131:I135)</f>
        <v>798</v>
      </c>
      <c r="J130" s="4">
        <f t="shared" si="54"/>
        <v>16</v>
      </c>
      <c r="K130" s="22">
        <f t="shared" si="54"/>
        <v>17</v>
      </c>
    </row>
    <row r="131" spans="1:11" x14ac:dyDescent="0.2">
      <c r="A131" s="19"/>
      <c r="B131" s="7">
        <v>18450</v>
      </c>
      <c r="C131" s="1"/>
      <c r="D131" s="3">
        <f>ROUNDUP(5.0009+2.8456,0)</f>
        <v>8</v>
      </c>
      <c r="E131" s="3">
        <f>ROUNDUP((((D129+D131)/2)*C130)/9,0)</f>
        <v>75</v>
      </c>
      <c r="F131" s="3">
        <v>210</v>
      </c>
      <c r="G131" s="3">
        <v>0</v>
      </c>
      <c r="H131" s="3">
        <f>ROUND((((F129+F131)/2)*(C130))/27,0)</f>
        <v>298</v>
      </c>
      <c r="I131" s="3">
        <v>298</v>
      </c>
      <c r="J131" s="3">
        <f>ROUND((((G129+G131)/2)*(1.1)*(C130))/27,0)</f>
        <v>2</v>
      </c>
      <c r="K131" s="29">
        <v>3</v>
      </c>
    </row>
    <row r="132" spans="1:11" x14ac:dyDescent="0.2">
      <c r="A132" s="20"/>
      <c r="B132" s="7"/>
      <c r="C132" s="12">
        <f t="shared" si="34"/>
        <v>50</v>
      </c>
      <c r="D132" s="3"/>
      <c r="E132" s="3"/>
      <c r="F132" s="3"/>
      <c r="G132" s="3"/>
      <c r="H132" s="3"/>
      <c r="I132" s="3"/>
      <c r="J132" s="3"/>
      <c r="K132" s="8"/>
    </row>
    <row r="133" spans="1:11" x14ac:dyDescent="0.2">
      <c r="A133" s="19"/>
      <c r="B133" s="7">
        <v>18500</v>
      </c>
      <c r="C133" s="1"/>
      <c r="D133" s="3">
        <f>ROUNDUP(5.7104+5.0009+5.0009+11.2006,0)</f>
        <v>27</v>
      </c>
      <c r="E133" s="3">
        <f>ROUNDUP((((D131+D133)/2)*C132)/9,0)</f>
        <v>98</v>
      </c>
      <c r="F133" s="3">
        <v>105</v>
      </c>
      <c r="G133" s="3">
        <v>7</v>
      </c>
      <c r="H133" s="3">
        <f>ROUND((((F131+F133)/2)*(C132))/27,0)</f>
        <v>292</v>
      </c>
      <c r="I133" s="3">
        <v>292</v>
      </c>
      <c r="J133" s="3">
        <f>ROUND((((G131+G133)/2)*(1.1)*(C132))/27,0)</f>
        <v>7</v>
      </c>
      <c r="K133" s="8">
        <v>7</v>
      </c>
    </row>
    <row r="134" spans="1:11" x14ac:dyDescent="0.2">
      <c r="A134" s="20"/>
      <c r="B134" s="7"/>
      <c r="C134" s="12">
        <f t="shared" ref="C134:C194" si="55">B135-B133</f>
        <v>50</v>
      </c>
      <c r="D134" s="3"/>
      <c r="E134" s="3"/>
      <c r="F134" s="3"/>
      <c r="G134" s="3"/>
      <c r="H134" s="3"/>
      <c r="I134" s="3"/>
      <c r="J134" s="3"/>
      <c r="K134" s="8"/>
    </row>
    <row r="135" spans="1:11" x14ac:dyDescent="0.2">
      <c r="A135" s="19"/>
      <c r="B135" s="7">
        <v>18550</v>
      </c>
      <c r="C135" s="1"/>
      <c r="D135" s="3">
        <f>ROUNDUP(19.4625+5.0039+5.0002+2.4232,0)</f>
        <v>32</v>
      </c>
      <c r="E135" s="3">
        <f>ROUNDUP((((D133+D135)/2)*C134)/9,0)</f>
        <v>164</v>
      </c>
      <c r="F135" s="3">
        <v>120</v>
      </c>
      <c r="G135" s="3">
        <v>0</v>
      </c>
      <c r="H135" s="3">
        <f>ROUND((((F133+F135)/2)*(C134))/27,0)</f>
        <v>208</v>
      </c>
      <c r="I135" s="3">
        <v>208</v>
      </c>
      <c r="J135" s="3">
        <f>ROUND((((G133+G135)/2)*(1.1)*(C134))/27,0)</f>
        <v>7</v>
      </c>
      <c r="K135" s="8">
        <v>7</v>
      </c>
    </row>
    <row r="136" spans="1:11" x14ac:dyDescent="0.2">
      <c r="A136" s="17">
        <f>A130+1</f>
        <v>169</v>
      </c>
      <c r="B136" s="23"/>
      <c r="C136" s="13">
        <f>B137-B135</f>
        <v>50</v>
      </c>
      <c r="D136" s="4">
        <f t="shared" ref="D136:G136" si="56">SUM(D137:D141)</f>
        <v>67</v>
      </c>
      <c r="E136" s="4">
        <f t="shared" si="56"/>
        <v>393</v>
      </c>
      <c r="F136" s="4">
        <f t="shared" si="56"/>
        <v>279</v>
      </c>
      <c r="G136" s="4">
        <f t="shared" si="56"/>
        <v>17</v>
      </c>
      <c r="H136" s="4">
        <f>SUM(H137:H141)</f>
        <v>548</v>
      </c>
      <c r="I136" s="4">
        <f t="shared" ref="I136:K136" si="57">SUM(I137:I141)</f>
        <v>548</v>
      </c>
      <c r="J136" s="4">
        <f t="shared" si="57"/>
        <v>33</v>
      </c>
      <c r="K136" s="22">
        <f t="shared" si="57"/>
        <v>33</v>
      </c>
    </row>
    <row r="137" spans="1:11" x14ac:dyDescent="0.2">
      <c r="A137" s="19"/>
      <c r="B137" s="7">
        <v>18600</v>
      </c>
      <c r="C137" s="1"/>
      <c r="D137" s="3">
        <f>ROUNDUP(3.2703+5.0009+5.0009+5.0794,0)</f>
        <v>19</v>
      </c>
      <c r="E137" s="3">
        <f>ROUNDUP((((D135+D137)/2)*C136)/9,0)</f>
        <v>142</v>
      </c>
      <c r="F137" s="3">
        <v>99</v>
      </c>
      <c r="G137" s="3">
        <v>6</v>
      </c>
      <c r="H137" s="3">
        <f>ROUND((((F135+F137)/2)*(C136))/27,0)</f>
        <v>203</v>
      </c>
      <c r="I137" s="3">
        <v>203</v>
      </c>
      <c r="J137" s="3">
        <f>ROUND((((G135+G137)/2)*(1.1)*(C136))/27,0)</f>
        <v>6</v>
      </c>
      <c r="K137" s="8">
        <v>6</v>
      </c>
    </row>
    <row r="138" spans="1:11" x14ac:dyDescent="0.2">
      <c r="A138" s="20"/>
      <c r="B138" s="7"/>
      <c r="C138" s="12">
        <f t="shared" si="55"/>
        <v>50</v>
      </c>
      <c r="D138" s="3"/>
      <c r="E138" s="3"/>
      <c r="F138" s="3"/>
      <c r="G138" s="3"/>
      <c r="H138" s="3"/>
      <c r="I138" s="3"/>
      <c r="J138" s="3"/>
      <c r="K138" s="8"/>
    </row>
    <row r="139" spans="1:11" x14ac:dyDescent="0.2">
      <c r="A139" s="19"/>
      <c r="B139" s="7">
        <v>18650</v>
      </c>
      <c r="C139" s="1"/>
      <c r="D139" s="3">
        <f>ROUNDUP(5.6458+5.0009+5.003+7.037,0)</f>
        <v>23</v>
      </c>
      <c r="E139" s="3">
        <f>ROUNDUP((((D137+D139)/2)*C138)/9,0)</f>
        <v>117</v>
      </c>
      <c r="F139" s="3">
        <v>93</v>
      </c>
      <c r="G139" s="3">
        <v>10</v>
      </c>
      <c r="H139" s="3">
        <f>ROUND((((F137+F139)/2)*(C138))/27,0)</f>
        <v>178</v>
      </c>
      <c r="I139" s="3">
        <v>178</v>
      </c>
      <c r="J139" s="3">
        <f>ROUND((((G137+G139)/2)*(1.1)*(C138))/27,0)</f>
        <v>16</v>
      </c>
      <c r="K139" s="8">
        <v>16</v>
      </c>
    </row>
    <row r="140" spans="1:11" x14ac:dyDescent="0.2">
      <c r="A140" s="20"/>
      <c r="B140" s="7"/>
      <c r="C140" s="12">
        <f t="shared" si="55"/>
        <v>50</v>
      </c>
      <c r="D140" s="3"/>
      <c r="E140" s="3"/>
      <c r="F140" s="3"/>
      <c r="G140" s="3"/>
      <c r="H140" s="3"/>
      <c r="I140" s="3"/>
      <c r="J140" s="3"/>
      <c r="K140" s="8"/>
    </row>
    <row r="141" spans="1:11" x14ac:dyDescent="0.2">
      <c r="A141" s="19"/>
      <c r="B141" s="7">
        <v>18700</v>
      </c>
      <c r="C141" s="1"/>
      <c r="D141" s="3">
        <f>ROUNDUP(10.0093+5.0009+5.0039+4.554,0)</f>
        <v>25</v>
      </c>
      <c r="E141" s="3">
        <f>ROUNDUP((((D139+D141)/2)*C140)/9,0)</f>
        <v>134</v>
      </c>
      <c r="F141" s="3">
        <v>87</v>
      </c>
      <c r="G141" s="3">
        <v>1</v>
      </c>
      <c r="H141" s="3">
        <f>ROUND((((F139+F141)/2)*(C140))/27,0)</f>
        <v>167</v>
      </c>
      <c r="I141" s="3">
        <v>167</v>
      </c>
      <c r="J141" s="3">
        <f>ROUND((((G139+G141)/2)*(1.1)*(C140))/27,0)</f>
        <v>11</v>
      </c>
      <c r="K141" s="8">
        <v>11</v>
      </c>
    </row>
    <row r="142" spans="1:11" x14ac:dyDescent="0.2">
      <c r="A142" s="17">
        <f>A136+1</f>
        <v>170</v>
      </c>
      <c r="B142" s="23"/>
      <c r="C142" s="13">
        <f>B143-B141</f>
        <v>50</v>
      </c>
      <c r="D142" s="4">
        <f t="shared" ref="D142:G142" si="58">SUM(D143:D147)</f>
        <v>80</v>
      </c>
      <c r="E142" s="4">
        <f t="shared" si="58"/>
        <v>456</v>
      </c>
      <c r="F142" s="4">
        <f t="shared" si="58"/>
        <v>249</v>
      </c>
      <c r="G142" s="4">
        <f t="shared" si="58"/>
        <v>30</v>
      </c>
      <c r="H142" s="4">
        <f>SUM(H143:H147)</f>
        <v>459</v>
      </c>
      <c r="I142" s="4">
        <f t="shared" ref="I142:K142" si="59">SUM(I143:I147)</f>
        <v>459</v>
      </c>
      <c r="J142" s="4">
        <f t="shared" si="59"/>
        <v>56</v>
      </c>
      <c r="K142" s="22">
        <f t="shared" si="59"/>
        <v>55</v>
      </c>
    </row>
    <row r="143" spans="1:11" x14ac:dyDescent="0.2">
      <c r="A143" s="19"/>
      <c r="B143" s="7">
        <v>18750</v>
      </c>
      <c r="C143" s="1"/>
      <c r="D143" s="3">
        <f>ROUNDUP(8.5292+5.0009+5.0009+5.4765,0)</f>
        <v>25</v>
      </c>
      <c r="E143" s="3">
        <f>ROUNDUP((((D141+D143)/2)*C142)/9,0)</f>
        <v>139</v>
      </c>
      <c r="F143" s="3">
        <v>79</v>
      </c>
      <c r="G143" s="3">
        <v>9</v>
      </c>
      <c r="H143" s="3">
        <f>ROUND((((F141+F143)/2)*(C142))/27,0)</f>
        <v>154</v>
      </c>
      <c r="I143" s="3">
        <v>154</v>
      </c>
      <c r="J143" s="3">
        <f>ROUND((((G141+G143)/2)*(1.1)*(C142))/27,0)</f>
        <v>10</v>
      </c>
      <c r="K143" s="29">
        <v>9</v>
      </c>
    </row>
    <row r="144" spans="1:11" x14ac:dyDescent="0.2">
      <c r="A144" s="20"/>
      <c r="B144" s="7"/>
      <c r="C144" s="12">
        <f t="shared" si="55"/>
        <v>50</v>
      </c>
      <c r="D144" s="3"/>
      <c r="E144" s="3"/>
      <c r="F144" s="3"/>
      <c r="G144" s="3"/>
      <c r="H144" s="3"/>
      <c r="I144" s="3"/>
      <c r="J144" s="3"/>
      <c r="K144" s="8"/>
    </row>
    <row r="145" spans="1:11" x14ac:dyDescent="0.2">
      <c r="A145" s="19"/>
      <c r="B145" s="7">
        <v>18800</v>
      </c>
      <c r="C145" s="1"/>
      <c r="D145" s="3">
        <f>ROUNDUP(3.2137+5.0009+5.0009+19.863,0)</f>
        <v>34</v>
      </c>
      <c r="E145" s="3">
        <f>ROUNDUP((((D143+D145)/2)*C144)/9,0)</f>
        <v>164</v>
      </c>
      <c r="F145" s="3">
        <v>81</v>
      </c>
      <c r="G145" s="3">
        <v>16</v>
      </c>
      <c r="H145" s="3">
        <f>ROUND((((F143+F145)/2)*(C144))/27,0)</f>
        <v>148</v>
      </c>
      <c r="I145" s="3">
        <v>148</v>
      </c>
      <c r="J145" s="3">
        <f>ROUND((((G143+G145)/2)*(1.1)*(C144))/27,0)</f>
        <v>25</v>
      </c>
      <c r="K145" s="8">
        <v>25</v>
      </c>
    </row>
    <row r="146" spans="1:11" x14ac:dyDescent="0.2">
      <c r="A146" s="20"/>
      <c r="B146" s="7"/>
      <c r="C146" s="12">
        <f t="shared" si="55"/>
        <v>50</v>
      </c>
      <c r="D146" s="3"/>
      <c r="E146" s="3"/>
      <c r="F146" s="3"/>
      <c r="G146" s="3"/>
      <c r="H146" s="3"/>
      <c r="I146" s="3"/>
      <c r="J146" s="3"/>
      <c r="K146" s="8"/>
    </row>
    <row r="147" spans="1:11" x14ac:dyDescent="0.2">
      <c r="A147" s="19"/>
      <c r="B147" s="7">
        <v>18850</v>
      </c>
      <c r="C147" s="1"/>
      <c r="D147" s="3">
        <f>ROUNDUP(4.759+5.0009+5.0009+5.274,0)</f>
        <v>21</v>
      </c>
      <c r="E147" s="3">
        <f>ROUNDUP((((D145+D147)/2)*C146)/9,0)</f>
        <v>153</v>
      </c>
      <c r="F147" s="3">
        <v>89</v>
      </c>
      <c r="G147" s="3">
        <v>5</v>
      </c>
      <c r="H147" s="3">
        <f>ROUND((((F145+F147)/2)*(C146))/27,0)</f>
        <v>157</v>
      </c>
      <c r="I147" s="3">
        <v>157</v>
      </c>
      <c r="J147" s="3">
        <f>ROUND((((G145+G147)/2)*(1.1)*(C146))/27,0)</f>
        <v>21</v>
      </c>
      <c r="K147" s="8">
        <v>21</v>
      </c>
    </row>
    <row r="148" spans="1:11" x14ac:dyDescent="0.2">
      <c r="A148" s="17">
        <f>A142+1</f>
        <v>171</v>
      </c>
      <c r="B148" s="23"/>
      <c r="C148" s="13">
        <f>B149-B147</f>
        <v>50</v>
      </c>
      <c r="D148" s="4">
        <f t="shared" ref="D148:G148" si="60">SUM(D149:D153)</f>
        <v>62</v>
      </c>
      <c r="E148" s="4">
        <f t="shared" si="60"/>
        <v>349</v>
      </c>
      <c r="F148" s="4">
        <f t="shared" si="60"/>
        <v>270</v>
      </c>
      <c r="G148" s="4">
        <f t="shared" si="60"/>
        <v>3</v>
      </c>
      <c r="H148" s="4">
        <f>SUM(H149:H153)</f>
        <v>504</v>
      </c>
      <c r="I148" s="4">
        <f t="shared" ref="I148:K148" si="61">SUM(I149:I153)</f>
        <v>503</v>
      </c>
      <c r="J148" s="4">
        <f t="shared" si="61"/>
        <v>10</v>
      </c>
      <c r="K148" s="22">
        <f t="shared" si="61"/>
        <v>10</v>
      </c>
    </row>
    <row r="149" spans="1:11" x14ac:dyDescent="0.2">
      <c r="A149" s="19"/>
      <c r="B149" s="7">
        <v>18900</v>
      </c>
      <c r="C149" s="1"/>
      <c r="D149" s="3">
        <f>ROUNDUP(4.7532+5.0009+5.0009+6.8209,0)</f>
        <v>22</v>
      </c>
      <c r="E149" s="3">
        <f>ROUNDUP((((D147+D149)/2)*C148)/9,0)</f>
        <v>120</v>
      </c>
      <c r="F149" s="3">
        <v>93</v>
      </c>
      <c r="G149" s="3">
        <v>2</v>
      </c>
      <c r="H149" s="3">
        <f>ROUND((((F147+F149)/2)*(C148))/27,0)</f>
        <v>169</v>
      </c>
      <c r="I149" s="28">
        <v>168</v>
      </c>
      <c r="J149" s="3">
        <f>ROUND((((G147+G149)/2)*(1.1)*(C148))/27,0)</f>
        <v>7</v>
      </c>
      <c r="K149" s="8">
        <v>7</v>
      </c>
    </row>
    <row r="150" spans="1:11" x14ac:dyDescent="0.2">
      <c r="A150" s="20"/>
      <c r="B150" s="7"/>
      <c r="C150" s="12">
        <f t="shared" si="55"/>
        <v>50</v>
      </c>
      <c r="D150" s="3"/>
      <c r="E150" s="3"/>
      <c r="F150" s="3"/>
      <c r="G150" s="3"/>
      <c r="H150" s="3"/>
      <c r="I150" s="3"/>
      <c r="J150" s="3"/>
      <c r="K150" s="8"/>
    </row>
    <row r="151" spans="1:11" x14ac:dyDescent="0.2">
      <c r="A151" s="19"/>
      <c r="B151" s="7">
        <v>18950</v>
      </c>
      <c r="C151" s="1"/>
      <c r="D151" s="3">
        <f>ROUNDUP(4.5162+5.0009+5.0009+4.7826,0)</f>
        <v>20</v>
      </c>
      <c r="E151" s="3">
        <f>ROUNDUP((((D149+D151)/2)*C150)/9,0)</f>
        <v>117</v>
      </c>
      <c r="F151" s="3">
        <v>92</v>
      </c>
      <c r="G151" s="3">
        <v>0</v>
      </c>
      <c r="H151" s="3">
        <f>ROUND((((F149+F151)/2)*(C150))/27,0)</f>
        <v>171</v>
      </c>
      <c r="I151" s="3">
        <v>171</v>
      </c>
      <c r="J151" s="3">
        <f>ROUND((((G149+G151)/2)*(1.1)*(C150))/27,0)</f>
        <v>2</v>
      </c>
      <c r="K151" s="8">
        <v>2</v>
      </c>
    </row>
    <row r="152" spans="1:11" x14ac:dyDescent="0.2">
      <c r="A152" s="20"/>
      <c r="B152" s="7"/>
      <c r="C152" s="12">
        <f t="shared" si="55"/>
        <v>50</v>
      </c>
      <c r="D152" s="3"/>
      <c r="E152" s="3"/>
      <c r="F152" s="3"/>
      <c r="G152" s="3"/>
      <c r="H152" s="3"/>
      <c r="I152" s="3"/>
      <c r="J152" s="3"/>
      <c r="K152" s="8"/>
    </row>
    <row r="153" spans="1:11" x14ac:dyDescent="0.2">
      <c r="A153" s="19"/>
      <c r="B153" s="7">
        <v>19000</v>
      </c>
      <c r="C153" s="1"/>
      <c r="D153" s="3">
        <f>ROUNDUP(2.8186+5.0009+5.0009+6.3625,0)</f>
        <v>20</v>
      </c>
      <c r="E153" s="3">
        <f>ROUNDUP((((D151+D153)/2)*C152)/9,0)</f>
        <v>112</v>
      </c>
      <c r="F153" s="3">
        <v>85</v>
      </c>
      <c r="G153" s="3">
        <v>1</v>
      </c>
      <c r="H153" s="3">
        <f>ROUND((((F151+F153)/2)*(C152))/27,0)</f>
        <v>164</v>
      </c>
      <c r="I153" s="3">
        <v>164</v>
      </c>
      <c r="J153" s="3">
        <f>ROUND((((G151+G153)/2)*(1.1)*(C152))/27,0)</f>
        <v>1</v>
      </c>
      <c r="K153" s="8">
        <v>1</v>
      </c>
    </row>
    <row r="154" spans="1:11" x14ac:dyDescent="0.2">
      <c r="A154" s="17">
        <f>A148+1</f>
        <v>172</v>
      </c>
      <c r="B154" s="23"/>
      <c r="C154" s="13">
        <f>B155-B153</f>
        <v>50</v>
      </c>
      <c r="D154" s="4">
        <f t="shared" ref="D154:G154" si="62">SUM(D155:D159)</f>
        <v>91</v>
      </c>
      <c r="E154" s="4">
        <f t="shared" si="62"/>
        <v>471</v>
      </c>
      <c r="F154" s="4">
        <f t="shared" si="62"/>
        <v>235</v>
      </c>
      <c r="G154" s="4">
        <f t="shared" si="62"/>
        <v>30</v>
      </c>
      <c r="H154" s="4">
        <f>SUM(H155:H159)</f>
        <v>439</v>
      </c>
      <c r="I154" s="4">
        <f t="shared" ref="I154:K154" si="63">SUM(I155:I159)</f>
        <v>438</v>
      </c>
      <c r="J154" s="4">
        <f t="shared" si="63"/>
        <v>51</v>
      </c>
      <c r="K154" s="22">
        <f t="shared" si="63"/>
        <v>52</v>
      </c>
    </row>
    <row r="155" spans="1:11" x14ac:dyDescent="0.2">
      <c r="A155" s="19"/>
      <c r="B155" s="7">
        <v>19050</v>
      </c>
      <c r="C155" s="1"/>
      <c r="D155" s="3">
        <f>ROUNDUP(6.7648+5.0009+5.0009+9.5053,0)</f>
        <v>27</v>
      </c>
      <c r="E155" s="3">
        <f>ROUNDUP((((D153+D155)/2)*C154)/9,0)</f>
        <v>131</v>
      </c>
      <c r="F155" s="3">
        <v>79</v>
      </c>
      <c r="G155" s="3">
        <v>4</v>
      </c>
      <c r="H155" s="3">
        <f>ROUND((((F153+F155)/2)*(C154))/27,0)</f>
        <v>152</v>
      </c>
      <c r="I155" s="3">
        <v>152</v>
      </c>
      <c r="J155" s="3">
        <f>ROUND((((G153+G155)/2)*(1.1)*(C154))/27,0)</f>
        <v>5</v>
      </c>
      <c r="K155" s="8">
        <v>5</v>
      </c>
    </row>
    <row r="156" spans="1:11" x14ac:dyDescent="0.2">
      <c r="A156" s="20"/>
      <c r="B156" s="7"/>
      <c r="C156" s="12">
        <f t="shared" si="55"/>
        <v>50</v>
      </c>
      <c r="D156" s="3"/>
      <c r="E156" s="3"/>
      <c r="F156" s="3"/>
      <c r="G156" s="3"/>
      <c r="H156" s="3"/>
      <c r="I156" s="3"/>
      <c r="J156" s="3"/>
      <c r="K156" s="8"/>
    </row>
    <row r="157" spans="1:11" x14ac:dyDescent="0.2">
      <c r="A157" s="19"/>
      <c r="B157" s="7">
        <v>19100</v>
      </c>
      <c r="C157" s="1"/>
      <c r="D157" s="3">
        <f>ROUNDUP(12.886+5.0009+5.0009+7.7146,0)</f>
        <v>31</v>
      </c>
      <c r="E157" s="3">
        <f>ROUNDUP((((D155+D157)/2)*C156)/9,0)</f>
        <v>162</v>
      </c>
      <c r="F157" s="3">
        <v>75</v>
      </c>
      <c r="G157" s="3">
        <v>16</v>
      </c>
      <c r="H157" s="3">
        <f>ROUND((((F155+F157)/2)*(C156))/27,0)</f>
        <v>143</v>
      </c>
      <c r="I157" s="28">
        <v>142</v>
      </c>
      <c r="J157" s="3">
        <f>ROUND((((G155+G157)/2)*(1.1)*(C156))/27,0)</f>
        <v>20</v>
      </c>
      <c r="K157" s="8">
        <v>20</v>
      </c>
    </row>
    <row r="158" spans="1:11" x14ac:dyDescent="0.2">
      <c r="A158" s="20"/>
      <c r="B158" s="7"/>
      <c r="C158" s="12">
        <f t="shared" si="55"/>
        <v>50</v>
      </c>
      <c r="D158" s="3"/>
      <c r="E158" s="3"/>
      <c r="F158" s="3"/>
      <c r="G158" s="3"/>
      <c r="H158" s="3"/>
      <c r="I158" s="3"/>
      <c r="J158" s="3"/>
      <c r="K158" s="8"/>
    </row>
    <row r="159" spans="1:11" x14ac:dyDescent="0.2">
      <c r="A159" s="19"/>
      <c r="B159" s="7">
        <v>19150</v>
      </c>
      <c r="C159" s="1"/>
      <c r="D159" s="3">
        <f>ROUNDUP(12.415+5.0009+5.0009+9.8078,0)</f>
        <v>33</v>
      </c>
      <c r="E159" s="3">
        <f>ROUNDUP((((D157+D159)/2)*C158)/9,0)</f>
        <v>178</v>
      </c>
      <c r="F159" s="3">
        <v>81</v>
      </c>
      <c r="G159" s="3">
        <v>10</v>
      </c>
      <c r="H159" s="3">
        <f>ROUND((((F157+F159)/2)*(C158))/27,0)</f>
        <v>144</v>
      </c>
      <c r="I159" s="3">
        <v>144</v>
      </c>
      <c r="J159" s="3">
        <f>ROUND((((G157+G159)/2)*(1.1)*(C158))/27,0)</f>
        <v>26</v>
      </c>
      <c r="K159" s="29">
        <v>27</v>
      </c>
    </row>
    <row r="160" spans="1:11" x14ac:dyDescent="0.2">
      <c r="A160" s="17">
        <f>A154+1</f>
        <v>173</v>
      </c>
      <c r="B160" s="23"/>
      <c r="C160" s="13">
        <f>B161-B159</f>
        <v>50</v>
      </c>
      <c r="D160" s="4">
        <f t="shared" ref="D160:G160" si="64">SUM(D161:D165)</f>
        <v>100</v>
      </c>
      <c r="E160" s="4">
        <f t="shared" si="64"/>
        <v>583</v>
      </c>
      <c r="F160" s="4">
        <f t="shared" si="64"/>
        <v>267</v>
      </c>
      <c r="G160" s="4">
        <f t="shared" si="64"/>
        <v>39</v>
      </c>
      <c r="H160" s="4">
        <f>SUM(H161:H165)</f>
        <v>489</v>
      </c>
      <c r="I160" s="4">
        <f t="shared" ref="I160:K160" si="65">SUM(I161:I165)</f>
        <v>489</v>
      </c>
      <c r="J160" s="4">
        <f t="shared" si="65"/>
        <v>80</v>
      </c>
      <c r="K160" s="22">
        <f t="shared" si="65"/>
        <v>78</v>
      </c>
    </row>
    <row r="161" spans="1:11" x14ac:dyDescent="0.2">
      <c r="A161" s="19"/>
      <c r="B161" s="7">
        <v>19200</v>
      </c>
      <c r="C161" s="1"/>
      <c r="D161" s="3">
        <f>ROUNDUP(2.9325+5.0009+5.0009+10.3239,0)</f>
        <v>24</v>
      </c>
      <c r="E161" s="3">
        <f>ROUNDUP((((D159+D161)/2)*C160)/9,0)</f>
        <v>159</v>
      </c>
      <c r="F161" s="3">
        <v>79</v>
      </c>
      <c r="G161" s="3">
        <v>12</v>
      </c>
      <c r="H161" s="3">
        <f>ROUND((((F159+F161)/2)*(C160))/27,0)</f>
        <v>148</v>
      </c>
      <c r="I161" s="3">
        <v>148</v>
      </c>
      <c r="J161" s="3">
        <f>ROUND((((G159+G161)/2)*(1.1)*(C160))/27,0)</f>
        <v>22</v>
      </c>
      <c r="K161" s="8">
        <v>22</v>
      </c>
    </row>
    <row r="162" spans="1:11" x14ac:dyDescent="0.2">
      <c r="A162" s="20"/>
      <c r="B162" s="7"/>
      <c r="C162" s="12">
        <f t="shared" si="55"/>
        <v>50</v>
      </c>
      <c r="D162" s="3"/>
      <c r="E162" s="3"/>
      <c r="F162" s="3"/>
      <c r="G162" s="3"/>
      <c r="H162" s="3"/>
      <c r="I162" s="3"/>
      <c r="J162" s="3"/>
      <c r="K162" s="8"/>
    </row>
    <row r="163" spans="1:11" x14ac:dyDescent="0.2">
      <c r="A163" s="19"/>
      <c r="B163" s="7">
        <v>19250</v>
      </c>
      <c r="C163" s="1"/>
      <c r="D163" s="3">
        <f>ROUNDUP(32.7447+5.0039+5.0009+8.5812,0)</f>
        <v>52</v>
      </c>
      <c r="E163" s="3">
        <f>ROUNDUP((((D161+D163)/2)*C162)/9,0)</f>
        <v>212</v>
      </c>
      <c r="F163" s="3">
        <v>101</v>
      </c>
      <c r="G163" s="3">
        <v>17</v>
      </c>
      <c r="H163" s="3">
        <f>ROUND((((F161+F163)/2)*(C162))/27,0)</f>
        <v>167</v>
      </c>
      <c r="I163" s="3">
        <v>167</v>
      </c>
      <c r="J163" s="3">
        <f>ROUND((((G161+G163)/2)*(1.1)*(C162))/27,0)</f>
        <v>30</v>
      </c>
      <c r="K163" s="29">
        <v>29</v>
      </c>
    </row>
    <row r="164" spans="1:11" x14ac:dyDescent="0.2">
      <c r="A164" s="20"/>
      <c r="B164" s="7"/>
      <c r="C164" s="12">
        <f t="shared" si="55"/>
        <v>50</v>
      </c>
      <c r="D164" s="3"/>
      <c r="E164" s="3"/>
      <c r="F164" s="3"/>
      <c r="G164" s="3"/>
      <c r="H164" s="3"/>
      <c r="I164" s="3"/>
      <c r="J164" s="3"/>
      <c r="K164" s="8"/>
    </row>
    <row r="165" spans="1:11" x14ac:dyDescent="0.2">
      <c r="A165" s="19"/>
      <c r="B165" s="7">
        <v>19300</v>
      </c>
      <c r="C165" s="1"/>
      <c r="D165" s="3">
        <f>ROUNDUP(3.9361+5.0009+5.0009+9.574,0)</f>
        <v>24</v>
      </c>
      <c r="E165" s="3">
        <f>ROUNDUP((((D163+D165)/2)*C164)/9,0)</f>
        <v>212</v>
      </c>
      <c r="F165" s="3">
        <v>87</v>
      </c>
      <c r="G165" s="3">
        <v>10</v>
      </c>
      <c r="H165" s="3">
        <f>ROUND((((F163+F165)/2)*(C164))/27,0)</f>
        <v>174</v>
      </c>
      <c r="I165" s="3">
        <v>174</v>
      </c>
      <c r="J165" s="3">
        <f>ROUND((((G163+G165)/2)*(1.1)*(C164))/27,0)</f>
        <v>28</v>
      </c>
      <c r="K165" s="29">
        <v>27</v>
      </c>
    </row>
    <row r="166" spans="1:11" x14ac:dyDescent="0.2">
      <c r="A166" s="17">
        <f>A160+1</f>
        <v>174</v>
      </c>
      <c r="B166" s="23"/>
      <c r="C166" s="13">
        <f>B167-B165</f>
        <v>50</v>
      </c>
      <c r="D166" s="4">
        <f t="shared" ref="D166:G166" si="66">SUM(D167:D171)</f>
        <v>81</v>
      </c>
      <c r="E166" s="4">
        <f t="shared" si="66"/>
        <v>432</v>
      </c>
      <c r="F166" s="4">
        <f t="shared" si="66"/>
        <v>252</v>
      </c>
      <c r="G166" s="4">
        <f t="shared" si="66"/>
        <v>38</v>
      </c>
      <c r="H166" s="4">
        <f>SUM(H167:H171)</f>
        <v>469</v>
      </c>
      <c r="I166" s="4">
        <f t="shared" ref="I166:K166" si="67">SUM(I167:I171)</f>
        <v>469</v>
      </c>
      <c r="J166" s="4">
        <f t="shared" si="67"/>
        <v>77</v>
      </c>
      <c r="K166" s="22">
        <f t="shared" si="67"/>
        <v>77</v>
      </c>
    </row>
    <row r="167" spans="1:11" x14ac:dyDescent="0.2">
      <c r="A167" s="19"/>
      <c r="B167" s="7">
        <v>19350</v>
      </c>
      <c r="C167" s="1"/>
      <c r="D167" s="3">
        <f>ROUNDUP(3.0906+5.0007+5.0009+10.9395,0)</f>
        <v>25</v>
      </c>
      <c r="E167" s="3">
        <f>ROUNDUP((((D165+D167)/2)*C166)/9,0)</f>
        <v>137</v>
      </c>
      <c r="F167" s="3">
        <v>84</v>
      </c>
      <c r="G167" s="3">
        <v>11</v>
      </c>
      <c r="H167" s="3">
        <f>ROUND((((F165+F167)/2)*(C166))/27,0)</f>
        <v>158</v>
      </c>
      <c r="I167" s="28">
        <v>159</v>
      </c>
      <c r="J167" s="3">
        <f>ROUND((((G165+G167)/2)*(1.1)*(C166))/27,0)</f>
        <v>21</v>
      </c>
      <c r="K167" s="8">
        <v>21</v>
      </c>
    </row>
    <row r="168" spans="1:11" x14ac:dyDescent="0.2">
      <c r="A168" s="20"/>
      <c r="B168" s="7"/>
      <c r="C168" s="12">
        <f t="shared" si="55"/>
        <v>50</v>
      </c>
      <c r="D168" s="3"/>
      <c r="E168" s="3"/>
      <c r="F168" s="3"/>
      <c r="G168" s="3"/>
      <c r="H168" s="3"/>
      <c r="I168" s="3"/>
      <c r="J168" s="3"/>
      <c r="K168" s="8"/>
    </row>
    <row r="169" spans="1:11" x14ac:dyDescent="0.2">
      <c r="A169" s="19"/>
      <c r="B169" s="7">
        <v>19400</v>
      </c>
      <c r="C169" s="1"/>
      <c r="D169" s="3">
        <f>ROUNDUP(3.0906+5.0007+5.0009+10.9395,0)</f>
        <v>25</v>
      </c>
      <c r="E169" s="3">
        <f>ROUNDUP((((D167+D169)/2)*C168)/9,0)</f>
        <v>139</v>
      </c>
      <c r="F169" s="3">
        <v>83</v>
      </c>
      <c r="G169" s="3">
        <v>16</v>
      </c>
      <c r="H169" s="3">
        <f>ROUND((((F167+F169)/2)*(C168))/27,0)</f>
        <v>155</v>
      </c>
      <c r="I169" s="3">
        <v>155</v>
      </c>
      <c r="J169" s="3">
        <f>ROUND((((G167+G169)/2)*(1.1)*(C168))/27,0)</f>
        <v>28</v>
      </c>
      <c r="K169" s="8">
        <v>28</v>
      </c>
    </row>
    <row r="170" spans="1:11" x14ac:dyDescent="0.2">
      <c r="A170" s="20"/>
      <c r="B170" s="7"/>
      <c r="C170" s="12">
        <f t="shared" si="55"/>
        <v>50</v>
      </c>
      <c r="D170" s="3"/>
      <c r="E170" s="3"/>
      <c r="F170" s="3"/>
      <c r="G170" s="3"/>
      <c r="H170" s="3"/>
      <c r="I170" s="3"/>
      <c r="J170" s="3"/>
      <c r="K170" s="8"/>
    </row>
    <row r="171" spans="1:11" x14ac:dyDescent="0.2">
      <c r="A171" s="19"/>
      <c r="B171" s="7">
        <v>19450</v>
      </c>
      <c r="C171" s="1"/>
      <c r="D171" s="3">
        <f>ROUNDUP(2.5798+4.9255+5.0009+18.3431,0)</f>
        <v>31</v>
      </c>
      <c r="E171" s="3">
        <f>ROUNDUP((((D169+D171)/2)*C170)/9,0)</f>
        <v>156</v>
      </c>
      <c r="F171" s="3">
        <v>85</v>
      </c>
      <c r="G171" s="3">
        <v>11</v>
      </c>
      <c r="H171" s="3">
        <f>ROUND((((F169+F171)/2)*(C170))/27,0)</f>
        <v>156</v>
      </c>
      <c r="I171" s="28">
        <v>155</v>
      </c>
      <c r="J171" s="3">
        <f>ROUND((((G169+G171)/2)*(1.1)*(C170))/27,0)</f>
        <v>28</v>
      </c>
      <c r="K171" s="8">
        <v>28</v>
      </c>
    </row>
    <row r="172" spans="1:11" x14ac:dyDescent="0.2">
      <c r="A172" s="17">
        <f>A166+1</f>
        <v>175</v>
      </c>
      <c r="B172" s="23"/>
      <c r="C172" s="13">
        <f>B173-B171</f>
        <v>50</v>
      </c>
      <c r="D172" s="4">
        <f t="shared" ref="D172:G172" si="68">SUM(D173:D177)</f>
        <v>88</v>
      </c>
      <c r="E172" s="4">
        <f t="shared" si="68"/>
        <v>476</v>
      </c>
      <c r="F172" s="4">
        <f t="shared" si="68"/>
        <v>374</v>
      </c>
      <c r="G172" s="4">
        <f t="shared" si="68"/>
        <v>72</v>
      </c>
      <c r="H172" s="4">
        <f>SUM(H173:H177)</f>
        <v>698</v>
      </c>
      <c r="I172" s="4">
        <f t="shared" ref="I172:K172" si="69">SUM(I173:I177)</f>
        <v>699</v>
      </c>
      <c r="J172" s="4">
        <f t="shared" si="69"/>
        <v>110</v>
      </c>
      <c r="K172" s="22">
        <f t="shared" si="69"/>
        <v>112</v>
      </c>
    </row>
    <row r="173" spans="1:11" x14ac:dyDescent="0.2">
      <c r="A173" s="19"/>
      <c r="B173" s="7">
        <v>19500</v>
      </c>
      <c r="C173" s="1"/>
      <c r="D173" s="3">
        <f>ROUNDUP(12.0678+4.7124+5.3147+11.7554,0)</f>
        <v>34</v>
      </c>
      <c r="E173" s="3">
        <f>ROUNDUP((((D171+D173)/2)*C172)/9,0)</f>
        <v>181</v>
      </c>
      <c r="F173" s="3">
        <v>100</v>
      </c>
      <c r="G173" s="3">
        <v>15</v>
      </c>
      <c r="H173" s="3">
        <f>ROUND((((F171+F173)/2)*(C172))/27,0)</f>
        <v>171</v>
      </c>
      <c r="I173" s="3">
        <v>171</v>
      </c>
      <c r="J173" s="3">
        <f>ROUND((((G171+G173)/2)*(1.1)*(C172))/27,0)</f>
        <v>26</v>
      </c>
      <c r="K173" s="29">
        <v>27</v>
      </c>
    </row>
    <row r="174" spans="1:11" x14ac:dyDescent="0.2">
      <c r="A174" s="20"/>
      <c r="B174" s="7"/>
      <c r="C174" s="12">
        <f t="shared" si="55"/>
        <v>50</v>
      </c>
      <c r="D174" s="3"/>
      <c r="E174" s="3"/>
      <c r="F174" s="3"/>
      <c r="G174" s="3"/>
      <c r="H174" s="3"/>
      <c r="I174" s="3"/>
      <c r="J174" s="3"/>
      <c r="K174" s="8"/>
    </row>
    <row r="175" spans="1:11" x14ac:dyDescent="0.2">
      <c r="A175" s="19"/>
      <c r="B175" s="7">
        <v>19550</v>
      </c>
      <c r="C175" s="1"/>
      <c r="D175" s="3">
        <f>ROUNDUP(5.4292+11.6312,0)</f>
        <v>18</v>
      </c>
      <c r="E175" s="3">
        <f>ROUNDUP((((D173+D175)/2)*C174)/9,0)</f>
        <v>145</v>
      </c>
      <c r="F175" s="3">
        <v>195</v>
      </c>
      <c r="G175" s="3">
        <v>11</v>
      </c>
      <c r="H175" s="3">
        <f>ROUND((((F173+F175)/2)*(C174))/27,0)</f>
        <v>273</v>
      </c>
      <c r="I175" s="28">
        <v>274</v>
      </c>
      <c r="J175" s="3">
        <f>ROUND((((G173+G175)/2)*(1.1)*(C174))/27,0)</f>
        <v>26</v>
      </c>
      <c r="K175" s="29">
        <v>27</v>
      </c>
    </row>
    <row r="176" spans="1:11" x14ac:dyDescent="0.2">
      <c r="A176" s="20"/>
      <c r="B176" s="7"/>
      <c r="C176" s="12">
        <f t="shared" si="55"/>
        <v>50</v>
      </c>
      <c r="D176" s="3"/>
      <c r="E176" s="3"/>
      <c r="F176" s="3"/>
      <c r="G176" s="3"/>
      <c r="H176" s="3"/>
      <c r="I176" s="3"/>
      <c r="J176" s="3"/>
      <c r="K176" s="8"/>
    </row>
    <row r="177" spans="1:11" x14ac:dyDescent="0.2">
      <c r="A177" s="19"/>
      <c r="B177" s="7">
        <v>19600</v>
      </c>
      <c r="C177" s="1"/>
      <c r="D177" s="3">
        <f>ROUNDUP(10.7325+4.7842+5.5436+13.9985,0)</f>
        <v>36</v>
      </c>
      <c r="E177" s="3">
        <f>ROUNDUP((((D175+D177)/2)*C176)/9,0)</f>
        <v>150</v>
      </c>
      <c r="F177" s="3">
        <v>79</v>
      </c>
      <c r="G177" s="3">
        <v>46</v>
      </c>
      <c r="H177" s="3">
        <f>ROUND((((F175+F177)/2)*(C176))/27,0)</f>
        <v>254</v>
      </c>
      <c r="I177" s="3">
        <v>254</v>
      </c>
      <c r="J177" s="3">
        <f>ROUND((((G175+G177)/2)*(1.1)*(C176))/27,0)</f>
        <v>58</v>
      </c>
      <c r="K177" s="8">
        <v>58</v>
      </c>
    </row>
    <row r="178" spans="1:11" x14ac:dyDescent="0.2">
      <c r="A178" s="17">
        <f>A172+1</f>
        <v>176</v>
      </c>
      <c r="B178" s="23"/>
      <c r="C178" s="13">
        <f>B179-B177</f>
        <v>50</v>
      </c>
      <c r="D178" s="4">
        <f t="shared" ref="D178:G178" si="70">SUM(D179:D183)</f>
        <v>96</v>
      </c>
      <c r="E178" s="4">
        <f t="shared" si="70"/>
        <v>560</v>
      </c>
      <c r="F178" s="4">
        <f t="shared" si="70"/>
        <v>152</v>
      </c>
      <c r="G178" s="4">
        <f t="shared" si="70"/>
        <v>118</v>
      </c>
      <c r="H178" s="4">
        <f>SUM(H179:H183)</f>
        <v>313</v>
      </c>
      <c r="I178" s="4">
        <f t="shared" ref="I178:K178" si="71">SUM(I179:I183)</f>
        <v>313</v>
      </c>
      <c r="J178" s="4">
        <f t="shared" si="71"/>
        <v>265</v>
      </c>
      <c r="K178" s="22">
        <f t="shared" si="71"/>
        <v>266</v>
      </c>
    </row>
    <row r="179" spans="1:11" x14ac:dyDescent="0.2">
      <c r="A179" s="19"/>
      <c r="B179" s="7">
        <v>19650</v>
      </c>
      <c r="C179" s="1"/>
      <c r="D179" s="3">
        <f>7+6+6+16</f>
        <v>35</v>
      </c>
      <c r="E179" s="3">
        <f>ROUNDUP((((D177+D179)/2)*C178)/9,0)</f>
        <v>198</v>
      </c>
      <c r="F179" s="3">
        <v>59</v>
      </c>
      <c r="G179" s="3">
        <v>52</v>
      </c>
      <c r="H179" s="3">
        <f>ROUND((((F177+F179)/2)*(C178))/27,0)</f>
        <v>128</v>
      </c>
      <c r="I179" s="3">
        <v>128</v>
      </c>
      <c r="J179" s="3">
        <f>ROUND((((G177+G179)/2)*(1.1)*(C178))/27,0)</f>
        <v>100</v>
      </c>
      <c r="K179" s="8">
        <v>100</v>
      </c>
    </row>
    <row r="180" spans="1:11" x14ac:dyDescent="0.2">
      <c r="A180" s="20"/>
      <c r="B180" s="7"/>
      <c r="C180" s="12">
        <f t="shared" si="55"/>
        <v>50</v>
      </c>
      <c r="D180" s="3"/>
      <c r="E180" s="3"/>
      <c r="F180" s="3"/>
      <c r="G180" s="3"/>
      <c r="H180" s="3"/>
      <c r="I180" s="3"/>
      <c r="J180" s="3"/>
      <c r="K180" s="8"/>
    </row>
    <row r="181" spans="1:11" x14ac:dyDescent="0.2">
      <c r="A181" s="19"/>
      <c r="B181" s="7">
        <v>19700</v>
      </c>
      <c r="C181" s="1"/>
      <c r="D181" s="3">
        <f>10+6+6+12</f>
        <v>34</v>
      </c>
      <c r="E181" s="3">
        <f>ROUNDUP((((D179+D181)/2)*C180)/9,0)</f>
        <v>192</v>
      </c>
      <c r="F181" s="3">
        <v>48</v>
      </c>
      <c r="G181" s="3">
        <v>44</v>
      </c>
      <c r="H181" s="3">
        <f>ROUND((((F179+F181)/2)*(C180))/27,0)</f>
        <v>99</v>
      </c>
      <c r="I181" s="3">
        <v>99</v>
      </c>
      <c r="J181" s="3">
        <f>ROUND((((G179+G181)/2)*(1.1)*(C180))/27,0)</f>
        <v>98</v>
      </c>
      <c r="K181" s="8">
        <v>98</v>
      </c>
    </row>
    <row r="182" spans="1:11" x14ac:dyDescent="0.2">
      <c r="A182" s="20"/>
      <c r="B182" s="7"/>
      <c r="C182" s="12">
        <f t="shared" si="55"/>
        <v>50</v>
      </c>
      <c r="D182" s="3"/>
      <c r="E182" s="3"/>
      <c r="F182" s="3"/>
      <c r="G182" s="3"/>
      <c r="H182" s="3"/>
      <c r="I182" s="3"/>
      <c r="J182" s="3"/>
      <c r="K182" s="8"/>
    </row>
    <row r="183" spans="1:11" x14ac:dyDescent="0.2">
      <c r="A183" s="19"/>
      <c r="B183" s="7">
        <v>19750</v>
      </c>
      <c r="C183" s="1"/>
      <c r="D183" s="3">
        <f>11+6+7+3</f>
        <v>27</v>
      </c>
      <c r="E183" s="3">
        <f>ROUNDUP((((D181+D183)/2)*C182)/9,0)</f>
        <v>170</v>
      </c>
      <c r="F183" s="3">
        <v>45</v>
      </c>
      <c r="G183" s="3">
        <v>22</v>
      </c>
      <c r="H183" s="3">
        <f>ROUND((((F181+F183)/2)*(C182))/27,0)</f>
        <v>86</v>
      </c>
      <c r="I183" s="3">
        <v>86</v>
      </c>
      <c r="J183" s="3">
        <f>ROUND((((G181+G183)/2)*(1.1)*(C182))/27,0)</f>
        <v>67</v>
      </c>
      <c r="K183" s="29">
        <v>68</v>
      </c>
    </row>
    <row r="184" spans="1:11" x14ac:dyDescent="0.2">
      <c r="A184" s="17">
        <f>A178+1</f>
        <v>177</v>
      </c>
      <c r="B184" s="23"/>
      <c r="C184" s="13">
        <f>B185-B183</f>
        <v>50.990000000001601</v>
      </c>
      <c r="D184" s="4">
        <f t="shared" ref="D184:G184" si="72">SUM(D185:D189)</f>
        <v>24</v>
      </c>
      <c r="E184" s="4">
        <f t="shared" si="72"/>
        <v>145</v>
      </c>
      <c r="F184" s="4">
        <f t="shared" si="72"/>
        <v>51</v>
      </c>
      <c r="G184" s="4">
        <f t="shared" si="72"/>
        <v>0</v>
      </c>
      <c r="H184" s="4">
        <f>SUM(H185:H189)</f>
        <v>91</v>
      </c>
      <c r="I184" s="4">
        <f t="shared" ref="I184:K184" si="73">SUM(I185:I189)</f>
        <v>91</v>
      </c>
      <c r="J184" s="4">
        <f t="shared" si="73"/>
        <v>23</v>
      </c>
      <c r="K184" s="22">
        <f t="shared" si="73"/>
        <v>23</v>
      </c>
    </row>
    <row r="185" spans="1:11" x14ac:dyDescent="0.2">
      <c r="A185" s="19" t="s">
        <v>24</v>
      </c>
      <c r="B185" s="7">
        <v>19800.990000000002</v>
      </c>
      <c r="C185" s="1"/>
      <c r="D185" s="3">
        <f>ROUNDUP(7.8072+6.0012+6.0001+3.9712,0)</f>
        <v>24</v>
      </c>
      <c r="E185" s="3">
        <f>ROUNDUP((((D183+D185)/2)*C184)/9,0)</f>
        <v>145</v>
      </c>
      <c r="F185" s="3">
        <v>51</v>
      </c>
      <c r="G185" s="3">
        <v>0</v>
      </c>
      <c r="H185" s="3">
        <f>ROUND((((F183+F185)/2)*(C184))/27,0)</f>
        <v>91</v>
      </c>
      <c r="I185" s="3">
        <v>91</v>
      </c>
      <c r="J185" s="3">
        <f>ROUND((((G183+G185)/2)*(1.1)*(C184))/27,0)</f>
        <v>23</v>
      </c>
      <c r="K185" s="8">
        <v>23</v>
      </c>
    </row>
    <row r="186" spans="1:11" x14ac:dyDescent="0.2">
      <c r="A186" s="20"/>
      <c r="B186" s="7"/>
      <c r="C186" s="12">
        <f t="shared" si="55"/>
        <v>99.009999999998399</v>
      </c>
      <c r="D186" s="3"/>
      <c r="E186" s="3"/>
      <c r="F186" s="3"/>
      <c r="G186" s="3"/>
      <c r="H186" s="3"/>
      <c r="I186" s="3"/>
      <c r="J186" s="3"/>
      <c r="K186" s="8"/>
    </row>
    <row r="187" spans="1:11" x14ac:dyDescent="0.2">
      <c r="A187" s="19"/>
      <c r="B187" s="7">
        <v>19900</v>
      </c>
      <c r="C187" s="1"/>
      <c r="D187" s="3">
        <f>ROUNDUP(0,0)</f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8">
        <v>0</v>
      </c>
    </row>
    <row r="188" spans="1:11" x14ac:dyDescent="0.2">
      <c r="A188" s="20"/>
      <c r="B188" s="7"/>
      <c r="C188" s="12">
        <f t="shared" si="55"/>
        <v>100</v>
      </c>
      <c r="D188" s="3"/>
      <c r="E188" s="3"/>
      <c r="F188" s="3"/>
      <c r="G188" s="3"/>
      <c r="H188" s="3"/>
      <c r="I188" s="3"/>
      <c r="J188" s="3"/>
      <c r="K188" s="8"/>
    </row>
    <row r="189" spans="1:11" x14ac:dyDescent="0.2">
      <c r="A189" s="19"/>
      <c r="B189" s="7">
        <v>20000</v>
      </c>
      <c r="C189" s="1"/>
      <c r="D189" s="3">
        <f>ROUNDUP(0,0)</f>
        <v>0</v>
      </c>
      <c r="E189" s="3">
        <f>ROUNDUP((((D187+D189)/2)*C188)/9,0)</f>
        <v>0</v>
      </c>
      <c r="F189" s="3">
        <v>0</v>
      </c>
      <c r="G189" s="3">
        <v>0</v>
      </c>
      <c r="H189" s="3">
        <f>ROUND((((F187+F189)/2)*(C188))/27,0)</f>
        <v>0</v>
      </c>
      <c r="I189" s="3">
        <v>0</v>
      </c>
      <c r="J189" s="3">
        <f>ROUND((((G187+G189)/2)*(1.1)*(C188))/27,0)</f>
        <v>0</v>
      </c>
      <c r="K189" s="8">
        <v>0</v>
      </c>
    </row>
    <row r="190" spans="1:11" x14ac:dyDescent="0.2">
      <c r="A190" s="17">
        <f>A184+1</f>
        <v>178</v>
      </c>
      <c r="B190" s="23"/>
      <c r="C190" s="13">
        <f>B191-B189</f>
        <v>100</v>
      </c>
      <c r="D190" s="4">
        <f t="shared" ref="D190:G190" si="74">SUM(D191:D195)</f>
        <v>66</v>
      </c>
      <c r="E190" s="4">
        <f t="shared" si="74"/>
        <v>0</v>
      </c>
      <c r="F190" s="4">
        <f t="shared" si="74"/>
        <v>22</v>
      </c>
      <c r="G190" s="4">
        <f t="shared" si="74"/>
        <v>11</v>
      </c>
      <c r="H190" s="4">
        <f>SUM(H191:H195)</f>
        <v>0</v>
      </c>
      <c r="I190" s="4">
        <f t="shared" ref="I190:K190" si="75">SUM(I191:I195)</f>
        <v>0</v>
      </c>
      <c r="J190" s="4">
        <f t="shared" si="75"/>
        <v>0</v>
      </c>
      <c r="K190" s="22">
        <f t="shared" si="75"/>
        <v>0</v>
      </c>
    </row>
    <row r="191" spans="1:11" x14ac:dyDescent="0.2">
      <c r="A191" s="19"/>
      <c r="B191" s="7">
        <v>20100</v>
      </c>
      <c r="C191" s="1"/>
      <c r="D191" s="3">
        <v>0</v>
      </c>
      <c r="E191" s="3">
        <f>ROUNDUP((((D189+D191)/2)*C190)/9,0)</f>
        <v>0</v>
      </c>
      <c r="F191" s="3">
        <v>0</v>
      </c>
      <c r="G191" s="3">
        <v>0</v>
      </c>
      <c r="H191" s="3">
        <f>ROUND((((F189+F191)/2)*(C190))/27,0)</f>
        <v>0</v>
      </c>
      <c r="I191" s="3">
        <v>0</v>
      </c>
      <c r="J191" s="3">
        <f>ROUND((((G189+G191)/2)*(1.1)*(C190))/27,0)</f>
        <v>0</v>
      </c>
      <c r="K191" s="8">
        <v>0</v>
      </c>
    </row>
    <row r="192" spans="1:11" x14ac:dyDescent="0.2">
      <c r="A192" s="20"/>
      <c r="B192" s="7"/>
      <c r="C192" s="12">
        <f t="shared" si="55"/>
        <v>100</v>
      </c>
      <c r="D192" s="3"/>
      <c r="E192" s="3"/>
      <c r="F192" s="3"/>
      <c r="G192" s="3"/>
      <c r="H192" s="3"/>
      <c r="I192" s="3"/>
      <c r="J192" s="3"/>
      <c r="K192" s="8"/>
    </row>
    <row r="193" spans="1:11" x14ac:dyDescent="0.2">
      <c r="A193" s="19"/>
      <c r="B193" s="7">
        <v>20200</v>
      </c>
      <c r="C193" s="1"/>
      <c r="D193" s="3">
        <v>0</v>
      </c>
      <c r="E193" s="3">
        <f>ROUNDUP((((D191+D193)/2)*C192)/9,0)</f>
        <v>0</v>
      </c>
      <c r="F193" s="3">
        <v>0</v>
      </c>
      <c r="G193" s="3">
        <v>0</v>
      </c>
      <c r="H193" s="3">
        <f>ROUND((((F191+F193)/2)*(C192))/27,0)</f>
        <v>0</v>
      </c>
      <c r="I193" s="3">
        <v>0</v>
      </c>
      <c r="J193" s="3">
        <f>ROUND((((G191+G193)/2)*(1.1)*(C192))/27,0)</f>
        <v>0</v>
      </c>
      <c r="K193" s="8">
        <v>0</v>
      </c>
    </row>
    <row r="194" spans="1:11" x14ac:dyDescent="0.2">
      <c r="A194" s="20"/>
      <c r="B194" s="7"/>
      <c r="C194" s="12">
        <f t="shared" si="55"/>
        <v>5.9599999999991269</v>
      </c>
      <c r="D194" s="3"/>
      <c r="E194" s="3"/>
      <c r="F194" s="3"/>
      <c r="G194" s="3"/>
      <c r="H194" s="3"/>
      <c r="I194" s="3"/>
      <c r="J194" s="3"/>
      <c r="K194" s="8"/>
    </row>
    <row r="195" spans="1:11" x14ac:dyDescent="0.2">
      <c r="A195" s="19" t="s">
        <v>23</v>
      </c>
      <c r="B195" s="7">
        <v>20205.96</v>
      </c>
      <c r="C195" s="1"/>
      <c r="D195" s="3">
        <f>ROUNDUP(20.4072+6.0016+11.7298+27.5362,0)</f>
        <v>66</v>
      </c>
      <c r="E195" s="3">
        <v>0</v>
      </c>
      <c r="F195" s="3">
        <v>22</v>
      </c>
      <c r="G195" s="3">
        <v>11</v>
      </c>
      <c r="H195" s="3">
        <v>0</v>
      </c>
      <c r="I195" s="3">
        <v>0</v>
      </c>
      <c r="J195" s="3">
        <v>0</v>
      </c>
      <c r="K195" s="8">
        <v>0</v>
      </c>
    </row>
    <row r="196" spans="1:11" x14ac:dyDescent="0.2">
      <c r="A196" s="17">
        <f>A190+1</f>
        <v>179</v>
      </c>
      <c r="B196" s="23"/>
      <c r="C196" s="13">
        <f>B197-B195</f>
        <v>44.040000000000873</v>
      </c>
      <c r="D196" s="4">
        <f t="shared" ref="D196:G196" si="76">SUM(D197:D201)</f>
        <v>152</v>
      </c>
      <c r="E196" s="4">
        <f t="shared" si="76"/>
        <v>846</v>
      </c>
      <c r="F196" s="4">
        <f t="shared" si="76"/>
        <v>162</v>
      </c>
      <c r="G196" s="4">
        <f t="shared" si="76"/>
        <v>51</v>
      </c>
      <c r="H196" s="4">
        <f>SUM(H197:H201)</f>
        <v>249</v>
      </c>
      <c r="I196" s="4">
        <f t="shared" ref="I196:K196" si="77">SUM(I197:I201)</f>
        <v>249</v>
      </c>
      <c r="J196" s="4">
        <f t="shared" si="77"/>
        <v>107</v>
      </c>
      <c r="K196" s="22">
        <f t="shared" si="77"/>
        <v>107</v>
      </c>
    </row>
    <row r="197" spans="1:11" x14ac:dyDescent="0.2">
      <c r="A197" s="19"/>
      <c r="B197" s="7">
        <v>20250</v>
      </c>
      <c r="C197" s="1"/>
      <c r="D197" s="3">
        <f>ROUNDUP(27.8019+6.0016+5.8888+16.8324,0)</f>
        <v>57</v>
      </c>
      <c r="E197" s="3">
        <f>ROUNDUP((((D195+D197)/2)*C196)/9,0)</f>
        <v>301</v>
      </c>
      <c r="F197" s="3">
        <v>43</v>
      </c>
      <c r="G197" s="3">
        <v>31</v>
      </c>
      <c r="H197" s="3">
        <f>ROUND((((F195+F197)/2)*(C196))/27,0)</f>
        <v>53</v>
      </c>
      <c r="I197" s="3">
        <v>53</v>
      </c>
      <c r="J197" s="3">
        <f>ROUND((((G195+G197)/2)*(1.1)*(C196))/27,0)</f>
        <v>38</v>
      </c>
      <c r="K197" s="8">
        <v>38</v>
      </c>
    </row>
    <row r="198" spans="1:11" x14ac:dyDescent="0.2">
      <c r="A198" s="20"/>
      <c r="B198" s="7"/>
      <c r="C198" s="12">
        <f t="shared" ref="C198:C258" si="78">B199-B197</f>
        <v>50</v>
      </c>
      <c r="D198" s="3"/>
      <c r="E198" s="3"/>
      <c r="F198" s="3"/>
      <c r="G198" s="3"/>
      <c r="H198" s="3"/>
      <c r="I198" s="3"/>
      <c r="J198" s="3"/>
      <c r="K198" s="8"/>
    </row>
    <row r="199" spans="1:11" x14ac:dyDescent="0.2">
      <c r="A199" s="19"/>
      <c r="B199" s="7">
        <v>20300</v>
      </c>
      <c r="C199" s="1"/>
      <c r="D199" s="3">
        <f>ROUNDUP(16.9687+6.0016+5.7293+14.3986,0)</f>
        <v>44</v>
      </c>
      <c r="E199" s="3">
        <f>ROUNDUP((((D197+D199)/2)*C198)/9,0)</f>
        <v>281</v>
      </c>
      <c r="F199" s="3">
        <v>50</v>
      </c>
      <c r="G199" s="3">
        <v>17</v>
      </c>
      <c r="H199" s="3">
        <f>ROUND((((F197+F199)/2)*(C198))/27,0)</f>
        <v>86</v>
      </c>
      <c r="I199" s="3">
        <v>86</v>
      </c>
      <c r="J199" s="3">
        <f>ROUND((((G197+G199)/2)*(1.1)*(C198))/27,0)</f>
        <v>49</v>
      </c>
      <c r="K199" s="8">
        <v>49</v>
      </c>
    </row>
    <row r="200" spans="1:11" x14ac:dyDescent="0.2">
      <c r="A200" s="20"/>
      <c r="B200" s="7"/>
      <c r="C200" s="12">
        <f t="shared" si="78"/>
        <v>50</v>
      </c>
      <c r="D200" s="3"/>
      <c r="E200" s="3"/>
      <c r="F200" s="3"/>
      <c r="G200" s="3"/>
      <c r="H200" s="3"/>
      <c r="I200" s="3"/>
      <c r="J200" s="3"/>
      <c r="K200" s="8"/>
    </row>
    <row r="201" spans="1:11" x14ac:dyDescent="0.2">
      <c r="A201" s="19"/>
      <c r="B201" s="7">
        <v>20350</v>
      </c>
      <c r="C201" s="1"/>
      <c r="D201" s="3">
        <f>ROUNDUP(24.3315+6.0016+5.5697+14.7359,0)</f>
        <v>51</v>
      </c>
      <c r="E201" s="3">
        <f>ROUNDUP((((D199+D201)/2)*C200)/9,0)</f>
        <v>264</v>
      </c>
      <c r="F201" s="3">
        <v>69</v>
      </c>
      <c r="G201" s="3">
        <v>3</v>
      </c>
      <c r="H201" s="3">
        <f>ROUND((((F199+F201)/2)*(C200))/27,0)</f>
        <v>110</v>
      </c>
      <c r="I201" s="3">
        <v>110</v>
      </c>
      <c r="J201" s="3">
        <f>ROUND((((G199+G201)/2)*(1.1)*(C200))/27,0)</f>
        <v>20</v>
      </c>
      <c r="K201" s="8">
        <v>20</v>
      </c>
    </row>
    <row r="202" spans="1:11" x14ac:dyDescent="0.2">
      <c r="A202" s="17">
        <f>A196+1</f>
        <v>180</v>
      </c>
      <c r="B202" s="23"/>
      <c r="C202" s="13">
        <f>B203-B201</f>
        <v>50</v>
      </c>
      <c r="D202" s="4">
        <f t="shared" ref="D202:G202" si="79">SUM(D203:D205)</f>
        <v>90</v>
      </c>
      <c r="E202" s="4">
        <f t="shared" si="79"/>
        <v>559</v>
      </c>
      <c r="F202" s="4">
        <f t="shared" si="79"/>
        <v>288</v>
      </c>
      <c r="G202" s="4">
        <f t="shared" si="79"/>
        <v>1</v>
      </c>
      <c r="H202" s="4">
        <f>SUM(H203:H205)</f>
        <v>410</v>
      </c>
      <c r="I202" s="4">
        <f t="shared" ref="I202:K202" si="80">SUM(I203:I205)</f>
        <v>410</v>
      </c>
      <c r="J202" s="4">
        <f t="shared" si="80"/>
        <v>5</v>
      </c>
      <c r="K202" s="22">
        <f t="shared" si="80"/>
        <v>5</v>
      </c>
    </row>
    <row r="203" spans="1:11" x14ac:dyDescent="0.2">
      <c r="A203" s="19"/>
      <c r="B203" s="7">
        <v>20400</v>
      </c>
      <c r="C203" s="1"/>
      <c r="D203" s="3">
        <f>ROUNDUP(31.3347+6.0016+5.4134+16.606,0)</f>
        <v>60</v>
      </c>
      <c r="E203" s="3">
        <f>ROUNDUP((((D201+D203)/2)*C202)/9,0)</f>
        <v>309</v>
      </c>
      <c r="F203" s="3">
        <v>85</v>
      </c>
      <c r="G203" s="3">
        <v>1</v>
      </c>
      <c r="H203" s="3">
        <f>ROUND((((F201+F203)/2)*(C202))/27,0)</f>
        <v>143</v>
      </c>
      <c r="I203" s="3">
        <v>143</v>
      </c>
      <c r="J203" s="3">
        <f>ROUND((((G201+G203)/2)*(1.1)*(C202))/27,0)</f>
        <v>4</v>
      </c>
      <c r="K203" s="8">
        <v>4</v>
      </c>
    </row>
    <row r="204" spans="1:11" x14ac:dyDescent="0.2">
      <c r="A204" s="20"/>
      <c r="B204" s="7"/>
      <c r="C204" s="12">
        <f t="shared" si="78"/>
        <v>50</v>
      </c>
      <c r="D204" s="3"/>
      <c r="E204" s="3"/>
      <c r="F204" s="3"/>
      <c r="G204" s="3"/>
      <c r="H204" s="3"/>
      <c r="I204" s="3"/>
      <c r="J204" s="3"/>
      <c r="K204" s="8"/>
    </row>
    <row r="205" spans="1:11" x14ac:dyDescent="0.2">
      <c r="A205" s="19"/>
      <c r="B205" s="7">
        <v>20450</v>
      </c>
      <c r="C205" s="1"/>
      <c r="D205" s="3">
        <f>ROUNDUP(23.1157+6.0016,0)</f>
        <v>30</v>
      </c>
      <c r="E205" s="3">
        <f>ROUNDUP((((D203+D205)/2)*C204)/9,0)</f>
        <v>250</v>
      </c>
      <c r="F205" s="3">
        <v>203</v>
      </c>
      <c r="G205" s="3">
        <v>0</v>
      </c>
      <c r="H205" s="3">
        <f>ROUND((((F203+F205)/2)*(C204))/27,0)</f>
        <v>267</v>
      </c>
      <c r="I205" s="3">
        <v>267</v>
      </c>
      <c r="J205" s="3">
        <f>ROUND((((G203+G205)/2)*(1.1)*(C204))/27,0)</f>
        <v>1</v>
      </c>
      <c r="K205" s="8">
        <v>1</v>
      </c>
    </row>
    <row r="206" spans="1:11" x14ac:dyDescent="0.2">
      <c r="A206" s="17">
        <f>A202+1</f>
        <v>181</v>
      </c>
      <c r="B206" s="23"/>
      <c r="C206" s="13">
        <f>B207-B205</f>
        <v>50</v>
      </c>
      <c r="D206" s="4">
        <f t="shared" ref="D206:G206" si="81">SUM(D207:D211)</f>
        <v>131</v>
      </c>
      <c r="E206" s="4">
        <f t="shared" si="81"/>
        <v>687</v>
      </c>
      <c r="F206" s="4">
        <f t="shared" si="81"/>
        <v>230</v>
      </c>
      <c r="G206" s="4">
        <f t="shared" si="81"/>
        <v>41</v>
      </c>
      <c r="H206" s="4">
        <f>SUM(H207:H211)</f>
        <v>555</v>
      </c>
      <c r="I206" s="4">
        <f t="shared" ref="I206:K206" si="82">SUM(I207:I211)</f>
        <v>555</v>
      </c>
      <c r="J206" s="4">
        <f t="shared" si="82"/>
        <v>71</v>
      </c>
      <c r="K206" s="22">
        <f t="shared" si="82"/>
        <v>69</v>
      </c>
    </row>
    <row r="207" spans="1:11" x14ac:dyDescent="0.2">
      <c r="A207" s="19"/>
      <c r="B207" s="7">
        <v>20500</v>
      </c>
      <c r="C207" s="1"/>
      <c r="D207" s="3">
        <f>ROUNDUP(22.1724+6.0017+10.8142,0)</f>
        <v>39</v>
      </c>
      <c r="E207" s="3">
        <f>ROUNDUP((((D205+D207)/2)*C206)/9,0)</f>
        <v>192</v>
      </c>
      <c r="F207" s="3">
        <v>96</v>
      </c>
      <c r="G207" s="3">
        <v>9</v>
      </c>
      <c r="H207" s="3">
        <f>ROUND((((F205+F207)/2)*(C206))/27,0)</f>
        <v>277</v>
      </c>
      <c r="I207" s="3">
        <v>277</v>
      </c>
      <c r="J207" s="3">
        <f>ROUND((((G205+G207)/2)*(1.1)*(C206))/27,0)</f>
        <v>9</v>
      </c>
      <c r="K207" s="8">
        <v>9</v>
      </c>
    </row>
    <row r="208" spans="1:11" x14ac:dyDescent="0.2">
      <c r="A208" s="20"/>
      <c r="B208" s="7"/>
      <c r="C208" s="12">
        <f t="shared" si="78"/>
        <v>50</v>
      </c>
      <c r="D208" s="3"/>
      <c r="E208" s="3"/>
      <c r="F208" s="3"/>
      <c r="G208" s="3"/>
      <c r="H208" s="3"/>
      <c r="I208" s="3"/>
      <c r="J208" s="3"/>
      <c r="K208" s="8"/>
    </row>
    <row r="209" spans="1:11" x14ac:dyDescent="0.2">
      <c r="A209" s="19"/>
      <c r="B209" s="7">
        <v>20550</v>
      </c>
      <c r="C209" s="1"/>
      <c r="D209" s="3">
        <f>ROUNDUP(19.3777+6.0011+5.0009+15.8276,0)</f>
        <v>47</v>
      </c>
      <c r="E209" s="3">
        <f>ROUNDUP((((D207+D209)/2)*C208)/9,0)</f>
        <v>239</v>
      </c>
      <c r="F209" s="3">
        <v>70</v>
      </c>
      <c r="G209" s="3">
        <v>19</v>
      </c>
      <c r="H209" s="3">
        <f>ROUND((((F207+F209)/2)*(C208))/27,0)</f>
        <v>154</v>
      </c>
      <c r="I209" s="3">
        <v>154</v>
      </c>
      <c r="J209" s="3">
        <f>ROUND((((G207+G209)/2)*(1.1)*(C208))/27,0)</f>
        <v>29</v>
      </c>
      <c r="K209" s="29">
        <v>28</v>
      </c>
    </row>
    <row r="210" spans="1:11" x14ac:dyDescent="0.2">
      <c r="A210" s="20"/>
      <c r="B210" s="7"/>
      <c r="C210" s="12">
        <f t="shared" si="78"/>
        <v>50</v>
      </c>
      <c r="D210" s="3"/>
      <c r="E210" s="3"/>
      <c r="F210" s="3"/>
      <c r="G210" s="3"/>
      <c r="H210" s="3"/>
      <c r="I210" s="3"/>
      <c r="J210" s="3"/>
      <c r="K210" s="8"/>
    </row>
    <row r="211" spans="1:11" x14ac:dyDescent="0.2">
      <c r="A211" s="19"/>
      <c r="B211" s="7">
        <v>20600</v>
      </c>
      <c r="C211" s="1"/>
      <c r="D211" s="3">
        <f>ROUNDUP(24.1795+2.1535+5.0009+12.9872,0)</f>
        <v>45</v>
      </c>
      <c r="E211" s="3">
        <f>ROUNDUP((((D209+D211)/2)*C210)/9,0)</f>
        <v>256</v>
      </c>
      <c r="F211" s="3">
        <v>64</v>
      </c>
      <c r="G211" s="3">
        <v>13</v>
      </c>
      <c r="H211" s="3">
        <f>ROUND((((F209+F211)/2)*(C210))/27,0)</f>
        <v>124</v>
      </c>
      <c r="I211" s="3">
        <v>124</v>
      </c>
      <c r="J211" s="3">
        <f>ROUND((((G209+G211)/2)*(1.1)*(C210))/27,0)</f>
        <v>33</v>
      </c>
      <c r="K211" s="29">
        <v>32</v>
      </c>
    </row>
    <row r="212" spans="1:11" x14ac:dyDescent="0.2">
      <c r="A212" s="17">
        <f>A206+1</f>
        <v>182</v>
      </c>
      <c r="B212" s="23"/>
      <c r="C212" s="13">
        <f>B213-B211</f>
        <v>50</v>
      </c>
      <c r="D212" s="4">
        <f t="shared" ref="D212:G212" si="83">SUM(D213:D217)</f>
        <v>87</v>
      </c>
      <c r="E212" s="4">
        <f t="shared" si="83"/>
        <v>517</v>
      </c>
      <c r="F212" s="4">
        <f t="shared" si="83"/>
        <v>186</v>
      </c>
      <c r="G212" s="4">
        <f t="shared" si="83"/>
        <v>114</v>
      </c>
      <c r="H212" s="4">
        <f>SUM(H213:H217)</f>
        <v>339</v>
      </c>
      <c r="I212" s="4">
        <f t="shared" ref="I212:K212" si="84">SUM(I213:I217)</f>
        <v>339</v>
      </c>
      <c r="J212" s="4">
        <f t="shared" si="84"/>
        <v>210</v>
      </c>
      <c r="K212" s="22">
        <f t="shared" si="84"/>
        <v>210</v>
      </c>
    </row>
    <row r="213" spans="1:11" x14ac:dyDescent="0.2">
      <c r="A213" s="19"/>
      <c r="B213" s="7">
        <v>20650</v>
      </c>
      <c r="C213" s="1"/>
      <c r="D213" s="3">
        <f>ROUNDUP(5.0009+22.7304,0)</f>
        <v>28</v>
      </c>
      <c r="E213" s="3">
        <f>ROUNDUP((((D211+D213)/2)*C212)/9,0)</f>
        <v>203</v>
      </c>
      <c r="F213" s="3">
        <v>57</v>
      </c>
      <c r="G213" s="3">
        <v>51</v>
      </c>
      <c r="H213" s="3">
        <f>ROUND((((F211+F213)/2)*(C212))/27,0)</f>
        <v>112</v>
      </c>
      <c r="I213" s="3">
        <v>112</v>
      </c>
      <c r="J213" s="3">
        <f>ROUND((((G211+G213)/2)*(1.1)*(C212))/27,0)</f>
        <v>65</v>
      </c>
      <c r="K213" s="8">
        <v>65</v>
      </c>
    </row>
    <row r="214" spans="1:11" x14ac:dyDescent="0.2">
      <c r="A214" s="20"/>
      <c r="B214" s="7"/>
      <c r="C214" s="12">
        <f t="shared" si="78"/>
        <v>50</v>
      </c>
      <c r="D214" s="3"/>
      <c r="E214" s="3"/>
      <c r="F214" s="3"/>
      <c r="G214" s="3"/>
      <c r="H214" s="3"/>
      <c r="I214" s="3"/>
      <c r="J214" s="3"/>
      <c r="K214" s="8"/>
    </row>
    <row r="215" spans="1:11" x14ac:dyDescent="0.2">
      <c r="A215" s="19"/>
      <c r="B215" s="7">
        <v>20700</v>
      </c>
      <c r="C215" s="1"/>
      <c r="D215" s="3">
        <f>ROUNDUP(1.5713+3.2659+5.0009+16.0138,0)</f>
        <v>26</v>
      </c>
      <c r="E215" s="3">
        <f>ROUNDUP((((D213+D215)/2)*C214)/9,0)</f>
        <v>150</v>
      </c>
      <c r="F215" s="3">
        <v>60</v>
      </c>
      <c r="G215" s="3">
        <v>29</v>
      </c>
      <c r="H215" s="3">
        <f>ROUND((((F213+F215)/2)*(C214))/27,0)</f>
        <v>108</v>
      </c>
      <c r="I215" s="3">
        <v>108</v>
      </c>
      <c r="J215" s="3">
        <f>ROUND((((G213+G215)/2)*(1.1)*(C214))/27,0)</f>
        <v>81</v>
      </c>
      <c r="K215" s="8">
        <v>81</v>
      </c>
    </row>
    <row r="216" spans="1:11" x14ac:dyDescent="0.2">
      <c r="A216" s="20"/>
      <c r="B216" s="7"/>
      <c r="C216" s="12">
        <f t="shared" si="78"/>
        <v>50</v>
      </c>
      <c r="D216" s="3"/>
      <c r="E216" s="3"/>
      <c r="F216" s="3"/>
      <c r="G216" s="3"/>
      <c r="H216" s="3"/>
      <c r="I216" s="3"/>
      <c r="J216" s="3"/>
      <c r="K216" s="8"/>
    </row>
    <row r="217" spans="1:11" x14ac:dyDescent="0.2">
      <c r="A217" s="19"/>
      <c r="B217" s="7">
        <v>20750</v>
      </c>
      <c r="C217" s="1"/>
      <c r="D217" s="3">
        <f>ROUNDUP(5.6805+6.0011+5.0009+15.5295,0)</f>
        <v>33</v>
      </c>
      <c r="E217" s="3">
        <f>ROUNDUP((((D215+D217)/2)*C216)/9,0)</f>
        <v>164</v>
      </c>
      <c r="F217" s="3">
        <v>69</v>
      </c>
      <c r="G217" s="3">
        <v>34</v>
      </c>
      <c r="H217" s="3">
        <f>ROUND((((F215+F217)/2)*(C216))/27,0)</f>
        <v>119</v>
      </c>
      <c r="I217" s="3">
        <v>119</v>
      </c>
      <c r="J217" s="3">
        <f>ROUND((((G215+G217)/2)*(1.1)*(C216))/27,0)</f>
        <v>64</v>
      </c>
      <c r="K217" s="8">
        <v>64</v>
      </c>
    </row>
    <row r="218" spans="1:11" x14ac:dyDescent="0.2">
      <c r="A218" s="17">
        <f>A212+1</f>
        <v>183</v>
      </c>
      <c r="B218" s="23"/>
      <c r="C218" s="13">
        <f>B219-B217</f>
        <v>50</v>
      </c>
      <c r="D218" s="4">
        <f t="shared" ref="D218:G218" si="85">SUM(D219:D223)</f>
        <v>102</v>
      </c>
      <c r="E218" s="4">
        <f t="shared" si="85"/>
        <v>568</v>
      </c>
      <c r="F218" s="4">
        <f t="shared" si="85"/>
        <v>278</v>
      </c>
      <c r="G218" s="4">
        <f t="shared" si="85"/>
        <v>61</v>
      </c>
      <c r="H218" s="4">
        <f>SUM(H219:H223)</f>
        <v>487</v>
      </c>
      <c r="I218" s="4">
        <f t="shared" ref="I218:K218" si="86">SUM(I219:I223)</f>
        <v>487</v>
      </c>
      <c r="J218" s="4">
        <f t="shared" si="86"/>
        <v>135</v>
      </c>
      <c r="K218" s="22">
        <f t="shared" si="86"/>
        <v>134</v>
      </c>
    </row>
    <row r="219" spans="1:11" x14ac:dyDescent="0.2">
      <c r="A219" s="19"/>
      <c r="B219" s="7">
        <v>20800</v>
      </c>
      <c r="C219" s="1"/>
      <c r="D219" s="3">
        <f>ROUNDUP(7.9893+6.0011+5.0009+18.2166,0)</f>
        <v>38</v>
      </c>
      <c r="E219" s="3">
        <f>ROUNDUP((((D217+D219)/2)*C218)/9,0)</f>
        <v>198</v>
      </c>
      <c r="F219" s="3">
        <v>90</v>
      </c>
      <c r="G219" s="3">
        <v>24</v>
      </c>
      <c r="H219" s="3">
        <f>ROUND((((F217+F219)/2)*(C218))/27,0)</f>
        <v>147</v>
      </c>
      <c r="I219" s="3">
        <v>147</v>
      </c>
      <c r="J219" s="3">
        <f>ROUND((((G217+G219)/2)*(1.1)*(C218))/27,0)</f>
        <v>59</v>
      </c>
      <c r="K219" s="8">
        <v>59</v>
      </c>
    </row>
    <row r="220" spans="1:11" x14ac:dyDescent="0.2">
      <c r="A220" s="20"/>
      <c r="B220" s="7"/>
      <c r="C220" s="12">
        <f t="shared" si="78"/>
        <v>50</v>
      </c>
      <c r="D220" s="3"/>
      <c r="E220" s="3"/>
      <c r="F220" s="3"/>
      <c r="G220" s="3"/>
      <c r="H220" s="3"/>
      <c r="I220" s="3"/>
      <c r="J220" s="3"/>
      <c r="K220" s="8"/>
    </row>
    <row r="221" spans="1:11" x14ac:dyDescent="0.2">
      <c r="A221" s="19"/>
      <c r="B221" s="7">
        <v>20850</v>
      </c>
      <c r="C221" s="1"/>
      <c r="D221" s="3">
        <f>ROUNDUP(3.8153+6.0009+5.0009+15.4207,0)</f>
        <v>31</v>
      </c>
      <c r="E221" s="3">
        <f>ROUNDUP((((D219+D221)/2)*C220)/9,0)</f>
        <v>192</v>
      </c>
      <c r="F221" s="3">
        <v>89</v>
      </c>
      <c r="G221" s="3">
        <v>13</v>
      </c>
      <c r="H221" s="3">
        <f>ROUND((((F219+F221)/2)*(C220))/27,0)</f>
        <v>166</v>
      </c>
      <c r="I221" s="3">
        <v>166</v>
      </c>
      <c r="J221" s="3">
        <f>ROUND((((G219+G221)/2)*(1.1)*(C220))/27,0)</f>
        <v>38</v>
      </c>
      <c r="K221" s="29">
        <v>37</v>
      </c>
    </row>
    <row r="222" spans="1:11" x14ac:dyDescent="0.2">
      <c r="A222" s="20"/>
      <c r="B222" s="7"/>
      <c r="C222" s="12">
        <f t="shared" si="78"/>
        <v>50</v>
      </c>
      <c r="D222" s="3"/>
      <c r="E222" s="3"/>
      <c r="F222" s="3"/>
      <c r="G222" s="3"/>
      <c r="H222" s="3"/>
      <c r="I222" s="3"/>
      <c r="J222" s="3"/>
      <c r="K222" s="8"/>
    </row>
    <row r="223" spans="1:11" x14ac:dyDescent="0.2">
      <c r="A223" s="19"/>
      <c r="B223" s="7">
        <v>20900</v>
      </c>
      <c r="C223" s="1"/>
      <c r="D223" s="3">
        <f>ROUNDUP(2.0143+6.0002+5.0009+19.2885,0)</f>
        <v>33</v>
      </c>
      <c r="E223" s="3">
        <f>ROUNDUP((((D221+D223)/2)*C222)/9,0)</f>
        <v>178</v>
      </c>
      <c r="F223" s="3">
        <v>99</v>
      </c>
      <c r="G223" s="3">
        <v>24</v>
      </c>
      <c r="H223" s="3">
        <f>ROUND((((F221+F223)/2)*(C222))/27,0)</f>
        <v>174</v>
      </c>
      <c r="I223" s="3">
        <v>174</v>
      </c>
      <c r="J223" s="3">
        <f>ROUND((((G221+G223)/2)*(1.1)*(C222))/27,0)</f>
        <v>38</v>
      </c>
      <c r="K223" s="8">
        <v>38</v>
      </c>
    </row>
    <row r="224" spans="1:11" x14ac:dyDescent="0.2">
      <c r="A224" s="17">
        <f>A218+1</f>
        <v>184</v>
      </c>
      <c r="B224" s="23"/>
      <c r="C224" s="13">
        <f>B225-B223</f>
        <v>50</v>
      </c>
      <c r="D224" s="4">
        <f t="shared" ref="D224:G224" si="87">SUM(D225:D229)</f>
        <v>105</v>
      </c>
      <c r="E224" s="4">
        <f t="shared" si="87"/>
        <v>557</v>
      </c>
      <c r="F224" s="4">
        <f t="shared" si="87"/>
        <v>312</v>
      </c>
      <c r="G224" s="4">
        <f t="shared" si="87"/>
        <v>35</v>
      </c>
      <c r="H224" s="4">
        <f>SUM(H225:H229)</f>
        <v>574</v>
      </c>
      <c r="I224" s="4">
        <f t="shared" ref="I224:K224" si="88">SUM(I225:I229)</f>
        <v>573</v>
      </c>
      <c r="J224" s="4">
        <f t="shared" si="88"/>
        <v>85</v>
      </c>
      <c r="K224" s="22">
        <f t="shared" si="88"/>
        <v>86</v>
      </c>
    </row>
    <row r="225" spans="1:11" x14ac:dyDescent="0.2">
      <c r="A225" s="19"/>
      <c r="B225" s="7">
        <v>20950</v>
      </c>
      <c r="C225" s="1"/>
      <c r="D225" s="3">
        <f>ROUNDUP(9.3454+6.0002+5.0009+12.1553,0)</f>
        <v>33</v>
      </c>
      <c r="E225" s="3">
        <f>ROUNDUP((((D223+D225)/2)*C224)/9,0)</f>
        <v>184</v>
      </c>
      <c r="F225" s="3">
        <v>102</v>
      </c>
      <c r="G225" s="3">
        <v>15</v>
      </c>
      <c r="H225" s="3">
        <f>ROUND((((F223+F225)/2)*(C224))/27,0)</f>
        <v>186</v>
      </c>
      <c r="I225" s="3">
        <v>186</v>
      </c>
      <c r="J225" s="3">
        <f>ROUND((((G223+G225)/2)*(1.1)*(C224))/27,0)</f>
        <v>40</v>
      </c>
      <c r="K225" s="8">
        <v>40</v>
      </c>
    </row>
    <row r="226" spans="1:11" x14ac:dyDescent="0.2">
      <c r="A226" s="20"/>
      <c r="B226" s="7"/>
      <c r="C226" s="12">
        <f t="shared" si="78"/>
        <v>50</v>
      </c>
      <c r="D226" s="3"/>
      <c r="E226" s="3"/>
      <c r="F226" s="3"/>
      <c r="G226" s="3"/>
      <c r="H226" s="3"/>
      <c r="I226" s="3"/>
      <c r="J226" s="3"/>
      <c r="K226" s="8"/>
    </row>
    <row r="227" spans="1:11" x14ac:dyDescent="0.2">
      <c r="A227" s="19"/>
      <c r="B227" s="7">
        <v>21000</v>
      </c>
      <c r="C227" s="1"/>
      <c r="D227" s="3">
        <f>ROUNDUP(9.3767+6.0002+5.0009+7.6406,0)</f>
        <v>29</v>
      </c>
      <c r="E227" s="3">
        <f>ROUNDUP((((D225+D227)/2)*C226)/9,0)</f>
        <v>173</v>
      </c>
      <c r="F227" s="3">
        <v>107</v>
      </c>
      <c r="G227" s="3">
        <v>10</v>
      </c>
      <c r="H227" s="3">
        <f>ROUND((((F225+F227)/2)*(C226))/27,0)</f>
        <v>194</v>
      </c>
      <c r="I227" s="28">
        <v>193</v>
      </c>
      <c r="J227" s="3">
        <f>ROUND((((G225+G227)/2)*(1.1)*(C226))/27,0)</f>
        <v>25</v>
      </c>
      <c r="K227" s="29">
        <v>26</v>
      </c>
    </row>
    <row r="228" spans="1:11" x14ac:dyDescent="0.2">
      <c r="A228" s="20"/>
      <c r="B228" s="7"/>
      <c r="C228" s="12">
        <f t="shared" si="78"/>
        <v>50</v>
      </c>
      <c r="D228" s="3"/>
      <c r="E228" s="3"/>
      <c r="F228" s="3"/>
      <c r="G228" s="3"/>
      <c r="H228" s="3"/>
      <c r="I228" s="3"/>
      <c r="J228" s="3"/>
      <c r="K228" s="8"/>
    </row>
    <row r="229" spans="1:11" x14ac:dyDescent="0.2">
      <c r="A229" s="19"/>
      <c r="B229" s="7">
        <v>21050</v>
      </c>
      <c r="C229" s="1"/>
      <c r="D229" s="3">
        <f>ROUNDUP(13.411+6.0002+5.0009+17.6084,0)</f>
        <v>43</v>
      </c>
      <c r="E229" s="3">
        <f>ROUNDUP((((D227+D229)/2)*C228)/9,0)</f>
        <v>200</v>
      </c>
      <c r="F229" s="3">
        <v>103</v>
      </c>
      <c r="G229" s="3">
        <v>10</v>
      </c>
      <c r="H229" s="3">
        <f>ROUND((((F227+F229)/2)*(C228))/27,0)</f>
        <v>194</v>
      </c>
      <c r="I229" s="3">
        <v>194</v>
      </c>
      <c r="J229" s="3">
        <f>ROUND((((G227+G229)/2)*(1.1)*(C228))/27,0)</f>
        <v>20</v>
      </c>
      <c r="K229" s="8">
        <v>20</v>
      </c>
    </row>
    <row r="230" spans="1:11" x14ac:dyDescent="0.2">
      <c r="A230" s="17">
        <f>A224+1</f>
        <v>185</v>
      </c>
      <c r="B230" s="23"/>
      <c r="C230" s="13">
        <f>B231-B229</f>
        <v>50</v>
      </c>
      <c r="D230" s="4">
        <f t="shared" ref="D230:G230" si="89">SUM(D231:D235)</f>
        <v>105</v>
      </c>
      <c r="E230" s="4">
        <f t="shared" si="89"/>
        <v>593</v>
      </c>
      <c r="F230" s="4">
        <f t="shared" si="89"/>
        <v>275</v>
      </c>
      <c r="G230" s="4">
        <f t="shared" si="89"/>
        <v>39</v>
      </c>
      <c r="H230" s="4">
        <f>SUM(H231:H235)</f>
        <v>524</v>
      </c>
      <c r="I230" s="4">
        <f t="shared" ref="I230:K230" si="90">SUM(I231:I235)</f>
        <v>524</v>
      </c>
      <c r="J230" s="4">
        <f t="shared" si="90"/>
        <v>80</v>
      </c>
      <c r="K230" s="22">
        <f t="shared" si="90"/>
        <v>79</v>
      </c>
    </row>
    <row r="231" spans="1:11" x14ac:dyDescent="0.2">
      <c r="A231" s="19"/>
      <c r="B231" s="7">
        <v>21100</v>
      </c>
      <c r="C231" s="1"/>
      <c r="D231" s="3">
        <f>ROUNDUP(7.5945+6.0002+5.0009+13.4598,0)</f>
        <v>33</v>
      </c>
      <c r="E231" s="3">
        <f>ROUNDUP((((D229+D231)/2)*C230)/9,0)</f>
        <v>212</v>
      </c>
      <c r="F231" s="3">
        <v>99</v>
      </c>
      <c r="G231" s="3">
        <v>11</v>
      </c>
      <c r="H231" s="3">
        <f>ROUND((((F229+F231)/2)*(C230))/27,0)</f>
        <v>187</v>
      </c>
      <c r="I231" s="3">
        <v>187</v>
      </c>
      <c r="J231" s="3">
        <f>ROUND((((G229+G231)/2)*(1.1)*(C230))/27,0)</f>
        <v>21</v>
      </c>
      <c r="K231" s="29">
        <v>22</v>
      </c>
    </row>
    <row r="232" spans="1:11" x14ac:dyDescent="0.2">
      <c r="A232" s="20"/>
      <c r="B232" s="7"/>
      <c r="C232" s="12">
        <f t="shared" si="78"/>
        <v>50</v>
      </c>
      <c r="D232" s="3"/>
      <c r="E232" s="3"/>
      <c r="F232" s="3"/>
      <c r="G232" s="3"/>
      <c r="H232" s="3"/>
      <c r="I232" s="3"/>
      <c r="J232" s="3"/>
      <c r="K232" s="8"/>
    </row>
    <row r="233" spans="1:11" x14ac:dyDescent="0.2">
      <c r="A233" s="19"/>
      <c r="B233" s="7">
        <v>21150</v>
      </c>
      <c r="C233" s="1"/>
      <c r="D233" s="3">
        <f>ROUNDUP(3.9538+5.9782+5.0224+16.1809,0)</f>
        <v>32</v>
      </c>
      <c r="E233" s="3">
        <f>ROUNDUP((((D231+D233)/2)*C232)/9,0)</f>
        <v>181</v>
      </c>
      <c r="F233" s="3">
        <v>89</v>
      </c>
      <c r="G233" s="3">
        <v>18</v>
      </c>
      <c r="H233" s="3">
        <f>ROUND((((F231+F233)/2)*(C232))/27,0)</f>
        <v>174</v>
      </c>
      <c r="I233" s="3">
        <v>174</v>
      </c>
      <c r="J233" s="3">
        <f>ROUND((((G231+G233)/2)*(1.1)*(C232))/27,0)</f>
        <v>30</v>
      </c>
      <c r="K233" s="29">
        <v>29</v>
      </c>
    </row>
    <row r="234" spans="1:11" x14ac:dyDescent="0.2">
      <c r="A234" s="20"/>
      <c r="B234" s="7"/>
      <c r="C234" s="12">
        <f t="shared" si="78"/>
        <v>50</v>
      </c>
      <c r="D234" s="3"/>
      <c r="E234" s="3"/>
      <c r="F234" s="3"/>
      <c r="G234" s="3"/>
      <c r="H234" s="3"/>
      <c r="I234" s="3"/>
      <c r="J234" s="3"/>
      <c r="K234" s="8"/>
    </row>
    <row r="235" spans="1:11" x14ac:dyDescent="0.2">
      <c r="A235" s="19"/>
      <c r="B235" s="7">
        <v>21200</v>
      </c>
      <c r="C235" s="1"/>
      <c r="D235" s="3">
        <f>ROUNDUP(9.7545+6.0011+5.0009+18.5267,0)</f>
        <v>40</v>
      </c>
      <c r="E235" s="3">
        <f>ROUNDUP((((D233+D235)/2)*C234)/9,0)</f>
        <v>200</v>
      </c>
      <c r="F235" s="3">
        <v>87</v>
      </c>
      <c r="G235" s="3">
        <v>10</v>
      </c>
      <c r="H235" s="3">
        <f>ROUND((((F233+F235)/2)*(C234))/27,0)</f>
        <v>163</v>
      </c>
      <c r="I235" s="3">
        <v>163</v>
      </c>
      <c r="J235" s="3">
        <f>ROUND((((G233+G235)/2)*(1.1)*(C234))/27,0)</f>
        <v>29</v>
      </c>
      <c r="K235" s="29">
        <v>28</v>
      </c>
    </row>
    <row r="236" spans="1:11" x14ac:dyDescent="0.2">
      <c r="A236" s="17">
        <f>A230+1</f>
        <v>186</v>
      </c>
      <c r="B236" s="23"/>
      <c r="C236" s="13">
        <f>B237-B235</f>
        <v>50</v>
      </c>
      <c r="D236" s="4">
        <f t="shared" ref="D236:G236" si="91">SUM(D237:D241)</f>
        <v>121</v>
      </c>
      <c r="E236" s="4">
        <f t="shared" si="91"/>
        <v>685</v>
      </c>
      <c r="F236" s="4">
        <f t="shared" si="91"/>
        <v>230</v>
      </c>
      <c r="G236" s="4">
        <f t="shared" si="91"/>
        <v>115</v>
      </c>
      <c r="H236" s="4">
        <f>SUM(H237:H241)</f>
        <v>440</v>
      </c>
      <c r="I236" s="4">
        <f t="shared" ref="I236:K236" si="92">SUM(I237:I241)</f>
        <v>440</v>
      </c>
      <c r="J236" s="4">
        <f t="shared" si="92"/>
        <v>217</v>
      </c>
      <c r="K236" s="22">
        <f t="shared" si="92"/>
        <v>217</v>
      </c>
    </row>
    <row r="237" spans="1:11" x14ac:dyDescent="0.2">
      <c r="A237" s="19"/>
      <c r="B237" s="7">
        <v>21250</v>
      </c>
      <c r="C237" s="1"/>
      <c r="D237" s="3">
        <f>ROUNDUP(24.0979+5.0009+12.9563,0)</f>
        <v>43</v>
      </c>
      <c r="E237" s="3">
        <f>ROUNDUP((((D235+D237)/2)*C236)/9,0)</f>
        <v>231</v>
      </c>
      <c r="F237" s="3">
        <v>81</v>
      </c>
      <c r="G237" s="3">
        <v>28</v>
      </c>
      <c r="H237" s="3">
        <f>ROUND((((F235+F237)/2)*(C236))/27,0)</f>
        <v>156</v>
      </c>
      <c r="I237" s="3">
        <v>156</v>
      </c>
      <c r="J237" s="3">
        <f>ROUND((((G235+G237)/2)*(1.1)*(C236))/27,0)</f>
        <v>39</v>
      </c>
      <c r="K237" s="8">
        <v>39</v>
      </c>
    </row>
    <row r="238" spans="1:11" x14ac:dyDescent="0.2">
      <c r="A238" s="20"/>
      <c r="B238" s="7"/>
      <c r="C238" s="12">
        <f t="shared" si="78"/>
        <v>50</v>
      </c>
      <c r="D238" s="3"/>
      <c r="E238" s="3"/>
      <c r="F238" s="3"/>
      <c r="G238" s="3"/>
      <c r="H238" s="3"/>
      <c r="I238" s="3"/>
      <c r="J238" s="3"/>
      <c r="K238" s="8"/>
    </row>
    <row r="239" spans="1:11" x14ac:dyDescent="0.2">
      <c r="A239" s="19"/>
      <c r="B239" s="7">
        <v>21300</v>
      </c>
      <c r="C239" s="1"/>
      <c r="D239" s="3">
        <f>ROUNDUP(18.0165+5.0009+18.2758,0)</f>
        <v>42</v>
      </c>
      <c r="E239" s="3">
        <f>ROUNDUP((((D237+D239)/2)*C238)/9,0)</f>
        <v>237</v>
      </c>
      <c r="F239" s="3">
        <v>77</v>
      </c>
      <c r="G239" s="3">
        <v>59</v>
      </c>
      <c r="H239" s="3">
        <f>ROUND((((F237+F239)/2)*(C238))/27,0)</f>
        <v>146</v>
      </c>
      <c r="I239" s="3">
        <v>146</v>
      </c>
      <c r="J239" s="3">
        <f>ROUND((((G237+G239)/2)*(1.1)*(C238))/27,0)</f>
        <v>89</v>
      </c>
      <c r="K239" s="8">
        <v>89</v>
      </c>
    </row>
    <row r="240" spans="1:11" x14ac:dyDescent="0.2">
      <c r="A240" s="20"/>
      <c r="B240" s="7"/>
      <c r="C240" s="12">
        <f t="shared" si="78"/>
        <v>50</v>
      </c>
      <c r="D240" s="3"/>
      <c r="E240" s="3"/>
      <c r="F240" s="3"/>
      <c r="G240" s="3"/>
      <c r="H240" s="3"/>
      <c r="I240" s="3"/>
      <c r="J240" s="3"/>
      <c r="K240" s="8"/>
    </row>
    <row r="241" spans="1:11" x14ac:dyDescent="0.2">
      <c r="A241" s="19"/>
      <c r="B241" s="7">
        <v>21350</v>
      </c>
      <c r="C241" s="1"/>
      <c r="D241" s="3">
        <f>ROUNDUP(16.997+5.0009+13.1053,0)</f>
        <v>36</v>
      </c>
      <c r="E241" s="3">
        <f>ROUNDUP((((D239+D241)/2)*C240)/9,0)</f>
        <v>217</v>
      </c>
      <c r="F241" s="3">
        <v>72</v>
      </c>
      <c r="G241" s="3">
        <v>28</v>
      </c>
      <c r="H241" s="3">
        <f>ROUND((((F239+F241)/2)*(C240))/27,0)</f>
        <v>138</v>
      </c>
      <c r="I241" s="3">
        <v>138</v>
      </c>
      <c r="J241" s="3">
        <f>ROUND((((G239+G241)/2)*(1.1)*(C240))/27,0)</f>
        <v>89</v>
      </c>
      <c r="K241" s="8">
        <v>89</v>
      </c>
    </row>
    <row r="242" spans="1:11" x14ac:dyDescent="0.2">
      <c r="A242" s="17">
        <f>A236+1</f>
        <v>187</v>
      </c>
      <c r="B242" s="23"/>
      <c r="C242" s="13">
        <f>B243-B241</f>
        <v>50</v>
      </c>
      <c r="D242" s="4">
        <f t="shared" ref="D242:G242" si="93">SUM(D243:D247)</f>
        <v>86</v>
      </c>
      <c r="E242" s="4">
        <f t="shared" si="93"/>
        <v>504</v>
      </c>
      <c r="F242" s="4">
        <f t="shared" si="93"/>
        <v>199</v>
      </c>
      <c r="G242" s="4">
        <f t="shared" si="93"/>
        <v>44</v>
      </c>
      <c r="H242" s="4">
        <f>SUM(H243:H247)</f>
        <v>376</v>
      </c>
      <c r="I242" s="4">
        <f t="shared" ref="I242:K242" si="94">SUM(I243:I247)</f>
        <v>377</v>
      </c>
      <c r="J242" s="4">
        <f t="shared" si="94"/>
        <v>111</v>
      </c>
      <c r="K242" s="22">
        <f t="shared" si="94"/>
        <v>109</v>
      </c>
    </row>
    <row r="243" spans="1:11" x14ac:dyDescent="0.2">
      <c r="A243" s="19"/>
      <c r="B243" s="7">
        <v>21400</v>
      </c>
      <c r="C243" s="1"/>
      <c r="D243" s="3">
        <f>ROUNDUP(14.3194+5.0009+10.5884,0)</f>
        <v>30</v>
      </c>
      <c r="E243" s="3">
        <f>ROUNDUP((((D241+D243)/2)*C242)/9,0)</f>
        <v>184</v>
      </c>
      <c r="F243" s="3">
        <v>70</v>
      </c>
      <c r="G243" s="3">
        <v>22</v>
      </c>
      <c r="H243" s="3">
        <f>ROUND((((F241+F243)/2)*(C242))/27,0)</f>
        <v>131</v>
      </c>
      <c r="I243" s="3">
        <v>131</v>
      </c>
      <c r="J243" s="3">
        <f>ROUND((((G241+G243)/2)*(1.1)*(C242))/27,0)</f>
        <v>51</v>
      </c>
      <c r="K243" s="29">
        <v>50</v>
      </c>
    </row>
    <row r="244" spans="1:11" x14ac:dyDescent="0.2">
      <c r="A244" s="20"/>
      <c r="B244" s="7"/>
      <c r="C244" s="12">
        <f t="shared" si="78"/>
        <v>50</v>
      </c>
      <c r="D244" s="3"/>
      <c r="E244" s="3"/>
      <c r="F244" s="3"/>
      <c r="G244" s="3"/>
      <c r="H244" s="3"/>
      <c r="I244" s="3"/>
      <c r="J244" s="3"/>
      <c r="K244" s="8"/>
    </row>
    <row r="245" spans="1:11" x14ac:dyDescent="0.2">
      <c r="A245" s="19"/>
      <c r="B245" s="7">
        <v>21450</v>
      </c>
      <c r="C245" s="1"/>
      <c r="D245" s="3">
        <f>ROUNDUP(16.6747+5.0009+6.9939,0)</f>
        <v>29</v>
      </c>
      <c r="E245" s="3">
        <f>ROUNDUP((((D243+D245)/2)*C244)/9,0)</f>
        <v>164</v>
      </c>
      <c r="F245" s="3">
        <v>66</v>
      </c>
      <c r="G245" s="3">
        <v>15</v>
      </c>
      <c r="H245" s="3">
        <f>ROUND((((F243+F245)/2)*(C244))/27,0)</f>
        <v>126</v>
      </c>
      <c r="I245" s="3">
        <v>126</v>
      </c>
      <c r="J245" s="3">
        <f>ROUND((((G243+G245)/2)*(1.1)*(C244))/27,0)</f>
        <v>38</v>
      </c>
      <c r="K245" s="29">
        <v>37</v>
      </c>
    </row>
    <row r="246" spans="1:11" x14ac:dyDescent="0.2">
      <c r="A246" s="20"/>
      <c r="B246" s="7"/>
      <c r="C246" s="12">
        <f t="shared" si="78"/>
        <v>50</v>
      </c>
      <c r="D246" s="3"/>
      <c r="E246" s="3"/>
      <c r="F246" s="3"/>
      <c r="G246" s="3"/>
      <c r="H246" s="3"/>
      <c r="I246" s="3"/>
      <c r="J246" s="3"/>
      <c r="K246" s="8"/>
    </row>
    <row r="247" spans="1:11" x14ac:dyDescent="0.2">
      <c r="A247" s="19"/>
      <c r="B247" s="7">
        <v>21500</v>
      </c>
      <c r="C247" s="1"/>
      <c r="D247" s="3">
        <f>ROUNDUP(16.2503+5.0009+5.1257,0)</f>
        <v>27</v>
      </c>
      <c r="E247" s="3">
        <f>ROUNDUP((((D245+D247)/2)*C246)/9,0)</f>
        <v>156</v>
      </c>
      <c r="F247" s="3">
        <v>63</v>
      </c>
      <c r="G247" s="3">
        <v>7</v>
      </c>
      <c r="H247" s="3">
        <f>ROUND((((F245+F247)/2)*(C246))/27,0)</f>
        <v>119</v>
      </c>
      <c r="I247" s="28">
        <v>120</v>
      </c>
      <c r="J247" s="3">
        <f>ROUND((((G245+G247)/2)*(1.1)*(C246))/27,0)</f>
        <v>22</v>
      </c>
      <c r="K247" s="8">
        <v>22</v>
      </c>
    </row>
    <row r="248" spans="1:11" x14ac:dyDescent="0.2">
      <c r="A248" s="17">
        <f>A242+1</f>
        <v>188</v>
      </c>
      <c r="B248" s="23"/>
      <c r="C248" s="13">
        <f>B249-B247</f>
        <v>50</v>
      </c>
      <c r="D248" s="4">
        <f t="shared" ref="D248:G248" si="95">SUM(D249:D253)</f>
        <v>82</v>
      </c>
      <c r="E248" s="4">
        <f t="shared" si="95"/>
        <v>459</v>
      </c>
      <c r="F248" s="4">
        <f t="shared" si="95"/>
        <v>176</v>
      </c>
      <c r="G248" s="4">
        <f t="shared" si="95"/>
        <v>39</v>
      </c>
      <c r="H248" s="4">
        <f>SUM(H249:H253)</f>
        <v>331</v>
      </c>
      <c r="I248" s="4">
        <f t="shared" ref="I248:K248" si="96">SUM(I249:I253)</f>
        <v>334</v>
      </c>
      <c r="J248" s="4">
        <f t="shared" si="96"/>
        <v>66</v>
      </c>
      <c r="K248" s="22">
        <f t="shared" si="96"/>
        <v>68</v>
      </c>
    </row>
    <row r="249" spans="1:11" x14ac:dyDescent="0.2">
      <c r="A249" s="19"/>
      <c r="B249" s="7">
        <v>21550</v>
      </c>
      <c r="C249" s="1"/>
      <c r="D249" s="3">
        <f>ROUNDUP(17.6484+5.0009+4.9494,0)</f>
        <v>28</v>
      </c>
      <c r="E249" s="3">
        <f>ROUNDUP((((D247+D249)/2)*C248)/9,0)</f>
        <v>153</v>
      </c>
      <c r="F249" s="3">
        <v>60</v>
      </c>
      <c r="G249" s="3">
        <v>13</v>
      </c>
      <c r="H249" s="3">
        <f>ROUND((((F247+F249)/2)*(C248))/27,0)</f>
        <v>114</v>
      </c>
      <c r="I249" s="28">
        <v>115</v>
      </c>
      <c r="J249" s="3">
        <f>ROUND((((G247+G249)/2)*(1.1)*(C248))/27,0)</f>
        <v>20</v>
      </c>
      <c r="K249" s="8">
        <v>20</v>
      </c>
    </row>
    <row r="250" spans="1:11" x14ac:dyDescent="0.2">
      <c r="A250" s="20"/>
      <c r="B250" s="7"/>
      <c r="C250" s="12">
        <f t="shared" si="78"/>
        <v>50</v>
      </c>
      <c r="D250" s="3"/>
      <c r="E250" s="3"/>
      <c r="F250" s="3"/>
      <c r="G250" s="3"/>
      <c r="H250" s="3"/>
      <c r="I250" s="3"/>
      <c r="J250" s="3"/>
      <c r="K250" s="8"/>
    </row>
    <row r="251" spans="1:11" x14ac:dyDescent="0.2">
      <c r="A251" s="19"/>
      <c r="B251" s="7">
        <v>21600</v>
      </c>
      <c r="C251" s="1"/>
      <c r="D251" s="3">
        <f>ROUNDUP(17.8306+5.0009+4.2361,0)</f>
        <v>28</v>
      </c>
      <c r="E251" s="3">
        <f>ROUNDUP((((D249+D251)/2)*C250)/9,0)</f>
        <v>156</v>
      </c>
      <c r="F251" s="3">
        <v>59</v>
      </c>
      <c r="G251" s="3">
        <v>7</v>
      </c>
      <c r="H251" s="3">
        <f>ROUND((((F249+F251)/2)*(C250))/27,0)</f>
        <v>110</v>
      </c>
      <c r="I251" s="28">
        <v>111</v>
      </c>
      <c r="J251" s="3">
        <f>ROUND((((G249+G251)/2)*(1.1)*(C250))/27,0)</f>
        <v>20</v>
      </c>
      <c r="K251" s="29">
        <v>21</v>
      </c>
    </row>
    <row r="252" spans="1:11" x14ac:dyDescent="0.2">
      <c r="A252" s="20"/>
      <c r="B252" s="7"/>
      <c r="C252" s="12">
        <f t="shared" si="78"/>
        <v>50</v>
      </c>
      <c r="D252" s="3"/>
      <c r="E252" s="3"/>
      <c r="F252" s="3"/>
      <c r="G252" s="3"/>
      <c r="H252" s="3"/>
      <c r="I252" s="3"/>
      <c r="J252" s="3"/>
      <c r="K252" s="8"/>
    </row>
    <row r="253" spans="1:11" x14ac:dyDescent="0.2">
      <c r="A253" s="19"/>
      <c r="B253" s="7">
        <v>21650</v>
      </c>
      <c r="C253" s="1"/>
      <c r="D253" s="3">
        <f>ROUNDUP(16.5056+5.0009+4.4709,0)</f>
        <v>26</v>
      </c>
      <c r="E253" s="3">
        <f>ROUNDUP((((D251+D253)/2)*C252)/9,0)</f>
        <v>150</v>
      </c>
      <c r="F253" s="3">
        <v>57</v>
      </c>
      <c r="G253" s="3">
        <v>19</v>
      </c>
      <c r="H253" s="3">
        <f>ROUND((((F251+F253)/2)*(C252))/27,0)</f>
        <v>107</v>
      </c>
      <c r="I253" s="28">
        <v>108</v>
      </c>
      <c r="J253" s="3">
        <f>ROUND((((G251+G253)/2)*(1.1)*(C252))/27,0)</f>
        <v>26</v>
      </c>
      <c r="K253" s="29">
        <v>27</v>
      </c>
    </row>
    <row r="254" spans="1:11" x14ac:dyDescent="0.2">
      <c r="A254" s="17">
        <f>A248+1</f>
        <v>189</v>
      </c>
      <c r="B254" s="23"/>
      <c r="C254" s="13">
        <f>B255-B253</f>
        <v>50</v>
      </c>
      <c r="D254" s="4">
        <f t="shared" ref="D254:G254" si="97">SUM(D255:D259)</f>
        <v>68</v>
      </c>
      <c r="E254" s="4">
        <f t="shared" si="97"/>
        <v>401</v>
      </c>
      <c r="F254" s="4">
        <f t="shared" si="97"/>
        <v>57</v>
      </c>
      <c r="G254" s="4">
        <f t="shared" si="97"/>
        <v>31</v>
      </c>
      <c r="H254" s="4">
        <f>SUM(H255:H259)</f>
        <v>152</v>
      </c>
      <c r="I254" s="4">
        <f t="shared" ref="I254:K254" si="98">SUM(I255:I259)</f>
        <v>152</v>
      </c>
      <c r="J254" s="4">
        <f t="shared" si="98"/>
        <v>70</v>
      </c>
      <c r="K254" s="22">
        <f t="shared" si="98"/>
        <v>70</v>
      </c>
    </row>
    <row r="255" spans="1:11" x14ac:dyDescent="0.2">
      <c r="A255" s="19"/>
      <c r="B255" s="7">
        <v>21700</v>
      </c>
      <c r="C255" s="1"/>
      <c r="D255" s="3">
        <f>ROUNDUP(19.0484+5.0002+10.7039,0)</f>
        <v>35</v>
      </c>
      <c r="E255" s="3">
        <f>ROUNDUP((((D253+D255)/2)*C254)/9,0)</f>
        <v>170</v>
      </c>
      <c r="F255" s="3">
        <v>43</v>
      </c>
      <c r="G255" s="3">
        <v>11</v>
      </c>
      <c r="H255" s="3">
        <f>ROUND((((F253+F255)/2)*(C254))/27,0)</f>
        <v>93</v>
      </c>
      <c r="I255" s="3">
        <v>93</v>
      </c>
      <c r="J255" s="3">
        <f>ROUND((((G253+G255)/2)*(1.1)*(C254))/27,0)</f>
        <v>31</v>
      </c>
      <c r="K255" s="8">
        <v>31</v>
      </c>
    </row>
    <row r="256" spans="1:11" x14ac:dyDescent="0.2">
      <c r="A256" s="20"/>
      <c r="B256" s="7"/>
      <c r="C256" s="12">
        <f t="shared" si="78"/>
        <v>50</v>
      </c>
      <c r="D256" s="3"/>
      <c r="E256" s="3"/>
      <c r="F256" s="3"/>
      <c r="G256" s="3"/>
      <c r="H256" s="3"/>
      <c r="I256" s="3"/>
      <c r="J256" s="3"/>
      <c r="K256" s="8"/>
    </row>
    <row r="257" spans="1:12" x14ac:dyDescent="0.2">
      <c r="A257" s="19" t="s">
        <v>22</v>
      </c>
      <c r="B257" s="7">
        <v>21750</v>
      </c>
      <c r="C257" s="1"/>
      <c r="D257" s="3">
        <f>ROUNDUP(5.0002+9.8665,0)</f>
        <v>15</v>
      </c>
      <c r="E257" s="3">
        <f>ROUNDUP((((D255+D257)/2)*C256)/9,0)</f>
        <v>139</v>
      </c>
      <c r="F257" s="3">
        <f>ROUNDUP(6.2375,0)</f>
        <v>7</v>
      </c>
      <c r="G257" s="3">
        <f>ROUNDUP(7.3329,0)</f>
        <v>8</v>
      </c>
      <c r="H257" s="3">
        <f>ROUND((((F255+F257)/2)*(C256))/27,0)</f>
        <v>46</v>
      </c>
      <c r="I257" s="3">
        <v>46</v>
      </c>
      <c r="J257" s="3">
        <f>ROUND((((G255+G257)/2)*(1.1)*(C256))/27,0)</f>
        <v>19</v>
      </c>
      <c r="K257" s="8">
        <v>19</v>
      </c>
      <c r="L257" s="30"/>
    </row>
    <row r="258" spans="1:12" x14ac:dyDescent="0.2">
      <c r="A258" s="20"/>
      <c r="B258" s="7"/>
      <c r="C258" s="12">
        <f t="shared" si="78"/>
        <v>50</v>
      </c>
      <c r="D258" s="3"/>
      <c r="E258" s="3"/>
      <c r="F258" s="3"/>
      <c r="G258" s="3"/>
      <c r="H258" s="3"/>
      <c r="I258" s="3"/>
      <c r="J258" s="3"/>
      <c r="K258" s="8"/>
    </row>
    <row r="259" spans="1:12" x14ac:dyDescent="0.2">
      <c r="A259" s="19"/>
      <c r="B259" s="7">
        <v>21800</v>
      </c>
      <c r="C259" s="1"/>
      <c r="D259" s="3">
        <f>ROUNDUP(5.0002+12.3953,0)</f>
        <v>18</v>
      </c>
      <c r="E259" s="3">
        <f>ROUNDUP((((D257+D259)/2)*C258)/9,0)</f>
        <v>92</v>
      </c>
      <c r="F259" s="3">
        <f>ROUNDUP(6.0657,0)</f>
        <v>7</v>
      </c>
      <c r="G259" s="3">
        <f>ROUNDUP(11.8524,0)</f>
        <v>12</v>
      </c>
      <c r="H259" s="3">
        <f>ROUND((((F257+F259)/2)*(C258))/27,0)</f>
        <v>13</v>
      </c>
      <c r="I259" s="3">
        <v>13</v>
      </c>
      <c r="J259" s="3">
        <f>ROUND((((G257+G259)/2)*(1.1)*(C258))/27,0)</f>
        <v>20</v>
      </c>
      <c r="K259" s="8">
        <v>20</v>
      </c>
    </row>
    <row r="260" spans="1:12" x14ac:dyDescent="0.2">
      <c r="A260" s="17">
        <f>A254+1</f>
        <v>190</v>
      </c>
      <c r="B260" s="23"/>
      <c r="C260" s="13">
        <f>B261-B259</f>
        <v>50</v>
      </c>
      <c r="D260" s="4">
        <f t="shared" ref="D260:G260" si="99">SUM(D261:D265)</f>
        <v>49</v>
      </c>
      <c r="E260" s="4">
        <f t="shared" si="99"/>
        <v>293</v>
      </c>
      <c r="F260" s="4">
        <f t="shared" si="99"/>
        <v>22</v>
      </c>
      <c r="G260" s="4">
        <f t="shared" si="99"/>
        <v>44</v>
      </c>
      <c r="H260" s="4">
        <f>SUM(H261:H265)</f>
        <v>39</v>
      </c>
      <c r="I260" s="4">
        <f t="shared" ref="I260:K260" si="100">SUM(I261:I265)</f>
        <v>39</v>
      </c>
      <c r="J260" s="4">
        <f t="shared" si="100"/>
        <v>93</v>
      </c>
      <c r="K260" s="22">
        <f t="shared" si="100"/>
        <v>93</v>
      </c>
    </row>
    <row r="261" spans="1:12" x14ac:dyDescent="0.2">
      <c r="A261" s="19"/>
      <c r="B261" s="7">
        <v>21850</v>
      </c>
      <c r="C261" s="1"/>
      <c r="D261" s="3">
        <f>ROUNDUP(5.0002+18.1804,0)</f>
        <v>24</v>
      </c>
      <c r="E261" s="3">
        <f>ROUNDUP((((D259+D261)/2)*C260)/9,0)</f>
        <v>117</v>
      </c>
      <c r="F261" s="3">
        <f>ROUNDUP(6.0323,0)</f>
        <v>7</v>
      </c>
      <c r="G261" s="3">
        <f>ROUNDUP(23.4357,0)</f>
        <v>24</v>
      </c>
      <c r="H261" s="3">
        <f>ROUND((((F259+F261)/2)*(C260))/27,0)</f>
        <v>13</v>
      </c>
      <c r="I261" s="3">
        <v>13</v>
      </c>
      <c r="J261" s="3">
        <f>ROUND((((G259+G261)/2)*(1.1)*(C260))/27,0)</f>
        <v>37</v>
      </c>
      <c r="K261" s="8">
        <v>37</v>
      </c>
    </row>
    <row r="262" spans="1:12" x14ac:dyDescent="0.2">
      <c r="A262" s="20"/>
      <c r="B262" s="7"/>
      <c r="C262" s="12">
        <f t="shared" ref="C262:C276" si="101">B263-B261</f>
        <v>50</v>
      </c>
      <c r="D262" s="3"/>
      <c r="E262" s="3"/>
      <c r="F262" s="3"/>
      <c r="G262" s="3"/>
      <c r="H262" s="3"/>
      <c r="I262" s="3"/>
      <c r="J262" s="3"/>
      <c r="K262" s="8"/>
    </row>
    <row r="263" spans="1:12" x14ac:dyDescent="0.2">
      <c r="A263" s="19"/>
      <c r="B263" s="7">
        <v>21900</v>
      </c>
      <c r="C263" s="1"/>
      <c r="D263" s="3">
        <f>ROUNDUP(5.0002+8.8254,0)</f>
        <v>14</v>
      </c>
      <c r="E263" s="3">
        <f>ROUNDUP((((D261+D263)/2)*C262)/9,0)</f>
        <v>106</v>
      </c>
      <c r="F263" s="3">
        <f>ROUNDUP(5.7005,0)</f>
        <v>6</v>
      </c>
      <c r="G263" s="3">
        <f>ROUNDUP(10.4795,0)</f>
        <v>11</v>
      </c>
      <c r="H263" s="3">
        <f>ROUND((((F261+F263)/2)*(C262))/27,0)</f>
        <v>12</v>
      </c>
      <c r="I263" s="3">
        <v>12</v>
      </c>
      <c r="J263" s="3">
        <f>ROUND((((G261+G263)/2)*(1.1)*(C262))/27,0)</f>
        <v>36</v>
      </c>
      <c r="K263" s="8">
        <v>36</v>
      </c>
    </row>
    <row r="264" spans="1:12" x14ac:dyDescent="0.2">
      <c r="A264" s="20"/>
      <c r="B264" s="7"/>
      <c r="C264" s="12">
        <f t="shared" si="101"/>
        <v>50</v>
      </c>
      <c r="D264" s="3"/>
      <c r="E264" s="3"/>
      <c r="F264" s="3"/>
      <c r="G264" s="3"/>
      <c r="H264" s="3"/>
      <c r="I264" s="3"/>
      <c r="J264" s="3"/>
      <c r="K264" s="8"/>
    </row>
    <row r="265" spans="1:12" x14ac:dyDescent="0.2">
      <c r="A265" s="19"/>
      <c r="B265" s="7">
        <v>21950</v>
      </c>
      <c r="C265" s="1"/>
      <c r="D265" s="3">
        <f>ROUNDUP(5.0039+5.0745,0)</f>
        <v>11</v>
      </c>
      <c r="E265" s="3">
        <f>ROUNDUP((((D263+D265)/2)*C264)/9,0)</f>
        <v>70</v>
      </c>
      <c r="F265" s="3">
        <f>ROUNDUP(5.9345+2.0706,0)</f>
        <v>9</v>
      </c>
      <c r="G265" s="3">
        <f>ROUNDUP(8.1907,0)</f>
        <v>9</v>
      </c>
      <c r="H265" s="3">
        <f>ROUND((((F263+F265)/2)*(C264))/27,0)</f>
        <v>14</v>
      </c>
      <c r="I265" s="3">
        <v>14</v>
      </c>
      <c r="J265" s="3">
        <f>ROUND((((G263+G265)/2)*(1.1)*(C264))/27,0)</f>
        <v>20</v>
      </c>
      <c r="K265" s="8">
        <v>20</v>
      </c>
    </row>
    <row r="266" spans="1:12" x14ac:dyDescent="0.2">
      <c r="A266" s="17">
        <f>A260+1</f>
        <v>191</v>
      </c>
      <c r="B266" s="23"/>
      <c r="C266" s="13">
        <f>B267-B265</f>
        <v>50</v>
      </c>
      <c r="D266" s="4">
        <f t="shared" ref="D266:K266" si="102">SUM(D267:D271)</f>
        <v>28</v>
      </c>
      <c r="E266" s="4">
        <f t="shared" si="102"/>
        <v>165</v>
      </c>
      <c r="F266" s="4">
        <f t="shared" si="102"/>
        <v>26</v>
      </c>
      <c r="G266" s="4">
        <f t="shared" si="102"/>
        <v>11</v>
      </c>
      <c r="H266" s="4">
        <f t="shared" si="102"/>
        <v>48</v>
      </c>
      <c r="I266" s="4">
        <f t="shared" si="102"/>
        <v>48</v>
      </c>
      <c r="J266" s="4">
        <f t="shared" si="102"/>
        <v>30</v>
      </c>
      <c r="K266" s="22">
        <f t="shared" si="102"/>
        <v>30</v>
      </c>
    </row>
    <row r="267" spans="1:12" x14ac:dyDescent="0.2">
      <c r="A267" s="19"/>
      <c r="B267" s="7">
        <v>22000</v>
      </c>
      <c r="C267" s="1"/>
      <c r="D267" s="3">
        <f>ROUNDUP(5.0009+3.5758,0)</f>
        <v>9</v>
      </c>
      <c r="E267" s="3">
        <f>ROUNDUP((((D265+D267)/2)*C266)/9,0)</f>
        <v>56</v>
      </c>
      <c r="F267" s="3">
        <f>ROUNDUP(6.033+1.2596,0)</f>
        <v>8</v>
      </c>
      <c r="G267" s="3">
        <f>ROUNDUP(3.8907,0)</f>
        <v>4</v>
      </c>
      <c r="H267" s="3">
        <f>ROUND((((F265+F267)/2)*(C266))/27,0)</f>
        <v>16</v>
      </c>
      <c r="I267" s="3">
        <v>16</v>
      </c>
      <c r="J267" s="3">
        <f>ROUND((((G265+G267)/2)*(1.1)*(C266))/27,0)</f>
        <v>13</v>
      </c>
      <c r="K267" s="8">
        <v>13</v>
      </c>
    </row>
    <row r="268" spans="1:12" x14ac:dyDescent="0.2">
      <c r="A268" s="20"/>
      <c r="B268" s="7"/>
      <c r="C268" s="12">
        <f t="shared" si="101"/>
        <v>50</v>
      </c>
      <c r="D268" s="3"/>
      <c r="E268" s="3"/>
      <c r="F268" s="3"/>
      <c r="G268" s="3"/>
      <c r="H268" s="3"/>
      <c r="I268" s="3"/>
      <c r="J268" s="3"/>
      <c r="K268" s="8"/>
    </row>
    <row r="269" spans="1:12" x14ac:dyDescent="0.2">
      <c r="A269" s="19"/>
      <c r="B269" s="7">
        <v>22050</v>
      </c>
      <c r="C269" s="1"/>
      <c r="D269" s="3">
        <f>ROUNDUP(4.3543+6.1942,0)</f>
        <v>11</v>
      </c>
      <c r="E269" s="3">
        <f>ROUNDUP((((D267+D269)/2)*C268)/9,0)</f>
        <v>56</v>
      </c>
      <c r="F269" s="3">
        <f>ROUNDUP(6.2181+0.1032+1.3591,0)</f>
        <v>8</v>
      </c>
      <c r="G269" s="3">
        <f>ROUNDUP(5.1761+0.0284,0)</f>
        <v>6</v>
      </c>
      <c r="H269" s="3">
        <f>ROUND((((F267+F269)/2)*(C268))/27,0)</f>
        <v>15</v>
      </c>
      <c r="I269" s="3">
        <v>15</v>
      </c>
      <c r="J269" s="3">
        <f>ROUND((((G267+G269)/2)*(1.1)*(C268))/27,0)</f>
        <v>10</v>
      </c>
      <c r="K269" s="8">
        <v>10</v>
      </c>
    </row>
    <row r="270" spans="1:12" x14ac:dyDescent="0.2">
      <c r="A270" s="20"/>
      <c r="B270" s="7"/>
      <c r="C270" s="12">
        <f t="shared" si="101"/>
        <v>50</v>
      </c>
      <c r="D270" s="3"/>
      <c r="E270" s="3"/>
      <c r="F270" s="3"/>
      <c r="G270" s="3"/>
      <c r="H270" s="3"/>
      <c r="I270" s="3"/>
      <c r="J270" s="3"/>
      <c r="K270" s="8"/>
    </row>
    <row r="271" spans="1:12" x14ac:dyDescent="0.2">
      <c r="A271" s="19"/>
      <c r="B271" s="7">
        <v>22100</v>
      </c>
      <c r="C271" s="1"/>
      <c r="D271" s="3">
        <f>ROUNDUP(3.5757+3.6296,0)</f>
        <v>8</v>
      </c>
      <c r="E271" s="3">
        <f>ROUNDUP((((D269+D271)/2)*C270)/9,0)</f>
        <v>53</v>
      </c>
      <c r="F271" s="3">
        <f>ROUNDUP(6.5599+2.4521,0)</f>
        <v>10</v>
      </c>
      <c r="G271" s="3">
        <f>ROUNDUP(0.9191,0)</f>
        <v>1</v>
      </c>
      <c r="H271" s="3">
        <f>ROUND((((F269+F271)/2)*(C270))/27,0)</f>
        <v>17</v>
      </c>
      <c r="I271" s="3">
        <v>17</v>
      </c>
      <c r="J271" s="3">
        <f>ROUND((((G269+G271)/2)*(1.1)*(C270))/27,0)</f>
        <v>7</v>
      </c>
      <c r="K271" s="8">
        <v>7</v>
      </c>
    </row>
    <row r="272" spans="1:12" x14ac:dyDescent="0.2">
      <c r="A272" s="17">
        <f>A266+1</f>
        <v>192</v>
      </c>
      <c r="B272" s="23"/>
      <c r="C272" s="13">
        <f>B273-B271</f>
        <v>10</v>
      </c>
      <c r="D272" s="4">
        <f t="shared" ref="D272:K272" si="103">SUM(D273:D277)</f>
        <v>7</v>
      </c>
      <c r="E272" s="4">
        <f t="shared" si="103"/>
        <v>9</v>
      </c>
      <c r="F272" s="4">
        <f t="shared" si="103"/>
        <v>10</v>
      </c>
      <c r="G272" s="4">
        <f t="shared" si="103"/>
        <v>1</v>
      </c>
      <c r="H272" s="4">
        <f t="shared" si="103"/>
        <v>4</v>
      </c>
      <c r="I272" s="4">
        <f t="shared" si="103"/>
        <v>4</v>
      </c>
      <c r="J272" s="4">
        <f t="shared" si="103"/>
        <v>0</v>
      </c>
      <c r="K272" s="22">
        <f t="shared" si="103"/>
        <v>0</v>
      </c>
    </row>
    <row r="273" spans="1:11" x14ac:dyDescent="0.2">
      <c r="A273" s="19" t="s">
        <v>21</v>
      </c>
      <c r="B273" s="7">
        <v>22110</v>
      </c>
      <c r="C273" s="1"/>
      <c r="D273" s="3">
        <f>ROUNDUP(3.3832+2.9797,0)</f>
        <v>7</v>
      </c>
      <c r="E273" s="3">
        <f>ROUNDUP((((D271+D273)/2)*C272)/9,0)</f>
        <v>9</v>
      </c>
      <c r="F273" s="3">
        <f>ROUNDUP(7.1224+2.1253,0)</f>
        <v>10</v>
      </c>
      <c r="G273" s="3">
        <f>ROUNDUP(0.2058,0)</f>
        <v>1</v>
      </c>
      <c r="H273" s="3">
        <f>ROUND((((F271+F273)/2)*(C272))/27,0)</f>
        <v>4</v>
      </c>
      <c r="I273" s="3">
        <v>4</v>
      </c>
      <c r="J273" s="3">
        <f>ROUND((((G271+G273)/2)*(1.1)*(C272))/27,0)</f>
        <v>0</v>
      </c>
      <c r="K273" s="8">
        <v>0</v>
      </c>
    </row>
    <row r="274" spans="1:11" x14ac:dyDescent="0.2">
      <c r="A274" s="20"/>
      <c r="B274" s="7"/>
      <c r="C274" s="12">
        <f t="shared" si="101"/>
        <v>90</v>
      </c>
      <c r="D274" s="3"/>
      <c r="E274" s="3"/>
      <c r="F274" s="3"/>
      <c r="G274" s="3"/>
      <c r="H274" s="3"/>
      <c r="I274" s="3"/>
      <c r="J274" s="3"/>
      <c r="K274" s="8"/>
    </row>
    <row r="275" spans="1:11" x14ac:dyDescent="0.2">
      <c r="A275" s="19"/>
      <c r="B275" s="7">
        <v>22200</v>
      </c>
      <c r="C275" s="1"/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/>
      <c r="J275" s="3">
        <v>0</v>
      </c>
      <c r="K275" s="8"/>
    </row>
    <row r="276" spans="1:11" x14ac:dyDescent="0.2">
      <c r="A276" s="20"/>
      <c r="B276" s="7"/>
      <c r="C276" s="12">
        <f t="shared" si="101"/>
        <v>100</v>
      </c>
      <c r="D276" s="3"/>
      <c r="E276" s="3"/>
      <c r="F276" s="3"/>
      <c r="G276" s="3"/>
      <c r="H276" s="3"/>
      <c r="I276" s="3"/>
      <c r="J276" s="3"/>
      <c r="K276" s="8"/>
    </row>
    <row r="277" spans="1:11" ht="15.75" thickBot="1" x14ac:dyDescent="0.25">
      <c r="A277" s="21"/>
      <c r="B277" s="9">
        <v>22300</v>
      </c>
      <c r="C277" s="10"/>
      <c r="D277" s="11">
        <v>0</v>
      </c>
      <c r="E277" s="11">
        <f>ROUNDUP((((D275+D277)/2)*C276)/9,0)</f>
        <v>0</v>
      </c>
      <c r="F277" s="11">
        <v>0</v>
      </c>
      <c r="G277" s="11">
        <v>0</v>
      </c>
      <c r="H277" s="11">
        <f>ROUND((((F275+F277)/2)*(C276))/27,0)</f>
        <v>0</v>
      </c>
      <c r="I277" s="11"/>
      <c r="J277" s="11">
        <f>ROUND((((G275+G277)/2)*(1.1)*(C276))/27,0)</f>
        <v>0</v>
      </c>
      <c r="K277" s="24"/>
    </row>
  </sheetData>
  <mergeCells count="16">
    <mergeCell ref="S15:U15"/>
    <mergeCell ref="S20:T20"/>
    <mergeCell ref="S21:T21"/>
    <mergeCell ref="R8:T8"/>
    <mergeCell ref="R9:T9"/>
    <mergeCell ref="S11:T11"/>
    <mergeCell ref="S12:T12"/>
    <mergeCell ref="S14:U14"/>
    <mergeCell ref="N20:O20"/>
    <mergeCell ref="N21:O21"/>
    <mergeCell ref="N15:P15"/>
    <mergeCell ref="M8:O8"/>
    <mergeCell ref="M9:O9"/>
    <mergeCell ref="N11:O11"/>
    <mergeCell ref="N12:O12"/>
    <mergeCell ref="N14:P1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GPD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Terry, Shawn</dc:creator>
  <cp:lastModifiedBy>Wolfe, Steven</cp:lastModifiedBy>
  <dcterms:created xsi:type="dcterms:W3CDTF">2022-03-07T21:27:30Z</dcterms:created>
  <dcterms:modified xsi:type="dcterms:W3CDTF">2025-06-25T18:54:56Z</dcterms:modified>
</cp:coreProperties>
</file>