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250" windowHeight="9930" activeTab="0"/>
  </bookViews>
  <sheets>
    <sheet name="Bridge Quantities" sheetId="1" r:id="rId1"/>
  </sheets>
  <definedNames>
    <definedName name="_xlfn.SINGLE" hidden="1">#NAME?</definedName>
    <definedName name="_xlnm.Print_Area" localSheetId="0">'Bridge Quantities'!$A$1:$AE$163</definedName>
    <definedName name="_xlnm.Print_Titles" localSheetId="0">'Bridge Quantities'!$1:$5</definedName>
    <definedName name="print1" localSheetId="0">'Bridge Quantities'!#REF!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<sst xmlns="http://schemas.openxmlformats.org/spreadsheetml/2006/main" count="266" uniqueCount="120">
  <si>
    <t>CALCULATION SHEET</t>
  </si>
  <si>
    <t>CHECKED BY:</t>
  </si>
  <si>
    <t>CRS:</t>
  </si>
  <si>
    <t>DATE:</t>
  </si>
  <si>
    <t>DESCRIPTION:</t>
  </si>
  <si>
    <t>INITIALS:</t>
  </si>
  <si>
    <t>OHIO DEPARTMENT OF TRANSPORTATION</t>
  </si>
  <si>
    <t>PID:</t>
  </si>
  <si>
    <t>L</t>
  </si>
  <si>
    <t>W</t>
  </si>
  <si>
    <t>#</t>
  </si>
  <si>
    <t>TOTAL =</t>
  </si>
  <si>
    <t>DESCRIPTION</t>
  </si>
  <si>
    <t>DECK</t>
  </si>
  <si>
    <t>H/T</t>
  </si>
  <si>
    <t>BRIDGE QUANTITIES</t>
  </si>
  <si>
    <t>ITEM 516 - 2" DEEP JOINT SEALER, AS PER PLAN</t>
  </si>
  <si>
    <t>ITEM 518 - POROUS BACKFILL WITH FILTER FABRIC</t>
  </si>
  <si>
    <t>ITEM 518 - STEEL DRIP STRIP</t>
  </si>
  <si>
    <t>ITEM 518 - 6" PERFORATED CORRUGATED PLASTIC PIPE</t>
  </si>
  <si>
    <t>ITEM 518 - NON-PERFORATED CORRUGATED PLASTIC PIPE, INCLUDING SPECIALS</t>
  </si>
  <si>
    <t>ITEM 512 - SEALING OF CONCRETE SURFACES (NON-EPOXY)</t>
  </si>
  <si>
    <t>ITEM 516 - 1/2" PREFORMED EXPANSION JOINT FILLER</t>
  </si>
  <si>
    <t>ITEM 516 - INTEGRAL ABUTMENT EXPANSION JOINT SEAL</t>
  </si>
  <si>
    <t>REAR &amp; FORWARD</t>
  </si>
  <si>
    <t>ITEM 611 - PRECAST REINFORCED CONCRETE OUTLET</t>
  </si>
  <si>
    <t>ITEM 202 - APPROACH SLAB REMOVED</t>
  </si>
  <si>
    <t xml:space="preserve">ITEM 511 - CLASS QC2 CONCRETE WITH QC/QA, SUPER STRUCTURE </t>
  </si>
  <si>
    <t>ITEM 202 - PORTIONS OF STRUCTURE REMOVED, A.P.P., SUPERSTRUCTURE</t>
  </si>
  <si>
    <t>ITEM 202 - PORTIONS OF STRUCTURE REMOVED, A.P.P., SUBSTRUCTURE</t>
  </si>
  <si>
    <t>ITEM 510 DOWEL HOLES WITH NONSHRINK, NONMETALLIC GROUT, AS PER PLAN</t>
  </si>
  <si>
    <t>WINGWALLS</t>
  </si>
  <si>
    <t>DIAPHRAGM</t>
  </si>
  <si>
    <t>ITEM 516 - 1" PREFORMED EXPANSION JOINT FILLER</t>
  </si>
  <si>
    <t>BOTTOM OF DIAPHRAGM</t>
  </si>
  <si>
    <t>ADJACENT TO APP. SLAB</t>
  </si>
  <si>
    <t>DIAPHRAGM BOTTOM JOINT</t>
  </si>
  <si>
    <t>DIAPHRAGM VERTICAL JOINT</t>
  </si>
  <si>
    <t xml:space="preserve">APPROACH SLAB   </t>
  </si>
  <si>
    <t>ABUTMENT</t>
  </si>
  <si>
    <t>UNDER APPROACH SLAB</t>
  </si>
  <si>
    <t>DISTRICT 6 BRIDGE</t>
  </si>
  <si>
    <t>MJR</t>
  </si>
  <si>
    <t>CROWN (buildup at abutments)</t>
  </si>
  <si>
    <t>PIER 1 CAP CROWN</t>
  </si>
  <si>
    <t>PIER 1 CAP ADDITIONAL HEIGHT</t>
  </si>
  <si>
    <t>PIER 2 CAP ADDITIONAL HEIGHT</t>
  </si>
  <si>
    <t>PIER 2 CAP CROWN</t>
  </si>
  <si>
    <t>SQ FT</t>
  </si>
  <si>
    <t>ITEM 601 - ROCK CHANEL PROTECTION, TYPE C WITH FILTER</t>
  </si>
  <si>
    <t>AT ABUTMENTS</t>
  </si>
  <si>
    <t>CU YD</t>
  </si>
  <si>
    <t>BREAST WALL</t>
  </si>
  <si>
    <t>UNI-736-0116</t>
  </si>
  <si>
    <t>SLAB (bridge limits)</t>
  </si>
  <si>
    <t>BACKWALL(lt. fwd) - SECTION B</t>
  </si>
  <si>
    <t>BACKWALL(rt. fwd) - SECTION B</t>
  </si>
  <si>
    <t>BACKWALL(lt. fwd) - SECTION C</t>
  </si>
  <si>
    <t>BACKWALL(rt. fwd) - SECTION C</t>
  </si>
  <si>
    <t>BACKWALL(RT. rear) - SECTION B</t>
  </si>
  <si>
    <t>BACKWALL(LT. rear) - SECTION B</t>
  </si>
  <si>
    <t>BACKWALL(LT rear) - SECTION C</t>
  </si>
  <si>
    <t>BACKWALL(RT. rear) - SECTION C</t>
  </si>
  <si>
    <t>PIER CAP(CROWN)</t>
  </si>
  <si>
    <t>ITEM 526 - REINFORCED CONCRETE APPROACH SLABS (T=13")</t>
  </si>
  <si>
    <t xml:space="preserve">LOWER STRIP </t>
  </si>
  <si>
    <t>UPPER STRIP @ POSTS</t>
  </si>
  <si>
    <t>ABUTMENTS (CROWN) - TRIANGULAR WEDGE</t>
  </si>
  <si>
    <t>ITEM 511 - QC1 CONCRETE, ABUTMENT INCLUDING FOOTING</t>
  </si>
  <si>
    <t>REAR ABUT. LT WINGWALL</t>
  </si>
  <si>
    <t>REAR ABUT. RT WINGWALL</t>
  </si>
  <si>
    <t>FWD ABUT. LT WINGWALL</t>
  </si>
  <si>
    <t>FWD ABUT. RT WINGWALL</t>
  </si>
  <si>
    <t>FWD. ABUT FOOTING ADDITION (PILE CAP)</t>
  </si>
  <si>
    <t>REAR ABUT. FOOTING ADDITION (PILE CAP)</t>
  </si>
  <si>
    <t>SY</t>
  </si>
  <si>
    <t>FRONT FACE OF REAR ABUT. LT. WINGWALL</t>
  </si>
  <si>
    <t>FRONT FACE OF REAR ABUT. RT. WINGWALL</t>
  </si>
  <si>
    <t>FRONT FACE OF FWD. ABUT. LT. WINGWALL</t>
  </si>
  <si>
    <t>FRONT FACE OF FWD. ABUT. RT. WINGWALL</t>
  </si>
  <si>
    <t>BACK FACE OF REAR ABUT. LT WINGWALL</t>
  </si>
  <si>
    <t>BACK FACE OF REAR ABUT. RT WINGWALL</t>
  </si>
  <si>
    <t>BACK FACE OF FWD ABUT. LT WINGWALL</t>
  </si>
  <si>
    <t>TOP FACE OF REAR ABUT. LT WINGWALL</t>
  </si>
  <si>
    <t>TOP FACE OF REAR ABUT. RT WINGWALL</t>
  </si>
  <si>
    <t>TOP FACE OF FWD ABUT. LT WINGWALL</t>
  </si>
  <si>
    <t>TOP FACE OF FWD ABUT. RT. WINGWALL</t>
  </si>
  <si>
    <t>REAR DIAPHRAGM TOP FACE</t>
  </si>
  <si>
    <t>FWD DIAPHRAGM TOP FACE</t>
  </si>
  <si>
    <t>REAR DIAPHRAGM BACK FACE</t>
  </si>
  <si>
    <t>FWD DIAPHRAGM BACK FACE</t>
  </si>
  <si>
    <t>DECK EDGES</t>
  </si>
  <si>
    <t>SIDE OF REAR DIAPHRAGM (LT.)</t>
  </si>
  <si>
    <t>SIDE OF REAR DIAPHRAGM (RT.)</t>
  </si>
  <si>
    <t>SIDE OF FWD DIAPHRAGM (LT.)</t>
  </si>
  <si>
    <t>ITEM 202 - WEARING COURSE REMOVED</t>
  </si>
  <si>
    <t>TOTAL</t>
  </si>
  <si>
    <t>DECK OVERLAY</t>
  </si>
  <si>
    <t>SQ YD</t>
  </si>
  <si>
    <t>REAR ABUTS. (DIAPHRAGM/BREAST WALL) LT.</t>
  </si>
  <si>
    <t>REAR ABUTS. (DIAPHRAGM/BREAST WALL) RT.</t>
  </si>
  <si>
    <t>FWD ABUTS. (DIAPHRAGM/BREAST WALL) RT.</t>
  </si>
  <si>
    <t>FWD ABUTS. (DIAPHRAGM/BREAST WALL) LT.</t>
  </si>
  <si>
    <t>REAR DIAPHRAGM FRONT FACE (WITHIN DECK LIMITS)</t>
  </si>
  <si>
    <t>FWD DIAPHRAGM FRONT FACE (WITHIN DECK LIMITS)</t>
  </si>
  <si>
    <t>REAR DIAPHRAGM FRONT FACE (VERT BUTRESS) LT</t>
  </si>
  <si>
    <t>FWD DIAPHRAGM FRONT FACE (VERT BUTRESS) LT</t>
  </si>
  <si>
    <t>REAR DIAPHRAGM FRONT FACE (VERT BUTRESS) RT</t>
  </si>
  <si>
    <t>FWD DIAPHRAGM FRONT FACE (VERT BUTRESS) RT</t>
  </si>
  <si>
    <t>SIDE FACE OF REAR ABUT.LT. WINGWALL</t>
  </si>
  <si>
    <t>SIDE FACE OF REAR ABUT.RT. WINGWALL</t>
  </si>
  <si>
    <t>SIDE FACE OF FWD ABUT.LT. WINGWALL</t>
  </si>
  <si>
    <t>SIDE FACE OF FWD ABUT.RT. WINGWALL</t>
  </si>
  <si>
    <t>JPH</t>
  </si>
  <si>
    <t>SEE RESTEEL SCHEDULE</t>
  </si>
  <si>
    <t>ITEM 517 - RAILING TST-2</t>
  </si>
  <si>
    <t>ITEM 526 - TYPE B INSTALLATION</t>
  </si>
  <si>
    <t xml:space="preserve">ITEM 625 STRUCTURE GROUNDING SYSTEM </t>
  </si>
  <si>
    <t>ITEM 516 - ELASTOMERIC BEARING PAD, MISC.: (2" X 9")</t>
  </si>
  <si>
    <t>PIERS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</si>
</sst>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\ ??/16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/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double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double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double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>
        <color indexed="63"/>
      </left>
      <right style="medium">
        <color indexed="17"/>
      </right>
      <top style="thin"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rgb="FF92D050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/>
      <right style="thin"/>
      <top style="medium">
        <color theme="6"/>
      </top>
      <bottom style="medium">
        <color theme="6"/>
      </bottom>
    </border>
    <border>
      <left style="thin"/>
      <right style="thin"/>
      <top style="medium">
        <color theme="6"/>
      </top>
      <bottom style="medium">
        <color theme="6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/>
      <bottom style="thin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rgb="FF92D050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medium">
        <color rgb="FF92D050"/>
      </top>
      <bottom style="double">
        <color indexed="17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rgb="FF00B050"/>
      </right>
      <top style="medium">
        <color indexed="17"/>
      </top>
      <bottom style="medium">
        <color indexed="17"/>
      </bottom>
    </border>
    <border>
      <left style="thin">
        <color rgb="FF00B050"/>
      </left>
      <right>
        <color indexed="63"/>
      </right>
      <top style="medium">
        <color indexed="17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7">
      <alignment/>
      <protection/>
    </xf>
    <xf numFmtId="0" fontId="3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6" fontId="6" fillId="33" borderId="19" xfId="0" applyNumberFormat="1" applyFont="1" applyFill="1" applyBorder="1" applyAlignment="1">
      <alignment horizontal="center" vertical="center"/>
    </xf>
    <xf numFmtId="166" fontId="6" fillId="33" borderId="20" xfId="0" applyNumberFormat="1" applyFont="1" applyFill="1" applyBorder="1" applyAlignment="1">
      <alignment horizontal="center" vertical="center"/>
    </xf>
    <xf numFmtId="166" fontId="6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166" fontId="0" fillId="33" borderId="22" xfId="0" applyNumberFormat="1" applyFont="1" applyFill="1" applyBorder="1" applyAlignment="1">
      <alignment horizontal="center" vertical="center"/>
    </xf>
    <xf numFmtId="166" fontId="0" fillId="33" borderId="23" xfId="0" applyNumberFormat="1" applyFont="1" applyFill="1" applyBorder="1" applyAlignment="1">
      <alignment horizontal="center" vertical="center"/>
    </xf>
    <xf numFmtId="166" fontId="0" fillId="33" borderId="24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66" fontId="6" fillId="33" borderId="9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66" fontId="6" fillId="33" borderId="30" xfId="0" applyNumberFormat="1" applyFont="1" applyFill="1" applyBorder="1" applyAlignment="1">
      <alignment horizontal="center" vertical="center"/>
    </xf>
    <xf numFmtId="166" fontId="6" fillId="33" borderId="3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65" fontId="6" fillId="33" borderId="3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66" fontId="6" fillId="33" borderId="36" xfId="0" applyNumberFormat="1" applyFont="1" applyFill="1" applyBorder="1" applyAlignment="1">
      <alignment horizontal="center" vertical="center"/>
    </xf>
    <xf numFmtId="166" fontId="6" fillId="33" borderId="37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right" vertical="center"/>
    </xf>
    <xf numFmtId="166" fontId="0" fillId="33" borderId="41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166" fontId="6" fillId="33" borderId="32" xfId="0" applyNumberFormat="1" applyFont="1" applyFill="1" applyBorder="1" applyAlignment="1">
      <alignment horizontal="center" vertical="center"/>
    </xf>
    <xf numFmtId="166" fontId="6" fillId="33" borderId="33" xfId="0" applyNumberFormat="1" applyFont="1" applyFill="1" applyBorder="1" applyAlignment="1">
      <alignment horizontal="center" vertical="center"/>
    </xf>
    <xf numFmtId="166" fontId="6" fillId="33" borderId="34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15" fontId="0" fillId="0" borderId="53" xfId="46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66" fontId="6" fillId="33" borderId="47" xfId="0" applyNumberFormat="1" applyFont="1" applyFill="1" applyBorder="1" applyAlignment="1">
      <alignment horizontal="center" vertical="center"/>
    </xf>
    <xf numFmtId="166" fontId="6" fillId="33" borderId="48" xfId="0" applyNumberFormat="1" applyFont="1" applyFill="1" applyBorder="1" applyAlignment="1">
      <alignment horizontal="center" vertical="center"/>
    </xf>
    <xf numFmtId="166" fontId="6" fillId="33" borderId="49" xfId="0" applyNumberFormat="1" applyFont="1" applyFill="1" applyBorder="1" applyAlignment="1">
      <alignment horizontal="center" vertical="center"/>
    </xf>
    <xf numFmtId="166" fontId="0" fillId="33" borderId="54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5" fontId="6" fillId="33" borderId="47" xfId="0" applyNumberFormat="1" applyFont="1" applyFill="1" applyBorder="1" applyAlignment="1">
      <alignment horizontal="center" vertical="center"/>
    </xf>
    <xf numFmtId="165" fontId="6" fillId="33" borderId="48" xfId="0" applyNumberFormat="1" applyFont="1" applyFill="1" applyBorder="1" applyAlignment="1">
      <alignment horizontal="center" vertical="center"/>
    </xf>
    <xf numFmtId="165" fontId="6" fillId="33" borderId="49" xfId="0" applyNumberFormat="1" applyFont="1" applyFill="1" applyBorder="1" applyAlignment="1">
      <alignment horizontal="center" vertical="center"/>
    </xf>
    <xf numFmtId="2" fontId="6" fillId="33" borderId="50" xfId="0" applyNumberFormat="1" applyFont="1" applyFill="1" applyBorder="1" applyAlignment="1">
      <alignment horizontal="center" vertical="center"/>
    </xf>
    <xf numFmtId="2" fontId="6" fillId="33" borderId="51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2" fontId="0" fillId="33" borderId="51" xfId="0" applyNumberFormat="1" applyFont="1" applyFill="1" applyBorder="1" applyAlignment="1">
      <alignment horizontal="center" vertical="center"/>
    </xf>
    <xf numFmtId="11" fontId="6" fillId="33" borderId="57" xfId="0" applyNumberFormat="1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11" fontId="6" fillId="33" borderId="59" xfId="0" applyNumberFormat="1" applyFont="1" applyFill="1" applyBorder="1" applyAlignment="1">
      <alignment horizontal="center" vertical="center"/>
    </xf>
    <xf numFmtId="166" fontId="6" fillId="33" borderId="59" xfId="0" applyNumberFormat="1" applyFont="1" applyFill="1" applyBorder="1" applyAlignment="1">
      <alignment horizontal="center" vertical="center"/>
    </xf>
    <xf numFmtId="166" fontId="6" fillId="33" borderId="60" xfId="0" applyNumberFormat="1" applyFont="1" applyFill="1" applyBorder="1" applyAlignment="1">
      <alignment horizontal="center" vertical="center"/>
    </xf>
    <xf numFmtId="166" fontId="6" fillId="33" borderId="61" xfId="0" applyNumberFormat="1" applyFont="1" applyFill="1" applyBorder="1" applyAlignment="1">
      <alignment horizontal="center" vertical="center"/>
    </xf>
    <xf numFmtId="166" fontId="6" fillId="33" borderId="62" xfId="0" applyNumberFormat="1" applyFont="1" applyFill="1" applyBorder="1" applyAlignment="1">
      <alignment horizontal="center" vertical="center"/>
    </xf>
    <xf numFmtId="166" fontId="6" fillId="33" borderId="63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63"/>
  <sheetViews>
    <sheetView showGridLines="0" tabSelected="1" view="pageBreakPreview" zoomScaleNormal="85" zoomScaleSheetLayoutView="100" zoomScalePageLayoutView="0" workbookViewId="0" topLeftCell="A1">
      <selection activeCell="Y44" sqref="Y44:Z44"/>
    </sheetView>
  </sheetViews>
  <sheetFormatPr defaultColWidth="9.140625" defaultRowHeight="12.75"/>
  <cols>
    <col min="1" max="1" width="10.7109375" style="0" customWidth="1"/>
    <col min="2" max="9" width="3.28125" style="0" customWidth="1"/>
    <col min="10" max="10" width="4.57421875" style="0" customWidth="1"/>
    <col min="11" max="22" width="3.28125" style="0" customWidth="1"/>
    <col min="23" max="23" width="5.28125" style="0" customWidth="1"/>
    <col min="24" max="25" width="6.140625" style="0" customWidth="1"/>
    <col min="26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6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106">
        <v>43110</v>
      </c>
      <c r="W1" s="107"/>
      <c r="X1" s="107"/>
      <c r="Y1" s="3"/>
      <c r="AB1" s="8" t="s">
        <v>5</v>
      </c>
      <c r="AC1" s="108" t="s">
        <v>42</v>
      </c>
      <c r="AD1" s="107"/>
    </row>
    <row r="2" spans="4:30" ht="19.5" customHeight="1">
      <c r="D2" s="2"/>
      <c r="F2" s="5" t="s">
        <v>41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7</v>
      </c>
      <c r="V2" s="109">
        <v>95776</v>
      </c>
      <c r="W2" s="109"/>
      <c r="X2" s="109"/>
      <c r="Y2" s="3"/>
      <c r="AB2" s="8" t="s">
        <v>1</v>
      </c>
      <c r="AC2" s="110" t="s">
        <v>113</v>
      </c>
      <c r="AD2" s="109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108" t="s">
        <v>53</v>
      </c>
      <c r="W3" s="107"/>
      <c r="X3" s="107"/>
      <c r="Y3" s="107"/>
      <c r="Z3" s="107"/>
      <c r="AA3" s="107"/>
      <c r="AB3" s="107"/>
      <c r="AC3" s="107"/>
      <c r="AD3" s="107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111" t="s">
        <v>15</v>
      </c>
      <c r="W4" s="111"/>
      <c r="X4" s="111"/>
      <c r="Y4" s="111"/>
      <c r="Z4" s="111"/>
      <c r="AA4" s="111"/>
      <c r="AB4" s="111"/>
      <c r="AC4" s="111"/>
      <c r="AD4" s="11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2:30" ht="19.5" customHeight="1" thickBot="1">
      <c r="B6" s="77" t="s">
        <v>28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</row>
    <row r="7" spans="2:30" ht="19.5" customHeight="1" thickBot="1">
      <c r="B7" s="93" t="s">
        <v>12</v>
      </c>
      <c r="C7" s="94"/>
      <c r="D7" s="94"/>
      <c r="E7" s="94"/>
      <c r="F7" s="94"/>
      <c r="G7" s="94"/>
      <c r="H7" s="94"/>
      <c r="I7" s="94"/>
      <c r="J7" s="95"/>
      <c r="K7" s="86" t="s">
        <v>10</v>
      </c>
      <c r="L7" s="87"/>
      <c r="M7" s="87"/>
      <c r="N7" s="88"/>
      <c r="O7" s="86" t="s">
        <v>8</v>
      </c>
      <c r="P7" s="87"/>
      <c r="Q7" s="87"/>
      <c r="R7" s="88"/>
      <c r="S7" s="86" t="s">
        <v>9</v>
      </c>
      <c r="T7" s="87"/>
      <c r="U7" s="87"/>
      <c r="V7" s="88"/>
      <c r="W7" s="86" t="s">
        <v>14</v>
      </c>
      <c r="X7" s="87"/>
      <c r="Y7" s="87"/>
      <c r="Z7" s="88"/>
      <c r="AA7" s="86" t="str">
        <f>IF(AND(0&lt;ABS($O8),0&lt;ABS($S8),0&lt;ABS($W8)),"CU YD",IF(AND(0&lt;ABS($O8),0&lt;ABS($S8)),"SQ YD",IF(AND(0&lt;ABS($O8)),"FT","EACH")))</f>
        <v>CU YD</v>
      </c>
      <c r="AB7" s="87"/>
      <c r="AC7" s="87"/>
      <c r="AD7" s="88"/>
    </row>
    <row r="8" spans="2:30" ht="19.5" customHeight="1" thickBot="1">
      <c r="B8" s="89" t="s">
        <v>54</v>
      </c>
      <c r="C8" s="90"/>
      <c r="D8" s="90"/>
      <c r="E8" s="90"/>
      <c r="F8" s="90"/>
      <c r="G8" s="90"/>
      <c r="H8" s="90"/>
      <c r="I8" s="90"/>
      <c r="J8" s="90"/>
      <c r="K8" s="90">
        <v>1</v>
      </c>
      <c r="L8" s="90"/>
      <c r="M8" s="90"/>
      <c r="N8" s="90"/>
      <c r="O8" s="91">
        <v>105.62</v>
      </c>
      <c r="P8" s="91"/>
      <c r="Q8" s="92"/>
      <c r="R8" s="92"/>
      <c r="S8" s="91">
        <v>40</v>
      </c>
      <c r="T8" s="91"/>
      <c r="U8" s="92"/>
      <c r="V8" s="92"/>
      <c r="W8" s="91">
        <v>1.5</v>
      </c>
      <c r="X8" s="91"/>
      <c r="Y8" s="92"/>
      <c r="Z8" s="92"/>
      <c r="AA8" s="80">
        <f>K8*(O8*S8*W8)/27</f>
        <v>234.71111111111114</v>
      </c>
      <c r="AB8" s="80"/>
      <c r="AC8" s="80"/>
      <c r="AD8" s="81"/>
    </row>
    <row r="9" spans="2:30" ht="19.5" customHeight="1">
      <c r="B9" s="61" t="s">
        <v>43</v>
      </c>
      <c r="C9" s="62"/>
      <c r="D9" s="62"/>
      <c r="E9" s="62"/>
      <c r="F9" s="62"/>
      <c r="G9" s="62"/>
      <c r="H9" s="62"/>
      <c r="I9" s="62"/>
      <c r="J9" s="62"/>
      <c r="K9" s="62">
        <v>4</v>
      </c>
      <c r="L9" s="62"/>
      <c r="M9" s="62"/>
      <c r="N9" s="62"/>
      <c r="O9" s="72">
        <v>20</v>
      </c>
      <c r="P9" s="72"/>
      <c r="Q9" s="62"/>
      <c r="R9" s="62"/>
      <c r="S9" s="72">
        <f>0.625*2</f>
        <v>1.25</v>
      </c>
      <c r="T9" s="72"/>
      <c r="U9" s="62"/>
      <c r="V9" s="62"/>
      <c r="W9" s="132">
        <v>1E-22</v>
      </c>
      <c r="X9" s="133"/>
      <c r="Y9" s="62">
        <v>0.3802</v>
      </c>
      <c r="Z9" s="62"/>
      <c r="AA9" s="65">
        <f aca="true" t="shared" si="0" ref="AA9:AA18">IF(AND(0&lt;ABS($O9),0&lt;ABS($S9),0&lt;ABS($W9)),ROUND(($K9*IF($Q9&gt;0,($O9+$Q9)/2,$O9)*IF($U9&gt;0,($S9+$U9)/2,$S9)*IF($Y9&gt;0,($W9+$Y9)/2,$W9))/27,1),IF(AND(0&lt;ABS($O9),0&lt;ABS($S9)),ROUND(($K9*IF($Q9&gt;0,($O9+$Q9)/2,$O9)*IF($U9&gt;0,($S9+$U9)/2,$S9))/9,1),IF(AND(0&lt;ABS($O9)),ROUND($K9*$O9,1),$K9)))</f>
        <v>0.7</v>
      </c>
      <c r="AB9" s="65"/>
      <c r="AC9" s="65"/>
      <c r="AD9" s="66"/>
    </row>
    <row r="10" spans="2:30" ht="19.5" customHeight="1">
      <c r="B10" s="61" t="s">
        <v>55</v>
      </c>
      <c r="C10" s="62"/>
      <c r="D10" s="62"/>
      <c r="E10" s="62"/>
      <c r="F10" s="62"/>
      <c r="G10" s="62"/>
      <c r="H10" s="62"/>
      <c r="I10" s="62"/>
      <c r="J10" s="62"/>
      <c r="K10" s="62">
        <v>1</v>
      </c>
      <c r="L10" s="62"/>
      <c r="M10" s="62"/>
      <c r="N10" s="62"/>
      <c r="O10" s="72">
        <f>11.7604-O14</f>
        <v>8.583300000000001</v>
      </c>
      <c r="P10" s="72"/>
      <c r="Q10" s="62"/>
      <c r="R10" s="62"/>
      <c r="S10" s="72">
        <v>1.25</v>
      </c>
      <c r="T10" s="72"/>
      <c r="U10" s="62"/>
      <c r="V10" s="62"/>
      <c r="W10" s="73">
        <f>3.7-2</f>
        <v>1.7000000000000002</v>
      </c>
      <c r="X10" s="73"/>
      <c r="Y10" s="62"/>
      <c r="Z10" s="62"/>
      <c r="AA10" s="65">
        <f t="shared" si="0"/>
        <v>0.7</v>
      </c>
      <c r="AB10" s="65"/>
      <c r="AC10" s="65"/>
      <c r="AD10" s="66"/>
    </row>
    <row r="11" spans="2:30" ht="19.5" customHeight="1">
      <c r="B11" s="61" t="s">
        <v>56</v>
      </c>
      <c r="C11" s="62"/>
      <c r="D11" s="62"/>
      <c r="E11" s="62"/>
      <c r="F11" s="62"/>
      <c r="G11" s="62"/>
      <c r="H11" s="62"/>
      <c r="I11" s="62"/>
      <c r="J11" s="62"/>
      <c r="K11" s="62">
        <v>1</v>
      </c>
      <c r="L11" s="62"/>
      <c r="M11" s="62"/>
      <c r="N11" s="62"/>
      <c r="O11" s="72">
        <f>12.4375-O15</f>
        <v>7.5729</v>
      </c>
      <c r="P11" s="72"/>
      <c r="Q11" s="62"/>
      <c r="R11" s="62"/>
      <c r="S11" s="72">
        <v>1.25</v>
      </c>
      <c r="T11" s="72"/>
      <c r="U11" s="62"/>
      <c r="V11" s="62"/>
      <c r="W11" s="73">
        <f>3.33-2</f>
        <v>1.33</v>
      </c>
      <c r="X11" s="73"/>
      <c r="Y11" s="62"/>
      <c r="Z11" s="62"/>
      <c r="AA11" s="65">
        <f t="shared" si="0"/>
        <v>0.5</v>
      </c>
      <c r="AB11" s="65"/>
      <c r="AC11" s="65"/>
      <c r="AD11" s="66"/>
    </row>
    <row r="12" spans="2:30" ht="19.5" customHeight="1">
      <c r="B12" s="61" t="s">
        <v>60</v>
      </c>
      <c r="C12" s="62"/>
      <c r="D12" s="62"/>
      <c r="E12" s="62"/>
      <c r="F12" s="62"/>
      <c r="G12" s="62"/>
      <c r="H12" s="62"/>
      <c r="I12" s="62"/>
      <c r="J12" s="62"/>
      <c r="K12" s="62">
        <v>1</v>
      </c>
      <c r="L12" s="62"/>
      <c r="M12" s="62"/>
      <c r="N12" s="62"/>
      <c r="O12" s="72">
        <f>11.7604-O16</f>
        <v>8.583300000000001</v>
      </c>
      <c r="P12" s="72"/>
      <c r="Q12" s="62"/>
      <c r="R12" s="62"/>
      <c r="S12" s="72">
        <v>1.25</v>
      </c>
      <c r="T12" s="72"/>
      <c r="U12" s="62"/>
      <c r="V12" s="62"/>
      <c r="W12" s="73">
        <f>3.69-2</f>
        <v>1.69</v>
      </c>
      <c r="X12" s="73"/>
      <c r="Y12" s="62"/>
      <c r="Z12" s="62"/>
      <c r="AA12" s="65">
        <f t="shared" si="0"/>
        <v>0.7</v>
      </c>
      <c r="AB12" s="65"/>
      <c r="AC12" s="65"/>
      <c r="AD12" s="66"/>
    </row>
    <row r="13" spans="2:30" ht="19.5" customHeight="1">
      <c r="B13" s="61" t="s">
        <v>59</v>
      </c>
      <c r="C13" s="62"/>
      <c r="D13" s="62"/>
      <c r="E13" s="62"/>
      <c r="F13" s="62"/>
      <c r="G13" s="62"/>
      <c r="H13" s="62"/>
      <c r="I13" s="62"/>
      <c r="J13" s="62"/>
      <c r="K13" s="62">
        <v>1</v>
      </c>
      <c r="L13" s="62"/>
      <c r="M13" s="62"/>
      <c r="N13" s="62"/>
      <c r="O13" s="72">
        <f>12.4375-O17</f>
        <v>7.5729</v>
      </c>
      <c r="P13" s="72"/>
      <c r="Q13" s="62"/>
      <c r="R13" s="62"/>
      <c r="S13" s="72">
        <v>1.25</v>
      </c>
      <c r="T13" s="72"/>
      <c r="U13" s="62"/>
      <c r="V13" s="62"/>
      <c r="W13" s="73">
        <f>4.13-2</f>
        <v>2.13</v>
      </c>
      <c r="X13" s="73"/>
      <c r="Y13" s="62"/>
      <c r="Z13" s="62"/>
      <c r="AA13" s="65">
        <f t="shared" si="0"/>
        <v>0.7</v>
      </c>
      <c r="AB13" s="65"/>
      <c r="AC13" s="65"/>
      <c r="AD13" s="66"/>
    </row>
    <row r="14" spans="2:30" ht="19.5" customHeight="1">
      <c r="B14" s="61" t="s">
        <v>57</v>
      </c>
      <c r="C14" s="62"/>
      <c r="D14" s="62"/>
      <c r="E14" s="62"/>
      <c r="F14" s="62"/>
      <c r="G14" s="62"/>
      <c r="H14" s="62"/>
      <c r="I14" s="62"/>
      <c r="J14" s="62"/>
      <c r="K14" s="62">
        <v>1</v>
      </c>
      <c r="L14" s="62"/>
      <c r="M14" s="62"/>
      <c r="N14" s="62"/>
      <c r="O14" s="72">
        <v>3.1771</v>
      </c>
      <c r="P14" s="72"/>
      <c r="Q14" s="62"/>
      <c r="R14" s="62"/>
      <c r="S14" s="72">
        <v>1.25</v>
      </c>
      <c r="T14" s="72"/>
      <c r="U14" s="62"/>
      <c r="V14" s="62"/>
      <c r="W14" s="73">
        <f>3.7</f>
        <v>3.7</v>
      </c>
      <c r="X14" s="73"/>
      <c r="Y14" s="62"/>
      <c r="Z14" s="62"/>
      <c r="AA14" s="65">
        <f t="shared" si="0"/>
        <v>0.5</v>
      </c>
      <c r="AB14" s="65"/>
      <c r="AC14" s="65"/>
      <c r="AD14" s="66"/>
    </row>
    <row r="15" spans="2:30" ht="19.5" customHeight="1">
      <c r="B15" s="61" t="s">
        <v>58</v>
      </c>
      <c r="C15" s="62"/>
      <c r="D15" s="62"/>
      <c r="E15" s="62"/>
      <c r="F15" s="62"/>
      <c r="G15" s="62"/>
      <c r="H15" s="62"/>
      <c r="I15" s="62"/>
      <c r="J15" s="62"/>
      <c r="K15" s="62">
        <v>1</v>
      </c>
      <c r="L15" s="62"/>
      <c r="M15" s="62"/>
      <c r="N15" s="62"/>
      <c r="O15" s="72">
        <v>4.8646</v>
      </c>
      <c r="P15" s="72"/>
      <c r="Q15" s="62"/>
      <c r="R15" s="62"/>
      <c r="S15" s="72">
        <v>1.25</v>
      </c>
      <c r="T15" s="72"/>
      <c r="U15" s="62"/>
      <c r="V15" s="62"/>
      <c r="W15" s="73">
        <f>3.33</f>
        <v>3.33</v>
      </c>
      <c r="X15" s="73"/>
      <c r="Y15" s="62"/>
      <c r="Z15" s="62"/>
      <c r="AA15" s="65">
        <f t="shared" si="0"/>
        <v>0.7</v>
      </c>
      <c r="AB15" s="65"/>
      <c r="AC15" s="65"/>
      <c r="AD15" s="66"/>
    </row>
    <row r="16" spans="2:30" ht="19.5" customHeight="1">
      <c r="B16" s="61" t="s">
        <v>61</v>
      </c>
      <c r="C16" s="62"/>
      <c r="D16" s="62"/>
      <c r="E16" s="62"/>
      <c r="F16" s="62"/>
      <c r="G16" s="62"/>
      <c r="H16" s="62"/>
      <c r="I16" s="62"/>
      <c r="J16" s="62"/>
      <c r="K16" s="62">
        <v>1</v>
      </c>
      <c r="L16" s="62"/>
      <c r="M16" s="62"/>
      <c r="N16" s="62"/>
      <c r="O16" s="72">
        <v>3.1771</v>
      </c>
      <c r="P16" s="72"/>
      <c r="Q16" s="62"/>
      <c r="R16" s="62"/>
      <c r="S16" s="72">
        <v>1.25</v>
      </c>
      <c r="T16" s="72"/>
      <c r="U16" s="62"/>
      <c r="V16" s="62"/>
      <c r="W16" s="73">
        <f>3.69</f>
        <v>3.69</v>
      </c>
      <c r="X16" s="73"/>
      <c r="Y16" s="62"/>
      <c r="Z16" s="62"/>
      <c r="AA16" s="65">
        <f t="shared" si="0"/>
        <v>0.5</v>
      </c>
      <c r="AB16" s="65"/>
      <c r="AC16" s="65"/>
      <c r="AD16" s="66"/>
    </row>
    <row r="17" spans="2:30" ht="19.5" customHeight="1">
      <c r="B17" s="61" t="s">
        <v>62</v>
      </c>
      <c r="C17" s="62"/>
      <c r="D17" s="62"/>
      <c r="E17" s="62"/>
      <c r="F17" s="62"/>
      <c r="G17" s="62"/>
      <c r="H17" s="62"/>
      <c r="I17" s="62"/>
      <c r="J17" s="62"/>
      <c r="K17" s="62">
        <v>1</v>
      </c>
      <c r="L17" s="62"/>
      <c r="M17" s="62"/>
      <c r="N17" s="62"/>
      <c r="O17" s="72">
        <v>4.8646</v>
      </c>
      <c r="P17" s="72"/>
      <c r="Q17" s="62"/>
      <c r="R17" s="62"/>
      <c r="S17" s="72">
        <v>1.25</v>
      </c>
      <c r="T17" s="72"/>
      <c r="U17" s="62"/>
      <c r="V17" s="62"/>
      <c r="W17" s="73">
        <f>4.13</f>
        <v>4.13</v>
      </c>
      <c r="X17" s="73"/>
      <c r="Y17" s="62"/>
      <c r="Z17" s="62"/>
      <c r="AA17" s="65">
        <f t="shared" si="0"/>
        <v>0.9</v>
      </c>
      <c r="AB17" s="65"/>
      <c r="AC17" s="65"/>
      <c r="AD17" s="66"/>
    </row>
    <row r="18" spans="2:30" ht="19.5" customHeight="1" thickBot="1">
      <c r="B18" s="134" t="s">
        <v>63</v>
      </c>
      <c r="C18" s="135"/>
      <c r="D18" s="135"/>
      <c r="E18" s="135"/>
      <c r="F18" s="135"/>
      <c r="G18" s="135"/>
      <c r="H18" s="135"/>
      <c r="I18" s="135"/>
      <c r="J18" s="135"/>
      <c r="K18" s="135">
        <v>4</v>
      </c>
      <c r="L18" s="135"/>
      <c r="M18" s="135"/>
      <c r="N18" s="135"/>
      <c r="O18" s="136">
        <v>20</v>
      </c>
      <c r="P18" s="136"/>
      <c r="Q18" s="135"/>
      <c r="R18" s="135"/>
      <c r="S18" s="136">
        <v>2</v>
      </c>
      <c r="T18" s="136"/>
      <c r="U18" s="135"/>
      <c r="V18" s="135"/>
      <c r="W18" s="137">
        <v>1E-22</v>
      </c>
      <c r="X18" s="136"/>
      <c r="Y18" s="135">
        <v>0.4583</v>
      </c>
      <c r="Z18" s="135"/>
      <c r="AA18" s="138">
        <f t="shared" si="0"/>
        <v>1.4</v>
      </c>
      <c r="AB18" s="138"/>
      <c r="AC18" s="138"/>
      <c r="AD18" s="139"/>
    </row>
    <row r="19" spans="2:30" ht="19.5" customHeight="1" thickBot="1">
      <c r="B19" s="82" t="s">
        <v>11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85">
        <f>SUM(AA8:AD18)</f>
        <v>242.0111111111111</v>
      </c>
      <c r="AB19" s="85"/>
      <c r="AC19" s="85"/>
      <c r="AD19" s="85"/>
    </row>
    <row r="20" spans="2:30" ht="19.5" customHeight="1" thickBot="1">
      <c r="B20" s="77" t="s">
        <v>29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</row>
    <row r="21" spans="2:30" ht="19.5" customHeight="1" thickBot="1">
      <c r="B21" s="49" t="s">
        <v>12</v>
      </c>
      <c r="C21" s="50"/>
      <c r="D21" s="50"/>
      <c r="E21" s="50"/>
      <c r="F21" s="50"/>
      <c r="G21" s="50"/>
      <c r="H21" s="50"/>
      <c r="I21" s="50"/>
      <c r="J21" s="51"/>
      <c r="K21" s="52" t="s">
        <v>10</v>
      </c>
      <c r="L21" s="53"/>
      <c r="M21" s="53"/>
      <c r="N21" s="54"/>
      <c r="O21" s="52" t="s">
        <v>8</v>
      </c>
      <c r="P21" s="53"/>
      <c r="Q21" s="53"/>
      <c r="R21" s="54"/>
      <c r="S21" s="52" t="s">
        <v>9</v>
      </c>
      <c r="T21" s="53"/>
      <c r="U21" s="53"/>
      <c r="V21" s="54"/>
      <c r="W21" s="52" t="s">
        <v>14</v>
      </c>
      <c r="X21" s="53"/>
      <c r="Y21" s="53"/>
      <c r="Z21" s="54"/>
      <c r="AA21" s="77" t="s">
        <v>51</v>
      </c>
      <c r="AB21" s="53"/>
      <c r="AC21" s="53"/>
      <c r="AD21" s="54"/>
    </row>
    <row r="22" spans="2:30" ht="19.5" customHeight="1" thickBot="1">
      <c r="B22" s="63" t="s">
        <v>52</v>
      </c>
      <c r="C22" s="64"/>
      <c r="D22" s="64"/>
      <c r="E22" s="64"/>
      <c r="F22" s="64"/>
      <c r="G22" s="64"/>
      <c r="H22" s="64"/>
      <c r="I22" s="64"/>
      <c r="J22" s="58"/>
      <c r="K22" s="55">
        <v>2</v>
      </c>
      <c r="L22" s="59"/>
      <c r="M22" s="59"/>
      <c r="N22" s="60"/>
      <c r="O22" s="55">
        <f>21.0313*2</f>
        <v>42.0626</v>
      </c>
      <c r="P22" s="59"/>
      <c r="Q22" s="59"/>
      <c r="R22" s="60"/>
      <c r="S22" s="55">
        <v>2</v>
      </c>
      <c r="T22" s="59"/>
      <c r="U22" s="59"/>
      <c r="V22" s="60"/>
      <c r="W22" s="55">
        <v>2</v>
      </c>
      <c r="X22" s="59"/>
      <c r="Y22" s="59"/>
      <c r="Z22" s="60"/>
      <c r="AA22" s="55">
        <f>K22*((O22*S22*W22)/27)</f>
        <v>12.462992592592594</v>
      </c>
      <c r="AB22" s="59"/>
      <c r="AC22" s="59"/>
      <c r="AD22" s="60"/>
    </row>
    <row r="23" spans="2:30" ht="19.5" customHeight="1" thickBot="1">
      <c r="B23" s="61" t="s">
        <v>55</v>
      </c>
      <c r="C23" s="62"/>
      <c r="D23" s="62"/>
      <c r="E23" s="62"/>
      <c r="F23" s="62"/>
      <c r="G23" s="62"/>
      <c r="H23" s="62"/>
      <c r="I23" s="62"/>
      <c r="J23" s="62"/>
      <c r="K23" s="55">
        <v>1</v>
      </c>
      <c r="L23" s="59"/>
      <c r="M23" s="59"/>
      <c r="N23" s="60"/>
      <c r="O23" s="55">
        <f>O10</f>
        <v>8.583300000000001</v>
      </c>
      <c r="P23" s="59"/>
      <c r="Q23" s="59"/>
      <c r="R23" s="60"/>
      <c r="S23" s="55">
        <v>1.25</v>
      </c>
      <c r="T23" s="59"/>
      <c r="U23" s="59"/>
      <c r="V23" s="60"/>
      <c r="W23" s="55">
        <v>2</v>
      </c>
      <c r="X23" s="59"/>
      <c r="Y23" s="59"/>
      <c r="Z23" s="60"/>
      <c r="AA23" s="55">
        <f>K23*((O23*S23*W23)/27)</f>
        <v>0.7947500000000001</v>
      </c>
      <c r="AB23" s="59"/>
      <c r="AC23" s="59"/>
      <c r="AD23" s="60"/>
    </row>
    <row r="24" spans="2:30" ht="19.5" customHeight="1" thickBot="1">
      <c r="B24" s="61" t="s">
        <v>56</v>
      </c>
      <c r="C24" s="62"/>
      <c r="D24" s="62"/>
      <c r="E24" s="62"/>
      <c r="F24" s="62"/>
      <c r="G24" s="62"/>
      <c r="H24" s="62"/>
      <c r="I24" s="62"/>
      <c r="J24" s="62"/>
      <c r="K24" s="55">
        <v>1</v>
      </c>
      <c r="L24" s="59"/>
      <c r="M24" s="59"/>
      <c r="N24" s="60"/>
      <c r="O24" s="55">
        <f>O11</f>
        <v>7.5729</v>
      </c>
      <c r="P24" s="59"/>
      <c r="Q24" s="59"/>
      <c r="R24" s="60"/>
      <c r="S24" s="55">
        <v>1.25</v>
      </c>
      <c r="T24" s="59"/>
      <c r="U24" s="59"/>
      <c r="V24" s="60"/>
      <c r="W24" s="55">
        <v>2</v>
      </c>
      <c r="X24" s="59"/>
      <c r="Y24" s="59"/>
      <c r="Z24" s="60"/>
      <c r="AA24" s="55">
        <f>K24*((O24*S24*W24)/27)</f>
        <v>0.7011944444444445</v>
      </c>
      <c r="AB24" s="59"/>
      <c r="AC24" s="59"/>
      <c r="AD24" s="60"/>
    </row>
    <row r="25" spans="2:30" ht="19.5" customHeight="1" thickBot="1">
      <c r="B25" s="61" t="s">
        <v>60</v>
      </c>
      <c r="C25" s="62"/>
      <c r="D25" s="62"/>
      <c r="E25" s="62"/>
      <c r="F25" s="62"/>
      <c r="G25" s="62"/>
      <c r="H25" s="62"/>
      <c r="I25" s="62"/>
      <c r="J25" s="62"/>
      <c r="K25" s="55">
        <v>1</v>
      </c>
      <c r="L25" s="59"/>
      <c r="M25" s="59"/>
      <c r="N25" s="60"/>
      <c r="O25" s="55">
        <f>O12</f>
        <v>8.583300000000001</v>
      </c>
      <c r="P25" s="59"/>
      <c r="Q25" s="59"/>
      <c r="R25" s="60"/>
      <c r="S25" s="55">
        <v>1.25</v>
      </c>
      <c r="T25" s="59"/>
      <c r="U25" s="59"/>
      <c r="V25" s="60"/>
      <c r="W25" s="55">
        <v>2</v>
      </c>
      <c r="X25" s="59"/>
      <c r="Y25" s="59"/>
      <c r="Z25" s="60"/>
      <c r="AA25" s="55">
        <f>K25*((O25*S25*W25)/27)</f>
        <v>0.7947500000000001</v>
      </c>
      <c r="AB25" s="59"/>
      <c r="AC25" s="59"/>
      <c r="AD25" s="60"/>
    </row>
    <row r="26" spans="2:30" ht="19.5" customHeight="1" thickBot="1">
      <c r="B26" s="61" t="s">
        <v>59</v>
      </c>
      <c r="C26" s="62"/>
      <c r="D26" s="62"/>
      <c r="E26" s="62"/>
      <c r="F26" s="62"/>
      <c r="G26" s="62"/>
      <c r="H26" s="62"/>
      <c r="I26" s="62"/>
      <c r="J26" s="62"/>
      <c r="K26" s="55">
        <v>1</v>
      </c>
      <c r="L26" s="59"/>
      <c r="M26" s="59"/>
      <c r="N26" s="60"/>
      <c r="O26" s="55">
        <f>O13</f>
        <v>7.5729</v>
      </c>
      <c r="P26" s="59"/>
      <c r="Q26" s="59"/>
      <c r="R26" s="60"/>
      <c r="S26" s="55">
        <v>1.25</v>
      </c>
      <c r="T26" s="59"/>
      <c r="U26" s="59"/>
      <c r="V26" s="60"/>
      <c r="W26" s="55">
        <v>2</v>
      </c>
      <c r="X26" s="59"/>
      <c r="Y26" s="59"/>
      <c r="Z26" s="60"/>
      <c r="AA26" s="55">
        <f>K26*((O26*S26*W26)/27)</f>
        <v>0.7011944444444445</v>
      </c>
      <c r="AB26" s="59"/>
      <c r="AC26" s="59"/>
      <c r="AD26" s="60"/>
    </row>
    <row r="27" spans="2:30" ht="19.5" customHeight="1" thickBot="1" thickTop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4">
        <f>SUM(AA22:AD26)</f>
        <v>15.454881481481484</v>
      </c>
      <c r="AB27" s="35"/>
      <c r="AC27" s="35"/>
      <c r="AD27" s="36"/>
    </row>
    <row r="28" spans="2:30" ht="19.5" customHeight="1" thickBot="1">
      <c r="B28" s="77" t="s">
        <v>26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9"/>
    </row>
    <row r="29" spans="2:30" ht="19.5" customHeight="1" thickBot="1">
      <c r="B29" s="49" t="s">
        <v>12</v>
      </c>
      <c r="C29" s="50"/>
      <c r="D29" s="50"/>
      <c r="E29" s="50"/>
      <c r="F29" s="50"/>
      <c r="G29" s="50"/>
      <c r="H29" s="50"/>
      <c r="I29" s="50"/>
      <c r="J29" s="51"/>
      <c r="K29" s="52" t="s">
        <v>10</v>
      </c>
      <c r="L29" s="53"/>
      <c r="M29" s="53"/>
      <c r="N29" s="54"/>
      <c r="O29" s="52" t="s">
        <v>8</v>
      </c>
      <c r="P29" s="53"/>
      <c r="Q29" s="53"/>
      <c r="R29" s="54"/>
      <c r="S29" s="52" t="s">
        <v>9</v>
      </c>
      <c r="T29" s="53"/>
      <c r="U29" s="53"/>
      <c r="V29" s="54"/>
      <c r="W29" s="52" t="s">
        <v>14</v>
      </c>
      <c r="X29" s="53"/>
      <c r="Y29" s="53"/>
      <c r="Z29" s="54"/>
      <c r="AA29" s="52" t="str">
        <f>IF(AND(0&lt;ABS($O30),0&lt;ABS($S30),0&lt;ABS($W30)),"CU YD",IF(AND(0&lt;ABS($O30),0&lt;ABS($S30)),"SQ YD",IF(AND(0&lt;ABS($O30)),"FT","EACH")))</f>
        <v>SQ YD</v>
      </c>
      <c r="AB29" s="53"/>
      <c r="AC29" s="53"/>
      <c r="AD29" s="54"/>
    </row>
    <row r="30" spans="2:30" ht="19.5" customHeight="1" thickBot="1">
      <c r="B30" s="67" t="s">
        <v>24</v>
      </c>
      <c r="C30" s="68"/>
      <c r="D30" s="68"/>
      <c r="E30" s="68"/>
      <c r="F30" s="68"/>
      <c r="G30" s="68"/>
      <c r="H30" s="68"/>
      <c r="I30" s="68"/>
      <c r="J30" s="69"/>
      <c r="K30" s="67">
        <v>2</v>
      </c>
      <c r="L30" s="68"/>
      <c r="M30" s="68"/>
      <c r="N30" s="69"/>
      <c r="O30" s="70">
        <v>25</v>
      </c>
      <c r="P30" s="71"/>
      <c r="Q30" s="44"/>
      <c r="R30" s="45"/>
      <c r="S30" s="70">
        <v>24</v>
      </c>
      <c r="T30" s="71"/>
      <c r="U30" s="44"/>
      <c r="V30" s="45"/>
      <c r="W30" s="70"/>
      <c r="X30" s="71"/>
      <c r="Y30" s="44"/>
      <c r="Z30" s="45"/>
      <c r="AA30" s="112">
        <f>K30*((O30*S30)/9)</f>
        <v>133.33333333333334</v>
      </c>
      <c r="AB30" s="113"/>
      <c r="AC30" s="113"/>
      <c r="AD30" s="114"/>
    </row>
    <row r="31" spans="2:30" ht="19.5" customHeight="1" thickBot="1" thickTop="1">
      <c r="B31" s="31" t="s">
        <v>11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115">
        <f>SUM(AA30:AA30)</f>
        <v>133.33333333333334</v>
      </c>
      <c r="AB31" s="115"/>
      <c r="AC31" s="115"/>
      <c r="AD31" s="115"/>
    </row>
    <row r="32" spans="2:30" ht="19.5" customHeight="1" thickBot="1">
      <c r="B32" s="77" t="s">
        <v>95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9"/>
    </row>
    <row r="33" spans="2:30" ht="19.5" customHeight="1" thickBot="1">
      <c r="B33" s="49" t="s">
        <v>12</v>
      </c>
      <c r="C33" s="50"/>
      <c r="D33" s="50"/>
      <c r="E33" s="50"/>
      <c r="F33" s="50"/>
      <c r="G33" s="50"/>
      <c r="H33" s="50"/>
      <c r="I33" s="50"/>
      <c r="J33" s="51"/>
      <c r="K33" s="52" t="s">
        <v>10</v>
      </c>
      <c r="L33" s="53"/>
      <c r="M33" s="53"/>
      <c r="N33" s="54"/>
      <c r="O33" s="52" t="s">
        <v>8</v>
      </c>
      <c r="P33" s="53"/>
      <c r="Q33" s="53"/>
      <c r="R33" s="54"/>
      <c r="S33" s="52" t="s">
        <v>9</v>
      </c>
      <c r="T33" s="53"/>
      <c r="U33" s="53"/>
      <c r="V33" s="54"/>
      <c r="W33" s="52" t="s">
        <v>14</v>
      </c>
      <c r="X33" s="53"/>
      <c r="Y33" s="53"/>
      <c r="Z33" s="54"/>
      <c r="AA33" s="77" t="s">
        <v>98</v>
      </c>
      <c r="AB33" s="53"/>
      <c r="AC33" s="53"/>
      <c r="AD33" s="54"/>
    </row>
    <row r="34" spans="2:30" ht="19.5" customHeight="1" thickBot="1">
      <c r="B34" s="49" t="s">
        <v>97</v>
      </c>
      <c r="C34" s="50"/>
      <c r="D34" s="50"/>
      <c r="E34" s="50"/>
      <c r="F34" s="50"/>
      <c r="G34" s="50"/>
      <c r="H34" s="50"/>
      <c r="I34" s="50"/>
      <c r="J34" s="152"/>
      <c r="K34" s="153"/>
      <c r="L34" s="53"/>
      <c r="M34" s="53"/>
      <c r="N34" s="154"/>
      <c r="O34" s="153">
        <v>145.61</v>
      </c>
      <c r="P34" s="53"/>
      <c r="Q34" s="53"/>
      <c r="R34" s="154"/>
      <c r="S34" s="153">
        <v>40</v>
      </c>
      <c r="T34" s="53"/>
      <c r="U34" s="53"/>
      <c r="V34" s="154"/>
      <c r="W34" s="153"/>
      <c r="X34" s="53"/>
      <c r="Y34" s="53"/>
      <c r="Z34" s="154"/>
      <c r="AA34" s="59">
        <f>(O34*S34)/9</f>
        <v>647.1555555555556</v>
      </c>
      <c r="AB34" s="59"/>
      <c r="AC34" s="59"/>
      <c r="AD34" s="60"/>
    </row>
    <row r="35" spans="2:30" ht="19.5" customHeight="1" thickBot="1">
      <c r="B35" s="21"/>
      <c r="C35" s="22"/>
      <c r="D35" s="22"/>
      <c r="E35" s="22"/>
      <c r="F35" s="22"/>
      <c r="G35" s="22"/>
      <c r="H35" s="22"/>
      <c r="I35" s="22"/>
      <c r="J35" s="22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7" t="s">
        <v>96</v>
      </c>
      <c r="X35" s="157"/>
      <c r="Y35" s="157"/>
      <c r="Z35" s="157"/>
      <c r="AA35" s="155">
        <f>AA34</f>
        <v>647.1555555555556</v>
      </c>
      <c r="AB35" s="155"/>
      <c r="AC35" s="155"/>
      <c r="AD35" s="156"/>
    </row>
    <row r="36" spans="2:30" ht="19.5" customHeight="1" thickBot="1">
      <c r="B36" s="77" t="s"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9"/>
    </row>
    <row r="37" spans="2:30" ht="19.5" customHeight="1" thickBot="1">
      <c r="B37" s="49" t="s">
        <v>12</v>
      </c>
      <c r="C37" s="50"/>
      <c r="D37" s="50"/>
      <c r="E37" s="50"/>
      <c r="F37" s="50"/>
      <c r="G37" s="50"/>
      <c r="H37" s="50"/>
      <c r="I37" s="50"/>
      <c r="J37" s="51"/>
      <c r="K37" s="52" t="s">
        <v>10</v>
      </c>
      <c r="L37" s="53"/>
      <c r="M37" s="53"/>
      <c r="N37" s="54"/>
      <c r="O37" s="52" t="s">
        <v>8</v>
      </c>
      <c r="P37" s="53"/>
      <c r="Q37" s="53"/>
      <c r="R37" s="54"/>
      <c r="S37" s="52" t="s">
        <v>9</v>
      </c>
      <c r="T37" s="53"/>
      <c r="U37" s="53"/>
      <c r="V37" s="54"/>
      <c r="W37" s="52" t="s">
        <v>14</v>
      </c>
      <c r="X37" s="53"/>
      <c r="Y37" s="53"/>
      <c r="Z37" s="54"/>
      <c r="AA37" s="52" t="str">
        <f>IF(AND(0&lt;ABS($O38),0&lt;ABS($S38),0&lt;ABS($W38)),"CU YD",IF(AND(0&lt;ABS($O38),0&lt;ABS($S38)),"SQ YD",IF(AND(0&lt;ABS($O38)),"FT","EACH")))</f>
        <v>EACH</v>
      </c>
      <c r="AB37" s="53"/>
      <c r="AC37" s="53"/>
      <c r="AD37" s="54"/>
    </row>
    <row r="38" spans="2:30" ht="19.5" customHeight="1" thickBot="1">
      <c r="B38" s="67" t="s">
        <v>114</v>
      </c>
      <c r="C38" s="68"/>
      <c r="D38" s="68"/>
      <c r="E38" s="68"/>
      <c r="F38" s="68"/>
      <c r="G38" s="68"/>
      <c r="H38" s="68"/>
      <c r="I38" s="68"/>
      <c r="J38" s="69"/>
      <c r="K38" s="67">
        <v>118</v>
      </c>
      <c r="L38" s="68"/>
      <c r="M38" s="68"/>
      <c r="N38" s="69"/>
      <c r="O38" s="70"/>
      <c r="P38" s="71"/>
      <c r="Q38" s="44"/>
      <c r="R38" s="45"/>
      <c r="S38" s="70"/>
      <c r="T38" s="71"/>
      <c r="U38" s="44"/>
      <c r="V38" s="45"/>
      <c r="W38" s="70"/>
      <c r="X38" s="71"/>
      <c r="Y38" s="44"/>
      <c r="Z38" s="45"/>
      <c r="AA38" s="112">
        <f>IF(AND(0&lt;ABS($O38),0&lt;ABS($S38),0&lt;ABS($W38)),ROUND(($K38*IF($Q38&gt;0,($O38+$Q38)/2,$O38)*IF($U38&gt;0,($S38+$U38)/2,$S38)*IF($Y38&gt;0,($W38+$Y38)/2,$W38))/27,1),IF(AND(0&lt;ABS($O38),0&lt;ABS($S38)),ROUND(($K38*IF($Q38&gt;0,($O38+$Q38)/2,$O38)*IF($U38&gt;0,($S38+$U38)/2,$S38))/9,1),IF(AND(0&lt;ABS($O38)),ROUND($K38*$O38,1),$K38)))</f>
        <v>118</v>
      </c>
      <c r="AB38" s="113"/>
      <c r="AC38" s="113"/>
      <c r="AD38" s="114"/>
    </row>
    <row r="39" spans="2:30" ht="19.5" customHeight="1" thickBot="1" thickTop="1">
      <c r="B39" s="31" t="s">
        <v>11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  <c r="AA39" s="115">
        <f>SUM(AA38:AA38)</f>
        <v>118</v>
      </c>
      <c r="AB39" s="115"/>
      <c r="AC39" s="115"/>
      <c r="AD39" s="115"/>
    </row>
    <row r="40" spans="2:30" ht="19.5" customHeight="1" thickBot="1">
      <c r="B40" s="77" t="s">
        <v>27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9"/>
    </row>
    <row r="41" spans="2:30" ht="19.5" customHeight="1" thickBot="1">
      <c r="B41" s="49" t="s">
        <v>12</v>
      </c>
      <c r="C41" s="50"/>
      <c r="D41" s="50"/>
      <c r="E41" s="50"/>
      <c r="F41" s="50"/>
      <c r="G41" s="50"/>
      <c r="H41" s="50"/>
      <c r="I41" s="50"/>
      <c r="J41" s="51"/>
      <c r="K41" s="52" t="s">
        <v>10</v>
      </c>
      <c r="L41" s="53"/>
      <c r="M41" s="53"/>
      <c r="N41" s="54"/>
      <c r="O41" s="52" t="s">
        <v>8</v>
      </c>
      <c r="P41" s="53"/>
      <c r="Q41" s="53"/>
      <c r="R41" s="54"/>
      <c r="S41" s="52" t="s">
        <v>9</v>
      </c>
      <c r="T41" s="53"/>
      <c r="U41" s="53"/>
      <c r="V41" s="54"/>
      <c r="W41" s="52" t="s">
        <v>14</v>
      </c>
      <c r="X41" s="53"/>
      <c r="Y41" s="53"/>
      <c r="Z41" s="54"/>
      <c r="AA41" s="52" t="str">
        <f>IF(AND(0&lt;ABS($O42),0&lt;ABS($S42),0&lt;ABS($W42)),"CU YD",IF(AND(0&lt;ABS($O42),0&lt;ABS($S42)),"SQ YD",IF(AND(0&lt;ABS($O42)),"FT","EACH")))</f>
        <v>CU YD</v>
      </c>
      <c r="AB41" s="53"/>
      <c r="AC41" s="53"/>
      <c r="AD41" s="54"/>
    </row>
    <row r="42" spans="2:30" ht="19.5" customHeight="1">
      <c r="B42" s="67" t="s">
        <v>13</v>
      </c>
      <c r="C42" s="68"/>
      <c r="D42" s="68"/>
      <c r="E42" s="68"/>
      <c r="F42" s="68"/>
      <c r="G42" s="68"/>
      <c r="H42" s="68"/>
      <c r="I42" s="68"/>
      <c r="J42" s="69"/>
      <c r="K42" s="67">
        <v>1</v>
      </c>
      <c r="L42" s="68"/>
      <c r="M42" s="68"/>
      <c r="N42" s="69"/>
      <c r="O42" s="70">
        <v>105.6146</v>
      </c>
      <c r="P42" s="71"/>
      <c r="Q42" s="44"/>
      <c r="R42" s="45"/>
      <c r="S42" s="70">
        <v>40</v>
      </c>
      <c r="T42" s="71"/>
      <c r="U42" s="44"/>
      <c r="V42" s="45"/>
      <c r="W42" s="70">
        <v>1.6667</v>
      </c>
      <c r="X42" s="71"/>
      <c r="Y42" s="44"/>
      <c r="Z42" s="45"/>
      <c r="AA42" s="123">
        <f>IF(AND(0&lt;ABS($O42),0&lt;ABS($S42),0&lt;ABS($W42)),ROUND(($K42*IF($Q42&gt;0,($O42+$Q42)/2,$O42)*IF($U42&gt;0,($S42+$U42)/2,$S42)*IF($Y42&gt;0,($W42+$Y42)/2,$W42))/27,1),IF(AND(0&lt;ABS($O42),0&lt;ABS($S42)),ROUND(($K42*IF($Q42&gt;0,($O42+$Q42)/2,$O42)*IF($U42&gt;0,($S42+$U42)/2,$S42))/9,1),IF(AND(0&lt;ABS($O42)),ROUND($K42*$O42,1),$K42)))</f>
        <v>260.8</v>
      </c>
      <c r="AB42" s="124"/>
      <c r="AC42" s="124"/>
      <c r="AD42" s="125"/>
    </row>
    <row r="43" spans="2:30" ht="25.5" customHeight="1">
      <c r="B43" s="128" t="s">
        <v>67</v>
      </c>
      <c r="C43" s="129"/>
      <c r="D43" s="129"/>
      <c r="E43" s="129"/>
      <c r="F43" s="129"/>
      <c r="G43" s="129"/>
      <c r="H43" s="129"/>
      <c r="I43" s="129"/>
      <c r="J43" s="130"/>
      <c r="K43" s="99">
        <v>4</v>
      </c>
      <c r="L43" s="100"/>
      <c r="M43" s="100"/>
      <c r="N43" s="101"/>
      <c r="O43" s="102">
        <v>20</v>
      </c>
      <c r="P43" s="103"/>
      <c r="Q43" s="104"/>
      <c r="R43" s="105"/>
      <c r="S43" s="102">
        <v>1.75</v>
      </c>
      <c r="T43" s="103"/>
      <c r="U43" s="104"/>
      <c r="V43" s="105"/>
      <c r="W43" s="126">
        <v>0.32</v>
      </c>
      <c r="X43" s="127"/>
      <c r="Y43" s="104"/>
      <c r="Z43" s="105"/>
      <c r="AA43" s="123">
        <f>K43*(((0.5*O43*W43)*S43)/27)</f>
        <v>0.8296296296296297</v>
      </c>
      <c r="AB43" s="124"/>
      <c r="AC43" s="124"/>
      <c r="AD43" s="125"/>
    </row>
    <row r="44" spans="2:30" ht="27" customHeight="1">
      <c r="B44" s="128" t="s">
        <v>99</v>
      </c>
      <c r="C44" s="129"/>
      <c r="D44" s="129"/>
      <c r="E44" s="129"/>
      <c r="F44" s="129"/>
      <c r="G44" s="129"/>
      <c r="H44" s="129"/>
      <c r="I44" s="129"/>
      <c r="J44" s="130"/>
      <c r="K44" s="99">
        <v>1</v>
      </c>
      <c r="L44" s="100"/>
      <c r="M44" s="100"/>
      <c r="N44" s="101"/>
      <c r="O44" s="102">
        <f>2*23.0729</f>
        <v>46.1458</v>
      </c>
      <c r="P44" s="103"/>
      <c r="Q44" s="104"/>
      <c r="R44" s="105"/>
      <c r="S44" s="102">
        <v>3</v>
      </c>
      <c r="T44" s="103"/>
      <c r="U44" s="104"/>
      <c r="V44" s="105"/>
      <c r="W44" s="126">
        <v>952</v>
      </c>
      <c r="X44" s="127"/>
      <c r="Y44" s="131">
        <f>W44-(944.71+3)-1.6667-W43</f>
        <v>2.3032999999999637</v>
      </c>
      <c r="Z44" s="105"/>
      <c r="AA44" s="123">
        <f>K44*(((O44*S44*2.5)/27)-((1.75*(2.5-Y44)*O44))/27)</f>
        <v>12.229961555370263</v>
      </c>
      <c r="AB44" s="124"/>
      <c r="AC44" s="124"/>
      <c r="AD44" s="125"/>
    </row>
    <row r="45" spans="2:30" ht="27" customHeight="1">
      <c r="B45" s="128" t="s">
        <v>100</v>
      </c>
      <c r="C45" s="129"/>
      <c r="D45" s="129"/>
      <c r="E45" s="129"/>
      <c r="F45" s="129"/>
      <c r="G45" s="129"/>
      <c r="H45" s="129"/>
      <c r="I45" s="129"/>
      <c r="J45" s="130"/>
      <c r="K45" s="99">
        <v>1</v>
      </c>
      <c r="L45" s="100"/>
      <c r="M45" s="100"/>
      <c r="N45" s="101"/>
      <c r="O45" s="102">
        <f>2*23.0729</f>
        <v>46.1458</v>
      </c>
      <c r="P45" s="103"/>
      <c r="Q45" s="104"/>
      <c r="R45" s="105"/>
      <c r="S45" s="102">
        <v>3</v>
      </c>
      <c r="T45" s="103"/>
      <c r="U45" s="104"/>
      <c r="V45" s="105"/>
      <c r="W45" s="126">
        <v>952</v>
      </c>
      <c r="X45" s="127"/>
      <c r="Y45" s="131">
        <f>W45-(944.71+3)-1.6667-$W$43</f>
        <v>2.3032999999999637</v>
      </c>
      <c r="Z45" s="105"/>
      <c r="AA45" s="123">
        <f>K45*(((O45*S45*2.5)/27)-((1.75*(2.5-Y45)*O45))/27)</f>
        <v>12.229961555370263</v>
      </c>
      <c r="AB45" s="124"/>
      <c r="AC45" s="124"/>
      <c r="AD45" s="125"/>
    </row>
    <row r="46" spans="2:30" ht="27" customHeight="1">
      <c r="B46" s="128" t="s">
        <v>102</v>
      </c>
      <c r="C46" s="129"/>
      <c r="D46" s="129"/>
      <c r="E46" s="129"/>
      <c r="F46" s="129"/>
      <c r="G46" s="129"/>
      <c r="H46" s="129"/>
      <c r="I46" s="129"/>
      <c r="J46" s="130"/>
      <c r="K46" s="99">
        <v>1</v>
      </c>
      <c r="L46" s="100"/>
      <c r="M46" s="100"/>
      <c r="N46" s="101"/>
      <c r="O46" s="102">
        <f>2*23.0729</f>
        <v>46.1458</v>
      </c>
      <c r="P46" s="103"/>
      <c r="Q46" s="104"/>
      <c r="R46" s="105"/>
      <c r="S46" s="102">
        <v>3</v>
      </c>
      <c r="T46" s="103"/>
      <c r="U46" s="104"/>
      <c r="V46" s="105"/>
      <c r="W46" s="126">
        <v>950.86</v>
      </c>
      <c r="X46" s="127"/>
      <c r="Y46" s="131">
        <f>W46-(943.66+3)-1.6667-$W$43</f>
        <v>2.2133000000000456</v>
      </c>
      <c r="Z46" s="105"/>
      <c r="AA46" s="123">
        <f>K46*(((O46*S46*2.5)/27)-((1.75*(2.5-Y46)*O46))/27)</f>
        <v>11.960777722037173</v>
      </c>
      <c r="AB46" s="124"/>
      <c r="AC46" s="124"/>
      <c r="AD46" s="125"/>
    </row>
    <row r="47" spans="2:30" ht="27" customHeight="1">
      <c r="B47" s="128" t="s">
        <v>101</v>
      </c>
      <c r="C47" s="129"/>
      <c r="D47" s="129"/>
      <c r="E47" s="129"/>
      <c r="F47" s="129"/>
      <c r="G47" s="129"/>
      <c r="H47" s="129"/>
      <c r="I47" s="129"/>
      <c r="J47" s="130"/>
      <c r="K47" s="99">
        <v>1</v>
      </c>
      <c r="L47" s="100"/>
      <c r="M47" s="100"/>
      <c r="N47" s="101"/>
      <c r="O47" s="102">
        <f>2*23.0729</f>
        <v>46.1458</v>
      </c>
      <c r="P47" s="103"/>
      <c r="Q47" s="104"/>
      <c r="R47" s="105"/>
      <c r="S47" s="102">
        <v>3</v>
      </c>
      <c r="T47" s="103"/>
      <c r="U47" s="104"/>
      <c r="V47" s="105"/>
      <c r="W47" s="126">
        <v>950.86</v>
      </c>
      <c r="X47" s="127"/>
      <c r="Y47" s="131">
        <f>W47-(943.66+3)-1.6667-$W$43</f>
        <v>2.2133000000000456</v>
      </c>
      <c r="Z47" s="105"/>
      <c r="AA47" s="123">
        <f>K47*(((O47*S47*2.5)/27)-((1.75*(2.5-Y47)*O47))/27)</f>
        <v>11.960777722037173</v>
      </c>
      <c r="AB47" s="124"/>
      <c r="AC47" s="124"/>
      <c r="AD47" s="125"/>
    </row>
    <row r="48" spans="2:30" ht="19.5" customHeight="1">
      <c r="B48" s="99" t="s">
        <v>44</v>
      </c>
      <c r="C48" s="100"/>
      <c r="D48" s="100"/>
      <c r="E48" s="100"/>
      <c r="F48" s="100"/>
      <c r="G48" s="100"/>
      <c r="H48" s="100"/>
      <c r="I48" s="100"/>
      <c r="J48" s="101"/>
      <c r="K48" s="99">
        <v>2</v>
      </c>
      <c r="L48" s="100"/>
      <c r="M48" s="100"/>
      <c r="N48" s="101"/>
      <c r="O48" s="102">
        <v>21.4583</v>
      </c>
      <c r="P48" s="103"/>
      <c r="Q48" s="104"/>
      <c r="R48" s="105"/>
      <c r="S48" s="102">
        <v>2</v>
      </c>
      <c r="T48" s="103"/>
      <c r="U48" s="104"/>
      <c r="V48" s="105"/>
      <c r="W48" s="126">
        <v>951.55</v>
      </c>
      <c r="X48" s="127"/>
      <c r="Y48" s="131">
        <f>W48-(949.51)-1.6667-Y49</f>
        <v>0.32</v>
      </c>
      <c r="Z48" s="105"/>
      <c r="AA48" s="123">
        <f>K48*(((0.5*O48*Y48)*S48)/27)</f>
        <v>0.5086411851851852</v>
      </c>
      <c r="AB48" s="124"/>
      <c r="AC48" s="124"/>
      <c r="AD48" s="125"/>
    </row>
    <row r="49" spans="2:30" ht="19.5" customHeight="1">
      <c r="B49" s="99" t="s">
        <v>45</v>
      </c>
      <c r="C49" s="100"/>
      <c r="D49" s="100"/>
      <c r="E49" s="100"/>
      <c r="F49" s="100"/>
      <c r="G49" s="100"/>
      <c r="H49" s="100"/>
      <c r="I49" s="100"/>
      <c r="J49" s="101"/>
      <c r="K49" s="99">
        <v>2</v>
      </c>
      <c r="L49" s="100"/>
      <c r="M49" s="100"/>
      <c r="N49" s="101"/>
      <c r="O49" s="102">
        <v>21.4583</v>
      </c>
      <c r="P49" s="103"/>
      <c r="Q49" s="104"/>
      <c r="R49" s="105"/>
      <c r="S49" s="102">
        <v>2</v>
      </c>
      <c r="T49" s="103"/>
      <c r="U49" s="104"/>
      <c r="V49" s="105"/>
      <c r="W49" s="102">
        <v>951.55</v>
      </c>
      <c r="X49" s="103"/>
      <c r="Y49" s="131">
        <f>W49-(949.51)-1.6667-(20*0.016)</f>
        <v>0.05329999999996354</v>
      </c>
      <c r="Z49" s="105"/>
      <c r="AA49" s="123">
        <f>(O49*S49*Y49)/27</f>
        <v>0.08472054740734947</v>
      </c>
      <c r="AB49" s="124"/>
      <c r="AC49" s="124"/>
      <c r="AD49" s="125"/>
    </row>
    <row r="50" spans="2:30" ht="19.5" customHeight="1">
      <c r="B50" s="99" t="s">
        <v>47</v>
      </c>
      <c r="C50" s="100"/>
      <c r="D50" s="100"/>
      <c r="E50" s="100"/>
      <c r="F50" s="100"/>
      <c r="G50" s="100"/>
      <c r="H50" s="100"/>
      <c r="I50" s="100"/>
      <c r="J50" s="101"/>
      <c r="K50" s="99">
        <v>2</v>
      </c>
      <c r="L50" s="100"/>
      <c r="M50" s="100"/>
      <c r="N50" s="101"/>
      <c r="O50" s="102">
        <v>21.4583</v>
      </c>
      <c r="P50" s="103"/>
      <c r="Q50" s="104"/>
      <c r="R50" s="105"/>
      <c r="S50" s="102">
        <v>2</v>
      </c>
      <c r="T50" s="103"/>
      <c r="U50" s="104"/>
      <c r="V50" s="105"/>
      <c r="W50" s="126">
        <v>951.12</v>
      </c>
      <c r="X50" s="127"/>
      <c r="Y50" s="131">
        <f>W50-(949.11)-1.6667-Y51</f>
        <v>0.32</v>
      </c>
      <c r="Z50" s="105"/>
      <c r="AA50" s="123">
        <f>K50*(((0.5*O50*Y50)*S50)/27)</f>
        <v>0.5086411851851852</v>
      </c>
      <c r="AB50" s="124"/>
      <c r="AC50" s="124"/>
      <c r="AD50" s="125"/>
    </row>
    <row r="51" spans="2:30" ht="19.5" customHeight="1" thickBot="1">
      <c r="B51" s="99" t="s">
        <v>46</v>
      </c>
      <c r="C51" s="100"/>
      <c r="D51" s="100"/>
      <c r="E51" s="100"/>
      <c r="F51" s="100"/>
      <c r="G51" s="100"/>
      <c r="H51" s="100"/>
      <c r="I51" s="100"/>
      <c r="J51" s="101"/>
      <c r="K51" s="99">
        <v>2</v>
      </c>
      <c r="L51" s="100"/>
      <c r="M51" s="100"/>
      <c r="N51" s="101"/>
      <c r="O51" s="102">
        <v>21.4583</v>
      </c>
      <c r="P51" s="103"/>
      <c r="Q51" s="104"/>
      <c r="R51" s="105"/>
      <c r="S51" s="102">
        <v>2</v>
      </c>
      <c r="T51" s="103"/>
      <c r="U51" s="104"/>
      <c r="V51" s="105"/>
      <c r="W51" s="102">
        <v>951.12</v>
      </c>
      <c r="X51" s="103"/>
      <c r="Y51" s="104">
        <f>W51-(949.11)-1.6667-(20*0.016)</f>
        <v>0.023299999999990828</v>
      </c>
      <c r="Z51" s="105"/>
      <c r="AA51" s="123">
        <f>(O51*S51*Y51)/27</f>
        <v>0.03703543629628172</v>
      </c>
      <c r="AB51" s="124"/>
      <c r="AC51" s="124"/>
      <c r="AD51" s="125"/>
    </row>
    <row r="52" spans="2:30" ht="19.5" customHeight="1" thickBot="1" thickTop="1">
      <c r="B52" s="31" t="s">
        <v>11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34">
        <f>SUM(AA42:AD51)</f>
        <v>311.15014653851847</v>
      </c>
      <c r="AB52" s="35"/>
      <c r="AC52" s="35"/>
      <c r="AD52" s="36"/>
    </row>
    <row r="53" spans="2:30" ht="19.5" customHeight="1" thickBot="1">
      <c r="B53" s="46" t="s">
        <v>68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8"/>
    </row>
    <row r="54" spans="2:30" ht="19.5" customHeight="1" thickBot="1">
      <c r="B54" s="49" t="s">
        <v>12</v>
      </c>
      <c r="C54" s="50"/>
      <c r="D54" s="50"/>
      <c r="E54" s="50"/>
      <c r="F54" s="50"/>
      <c r="G54" s="50"/>
      <c r="H54" s="50"/>
      <c r="I54" s="50"/>
      <c r="J54" s="51"/>
      <c r="K54" s="52" t="s">
        <v>10</v>
      </c>
      <c r="L54" s="53"/>
      <c r="M54" s="53"/>
      <c r="N54" s="54"/>
      <c r="O54" s="52" t="s">
        <v>8</v>
      </c>
      <c r="P54" s="53"/>
      <c r="Q54" s="53"/>
      <c r="R54" s="54"/>
      <c r="S54" s="52" t="s">
        <v>9</v>
      </c>
      <c r="T54" s="53"/>
      <c r="U54" s="53"/>
      <c r="V54" s="54"/>
      <c r="W54" s="52" t="s">
        <v>14</v>
      </c>
      <c r="X54" s="53"/>
      <c r="Y54" s="53"/>
      <c r="Z54" s="54"/>
      <c r="AA54" s="52" t="str">
        <f>IF(AND(0&lt;ABS($O60),0&lt;ABS($S60),0&lt;ABS($W60)),"CU YD",IF(AND(0&lt;ABS($O60),0&lt;ABS($S60)),"SQ YD",IF(AND(0&lt;ABS($O60)),"FT","EACH")))</f>
        <v>CU YD</v>
      </c>
      <c r="AB54" s="53"/>
      <c r="AC54" s="53"/>
      <c r="AD54" s="54"/>
    </row>
    <row r="55" spans="2:30" ht="19.5" customHeight="1" thickBot="1">
      <c r="B55" s="67" t="s">
        <v>69</v>
      </c>
      <c r="C55" s="68"/>
      <c r="D55" s="68"/>
      <c r="E55" s="68"/>
      <c r="F55" s="68"/>
      <c r="G55" s="68"/>
      <c r="H55" s="68"/>
      <c r="I55" s="68"/>
      <c r="J55" s="69"/>
      <c r="K55" s="67">
        <v>1</v>
      </c>
      <c r="L55" s="68"/>
      <c r="M55" s="68"/>
      <c r="N55" s="69"/>
      <c r="O55" s="70">
        <v>2.3229</v>
      </c>
      <c r="P55" s="71"/>
      <c r="Q55" s="44">
        <v>3.625</v>
      </c>
      <c r="R55" s="45"/>
      <c r="S55" s="70">
        <v>3</v>
      </c>
      <c r="T55" s="71"/>
      <c r="U55" s="44"/>
      <c r="V55" s="45"/>
      <c r="W55" s="70">
        <f>951.59-(944.71+3)</f>
        <v>3.8799999999999955</v>
      </c>
      <c r="X55" s="71"/>
      <c r="Y55" s="44"/>
      <c r="Z55" s="45"/>
      <c r="AA55" s="41">
        <f>(((O55*S55)+(0.5*S55*(Q55-O55)))*W55)/27</f>
        <v>1.2821028888888872</v>
      </c>
      <c r="AB55" s="42"/>
      <c r="AC55" s="42"/>
      <c r="AD55" s="43"/>
    </row>
    <row r="56" spans="2:30" ht="19.5" customHeight="1" thickBot="1" thickTop="1">
      <c r="B56" s="67" t="s">
        <v>70</v>
      </c>
      <c r="C56" s="68"/>
      <c r="D56" s="68"/>
      <c r="E56" s="68"/>
      <c r="F56" s="68"/>
      <c r="G56" s="68"/>
      <c r="H56" s="68"/>
      <c r="I56" s="68"/>
      <c r="J56" s="69"/>
      <c r="K56" s="67">
        <v>1</v>
      </c>
      <c r="L56" s="68"/>
      <c r="M56" s="68"/>
      <c r="N56" s="69"/>
      <c r="O56" s="70">
        <v>2.3177</v>
      </c>
      <c r="P56" s="71"/>
      <c r="Q56" s="44">
        <v>3.4375</v>
      </c>
      <c r="R56" s="45"/>
      <c r="S56" s="70">
        <v>3</v>
      </c>
      <c r="T56" s="71"/>
      <c r="U56" s="44"/>
      <c r="V56" s="45"/>
      <c r="W56" s="70">
        <f>951.84-(944.71+3)</f>
        <v>4.1299999999999955</v>
      </c>
      <c r="X56" s="71"/>
      <c r="Y56" s="44"/>
      <c r="Z56" s="45"/>
      <c r="AA56" s="41">
        <f>(((O56*S56)+(0.5*S56*(Q56-O56)))*W56)/27</f>
        <v>1.3204986666666652</v>
      </c>
      <c r="AB56" s="42"/>
      <c r="AC56" s="42"/>
      <c r="AD56" s="43"/>
    </row>
    <row r="57" spans="2:30" ht="19.5" customHeight="1" thickBot="1" thickTop="1">
      <c r="B57" s="67" t="s">
        <v>71</v>
      </c>
      <c r="C57" s="68"/>
      <c r="D57" s="68"/>
      <c r="E57" s="68"/>
      <c r="F57" s="68"/>
      <c r="G57" s="68"/>
      <c r="H57" s="68"/>
      <c r="I57" s="68"/>
      <c r="J57" s="69"/>
      <c r="K57" s="67">
        <v>1</v>
      </c>
      <c r="L57" s="68"/>
      <c r="M57" s="68"/>
      <c r="N57" s="69"/>
      <c r="O57" s="70">
        <v>2.3177</v>
      </c>
      <c r="P57" s="71"/>
      <c r="Q57" s="44">
        <v>3.4375</v>
      </c>
      <c r="R57" s="45"/>
      <c r="S57" s="70">
        <v>3</v>
      </c>
      <c r="T57" s="71"/>
      <c r="U57" s="44"/>
      <c r="V57" s="45"/>
      <c r="W57" s="70">
        <f>950.61-(943.66+3)</f>
        <v>3.9500000000000455</v>
      </c>
      <c r="X57" s="71"/>
      <c r="Y57" s="44"/>
      <c r="Z57" s="45"/>
      <c r="AA57" s="41">
        <f>(((O57*S57)+(0.5*S57*(Q57-O57)))*W57)/27</f>
        <v>1.262946666666681</v>
      </c>
      <c r="AB57" s="42"/>
      <c r="AC57" s="42"/>
      <c r="AD57" s="43"/>
    </row>
    <row r="58" spans="2:30" ht="19.5" customHeight="1" thickBot="1" thickTop="1">
      <c r="B58" s="67" t="s">
        <v>72</v>
      </c>
      <c r="C58" s="68"/>
      <c r="D58" s="68"/>
      <c r="E58" s="68"/>
      <c r="F58" s="68"/>
      <c r="G58" s="68"/>
      <c r="H58" s="68"/>
      <c r="I58" s="68"/>
      <c r="J58" s="69"/>
      <c r="K58" s="67">
        <v>1</v>
      </c>
      <c r="L58" s="68"/>
      <c r="M58" s="68"/>
      <c r="N58" s="69"/>
      <c r="O58" s="70">
        <v>2.3177</v>
      </c>
      <c r="P58" s="71"/>
      <c r="Q58" s="44">
        <v>3.4375</v>
      </c>
      <c r="R58" s="45"/>
      <c r="S58" s="70">
        <v>3</v>
      </c>
      <c r="T58" s="71"/>
      <c r="U58" s="44"/>
      <c r="V58" s="45"/>
      <c r="W58" s="70">
        <f>950.5-(943.66+3)</f>
        <v>3.840000000000032</v>
      </c>
      <c r="X58" s="71"/>
      <c r="Y58" s="44"/>
      <c r="Z58" s="45"/>
      <c r="AA58" s="41">
        <f>(((O58*S58)+(0.5*S58*(Q58-O58)))*W58)/27</f>
        <v>1.2277760000000102</v>
      </c>
      <c r="AB58" s="42"/>
      <c r="AC58" s="42"/>
      <c r="AD58" s="43"/>
    </row>
    <row r="59" spans="2:30" ht="27" customHeight="1" thickBot="1" thickTop="1">
      <c r="B59" s="74" t="s">
        <v>74</v>
      </c>
      <c r="C59" s="75"/>
      <c r="D59" s="75"/>
      <c r="E59" s="75"/>
      <c r="F59" s="75"/>
      <c r="G59" s="75"/>
      <c r="H59" s="75"/>
      <c r="I59" s="75"/>
      <c r="J59" s="76"/>
      <c r="K59" s="63">
        <v>1</v>
      </c>
      <c r="L59" s="64"/>
      <c r="M59" s="64"/>
      <c r="N59" s="58"/>
      <c r="O59" s="55">
        <v>2</v>
      </c>
      <c r="P59" s="56"/>
      <c r="Q59" s="57"/>
      <c r="R59" s="58"/>
      <c r="S59" s="55">
        <v>3</v>
      </c>
      <c r="T59" s="56"/>
      <c r="U59" s="57"/>
      <c r="V59" s="58"/>
      <c r="W59" s="55">
        <v>3</v>
      </c>
      <c r="X59" s="56"/>
      <c r="Y59" s="57"/>
      <c r="Z59" s="58"/>
      <c r="AA59" s="41">
        <f>((($O$55*$S$55)+(0.5*$S$55*($Q$55-$O$55)))*$W$55)/27</f>
        <v>1.2821028888888872</v>
      </c>
      <c r="AB59" s="42"/>
      <c r="AC59" s="42"/>
      <c r="AD59" s="43"/>
    </row>
    <row r="60" spans="2:30" ht="31.5" customHeight="1" thickBot="1">
      <c r="B60" s="143" t="s">
        <v>73</v>
      </c>
      <c r="C60" s="144"/>
      <c r="D60" s="144"/>
      <c r="E60" s="144"/>
      <c r="F60" s="144"/>
      <c r="G60" s="144"/>
      <c r="H60" s="144"/>
      <c r="I60" s="144"/>
      <c r="J60" s="145"/>
      <c r="K60" s="121">
        <v>1</v>
      </c>
      <c r="L60" s="122"/>
      <c r="M60" s="122"/>
      <c r="N60" s="38"/>
      <c r="O60" s="39">
        <v>2</v>
      </c>
      <c r="P60" s="40"/>
      <c r="Q60" s="37"/>
      <c r="R60" s="38"/>
      <c r="S60" s="39">
        <v>3</v>
      </c>
      <c r="T60" s="40"/>
      <c r="U60" s="37"/>
      <c r="V60" s="38"/>
      <c r="W60" s="39">
        <v>3</v>
      </c>
      <c r="X60" s="40"/>
      <c r="Y60" s="37"/>
      <c r="Z60" s="38"/>
      <c r="AA60" s="41">
        <f>((($O$55*$S$55)+(0.5*$S$55*($Q$55-$O$55)))*$W$55)/27</f>
        <v>1.2821028888888872</v>
      </c>
      <c r="AB60" s="42"/>
      <c r="AC60" s="42"/>
      <c r="AD60" s="43"/>
    </row>
    <row r="61" spans="2:30" ht="6.75" customHeight="1" thickBot="1" thickTop="1">
      <c r="B61" s="23"/>
      <c r="C61" s="24"/>
      <c r="D61" s="24"/>
      <c r="E61" s="24"/>
      <c r="F61" s="24"/>
      <c r="G61" s="24"/>
      <c r="H61" s="24"/>
      <c r="I61" s="24"/>
      <c r="J61" s="24"/>
      <c r="K61" s="25"/>
      <c r="L61" s="25"/>
      <c r="M61" s="25"/>
      <c r="N61" s="25"/>
      <c r="O61" s="26"/>
      <c r="P61" s="26"/>
      <c r="Q61" s="25"/>
      <c r="R61" s="25"/>
      <c r="S61" s="26"/>
      <c r="T61" s="26"/>
      <c r="U61" s="25"/>
      <c r="V61" s="25"/>
      <c r="W61" s="26"/>
      <c r="X61" s="26"/>
      <c r="Y61" s="25"/>
      <c r="Z61" s="27"/>
      <c r="AA61" s="28"/>
      <c r="AB61" s="29"/>
      <c r="AC61" s="29"/>
      <c r="AD61" s="30"/>
    </row>
    <row r="62" spans="2:30" ht="19.5" customHeight="1" thickBot="1" thickTop="1">
      <c r="B62" s="31" t="s">
        <v>11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A62" s="34">
        <f>SUM(AA55:AD60)</f>
        <v>7.657530000000018</v>
      </c>
      <c r="AB62" s="35"/>
      <c r="AC62" s="35"/>
      <c r="AD62" s="36"/>
    </row>
    <row r="63" spans="2:30" ht="19.5" customHeight="1" thickBot="1">
      <c r="B63" s="46" t="s">
        <v>21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8"/>
    </row>
    <row r="64" spans="2:30" ht="19.5" customHeight="1" thickBot="1">
      <c r="B64" s="49" t="s">
        <v>12</v>
      </c>
      <c r="C64" s="50"/>
      <c r="D64" s="50"/>
      <c r="E64" s="50"/>
      <c r="F64" s="50"/>
      <c r="G64" s="50"/>
      <c r="H64" s="50"/>
      <c r="I64" s="50"/>
      <c r="J64" s="51"/>
      <c r="K64" s="52" t="s">
        <v>10</v>
      </c>
      <c r="L64" s="53"/>
      <c r="M64" s="53"/>
      <c r="N64" s="54"/>
      <c r="O64" s="52" t="s">
        <v>8</v>
      </c>
      <c r="P64" s="53"/>
      <c r="Q64" s="53"/>
      <c r="R64" s="54"/>
      <c r="S64" s="52" t="s">
        <v>9</v>
      </c>
      <c r="T64" s="53"/>
      <c r="U64" s="53"/>
      <c r="V64" s="54"/>
      <c r="W64" s="52" t="s">
        <v>14</v>
      </c>
      <c r="X64" s="53"/>
      <c r="Y64" s="53"/>
      <c r="Z64" s="54"/>
      <c r="AA64" s="77" t="s">
        <v>75</v>
      </c>
      <c r="AB64" s="53"/>
      <c r="AC64" s="53"/>
      <c r="AD64" s="54"/>
    </row>
    <row r="65" spans="2:30" ht="32.25" customHeight="1" thickBot="1">
      <c r="B65" s="116" t="s">
        <v>103</v>
      </c>
      <c r="C65" s="117"/>
      <c r="D65" s="117"/>
      <c r="E65" s="117"/>
      <c r="F65" s="117"/>
      <c r="G65" s="117"/>
      <c r="H65" s="117"/>
      <c r="I65" s="117"/>
      <c r="J65" s="118"/>
      <c r="K65" s="67">
        <v>1</v>
      </c>
      <c r="L65" s="68"/>
      <c r="M65" s="68"/>
      <c r="N65" s="69"/>
      <c r="O65" s="70">
        <f>21.5729*2</f>
        <v>43.1458</v>
      </c>
      <c r="P65" s="71"/>
      <c r="Q65" s="44"/>
      <c r="R65" s="45"/>
      <c r="S65" s="70"/>
      <c r="T65" s="71"/>
      <c r="U65" s="44"/>
      <c r="V65" s="45"/>
      <c r="W65" s="70">
        <f>(952-1.6667-(944.71+3))</f>
        <v>2.623299999999972</v>
      </c>
      <c r="X65" s="71"/>
      <c r="Y65" s="44"/>
      <c r="Z65" s="45"/>
      <c r="AA65" s="96">
        <f>((O65*W65)-(2*(0.5*(0.5*O65)*(20*0.016))))/9</f>
        <v>11.809005459999867</v>
      </c>
      <c r="AB65" s="97"/>
      <c r="AC65" s="97"/>
      <c r="AD65" s="98"/>
    </row>
    <row r="66" spans="2:30" ht="25.5" customHeight="1" thickBot="1">
      <c r="B66" s="116" t="s">
        <v>104</v>
      </c>
      <c r="C66" s="117"/>
      <c r="D66" s="117"/>
      <c r="E66" s="117"/>
      <c r="F66" s="117"/>
      <c r="G66" s="117"/>
      <c r="H66" s="117"/>
      <c r="I66" s="117"/>
      <c r="J66" s="118"/>
      <c r="K66" s="67">
        <v>1</v>
      </c>
      <c r="L66" s="68"/>
      <c r="M66" s="68"/>
      <c r="N66" s="69"/>
      <c r="O66" s="70">
        <f>21.5729*2</f>
        <v>43.1458</v>
      </c>
      <c r="P66" s="71"/>
      <c r="Q66" s="44"/>
      <c r="R66" s="45"/>
      <c r="S66" s="70"/>
      <c r="T66" s="71"/>
      <c r="U66" s="44"/>
      <c r="V66" s="45"/>
      <c r="W66" s="70">
        <f>(950.86-1.6667-(943.66+3))</f>
        <v>2.533300000000054</v>
      </c>
      <c r="X66" s="71"/>
      <c r="Y66" s="44"/>
      <c r="Z66" s="45"/>
      <c r="AA66" s="96">
        <f>((O66*W66)-(2*(0.5*(0.5*O66)*(20*0.016))))/9</f>
        <v>11.377547460000258</v>
      </c>
      <c r="AB66" s="97"/>
      <c r="AC66" s="97"/>
      <c r="AD66" s="98"/>
    </row>
    <row r="67" spans="2:30" ht="30" customHeight="1" thickBot="1">
      <c r="B67" s="116" t="s">
        <v>105</v>
      </c>
      <c r="C67" s="117"/>
      <c r="D67" s="117"/>
      <c r="E67" s="117"/>
      <c r="F67" s="117"/>
      <c r="G67" s="117"/>
      <c r="H67" s="117"/>
      <c r="I67" s="117"/>
      <c r="J67" s="118"/>
      <c r="K67" s="67">
        <v>1</v>
      </c>
      <c r="L67" s="68"/>
      <c r="M67" s="68"/>
      <c r="N67" s="69"/>
      <c r="O67" s="70">
        <v>1.5</v>
      </c>
      <c r="P67" s="71"/>
      <c r="Q67" s="44"/>
      <c r="R67" s="45"/>
      <c r="S67" s="70"/>
      <c r="T67" s="71"/>
      <c r="U67" s="44"/>
      <c r="V67" s="45"/>
      <c r="W67" s="55">
        <f>951.59-(944.71+3)</f>
        <v>3.8799999999999955</v>
      </c>
      <c r="X67" s="56"/>
      <c r="Y67" s="44"/>
      <c r="Z67" s="45"/>
      <c r="AA67" s="96">
        <f>(O67*W67)/9</f>
        <v>0.646666666666666</v>
      </c>
      <c r="AB67" s="97"/>
      <c r="AC67" s="97"/>
      <c r="AD67" s="98"/>
    </row>
    <row r="68" spans="2:30" ht="29.25" customHeight="1" thickBot="1">
      <c r="B68" s="116" t="s">
        <v>107</v>
      </c>
      <c r="C68" s="117"/>
      <c r="D68" s="117"/>
      <c r="E68" s="117"/>
      <c r="F68" s="117"/>
      <c r="G68" s="117"/>
      <c r="H68" s="117"/>
      <c r="I68" s="117"/>
      <c r="J68" s="118"/>
      <c r="K68" s="67">
        <v>1</v>
      </c>
      <c r="L68" s="68"/>
      <c r="M68" s="68"/>
      <c r="N68" s="69"/>
      <c r="O68" s="70">
        <v>1.5</v>
      </c>
      <c r="P68" s="71"/>
      <c r="Q68" s="44"/>
      <c r="R68" s="45"/>
      <c r="S68" s="70"/>
      <c r="T68" s="71"/>
      <c r="U68" s="44"/>
      <c r="V68" s="45"/>
      <c r="W68" s="70">
        <f>951.84-(944.71+3)</f>
        <v>4.1299999999999955</v>
      </c>
      <c r="X68" s="71"/>
      <c r="Y68" s="44"/>
      <c r="Z68" s="45"/>
      <c r="AA68" s="96">
        <f>(O68*W68)/9</f>
        <v>0.6883333333333326</v>
      </c>
      <c r="AB68" s="97"/>
      <c r="AC68" s="97"/>
      <c r="AD68" s="98"/>
    </row>
    <row r="69" spans="2:30" ht="29.25" customHeight="1" thickBot="1">
      <c r="B69" s="116" t="s">
        <v>106</v>
      </c>
      <c r="C69" s="117"/>
      <c r="D69" s="117"/>
      <c r="E69" s="117"/>
      <c r="F69" s="117"/>
      <c r="G69" s="117"/>
      <c r="H69" s="117"/>
      <c r="I69" s="117"/>
      <c r="J69" s="118"/>
      <c r="K69" s="67">
        <v>1</v>
      </c>
      <c r="L69" s="68"/>
      <c r="M69" s="68"/>
      <c r="N69" s="69"/>
      <c r="O69" s="70">
        <v>1.5</v>
      </c>
      <c r="P69" s="71"/>
      <c r="Q69" s="44"/>
      <c r="R69" s="45"/>
      <c r="S69" s="70"/>
      <c r="T69" s="71"/>
      <c r="U69" s="44"/>
      <c r="V69" s="45"/>
      <c r="W69" s="70">
        <f>950.61-(943.66+3)</f>
        <v>3.9500000000000455</v>
      </c>
      <c r="X69" s="71"/>
      <c r="Y69" s="44"/>
      <c r="Z69" s="45"/>
      <c r="AA69" s="96">
        <f>(O69*W69)/9</f>
        <v>0.6583333333333409</v>
      </c>
      <c r="AB69" s="97"/>
      <c r="AC69" s="97"/>
      <c r="AD69" s="98"/>
    </row>
    <row r="70" spans="2:30" ht="29.25" customHeight="1" thickBot="1">
      <c r="B70" s="116" t="s">
        <v>108</v>
      </c>
      <c r="C70" s="117"/>
      <c r="D70" s="117"/>
      <c r="E70" s="117"/>
      <c r="F70" s="117"/>
      <c r="G70" s="117"/>
      <c r="H70" s="117"/>
      <c r="I70" s="117"/>
      <c r="J70" s="118"/>
      <c r="K70" s="67">
        <v>1</v>
      </c>
      <c r="L70" s="68"/>
      <c r="M70" s="68"/>
      <c r="N70" s="69"/>
      <c r="O70" s="70">
        <v>1.5</v>
      </c>
      <c r="P70" s="71"/>
      <c r="Q70" s="44"/>
      <c r="R70" s="45"/>
      <c r="S70" s="70"/>
      <c r="T70" s="71"/>
      <c r="U70" s="44"/>
      <c r="V70" s="45"/>
      <c r="W70" s="70">
        <f>(950.5-(943.66+3))</f>
        <v>3.840000000000032</v>
      </c>
      <c r="X70" s="71"/>
      <c r="Y70" s="44"/>
      <c r="Z70" s="45"/>
      <c r="AA70" s="96">
        <f>(O70*W70)/9</f>
        <v>0.6400000000000053</v>
      </c>
      <c r="AB70" s="97"/>
      <c r="AC70" s="97"/>
      <c r="AD70" s="98"/>
    </row>
    <row r="71" spans="2:30" ht="19.5" customHeight="1" thickBot="1">
      <c r="B71" s="67" t="s">
        <v>87</v>
      </c>
      <c r="C71" s="68"/>
      <c r="D71" s="68"/>
      <c r="E71" s="68"/>
      <c r="F71" s="68"/>
      <c r="G71" s="68"/>
      <c r="H71" s="68"/>
      <c r="I71" s="68"/>
      <c r="J71" s="69"/>
      <c r="K71" s="67">
        <v>1</v>
      </c>
      <c r="L71" s="68"/>
      <c r="M71" s="68"/>
      <c r="N71" s="69"/>
      <c r="O71" s="70">
        <v>1.5</v>
      </c>
      <c r="P71" s="71"/>
      <c r="Q71" s="44"/>
      <c r="R71" s="45"/>
      <c r="S71" s="70">
        <v>3</v>
      </c>
      <c r="T71" s="71"/>
      <c r="U71" s="44"/>
      <c r="V71" s="45"/>
      <c r="W71" s="70"/>
      <c r="X71" s="71"/>
      <c r="Y71" s="44"/>
      <c r="Z71" s="45"/>
      <c r="AA71" s="96">
        <f>(O71*S71)/9</f>
        <v>0.5</v>
      </c>
      <c r="AB71" s="97"/>
      <c r="AC71" s="97"/>
      <c r="AD71" s="98"/>
    </row>
    <row r="72" spans="2:30" ht="19.5" customHeight="1" thickBot="1">
      <c r="B72" s="67" t="s">
        <v>88</v>
      </c>
      <c r="C72" s="68"/>
      <c r="D72" s="68"/>
      <c r="E72" s="68"/>
      <c r="F72" s="68"/>
      <c r="G72" s="68"/>
      <c r="H72" s="68"/>
      <c r="I72" s="68"/>
      <c r="J72" s="69"/>
      <c r="K72" s="67">
        <v>1</v>
      </c>
      <c r="L72" s="68"/>
      <c r="M72" s="68"/>
      <c r="N72" s="69"/>
      <c r="O72" s="70">
        <v>1.5</v>
      </c>
      <c r="P72" s="71"/>
      <c r="Q72" s="44"/>
      <c r="R72" s="45"/>
      <c r="S72" s="70">
        <v>3</v>
      </c>
      <c r="T72" s="71"/>
      <c r="U72" s="44"/>
      <c r="V72" s="45"/>
      <c r="W72" s="70"/>
      <c r="X72" s="71"/>
      <c r="Y72" s="44"/>
      <c r="Z72" s="45"/>
      <c r="AA72" s="96">
        <f>(O72*S72)/9</f>
        <v>0.5</v>
      </c>
      <c r="AB72" s="97"/>
      <c r="AC72" s="97"/>
      <c r="AD72" s="98"/>
    </row>
    <row r="73" spans="2:30" ht="19.5" customHeight="1" thickBot="1">
      <c r="B73" s="67" t="s">
        <v>89</v>
      </c>
      <c r="C73" s="68"/>
      <c r="D73" s="68"/>
      <c r="E73" s="68"/>
      <c r="F73" s="68"/>
      <c r="G73" s="68"/>
      <c r="H73" s="68"/>
      <c r="I73" s="68"/>
      <c r="J73" s="69"/>
      <c r="K73" s="67">
        <v>1</v>
      </c>
      <c r="L73" s="68"/>
      <c r="M73" s="68"/>
      <c r="N73" s="69"/>
      <c r="O73" s="70">
        <v>1.5</v>
      </c>
      <c r="P73" s="71"/>
      <c r="Q73" s="44"/>
      <c r="R73" s="45"/>
      <c r="S73" s="70"/>
      <c r="T73" s="71"/>
      <c r="U73" s="44"/>
      <c r="V73" s="45"/>
      <c r="W73" s="70">
        <v>0.5</v>
      </c>
      <c r="X73" s="71"/>
      <c r="Y73" s="44"/>
      <c r="Z73" s="45"/>
      <c r="AA73" s="96">
        <f aca="true" t="shared" si="1" ref="AA73:AA78">(O73*W73)/9</f>
        <v>0.08333333333333333</v>
      </c>
      <c r="AB73" s="97"/>
      <c r="AC73" s="97"/>
      <c r="AD73" s="98"/>
    </row>
    <row r="74" spans="2:30" ht="19.5" customHeight="1" thickBot="1">
      <c r="B74" s="67" t="s">
        <v>90</v>
      </c>
      <c r="C74" s="68"/>
      <c r="D74" s="68"/>
      <c r="E74" s="68"/>
      <c r="F74" s="68"/>
      <c r="G74" s="68"/>
      <c r="H74" s="68"/>
      <c r="I74" s="68"/>
      <c r="J74" s="69"/>
      <c r="K74" s="67">
        <v>1</v>
      </c>
      <c r="L74" s="68"/>
      <c r="M74" s="68"/>
      <c r="N74" s="69"/>
      <c r="O74" s="70">
        <v>1.5</v>
      </c>
      <c r="P74" s="71"/>
      <c r="Q74" s="44"/>
      <c r="R74" s="45"/>
      <c r="S74" s="70"/>
      <c r="T74" s="71"/>
      <c r="U74" s="44"/>
      <c r="V74" s="45"/>
      <c r="W74" s="70">
        <v>0.5</v>
      </c>
      <c r="X74" s="71"/>
      <c r="Y74" s="44"/>
      <c r="Z74" s="45"/>
      <c r="AA74" s="96">
        <f t="shared" si="1"/>
        <v>0.08333333333333333</v>
      </c>
      <c r="AB74" s="97"/>
      <c r="AC74" s="97"/>
      <c r="AD74" s="98"/>
    </row>
    <row r="75" spans="2:30" ht="27.75" customHeight="1" thickBot="1">
      <c r="B75" s="116" t="s">
        <v>76</v>
      </c>
      <c r="C75" s="117"/>
      <c r="D75" s="117"/>
      <c r="E75" s="117"/>
      <c r="F75" s="117"/>
      <c r="G75" s="117"/>
      <c r="H75" s="117"/>
      <c r="I75" s="117"/>
      <c r="J75" s="118"/>
      <c r="K75" s="67">
        <v>1</v>
      </c>
      <c r="L75" s="68"/>
      <c r="M75" s="68"/>
      <c r="N75" s="69"/>
      <c r="O75" s="70">
        <v>2.3229</v>
      </c>
      <c r="P75" s="71"/>
      <c r="Q75" s="44"/>
      <c r="R75" s="45"/>
      <c r="S75" s="70"/>
      <c r="T75" s="71"/>
      <c r="U75" s="44"/>
      <c r="V75" s="45"/>
      <c r="W75" s="70">
        <f>951.59-944.71</f>
        <v>6.8799999999999955</v>
      </c>
      <c r="X75" s="71"/>
      <c r="Y75" s="44"/>
      <c r="Z75" s="45"/>
      <c r="AA75" s="112">
        <f t="shared" si="1"/>
        <v>1.7757279999999989</v>
      </c>
      <c r="AB75" s="113"/>
      <c r="AC75" s="113"/>
      <c r="AD75" s="114"/>
    </row>
    <row r="76" spans="2:30" ht="28.5" customHeight="1" thickBot="1">
      <c r="B76" s="116" t="s">
        <v>77</v>
      </c>
      <c r="C76" s="117"/>
      <c r="D76" s="117"/>
      <c r="E76" s="117"/>
      <c r="F76" s="117"/>
      <c r="G76" s="117"/>
      <c r="H76" s="117"/>
      <c r="I76" s="117"/>
      <c r="J76" s="118"/>
      <c r="K76" s="67">
        <v>1</v>
      </c>
      <c r="L76" s="68"/>
      <c r="M76" s="68"/>
      <c r="N76" s="69"/>
      <c r="O76" s="70">
        <v>3.4375</v>
      </c>
      <c r="P76" s="71"/>
      <c r="Q76" s="44"/>
      <c r="R76" s="45"/>
      <c r="S76" s="70"/>
      <c r="T76" s="71"/>
      <c r="U76" s="44"/>
      <c r="V76" s="45"/>
      <c r="W76" s="70">
        <f>951.84-944.71</f>
        <v>7.1299999999999955</v>
      </c>
      <c r="X76" s="71"/>
      <c r="Y76" s="44"/>
      <c r="Z76" s="45"/>
      <c r="AA76" s="112">
        <f t="shared" si="1"/>
        <v>2.723263888888887</v>
      </c>
      <c r="AB76" s="113"/>
      <c r="AC76" s="113"/>
      <c r="AD76" s="114"/>
    </row>
    <row r="77" spans="2:30" ht="34.5" customHeight="1" thickBot="1">
      <c r="B77" s="116" t="s">
        <v>78</v>
      </c>
      <c r="C77" s="117"/>
      <c r="D77" s="117"/>
      <c r="E77" s="117"/>
      <c r="F77" s="117"/>
      <c r="G77" s="117"/>
      <c r="H77" s="117"/>
      <c r="I77" s="117"/>
      <c r="J77" s="118"/>
      <c r="K77" s="67">
        <v>1</v>
      </c>
      <c r="L77" s="68"/>
      <c r="M77" s="68"/>
      <c r="N77" s="69"/>
      <c r="O77" s="70">
        <f>O75</f>
        <v>2.3229</v>
      </c>
      <c r="P77" s="71"/>
      <c r="Q77" s="44"/>
      <c r="R77" s="45"/>
      <c r="S77" s="70"/>
      <c r="T77" s="71"/>
      <c r="U77" s="44"/>
      <c r="V77" s="45"/>
      <c r="W77" s="70">
        <f>950.61-943.66</f>
        <v>6.9500000000000455</v>
      </c>
      <c r="X77" s="71"/>
      <c r="Y77" s="44"/>
      <c r="Z77" s="45"/>
      <c r="AA77" s="112">
        <f t="shared" si="1"/>
        <v>1.793795000000012</v>
      </c>
      <c r="AB77" s="113"/>
      <c r="AC77" s="113"/>
      <c r="AD77" s="114"/>
    </row>
    <row r="78" spans="2:30" ht="27.75" customHeight="1" thickBot="1">
      <c r="B78" s="116" t="s">
        <v>79</v>
      </c>
      <c r="C78" s="117"/>
      <c r="D78" s="117"/>
      <c r="E78" s="117"/>
      <c r="F78" s="117"/>
      <c r="G78" s="117"/>
      <c r="H78" s="117"/>
      <c r="I78" s="117"/>
      <c r="J78" s="118"/>
      <c r="K78" s="67">
        <v>1</v>
      </c>
      <c r="L78" s="68"/>
      <c r="M78" s="68"/>
      <c r="N78" s="69"/>
      <c r="O78" s="70">
        <f>O76</f>
        <v>3.4375</v>
      </c>
      <c r="P78" s="71"/>
      <c r="Q78" s="44"/>
      <c r="R78" s="45"/>
      <c r="S78" s="70"/>
      <c r="T78" s="71"/>
      <c r="U78" s="44"/>
      <c r="V78" s="45"/>
      <c r="W78" s="70">
        <f>W58</f>
        <v>3.840000000000032</v>
      </c>
      <c r="X78" s="71"/>
      <c r="Y78" s="44"/>
      <c r="Z78" s="45"/>
      <c r="AA78" s="112">
        <f t="shared" si="1"/>
        <v>1.4666666666666788</v>
      </c>
      <c r="AB78" s="113"/>
      <c r="AC78" s="113"/>
      <c r="AD78" s="114"/>
    </row>
    <row r="79" spans="2:30" ht="26.25" customHeight="1" thickBot="1">
      <c r="B79" s="116" t="s">
        <v>80</v>
      </c>
      <c r="C79" s="117"/>
      <c r="D79" s="117"/>
      <c r="E79" s="117"/>
      <c r="F79" s="117"/>
      <c r="G79" s="117"/>
      <c r="H79" s="117"/>
      <c r="I79" s="117"/>
      <c r="J79" s="118"/>
      <c r="K79" s="67">
        <v>1</v>
      </c>
      <c r="L79" s="68"/>
      <c r="M79" s="68"/>
      <c r="N79" s="69"/>
      <c r="O79" s="70"/>
      <c r="P79" s="71"/>
      <c r="Q79" s="44">
        <v>3.625</v>
      </c>
      <c r="R79" s="45"/>
      <c r="S79" s="70"/>
      <c r="T79" s="71"/>
      <c r="U79" s="44"/>
      <c r="V79" s="45"/>
      <c r="W79" s="70">
        <v>1</v>
      </c>
      <c r="X79" s="71"/>
      <c r="Y79" s="44"/>
      <c r="Z79" s="45"/>
      <c r="AA79" s="112">
        <f>(Q79*W79)/9</f>
        <v>0.4027777777777778</v>
      </c>
      <c r="AB79" s="113"/>
      <c r="AC79" s="113"/>
      <c r="AD79" s="114"/>
    </row>
    <row r="80" spans="2:30" ht="26.25" customHeight="1" thickBot="1">
      <c r="B80" s="116" t="s">
        <v>81</v>
      </c>
      <c r="C80" s="117"/>
      <c r="D80" s="117"/>
      <c r="E80" s="117"/>
      <c r="F80" s="117"/>
      <c r="G80" s="117"/>
      <c r="H80" s="117"/>
      <c r="I80" s="117"/>
      <c r="J80" s="118"/>
      <c r="K80" s="67">
        <v>1</v>
      </c>
      <c r="L80" s="68"/>
      <c r="M80" s="68"/>
      <c r="N80" s="69"/>
      <c r="O80" s="70"/>
      <c r="P80" s="71"/>
      <c r="Q80" s="44">
        <v>2.3177</v>
      </c>
      <c r="R80" s="45"/>
      <c r="S80" s="70"/>
      <c r="T80" s="71"/>
      <c r="U80" s="44"/>
      <c r="V80" s="45"/>
      <c r="W80" s="70">
        <v>1</v>
      </c>
      <c r="X80" s="71"/>
      <c r="Y80" s="44"/>
      <c r="Z80" s="45"/>
      <c r="AA80" s="112">
        <f>(Q80*W80)/9</f>
        <v>0.2575222222222222</v>
      </c>
      <c r="AB80" s="113"/>
      <c r="AC80" s="113"/>
      <c r="AD80" s="114"/>
    </row>
    <row r="81" spans="2:30" ht="26.25" customHeight="1" thickBot="1">
      <c r="B81" s="116" t="s">
        <v>82</v>
      </c>
      <c r="C81" s="117"/>
      <c r="D81" s="117"/>
      <c r="E81" s="117"/>
      <c r="F81" s="117"/>
      <c r="G81" s="117"/>
      <c r="H81" s="117"/>
      <c r="I81" s="117"/>
      <c r="J81" s="118"/>
      <c r="K81" s="67">
        <v>1</v>
      </c>
      <c r="L81" s="68"/>
      <c r="M81" s="68"/>
      <c r="N81" s="69"/>
      <c r="O81" s="70"/>
      <c r="P81" s="71"/>
      <c r="Q81" s="44">
        <v>3.625</v>
      </c>
      <c r="R81" s="45"/>
      <c r="S81" s="70"/>
      <c r="T81" s="71"/>
      <c r="U81" s="44"/>
      <c r="V81" s="45"/>
      <c r="W81" s="70">
        <v>1</v>
      </c>
      <c r="X81" s="71"/>
      <c r="Y81" s="44"/>
      <c r="Z81" s="45"/>
      <c r="AA81" s="112">
        <f>(Q81*W81)/9</f>
        <v>0.4027777777777778</v>
      </c>
      <c r="AB81" s="113"/>
      <c r="AC81" s="113"/>
      <c r="AD81" s="114"/>
    </row>
    <row r="82" spans="2:30" ht="26.25" customHeight="1" thickBot="1">
      <c r="B82" s="116" t="s">
        <v>81</v>
      </c>
      <c r="C82" s="117"/>
      <c r="D82" s="117"/>
      <c r="E82" s="117"/>
      <c r="F82" s="117"/>
      <c r="G82" s="117"/>
      <c r="H82" s="117"/>
      <c r="I82" s="117"/>
      <c r="J82" s="118"/>
      <c r="K82" s="67">
        <v>1</v>
      </c>
      <c r="L82" s="68"/>
      <c r="M82" s="68"/>
      <c r="N82" s="69"/>
      <c r="O82" s="70"/>
      <c r="P82" s="71"/>
      <c r="Q82" s="44">
        <v>2.318</v>
      </c>
      <c r="R82" s="45"/>
      <c r="S82" s="70"/>
      <c r="T82" s="71"/>
      <c r="U82" s="44"/>
      <c r="V82" s="45"/>
      <c r="W82" s="70">
        <v>1</v>
      </c>
      <c r="X82" s="71"/>
      <c r="Y82" s="44"/>
      <c r="Z82" s="45"/>
      <c r="AA82" s="112">
        <f>(Q82*W82)/9</f>
        <v>0.25755555555555554</v>
      </c>
      <c r="AB82" s="113"/>
      <c r="AC82" s="113"/>
      <c r="AD82" s="114"/>
    </row>
    <row r="83" spans="2:30" ht="26.25" customHeight="1" thickBot="1">
      <c r="B83" s="116" t="s">
        <v>83</v>
      </c>
      <c r="C83" s="117"/>
      <c r="D83" s="117"/>
      <c r="E83" s="117"/>
      <c r="F83" s="117"/>
      <c r="G83" s="117"/>
      <c r="H83" s="117"/>
      <c r="I83" s="117"/>
      <c r="J83" s="118"/>
      <c r="K83" s="67">
        <v>1</v>
      </c>
      <c r="L83" s="68"/>
      <c r="M83" s="68"/>
      <c r="N83" s="69"/>
      <c r="O83" s="70">
        <v>2.3229</v>
      </c>
      <c r="P83" s="71"/>
      <c r="Q83" s="44">
        <v>3.625</v>
      </c>
      <c r="R83" s="45"/>
      <c r="S83" s="70">
        <v>3</v>
      </c>
      <c r="T83" s="71"/>
      <c r="U83" s="44"/>
      <c r="V83" s="45"/>
      <c r="W83" s="70">
        <v>3.92</v>
      </c>
      <c r="X83" s="71"/>
      <c r="Y83" s="44"/>
      <c r="Z83" s="45"/>
      <c r="AA83" s="112">
        <f>((O83*S83)+(0.5*S83*(Q83-O83)))/9</f>
        <v>0.9913166666666666</v>
      </c>
      <c r="AB83" s="113"/>
      <c r="AC83" s="113"/>
      <c r="AD83" s="114"/>
    </row>
    <row r="84" spans="2:30" ht="26.25" customHeight="1" thickBot="1">
      <c r="B84" s="116" t="s">
        <v>84</v>
      </c>
      <c r="C84" s="117"/>
      <c r="D84" s="117"/>
      <c r="E84" s="117"/>
      <c r="F84" s="117"/>
      <c r="G84" s="117"/>
      <c r="H84" s="117"/>
      <c r="I84" s="117"/>
      <c r="J84" s="118"/>
      <c r="K84" s="67">
        <v>1</v>
      </c>
      <c r="L84" s="68"/>
      <c r="M84" s="68"/>
      <c r="N84" s="69"/>
      <c r="O84" s="70">
        <v>2.3177</v>
      </c>
      <c r="P84" s="71"/>
      <c r="Q84" s="44">
        <v>3.4375</v>
      </c>
      <c r="R84" s="45"/>
      <c r="S84" s="70">
        <v>3</v>
      </c>
      <c r="T84" s="71"/>
      <c r="U84" s="44"/>
      <c r="V84" s="45"/>
      <c r="W84" s="70">
        <v>4.11</v>
      </c>
      <c r="X84" s="71"/>
      <c r="Y84" s="44"/>
      <c r="Z84" s="45"/>
      <c r="AA84" s="112">
        <f>((O84*S84)+(0.5*S84*(Q84-O84)))/9</f>
        <v>0.9591999999999999</v>
      </c>
      <c r="AB84" s="113"/>
      <c r="AC84" s="113"/>
      <c r="AD84" s="114"/>
    </row>
    <row r="85" spans="2:30" ht="26.25" customHeight="1" thickBot="1">
      <c r="B85" s="116" t="s">
        <v>85</v>
      </c>
      <c r="C85" s="117"/>
      <c r="D85" s="117"/>
      <c r="E85" s="117"/>
      <c r="F85" s="117"/>
      <c r="G85" s="117"/>
      <c r="H85" s="117"/>
      <c r="I85" s="117"/>
      <c r="J85" s="118"/>
      <c r="K85" s="67">
        <v>1</v>
      </c>
      <c r="L85" s="68"/>
      <c r="M85" s="68"/>
      <c r="N85" s="69"/>
      <c r="O85" s="70">
        <v>2.3177</v>
      </c>
      <c r="P85" s="71"/>
      <c r="Q85" s="44">
        <v>3.4375</v>
      </c>
      <c r="R85" s="45"/>
      <c r="S85" s="70">
        <v>3</v>
      </c>
      <c r="T85" s="71"/>
      <c r="U85" s="44"/>
      <c r="V85" s="45"/>
      <c r="W85" s="70">
        <v>4.12</v>
      </c>
      <c r="X85" s="71"/>
      <c r="Y85" s="44"/>
      <c r="Z85" s="45"/>
      <c r="AA85" s="112">
        <f>((O85*S85)+(0.5*S85*(Q85-O85)))/9</f>
        <v>0.9591999999999999</v>
      </c>
      <c r="AB85" s="113"/>
      <c r="AC85" s="113"/>
      <c r="AD85" s="114"/>
    </row>
    <row r="86" spans="2:30" ht="26.25" customHeight="1" thickBot="1">
      <c r="B86" s="116" t="s">
        <v>86</v>
      </c>
      <c r="C86" s="117"/>
      <c r="D86" s="117"/>
      <c r="E86" s="117"/>
      <c r="F86" s="117"/>
      <c r="G86" s="117"/>
      <c r="H86" s="117"/>
      <c r="I86" s="117"/>
      <c r="J86" s="118"/>
      <c r="K86" s="67">
        <v>1</v>
      </c>
      <c r="L86" s="68"/>
      <c r="M86" s="68"/>
      <c r="N86" s="69"/>
      <c r="O86" s="70">
        <v>2.3177</v>
      </c>
      <c r="P86" s="71"/>
      <c r="Q86" s="44">
        <v>3.4375</v>
      </c>
      <c r="R86" s="45"/>
      <c r="S86" s="70">
        <v>3</v>
      </c>
      <c r="T86" s="71"/>
      <c r="U86" s="44"/>
      <c r="V86" s="45"/>
      <c r="W86" s="70">
        <v>3.98</v>
      </c>
      <c r="X86" s="71"/>
      <c r="Y86" s="44"/>
      <c r="Z86" s="45"/>
      <c r="AA86" s="112">
        <f>((O86*S86)+(0.5*S86*(Q86-O86)))/9</f>
        <v>0.9591999999999999</v>
      </c>
      <c r="AB86" s="113"/>
      <c r="AC86" s="113"/>
      <c r="AD86" s="114"/>
    </row>
    <row r="87" spans="2:30" ht="26.25" customHeight="1" thickBot="1">
      <c r="B87" s="116" t="s">
        <v>109</v>
      </c>
      <c r="C87" s="117"/>
      <c r="D87" s="117"/>
      <c r="E87" s="117"/>
      <c r="F87" s="117"/>
      <c r="G87" s="117"/>
      <c r="H87" s="117"/>
      <c r="I87" s="117"/>
      <c r="J87" s="118"/>
      <c r="K87" s="67">
        <v>1</v>
      </c>
      <c r="L87" s="68"/>
      <c r="M87" s="68"/>
      <c r="N87" s="69"/>
      <c r="O87" s="70"/>
      <c r="P87" s="71"/>
      <c r="Q87" s="44"/>
      <c r="R87" s="45"/>
      <c r="S87" s="70">
        <v>3</v>
      </c>
      <c r="T87" s="71"/>
      <c r="U87" s="44"/>
      <c r="V87" s="45"/>
      <c r="W87" s="70">
        <f>W75</f>
        <v>6.8799999999999955</v>
      </c>
      <c r="X87" s="71"/>
      <c r="Y87" s="44"/>
      <c r="Z87" s="45"/>
      <c r="AA87" s="112">
        <f>(S87*W87)/9</f>
        <v>2.2933333333333317</v>
      </c>
      <c r="AB87" s="113"/>
      <c r="AC87" s="113"/>
      <c r="AD87" s="114"/>
    </row>
    <row r="88" spans="2:30" ht="26.25" customHeight="1" thickBot="1">
      <c r="B88" s="116" t="s">
        <v>110</v>
      </c>
      <c r="C88" s="117"/>
      <c r="D88" s="117"/>
      <c r="E88" s="117"/>
      <c r="F88" s="117"/>
      <c r="G88" s="117"/>
      <c r="H88" s="117"/>
      <c r="I88" s="117"/>
      <c r="J88" s="118"/>
      <c r="K88" s="67">
        <v>1</v>
      </c>
      <c r="L88" s="68"/>
      <c r="M88" s="68"/>
      <c r="N88" s="69"/>
      <c r="O88" s="70"/>
      <c r="P88" s="71"/>
      <c r="Q88" s="44"/>
      <c r="R88" s="45"/>
      <c r="S88" s="70">
        <v>3</v>
      </c>
      <c r="T88" s="71"/>
      <c r="U88" s="44"/>
      <c r="V88" s="45"/>
      <c r="W88" s="70">
        <f>W76</f>
        <v>7.1299999999999955</v>
      </c>
      <c r="X88" s="71"/>
      <c r="Y88" s="44"/>
      <c r="Z88" s="45"/>
      <c r="AA88" s="112">
        <f>(S88*W88)/9</f>
        <v>2.376666666666665</v>
      </c>
      <c r="AB88" s="113"/>
      <c r="AC88" s="113"/>
      <c r="AD88" s="114"/>
    </row>
    <row r="89" spans="2:30" ht="26.25" customHeight="1" thickBot="1">
      <c r="B89" s="116" t="s">
        <v>111</v>
      </c>
      <c r="C89" s="117"/>
      <c r="D89" s="117"/>
      <c r="E89" s="117"/>
      <c r="F89" s="117"/>
      <c r="G89" s="117"/>
      <c r="H89" s="117"/>
      <c r="I89" s="117"/>
      <c r="J89" s="118"/>
      <c r="K89" s="67">
        <v>1</v>
      </c>
      <c r="L89" s="68"/>
      <c r="M89" s="68"/>
      <c r="N89" s="69"/>
      <c r="O89" s="70"/>
      <c r="P89" s="71"/>
      <c r="Q89" s="44"/>
      <c r="R89" s="45"/>
      <c r="S89" s="70">
        <v>3</v>
      </c>
      <c r="T89" s="71"/>
      <c r="U89" s="44"/>
      <c r="V89" s="45"/>
      <c r="W89" s="70">
        <f>W77</f>
        <v>6.9500000000000455</v>
      </c>
      <c r="X89" s="71"/>
      <c r="Y89" s="44"/>
      <c r="Z89" s="45"/>
      <c r="AA89" s="112">
        <f>(S89*W89)/9</f>
        <v>2.316666666666682</v>
      </c>
      <c r="AB89" s="113"/>
      <c r="AC89" s="113"/>
      <c r="AD89" s="114"/>
    </row>
    <row r="90" spans="2:30" ht="26.25" customHeight="1" thickBot="1">
      <c r="B90" s="116" t="s">
        <v>112</v>
      </c>
      <c r="C90" s="117"/>
      <c r="D90" s="117"/>
      <c r="E90" s="117"/>
      <c r="F90" s="117"/>
      <c r="G90" s="117"/>
      <c r="H90" s="117"/>
      <c r="I90" s="117"/>
      <c r="J90" s="118"/>
      <c r="K90" s="67">
        <v>1</v>
      </c>
      <c r="L90" s="68"/>
      <c r="M90" s="68"/>
      <c r="N90" s="69"/>
      <c r="O90" s="70"/>
      <c r="P90" s="71"/>
      <c r="Q90" s="44"/>
      <c r="R90" s="45"/>
      <c r="S90" s="70">
        <v>3</v>
      </c>
      <c r="T90" s="71"/>
      <c r="U90" s="44"/>
      <c r="V90" s="45"/>
      <c r="W90" s="70">
        <f>W78</f>
        <v>3.840000000000032</v>
      </c>
      <c r="X90" s="71"/>
      <c r="Y90" s="44"/>
      <c r="Z90" s="45"/>
      <c r="AA90" s="112">
        <f>(S90*W90)/9</f>
        <v>1.2800000000000107</v>
      </c>
      <c r="AB90" s="113"/>
      <c r="AC90" s="113"/>
      <c r="AD90" s="114"/>
    </row>
    <row r="91" spans="2:30" ht="27" customHeight="1" thickBot="1">
      <c r="B91" s="116" t="s">
        <v>91</v>
      </c>
      <c r="C91" s="117"/>
      <c r="D91" s="117"/>
      <c r="E91" s="117"/>
      <c r="F91" s="117"/>
      <c r="G91" s="117"/>
      <c r="H91" s="117"/>
      <c r="I91" s="117"/>
      <c r="J91" s="118"/>
      <c r="K91" s="67">
        <v>2</v>
      </c>
      <c r="L91" s="68"/>
      <c r="M91" s="68"/>
      <c r="N91" s="69"/>
      <c r="O91" s="70">
        <v>105.6146</v>
      </c>
      <c r="P91" s="71"/>
      <c r="Q91" s="44"/>
      <c r="R91" s="45"/>
      <c r="S91" s="70"/>
      <c r="T91" s="71"/>
      <c r="U91" s="44"/>
      <c r="V91" s="45"/>
      <c r="W91" s="70">
        <f>1.6667+0.5</f>
        <v>2.1667</v>
      </c>
      <c r="X91" s="71"/>
      <c r="Y91" s="44"/>
      <c r="Z91" s="45"/>
      <c r="AA91" s="112">
        <f>K91*((O91*W91)/9)</f>
        <v>50.85225640444444</v>
      </c>
      <c r="AB91" s="113"/>
      <c r="AC91" s="113"/>
      <c r="AD91" s="114"/>
    </row>
    <row r="92" spans="2:30" ht="19.5" customHeight="1" thickBot="1" thickTop="1">
      <c r="B92" s="31" t="s">
        <v>11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3"/>
      <c r="AA92" s="34">
        <f>SUM(AA65:AD91)</f>
        <v>99.05447954666684</v>
      </c>
      <c r="AB92" s="35"/>
      <c r="AC92" s="35"/>
      <c r="AD92" s="36"/>
    </row>
    <row r="93" spans="2:30" ht="19.5" customHeight="1" thickBot="1">
      <c r="B93" s="77" t="s">
        <v>22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9"/>
    </row>
    <row r="94" spans="2:30" ht="19.5" customHeight="1" thickBot="1">
      <c r="B94" s="49" t="s">
        <v>12</v>
      </c>
      <c r="C94" s="50"/>
      <c r="D94" s="50"/>
      <c r="E94" s="50"/>
      <c r="F94" s="50"/>
      <c r="G94" s="50"/>
      <c r="H94" s="50"/>
      <c r="I94" s="50"/>
      <c r="J94" s="51"/>
      <c r="K94" s="52" t="s">
        <v>10</v>
      </c>
      <c r="L94" s="53"/>
      <c r="M94" s="53"/>
      <c r="N94" s="54"/>
      <c r="O94" s="52" t="s">
        <v>8</v>
      </c>
      <c r="P94" s="53"/>
      <c r="Q94" s="53"/>
      <c r="R94" s="54"/>
      <c r="S94" s="52" t="s">
        <v>9</v>
      </c>
      <c r="T94" s="53"/>
      <c r="U94" s="53"/>
      <c r="V94" s="54"/>
      <c r="W94" s="86" t="s">
        <v>14</v>
      </c>
      <c r="X94" s="87"/>
      <c r="Y94" s="53"/>
      <c r="Z94" s="54"/>
      <c r="AA94" s="77" t="s">
        <v>48</v>
      </c>
      <c r="AB94" s="53"/>
      <c r="AC94" s="53"/>
      <c r="AD94" s="54"/>
    </row>
    <row r="95" spans="2:30" ht="19.5" customHeight="1" thickBot="1">
      <c r="B95" s="67" t="s">
        <v>32</v>
      </c>
      <c r="C95" s="68"/>
      <c r="D95" s="68"/>
      <c r="E95" s="68"/>
      <c r="F95" s="68"/>
      <c r="G95" s="68"/>
      <c r="H95" s="68"/>
      <c r="I95" s="68"/>
      <c r="J95" s="69"/>
      <c r="K95" s="67">
        <v>2</v>
      </c>
      <c r="L95" s="68"/>
      <c r="M95" s="68"/>
      <c r="N95" s="69"/>
      <c r="O95" s="70">
        <f>23.0729*2</f>
        <v>46.1458</v>
      </c>
      <c r="P95" s="71"/>
      <c r="Q95" s="44"/>
      <c r="R95" s="45"/>
      <c r="S95" s="70">
        <v>1.5</v>
      </c>
      <c r="T95" s="71"/>
      <c r="U95" s="44"/>
      <c r="V95" s="45"/>
      <c r="W95" s="119"/>
      <c r="X95" s="120"/>
      <c r="Y95" s="44"/>
      <c r="Z95" s="45"/>
      <c r="AA95" s="41">
        <f>O95*(S95*K95)</f>
        <v>138.4374</v>
      </c>
      <c r="AB95" s="42"/>
      <c r="AC95" s="42"/>
      <c r="AD95" s="43"/>
    </row>
    <row r="96" spans="2:30" ht="19.5" customHeight="1" thickBot="1" thickTop="1">
      <c r="B96" s="31" t="s">
        <v>11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3"/>
      <c r="AA96" s="34">
        <f>SUM(AA95:AA95)</f>
        <v>138.4374</v>
      </c>
      <c r="AB96" s="35"/>
      <c r="AC96" s="35"/>
      <c r="AD96" s="36"/>
    </row>
    <row r="97" spans="2:30" ht="19.5" customHeight="1" thickBot="1">
      <c r="B97" s="77" t="s">
        <v>33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9"/>
    </row>
    <row r="98" spans="2:30" ht="19.5" customHeight="1" thickBot="1">
      <c r="B98" s="49" t="s">
        <v>12</v>
      </c>
      <c r="C98" s="50"/>
      <c r="D98" s="50"/>
      <c r="E98" s="50"/>
      <c r="F98" s="50"/>
      <c r="G98" s="50"/>
      <c r="H98" s="50"/>
      <c r="I98" s="50"/>
      <c r="J98" s="51"/>
      <c r="K98" s="52" t="s">
        <v>10</v>
      </c>
      <c r="L98" s="53"/>
      <c r="M98" s="53"/>
      <c r="N98" s="54"/>
      <c r="O98" s="52" t="s">
        <v>8</v>
      </c>
      <c r="P98" s="53"/>
      <c r="Q98" s="53"/>
      <c r="R98" s="54"/>
      <c r="S98" s="52" t="s">
        <v>9</v>
      </c>
      <c r="T98" s="53"/>
      <c r="U98" s="53"/>
      <c r="V98" s="54"/>
      <c r="W98" s="52" t="s">
        <v>14</v>
      </c>
      <c r="X98" s="53"/>
      <c r="Y98" s="53"/>
      <c r="Z98" s="54"/>
      <c r="AA98" s="77" t="s">
        <v>48</v>
      </c>
      <c r="AB98" s="53"/>
      <c r="AC98" s="53"/>
      <c r="AD98" s="54"/>
    </row>
    <row r="99" spans="2:30" ht="19.5" customHeight="1" thickBot="1">
      <c r="B99" s="67" t="s">
        <v>34</v>
      </c>
      <c r="C99" s="68"/>
      <c r="D99" s="68"/>
      <c r="E99" s="68"/>
      <c r="F99" s="68"/>
      <c r="G99" s="68"/>
      <c r="H99" s="68"/>
      <c r="I99" s="68"/>
      <c r="J99" s="69"/>
      <c r="K99" s="67">
        <v>2</v>
      </c>
      <c r="L99" s="68"/>
      <c r="M99" s="68"/>
      <c r="N99" s="69"/>
      <c r="O99" s="70">
        <f>23.0729*2</f>
        <v>46.1458</v>
      </c>
      <c r="P99" s="71"/>
      <c r="Q99" s="44"/>
      <c r="R99" s="45"/>
      <c r="S99" s="70">
        <v>0.6667</v>
      </c>
      <c r="T99" s="71"/>
      <c r="U99" s="44"/>
      <c r="V99" s="45"/>
      <c r="W99" s="70"/>
      <c r="X99" s="71"/>
      <c r="Y99" s="44"/>
      <c r="Z99" s="45"/>
      <c r="AA99" s="96">
        <f>K99*O99*S99</f>
        <v>61.53080972</v>
      </c>
      <c r="AB99" s="97"/>
      <c r="AC99" s="97"/>
      <c r="AD99" s="98"/>
    </row>
    <row r="100" spans="2:30" ht="19.5" customHeight="1" thickBot="1">
      <c r="B100" s="99" t="s">
        <v>92</v>
      </c>
      <c r="C100" s="100"/>
      <c r="D100" s="100"/>
      <c r="E100" s="100"/>
      <c r="F100" s="100"/>
      <c r="G100" s="100"/>
      <c r="H100" s="100"/>
      <c r="I100" s="100"/>
      <c r="J100" s="101"/>
      <c r="K100" s="99">
        <v>1</v>
      </c>
      <c r="L100" s="100"/>
      <c r="M100" s="100"/>
      <c r="N100" s="101"/>
      <c r="O100" s="102"/>
      <c r="P100" s="103"/>
      <c r="Q100" s="104"/>
      <c r="R100" s="105"/>
      <c r="S100" s="102">
        <v>3</v>
      </c>
      <c r="T100" s="103"/>
      <c r="U100" s="104"/>
      <c r="V100" s="105"/>
      <c r="W100" s="102">
        <f>W87-3</f>
        <v>3.8799999999999955</v>
      </c>
      <c r="X100" s="103"/>
      <c r="Y100" s="104"/>
      <c r="Z100" s="105"/>
      <c r="AA100" s="96">
        <f>S100*W100</f>
        <v>11.639999999999986</v>
      </c>
      <c r="AB100" s="97"/>
      <c r="AC100" s="97"/>
      <c r="AD100" s="98"/>
    </row>
    <row r="101" spans="2:30" ht="19.5" customHeight="1" thickBot="1">
      <c r="B101" s="99" t="s">
        <v>93</v>
      </c>
      <c r="C101" s="100"/>
      <c r="D101" s="100"/>
      <c r="E101" s="100"/>
      <c r="F101" s="100"/>
      <c r="G101" s="100"/>
      <c r="H101" s="100"/>
      <c r="I101" s="100"/>
      <c r="J101" s="101"/>
      <c r="K101" s="99">
        <v>1</v>
      </c>
      <c r="L101" s="100"/>
      <c r="M101" s="100"/>
      <c r="N101" s="101"/>
      <c r="O101" s="102"/>
      <c r="P101" s="103"/>
      <c r="Q101" s="104"/>
      <c r="R101" s="105"/>
      <c r="S101" s="102">
        <v>3</v>
      </c>
      <c r="T101" s="103"/>
      <c r="U101" s="104"/>
      <c r="V101" s="105"/>
      <c r="W101" s="102">
        <f>W88-3</f>
        <v>4.1299999999999955</v>
      </c>
      <c r="X101" s="103"/>
      <c r="Y101" s="104"/>
      <c r="Z101" s="105"/>
      <c r="AA101" s="96">
        <f>S101*W101</f>
        <v>12.389999999999986</v>
      </c>
      <c r="AB101" s="97"/>
      <c r="AC101" s="97"/>
      <c r="AD101" s="98"/>
    </row>
    <row r="102" spans="2:30" ht="19.5" customHeight="1" thickBot="1">
      <c r="B102" s="99" t="s">
        <v>94</v>
      </c>
      <c r="C102" s="100"/>
      <c r="D102" s="100"/>
      <c r="E102" s="100"/>
      <c r="F102" s="100"/>
      <c r="G102" s="100"/>
      <c r="H102" s="100"/>
      <c r="I102" s="100"/>
      <c r="J102" s="101"/>
      <c r="K102" s="99">
        <v>1</v>
      </c>
      <c r="L102" s="100"/>
      <c r="M102" s="100"/>
      <c r="N102" s="101"/>
      <c r="O102" s="102"/>
      <c r="P102" s="103"/>
      <c r="Q102" s="104"/>
      <c r="R102" s="105"/>
      <c r="S102" s="102">
        <v>3</v>
      </c>
      <c r="T102" s="103"/>
      <c r="U102" s="104"/>
      <c r="V102" s="105"/>
      <c r="W102" s="102">
        <f>W89-3</f>
        <v>3.9500000000000455</v>
      </c>
      <c r="X102" s="103"/>
      <c r="Y102" s="104"/>
      <c r="Z102" s="105"/>
      <c r="AA102" s="96">
        <f>S102*W102</f>
        <v>11.850000000000136</v>
      </c>
      <c r="AB102" s="97"/>
      <c r="AC102" s="97"/>
      <c r="AD102" s="98"/>
    </row>
    <row r="103" spans="2:30" ht="19.5" customHeight="1" thickBot="1">
      <c r="B103" s="99" t="s">
        <v>94</v>
      </c>
      <c r="C103" s="100"/>
      <c r="D103" s="100"/>
      <c r="E103" s="100"/>
      <c r="F103" s="100"/>
      <c r="G103" s="100"/>
      <c r="H103" s="100"/>
      <c r="I103" s="100"/>
      <c r="J103" s="101"/>
      <c r="K103" s="99">
        <v>1</v>
      </c>
      <c r="L103" s="100"/>
      <c r="M103" s="100"/>
      <c r="N103" s="101"/>
      <c r="O103" s="102"/>
      <c r="P103" s="103"/>
      <c r="Q103" s="104"/>
      <c r="R103" s="105"/>
      <c r="S103" s="102">
        <v>3</v>
      </c>
      <c r="T103" s="103"/>
      <c r="U103" s="104"/>
      <c r="V103" s="105"/>
      <c r="W103" s="102">
        <f>W90-3</f>
        <v>0.8400000000000318</v>
      </c>
      <c r="X103" s="103"/>
      <c r="Y103" s="104"/>
      <c r="Z103" s="105"/>
      <c r="AA103" s="96">
        <f>S103*W103</f>
        <v>2.5200000000000955</v>
      </c>
      <c r="AB103" s="97"/>
      <c r="AC103" s="97"/>
      <c r="AD103" s="98"/>
    </row>
    <row r="104" spans="2:30" ht="19.5" customHeight="1" thickBot="1">
      <c r="B104" s="99" t="s">
        <v>35</v>
      </c>
      <c r="C104" s="100"/>
      <c r="D104" s="100"/>
      <c r="E104" s="100"/>
      <c r="F104" s="100"/>
      <c r="G104" s="100"/>
      <c r="H104" s="100"/>
      <c r="I104" s="100"/>
      <c r="J104" s="101"/>
      <c r="K104" s="99">
        <v>4</v>
      </c>
      <c r="L104" s="100"/>
      <c r="M104" s="100"/>
      <c r="N104" s="101"/>
      <c r="O104" s="102">
        <v>1.25</v>
      </c>
      <c r="P104" s="103"/>
      <c r="Q104" s="104"/>
      <c r="R104" s="105"/>
      <c r="S104" s="102">
        <f>0.25+1.0833</f>
        <v>1.3333</v>
      </c>
      <c r="T104" s="103"/>
      <c r="U104" s="104"/>
      <c r="V104" s="105"/>
      <c r="W104" s="102"/>
      <c r="X104" s="103"/>
      <c r="Y104" s="104"/>
      <c r="Z104" s="105"/>
      <c r="AA104" s="96">
        <f>K104*O104*S104</f>
        <v>6.666499999999999</v>
      </c>
      <c r="AB104" s="97"/>
      <c r="AC104" s="97"/>
      <c r="AD104" s="98"/>
    </row>
    <row r="105" spans="2:30" ht="19.5" customHeight="1" thickBot="1" thickTop="1">
      <c r="B105" s="31" t="s">
        <v>11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3"/>
      <c r="AA105" s="34">
        <f>SUM(AA99:AA104)</f>
        <v>106.59730972000021</v>
      </c>
      <c r="AB105" s="35"/>
      <c r="AC105" s="35"/>
      <c r="AD105" s="36"/>
    </row>
    <row r="106" spans="2:30" ht="19.5" customHeight="1" thickBot="1">
      <c r="B106" s="46" t="s">
        <v>23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8"/>
    </row>
    <row r="107" spans="2:30" ht="19.5" customHeight="1" thickBot="1">
      <c r="B107" s="49" t="s">
        <v>12</v>
      </c>
      <c r="C107" s="50"/>
      <c r="D107" s="50"/>
      <c r="E107" s="50"/>
      <c r="F107" s="50"/>
      <c r="G107" s="50"/>
      <c r="H107" s="50"/>
      <c r="I107" s="50"/>
      <c r="J107" s="51"/>
      <c r="K107" s="52" t="s">
        <v>10</v>
      </c>
      <c r="L107" s="53"/>
      <c r="M107" s="53"/>
      <c r="N107" s="54"/>
      <c r="O107" s="52" t="s">
        <v>8</v>
      </c>
      <c r="P107" s="53"/>
      <c r="Q107" s="53"/>
      <c r="R107" s="54"/>
      <c r="S107" s="52" t="s">
        <v>9</v>
      </c>
      <c r="T107" s="53"/>
      <c r="U107" s="53"/>
      <c r="V107" s="54"/>
      <c r="W107" s="52" t="s">
        <v>14</v>
      </c>
      <c r="X107" s="53"/>
      <c r="Y107" s="53"/>
      <c r="Z107" s="54"/>
      <c r="AA107" s="52" t="str">
        <f>IF(AND(0&lt;ABS($O108),0&lt;ABS($S108),0&lt;ABS($W108)),"CU YD",IF(AND(0&lt;ABS($O108),0&lt;ABS($S108)),"SQ YD",IF(AND(0&lt;ABS($O108)),"FT","EACH")))</f>
        <v>FT</v>
      </c>
      <c r="AB107" s="53"/>
      <c r="AC107" s="53"/>
      <c r="AD107" s="54"/>
    </row>
    <row r="108" spans="2:30" ht="19.5" customHeight="1">
      <c r="B108" s="67" t="s">
        <v>36</v>
      </c>
      <c r="C108" s="68"/>
      <c r="D108" s="68"/>
      <c r="E108" s="68"/>
      <c r="F108" s="68"/>
      <c r="G108" s="68"/>
      <c r="H108" s="68"/>
      <c r="I108" s="68"/>
      <c r="J108" s="69"/>
      <c r="K108" s="67">
        <v>2</v>
      </c>
      <c r="L108" s="68"/>
      <c r="M108" s="68"/>
      <c r="N108" s="69"/>
      <c r="O108" s="70">
        <f>23.0729*2</f>
        <v>46.1458</v>
      </c>
      <c r="P108" s="71"/>
      <c r="Q108" s="44"/>
      <c r="R108" s="45"/>
      <c r="S108" s="70"/>
      <c r="T108" s="71"/>
      <c r="U108" s="44"/>
      <c r="V108" s="45"/>
      <c r="W108" s="70"/>
      <c r="X108" s="71"/>
      <c r="Y108" s="44"/>
      <c r="Z108" s="45"/>
      <c r="AA108" s="96">
        <f>K108*O108</f>
        <v>92.2916</v>
      </c>
      <c r="AB108" s="97"/>
      <c r="AC108" s="97"/>
      <c r="AD108" s="98"/>
    </row>
    <row r="109" spans="2:30" ht="19.5" customHeight="1" thickBot="1">
      <c r="B109" s="146" t="s">
        <v>37</v>
      </c>
      <c r="C109" s="147"/>
      <c r="D109" s="147"/>
      <c r="E109" s="147"/>
      <c r="F109" s="147"/>
      <c r="G109" s="147"/>
      <c r="H109" s="147"/>
      <c r="I109" s="147"/>
      <c r="J109" s="148"/>
      <c r="K109" s="146">
        <v>1</v>
      </c>
      <c r="L109" s="147"/>
      <c r="M109" s="147"/>
      <c r="N109" s="148"/>
      <c r="O109" s="150"/>
      <c r="P109" s="151"/>
      <c r="Q109" s="149"/>
      <c r="R109" s="148"/>
      <c r="S109" s="150"/>
      <c r="T109" s="151"/>
      <c r="U109" s="149"/>
      <c r="V109" s="148"/>
      <c r="W109" s="150">
        <f>W100</f>
        <v>3.8799999999999955</v>
      </c>
      <c r="X109" s="151"/>
      <c r="Y109" s="149"/>
      <c r="Z109" s="148"/>
      <c r="AA109" s="140">
        <f>W109</f>
        <v>3.8799999999999955</v>
      </c>
      <c r="AB109" s="141"/>
      <c r="AC109" s="141"/>
      <c r="AD109" s="142"/>
    </row>
    <row r="110" spans="2:30" ht="19.5" customHeight="1" thickBot="1" thickTop="1">
      <c r="B110" s="146" t="s">
        <v>37</v>
      </c>
      <c r="C110" s="147"/>
      <c r="D110" s="147"/>
      <c r="E110" s="147"/>
      <c r="F110" s="147"/>
      <c r="G110" s="147"/>
      <c r="H110" s="147"/>
      <c r="I110" s="147"/>
      <c r="J110" s="148"/>
      <c r="K110" s="146">
        <v>1</v>
      </c>
      <c r="L110" s="147"/>
      <c r="M110" s="147"/>
      <c r="N110" s="148"/>
      <c r="O110" s="150"/>
      <c r="P110" s="151"/>
      <c r="Q110" s="149"/>
      <c r="R110" s="148"/>
      <c r="S110" s="150"/>
      <c r="T110" s="151"/>
      <c r="U110" s="149"/>
      <c r="V110" s="148"/>
      <c r="W110" s="150">
        <f>W101</f>
        <v>4.1299999999999955</v>
      </c>
      <c r="X110" s="151"/>
      <c r="Y110" s="149"/>
      <c r="Z110" s="148"/>
      <c r="AA110" s="140">
        <f>W110</f>
        <v>4.1299999999999955</v>
      </c>
      <c r="AB110" s="141"/>
      <c r="AC110" s="141"/>
      <c r="AD110" s="142"/>
    </row>
    <row r="111" spans="2:30" ht="19.5" customHeight="1" thickBot="1" thickTop="1">
      <c r="B111" s="146" t="s">
        <v>37</v>
      </c>
      <c r="C111" s="147"/>
      <c r="D111" s="147"/>
      <c r="E111" s="147"/>
      <c r="F111" s="147"/>
      <c r="G111" s="147"/>
      <c r="H111" s="147"/>
      <c r="I111" s="147"/>
      <c r="J111" s="148"/>
      <c r="K111" s="146">
        <v>1</v>
      </c>
      <c r="L111" s="147"/>
      <c r="M111" s="147"/>
      <c r="N111" s="148"/>
      <c r="O111" s="150"/>
      <c r="P111" s="151"/>
      <c r="Q111" s="149"/>
      <c r="R111" s="148"/>
      <c r="S111" s="150"/>
      <c r="T111" s="151"/>
      <c r="U111" s="149"/>
      <c r="V111" s="148"/>
      <c r="W111" s="150">
        <f>W102</f>
        <v>3.9500000000000455</v>
      </c>
      <c r="X111" s="151"/>
      <c r="Y111" s="149"/>
      <c r="Z111" s="148"/>
      <c r="AA111" s="140">
        <f>W111</f>
        <v>3.9500000000000455</v>
      </c>
      <c r="AB111" s="141"/>
      <c r="AC111" s="141"/>
      <c r="AD111" s="142"/>
    </row>
    <row r="112" spans="2:30" ht="19.5" customHeight="1" thickBot="1" thickTop="1">
      <c r="B112" s="146" t="s">
        <v>37</v>
      </c>
      <c r="C112" s="147"/>
      <c r="D112" s="147"/>
      <c r="E112" s="147"/>
      <c r="F112" s="147"/>
      <c r="G112" s="147"/>
      <c r="H112" s="147"/>
      <c r="I112" s="147"/>
      <c r="J112" s="148"/>
      <c r="K112" s="146">
        <v>1</v>
      </c>
      <c r="L112" s="147"/>
      <c r="M112" s="147"/>
      <c r="N112" s="148"/>
      <c r="O112" s="150"/>
      <c r="P112" s="151"/>
      <c r="Q112" s="149"/>
      <c r="R112" s="148"/>
      <c r="S112" s="150"/>
      <c r="T112" s="151"/>
      <c r="U112" s="149"/>
      <c r="V112" s="148"/>
      <c r="W112" s="150">
        <f>W103</f>
        <v>0.8400000000000318</v>
      </c>
      <c r="X112" s="151"/>
      <c r="Y112" s="149"/>
      <c r="Z112" s="148"/>
      <c r="AA112" s="140">
        <f>W112</f>
        <v>0.8400000000000318</v>
      </c>
      <c r="AB112" s="141"/>
      <c r="AC112" s="141"/>
      <c r="AD112" s="142"/>
    </row>
    <row r="113" spans="2:30" ht="19.5" customHeight="1" thickBot="1" thickTop="1">
      <c r="B113" s="31" t="s">
        <v>11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3"/>
      <c r="AA113" s="34">
        <f>SUM(AA108:AA112)</f>
        <v>105.09160000000007</v>
      </c>
      <c r="AB113" s="35"/>
      <c r="AC113" s="35"/>
      <c r="AD113" s="36"/>
    </row>
    <row r="114" spans="2:30" ht="19.5" customHeight="1" thickBot="1">
      <c r="B114" s="46" t="s">
        <v>16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8"/>
    </row>
    <row r="115" spans="2:30" ht="19.5" customHeight="1" thickBot="1">
      <c r="B115" s="49" t="s">
        <v>12</v>
      </c>
      <c r="C115" s="50"/>
      <c r="D115" s="50"/>
      <c r="E115" s="50"/>
      <c r="F115" s="50"/>
      <c r="G115" s="50"/>
      <c r="H115" s="50"/>
      <c r="I115" s="50"/>
      <c r="J115" s="51"/>
      <c r="K115" s="52" t="s">
        <v>10</v>
      </c>
      <c r="L115" s="53"/>
      <c r="M115" s="53"/>
      <c r="N115" s="54"/>
      <c r="O115" s="52" t="s">
        <v>8</v>
      </c>
      <c r="P115" s="53"/>
      <c r="Q115" s="53"/>
      <c r="R115" s="54"/>
      <c r="S115" s="52" t="s">
        <v>9</v>
      </c>
      <c r="T115" s="53"/>
      <c r="U115" s="53"/>
      <c r="V115" s="54"/>
      <c r="W115" s="52" t="s">
        <v>14</v>
      </c>
      <c r="X115" s="53"/>
      <c r="Y115" s="53"/>
      <c r="Z115" s="54"/>
      <c r="AA115" s="52" t="str">
        <f>IF(AND(0&lt;ABS($O116),0&lt;ABS($S116),0&lt;ABS($W116)),"CU YD",IF(AND(0&lt;ABS($O116),0&lt;ABS($S116)),"SQ YD",IF(AND(0&lt;ABS($O116)),"FT","EACH")))</f>
        <v>FT</v>
      </c>
      <c r="AB115" s="53"/>
      <c r="AC115" s="53"/>
      <c r="AD115" s="54"/>
    </row>
    <row r="116" spans="2:30" ht="19.5" customHeight="1" thickBot="1">
      <c r="B116" s="67" t="s">
        <v>38</v>
      </c>
      <c r="C116" s="68"/>
      <c r="D116" s="68"/>
      <c r="E116" s="68"/>
      <c r="F116" s="68"/>
      <c r="G116" s="68"/>
      <c r="H116" s="68"/>
      <c r="I116" s="68"/>
      <c r="J116" s="69"/>
      <c r="K116" s="10">
        <v>2</v>
      </c>
      <c r="L116" s="11"/>
      <c r="M116" s="11"/>
      <c r="N116" s="12"/>
      <c r="O116" s="39">
        <v>43.14</v>
      </c>
      <c r="P116" s="40"/>
      <c r="Q116" s="37"/>
      <c r="R116" s="38"/>
      <c r="S116" s="39"/>
      <c r="T116" s="40"/>
      <c r="U116" s="37"/>
      <c r="V116" s="38"/>
      <c r="W116" s="39"/>
      <c r="X116" s="40"/>
      <c r="Y116" s="37"/>
      <c r="Z116" s="38"/>
      <c r="AA116" s="41">
        <f>IF(AND(0&lt;ABS($O116),0&lt;ABS($S116),0&lt;ABS($W116)),ROUND(($K116*IF($Q116&gt;0,($O116+$Q116)/2,$O116)*IF($U116&gt;0,($S116+$U116)/2,$S116)*IF($Y116&gt;0,($W116+$Y116)/2,$W116))/27,1),IF(AND(0&lt;ABS($O116),0&lt;ABS($S116)),ROUND(($K116*IF($Q116&gt;0,($O116+$Q116)/2,$O116)*IF($U116&gt;0,($S116+$U116)/2,$S116))/9,1),IF(AND(0&lt;ABS($O116)),ROUND($K116*$O116,1),$K116)))</f>
        <v>86.3</v>
      </c>
      <c r="AB116" s="42"/>
      <c r="AC116" s="42"/>
      <c r="AD116" s="43"/>
    </row>
    <row r="117" spans="2:30" ht="19.5" customHeight="1" thickBot="1" thickTop="1">
      <c r="B117" s="31" t="s">
        <v>11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3"/>
      <c r="AA117" s="34">
        <f>SUM(AA116:AA116)</f>
        <v>86.3</v>
      </c>
      <c r="AB117" s="35"/>
      <c r="AC117" s="35"/>
      <c r="AD117" s="36"/>
    </row>
    <row r="118" spans="2:30" ht="19.5" customHeight="1" thickBot="1">
      <c r="B118" s="46" t="s">
        <v>118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</row>
    <row r="119" spans="2:30" ht="19.5" customHeight="1" thickBot="1">
      <c r="B119" s="49" t="s">
        <v>12</v>
      </c>
      <c r="C119" s="50"/>
      <c r="D119" s="50"/>
      <c r="E119" s="50"/>
      <c r="F119" s="50"/>
      <c r="G119" s="50"/>
      <c r="H119" s="50"/>
      <c r="I119" s="50"/>
      <c r="J119" s="51"/>
      <c r="K119" s="52" t="s">
        <v>10</v>
      </c>
      <c r="L119" s="53"/>
      <c r="M119" s="53"/>
      <c r="N119" s="54"/>
      <c r="O119" s="52" t="s">
        <v>8</v>
      </c>
      <c r="P119" s="53"/>
      <c r="Q119" s="53"/>
      <c r="R119" s="54"/>
      <c r="S119" s="52" t="s">
        <v>9</v>
      </c>
      <c r="T119" s="53"/>
      <c r="U119" s="53"/>
      <c r="V119" s="54"/>
      <c r="W119" s="52" t="s">
        <v>14</v>
      </c>
      <c r="X119" s="53"/>
      <c r="Y119" s="53"/>
      <c r="Z119" s="54"/>
      <c r="AA119" s="52" t="str">
        <f>IF(AND(0&lt;ABS($O120),0&lt;ABS($S120),0&lt;ABS($W120)),"CU YD",IF(AND(0&lt;ABS($O120),0&lt;ABS($S120)),"SQ YD",IF(AND(0&lt;ABS($O120)),"FT","EACH")))</f>
        <v>FT</v>
      </c>
      <c r="AB119" s="53"/>
      <c r="AC119" s="53"/>
      <c r="AD119" s="54"/>
    </row>
    <row r="120" spans="2:30" ht="19.5" customHeight="1" thickBot="1">
      <c r="B120" s="67" t="s">
        <v>119</v>
      </c>
      <c r="C120" s="68"/>
      <c r="D120" s="68"/>
      <c r="E120" s="68"/>
      <c r="F120" s="68"/>
      <c r="G120" s="68"/>
      <c r="H120" s="68"/>
      <c r="I120" s="68"/>
      <c r="J120" s="69"/>
      <c r="K120" s="17">
        <v>2</v>
      </c>
      <c r="L120" s="18"/>
      <c r="M120" s="18"/>
      <c r="N120" s="13"/>
      <c r="O120" s="39">
        <v>39.9167</v>
      </c>
      <c r="P120" s="40"/>
      <c r="Q120" s="37"/>
      <c r="R120" s="38"/>
      <c r="S120" s="39"/>
      <c r="T120" s="40"/>
      <c r="U120" s="37"/>
      <c r="V120" s="38"/>
      <c r="W120" s="39"/>
      <c r="X120" s="40"/>
      <c r="Y120" s="37"/>
      <c r="Z120" s="38"/>
      <c r="AA120" s="41">
        <f>IF(AND(0&lt;ABS($O120),0&lt;ABS($S120),0&lt;ABS($W120)),ROUND(($K120*IF($Q120&gt;0,($O120+$Q120)/2,$O120)*IF($U120&gt;0,($S120+$U120)/2,$S120)*IF($Y120&gt;0,($W120+$Y120)/2,$W120))/27,1),IF(AND(0&lt;ABS($O120),0&lt;ABS($S120)),ROUND(($K120*IF($Q120&gt;0,($O120+$Q120)/2,$O120)*IF($U120&gt;0,($S120+$U120)/2,$S120))/9,1),IF(AND(0&lt;ABS($O120)),ROUND($K120*$O120,1),$K120)))</f>
        <v>79.8</v>
      </c>
      <c r="AB120" s="42"/>
      <c r="AC120" s="42"/>
      <c r="AD120" s="43"/>
    </row>
    <row r="121" spans="2:30" ht="19.5" customHeight="1" thickBot="1" thickTop="1">
      <c r="B121" s="31" t="s">
        <v>11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3"/>
      <c r="AA121" s="34">
        <f>SUM(AA120:AA120)</f>
        <v>79.8</v>
      </c>
      <c r="AB121" s="35"/>
      <c r="AC121" s="35"/>
      <c r="AD121" s="36"/>
    </row>
    <row r="122" spans="2:30" ht="19.5" customHeight="1" thickBot="1">
      <c r="B122" s="77" t="s">
        <v>115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9"/>
    </row>
    <row r="123" spans="2:30" ht="19.5" customHeight="1" thickBot="1">
      <c r="B123" s="49" t="s">
        <v>12</v>
      </c>
      <c r="C123" s="50"/>
      <c r="D123" s="50"/>
      <c r="E123" s="50"/>
      <c r="F123" s="50"/>
      <c r="G123" s="50"/>
      <c r="H123" s="50"/>
      <c r="I123" s="50"/>
      <c r="J123" s="51"/>
      <c r="K123" s="14" t="s">
        <v>10</v>
      </c>
      <c r="L123" s="15"/>
      <c r="M123" s="15"/>
      <c r="N123" s="16"/>
      <c r="O123" s="52" t="s">
        <v>8</v>
      </c>
      <c r="P123" s="53"/>
      <c r="Q123" s="53"/>
      <c r="R123" s="54"/>
      <c r="S123" s="14" t="s">
        <v>9</v>
      </c>
      <c r="T123" s="15"/>
      <c r="U123" s="15"/>
      <c r="V123" s="16"/>
      <c r="W123" s="14" t="s">
        <v>14</v>
      </c>
      <c r="X123" s="15"/>
      <c r="Y123" s="15"/>
      <c r="Z123" s="16"/>
      <c r="AA123" s="52" t="str">
        <f>IF(AND(0&lt;ABS($O124),0&lt;ABS($S124),0&lt;ABS($W124)),"CU YD",IF(AND(0&lt;ABS($O124),0&lt;ABS($S124)),"SQ YD",IF(AND(0&lt;ABS($O124)),"FT","EACH")))</f>
        <v>FT</v>
      </c>
      <c r="AB123" s="53"/>
      <c r="AC123" s="53"/>
      <c r="AD123" s="54"/>
    </row>
    <row r="124" spans="2:30" ht="19.5" customHeight="1" thickBot="1">
      <c r="B124" s="121"/>
      <c r="C124" s="122"/>
      <c r="D124" s="122"/>
      <c r="E124" s="122"/>
      <c r="F124" s="122"/>
      <c r="G124" s="122"/>
      <c r="H124" s="122"/>
      <c r="I124" s="122"/>
      <c r="J124" s="38"/>
      <c r="K124" s="121">
        <v>2</v>
      </c>
      <c r="L124" s="122"/>
      <c r="M124" s="122"/>
      <c r="N124" s="38"/>
      <c r="O124" s="39">
        <v>112</v>
      </c>
      <c r="P124" s="40"/>
      <c r="Q124" s="37"/>
      <c r="R124" s="38"/>
      <c r="S124" s="39"/>
      <c r="T124" s="40"/>
      <c r="U124" s="37"/>
      <c r="V124" s="38"/>
      <c r="W124" s="39"/>
      <c r="X124" s="40"/>
      <c r="Y124" s="37"/>
      <c r="Z124" s="38"/>
      <c r="AA124" s="41">
        <f>IF(AND(0&lt;ABS($O124),0&lt;ABS($S124),0&lt;ABS($W124)),ROUND(($K124*IF($Q124&gt;0,($O124+$Q124)/2,$O124)*IF($U124&gt;0,($S124+$U124)/2,$S124)*IF($Y124&gt;0,($W124+$Y124)/2,$W124))/27,1),IF(AND(0&lt;ABS($O124),0&lt;ABS($S124)),ROUND(($K124*IF($Q124&gt;0,($O124+$Q124)/2,$O124)*IF($U124&gt;0,($S124+$U124)/2,$S124))/9,1),IF(AND(0&lt;ABS($O124)),ROUND($K124*$O124,1),$K124)))</f>
        <v>224</v>
      </c>
      <c r="AB124" s="42"/>
      <c r="AC124" s="42"/>
      <c r="AD124" s="43"/>
    </row>
    <row r="125" spans="2:30" ht="19.5" customHeight="1" thickBot="1" thickTop="1">
      <c r="B125" s="31" t="s">
        <v>11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3"/>
      <c r="AA125" s="34">
        <f>SUM(AA124:AA124)</f>
        <v>224</v>
      </c>
      <c r="AB125" s="35"/>
      <c r="AC125" s="35"/>
      <c r="AD125" s="36"/>
    </row>
    <row r="126" spans="2:30" ht="19.5" customHeight="1" thickBot="1">
      <c r="B126" s="46" t="s">
        <v>17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8"/>
    </row>
    <row r="127" spans="2:30" ht="19.5" customHeight="1" thickBot="1">
      <c r="B127" s="49" t="s">
        <v>12</v>
      </c>
      <c r="C127" s="50"/>
      <c r="D127" s="50"/>
      <c r="E127" s="50"/>
      <c r="F127" s="50"/>
      <c r="G127" s="50"/>
      <c r="H127" s="50"/>
      <c r="I127" s="50"/>
      <c r="J127" s="51"/>
      <c r="K127" s="52" t="s">
        <v>10</v>
      </c>
      <c r="L127" s="53"/>
      <c r="M127" s="53"/>
      <c r="N127" s="54"/>
      <c r="O127" s="52" t="s">
        <v>8</v>
      </c>
      <c r="P127" s="53"/>
      <c r="Q127" s="53"/>
      <c r="R127" s="54"/>
      <c r="S127" s="52" t="s">
        <v>9</v>
      </c>
      <c r="T127" s="53"/>
      <c r="U127" s="53"/>
      <c r="V127" s="54"/>
      <c r="W127" s="52" t="s">
        <v>14</v>
      </c>
      <c r="X127" s="53"/>
      <c r="Y127" s="53"/>
      <c r="Z127" s="54"/>
      <c r="AA127" s="52" t="str">
        <f>IF(AND(0&lt;ABS($O128),0&lt;ABS($S128),0&lt;ABS($W128)),"CU YD",IF(AND(0&lt;ABS($O128),0&lt;ABS($S128)),"SQ YD",IF(AND(0&lt;ABS($O128)),"FT","EACH")))</f>
        <v>CU YD</v>
      </c>
      <c r="AB127" s="53"/>
      <c r="AC127" s="53"/>
      <c r="AD127" s="54"/>
    </row>
    <row r="128" spans="2:30" ht="19.5" customHeight="1" thickBot="1">
      <c r="B128" s="67" t="s">
        <v>40</v>
      </c>
      <c r="C128" s="68"/>
      <c r="D128" s="68"/>
      <c r="E128" s="68"/>
      <c r="F128" s="68"/>
      <c r="G128" s="68"/>
      <c r="H128" s="68"/>
      <c r="I128" s="68"/>
      <c r="J128" s="69"/>
      <c r="K128" s="67">
        <v>2</v>
      </c>
      <c r="L128" s="68"/>
      <c r="M128" s="68"/>
      <c r="N128" s="69"/>
      <c r="O128" s="70">
        <v>40</v>
      </c>
      <c r="P128" s="71"/>
      <c r="Q128" s="44"/>
      <c r="R128" s="45"/>
      <c r="S128" s="70">
        <v>2</v>
      </c>
      <c r="T128" s="71"/>
      <c r="U128" s="44"/>
      <c r="V128" s="45"/>
      <c r="W128" s="70">
        <v>5</v>
      </c>
      <c r="X128" s="71"/>
      <c r="Y128" s="44"/>
      <c r="Z128" s="45"/>
      <c r="AA128" s="96">
        <f>(K128*((O128*S128*W128)/27))-((0.5*1.8333*40)/27)</f>
        <v>28.27162962962963</v>
      </c>
      <c r="AB128" s="97"/>
      <c r="AC128" s="97"/>
      <c r="AD128" s="98"/>
    </row>
    <row r="129" spans="2:30" ht="19.5" customHeight="1" thickBot="1">
      <c r="B129" s="67" t="s">
        <v>31</v>
      </c>
      <c r="C129" s="68"/>
      <c r="D129" s="68"/>
      <c r="E129" s="68"/>
      <c r="F129" s="68"/>
      <c r="G129" s="68"/>
      <c r="H129" s="68"/>
      <c r="I129" s="68"/>
      <c r="J129" s="69"/>
      <c r="K129" s="67">
        <v>4</v>
      </c>
      <c r="L129" s="68"/>
      <c r="M129" s="68"/>
      <c r="N129" s="69"/>
      <c r="O129" s="70">
        <f>(52.0833-O128)/2</f>
        <v>6.041650000000001</v>
      </c>
      <c r="P129" s="71"/>
      <c r="Q129" s="44"/>
      <c r="R129" s="45"/>
      <c r="S129" s="70">
        <v>2</v>
      </c>
      <c r="T129" s="71"/>
      <c r="U129" s="44"/>
      <c r="V129" s="45"/>
      <c r="W129" s="70">
        <v>4.5</v>
      </c>
      <c r="X129" s="71"/>
      <c r="Y129" s="19"/>
      <c r="Z129" s="20"/>
      <c r="AA129" s="140">
        <f>K129*((O129*S129*W129)/27)</f>
        <v>8.055533333333335</v>
      </c>
      <c r="AB129" s="141"/>
      <c r="AC129" s="141"/>
      <c r="AD129" s="142"/>
    </row>
    <row r="130" spans="2:30" ht="19.5" customHeight="1" thickBot="1" thickTop="1">
      <c r="B130" s="31" t="s">
        <v>11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3"/>
      <c r="AA130" s="34">
        <f>SUM(AA128:AD129)</f>
        <v>36.327162962962966</v>
      </c>
      <c r="AB130" s="35"/>
      <c r="AC130" s="35"/>
      <c r="AD130" s="36"/>
    </row>
    <row r="131" spans="2:30" ht="19.5" customHeight="1" thickBot="1">
      <c r="B131" s="77" t="s">
        <v>18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9"/>
    </row>
    <row r="132" spans="2:30" ht="19.5" customHeight="1" thickBot="1">
      <c r="B132" s="49" t="s">
        <v>12</v>
      </c>
      <c r="C132" s="50"/>
      <c r="D132" s="50"/>
      <c r="E132" s="50"/>
      <c r="F132" s="50"/>
      <c r="G132" s="50"/>
      <c r="H132" s="50"/>
      <c r="I132" s="50"/>
      <c r="J132" s="51"/>
      <c r="K132" s="52" t="s">
        <v>10</v>
      </c>
      <c r="L132" s="53"/>
      <c r="M132" s="53"/>
      <c r="N132" s="54"/>
      <c r="O132" s="52" t="s">
        <v>8</v>
      </c>
      <c r="P132" s="53"/>
      <c r="Q132" s="53"/>
      <c r="R132" s="54"/>
      <c r="S132" s="52" t="s">
        <v>9</v>
      </c>
      <c r="T132" s="53"/>
      <c r="U132" s="53"/>
      <c r="V132" s="54"/>
      <c r="W132" s="52" t="s">
        <v>14</v>
      </c>
      <c r="X132" s="53"/>
      <c r="Y132" s="53"/>
      <c r="Z132" s="54"/>
      <c r="AA132" s="52" t="str">
        <f>IF(AND(0&lt;ABS($O133),0&lt;ABS($S133),0&lt;ABS($W133)),"CU YD",IF(AND(0&lt;ABS($O133),0&lt;ABS($S133)),"SQ YD",IF(AND(0&lt;ABS($O133)),"FT","EACH")))</f>
        <v>FT</v>
      </c>
      <c r="AB132" s="53"/>
      <c r="AC132" s="53"/>
      <c r="AD132" s="54"/>
    </row>
    <row r="133" spans="2:30" ht="19.5" customHeight="1">
      <c r="B133" s="67" t="s">
        <v>65</v>
      </c>
      <c r="C133" s="68"/>
      <c r="D133" s="68"/>
      <c r="E133" s="68"/>
      <c r="F133" s="68"/>
      <c r="G133" s="68"/>
      <c r="H133" s="68"/>
      <c r="I133" s="68"/>
      <c r="J133" s="69"/>
      <c r="K133" s="67">
        <v>2</v>
      </c>
      <c r="L133" s="68"/>
      <c r="M133" s="68"/>
      <c r="N133" s="69"/>
      <c r="O133" s="70">
        <v>105</v>
      </c>
      <c r="P133" s="71"/>
      <c r="Q133" s="44"/>
      <c r="R133" s="45"/>
      <c r="S133" s="70"/>
      <c r="T133" s="71"/>
      <c r="U133" s="44"/>
      <c r="V133" s="45"/>
      <c r="W133" s="70"/>
      <c r="X133" s="71"/>
      <c r="Y133" s="44"/>
      <c r="Z133" s="45"/>
      <c r="AA133" s="96">
        <f>K133*O133</f>
        <v>210</v>
      </c>
      <c r="AB133" s="97"/>
      <c r="AC133" s="97"/>
      <c r="AD133" s="98"/>
    </row>
    <row r="134" spans="2:30" ht="19.5" customHeight="1" thickBot="1">
      <c r="B134" s="99" t="s">
        <v>66</v>
      </c>
      <c r="C134" s="100"/>
      <c r="D134" s="100"/>
      <c r="E134" s="100"/>
      <c r="F134" s="100"/>
      <c r="G134" s="100"/>
      <c r="H134" s="100"/>
      <c r="I134" s="100"/>
      <c r="J134" s="101"/>
      <c r="K134" s="99">
        <v>36</v>
      </c>
      <c r="L134" s="100"/>
      <c r="M134" s="100"/>
      <c r="N134" s="101"/>
      <c r="O134" s="102">
        <v>1.5</v>
      </c>
      <c r="P134" s="103"/>
      <c r="Q134" s="104"/>
      <c r="R134" s="105"/>
      <c r="S134" s="102"/>
      <c r="T134" s="103"/>
      <c r="U134" s="104"/>
      <c r="V134" s="105"/>
      <c r="W134" s="102"/>
      <c r="X134" s="103"/>
      <c r="Y134" s="104"/>
      <c r="Z134" s="105"/>
      <c r="AA134" s="140">
        <f>K134*O134</f>
        <v>54</v>
      </c>
      <c r="AB134" s="141"/>
      <c r="AC134" s="141"/>
      <c r="AD134" s="142"/>
    </row>
    <row r="135" spans="2:30" ht="19.5" customHeight="1" thickBot="1" thickTop="1">
      <c r="B135" s="31" t="s">
        <v>11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3"/>
      <c r="AA135" s="34">
        <f>SUM(AA133:AA134)</f>
        <v>264</v>
      </c>
      <c r="AB135" s="35"/>
      <c r="AC135" s="35"/>
      <c r="AD135" s="36"/>
    </row>
    <row r="136" spans="2:30" ht="19.5" customHeight="1" thickBot="1">
      <c r="B136" s="77" t="s">
        <v>19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9"/>
    </row>
    <row r="137" spans="2:30" ht="19.5" customHeight="1" thickBot="1">
      <c r="B137" s="49" t="s">
        <v>12</v>
      </c>
      <c r="C137" s="50"/>
      <c r="D137" s="50"/>
      <c r="E137" s="50"/>
      <c r="F137" s="50"/>
      <c r="G137" s="50"/>
      <c r="H137" s="50"/>
      <c r="I137" s="50"/>
      <c r="J137" s="51"/>
      <c r="K137" s="52" t="s">
        <v>10</v>
      </c>
      <c r="L137" s="53"/>
      <c r="M137" s="53"/>
      <c r="N137" s="54"/>
      <c r="O137" s="52" t="s">
        <v>8</v>
      </c>
      <c r="P137" s="53"/>
      <c r="Q137" s="53"/>
      <c r="R137" s="54"/>
      <c r="S137" s="52" t="s">
        <v>9</v>
      </c>
      <c r="T137" s="53"/>
      <c r="U137" s="53"/>
      <c r="V137" s="54"/>
      <c r="W137" s="52" t="s">
        <v>14</v>
      </c>
      <c r="X137" s="53"/>
      <c r="Y137" s="53"/>
      <c r="Z137" s="54"/>
      <c r="AA137" s="52" t="str">
        <f>IF(AND(0&lt;ABS($O138),0&lt;ABS($S138),0&lt;ABS($W138)),"CU YD",IF(AND(0&lt;ABS($O138),0&lt;ABS($S138)),"SQ YD",IF(AND(0&lt;ABS($O138)),"FT","EACH")))</f>
        <v>FT</v>
      </c>
      <c r="AB137" s="53"/>
      <c r="AC137" s="53"/>
      <c r="AD137" s="54"/>
    </row>
    <row r="138" spans="2:30" ht="19.5" customHeight="1" thickBot="1">
      <c r="B138" s="67" t="s">
        <v>39</v>
      </c>
      <c r="C138" s="68"/>
      <c r="D138" s="68"/>
      <c r="E138" s="68"/>
      <c r="F138" s="68"/>
      <c r="G138" s="68"/>
      <c r="H138" s="68"/>
      <c r="I138" s="68"/>
      <c r="J138" s="69"/>
      <c r="K138" s="67">
        <v>2</v>
      </c>
      <c r="L138" s="68"/>
      <c r="M138" s="68"/>
      <c r="N138" s="69"/>
      <c r="O138" s="70">
        <f>52.0833+12</f>
        <v>64.08330000000001</v>
      </c>
      <c r="P138" s="71"/>
      <c r="Q138" s="44"/>
      <c r="R138" s="45"/>
      <c r="S138" s="70"/>
      <c r="T138" s="71"/>
      <c r="U138" s="44"/>
      <c r="V138" s="45"/>
      <c r="W138" s="70"/>
      <c r="X138" s="71"/>
      <c r="Y138" s="44"/>
      <c r="Z138" s="45"/>
      <c r="AA138" s="41">
        <f>IF(AND(0&lt;ABS($O138),0&lt;ABS($S138),0&lt;ABS($W138)),ROUND(($K138*IF($Q138&gt;0,($O138+$Q138)/2,$O138)*IF($U138&gt;0,($S138+$U138)/2,$S138)*IF($Y138&gt;0,($W138+$Y138)/2,$W138))/27,1),IF(AND(0&lt;ABS($O138),0&lt;ABS($S138)),ROUND(($K138*IF($Q138&gt;0,($O138+$Q138)/2,$O138)*IF($U138&gt;0,($S138+$U138)/2,$S138))/9,1),IF(AND(0&lt;ABS($O138)),ROUND($K138*$O138,1),$K138)))</f>
        <v>128.2</v>
      </c>
      <c r="AB138" s="42"/>
      <c r="AC138" s="42"/>
      <c r="AD138" s="43"/>
    </row>
    <row r="139" spans="2:30" ht="19.5" customHeight="1" thickBot="1" thickTop="1">
      <c r="B139" s="31" t="s">
        <v>11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3"/>
      <c r="AA139" s="34">
        <f>SUM(AA138:AA138)</f>
        <v>128.2</v>
      </c>
      <c r="AB139" s="35"/>
      <c r="AC139" s="35"/>
      <c r="AD139" s="36"/>
    </row>
    <row r="140" spans="2:30" ht="19.5" customHeight="1" thickBot="1">
      <c r="B140" s="77" t="s">
        <v>20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9"/>
    </row>
    <row r="141" spans="2:30" ht="19.5" customHeight="1" thickBot="1">
      <c r="B141" s="49" t="s">
        <v>12</v>
      </c>
      <c r="C141" s="50"/>
      <c r="D141" s="50"/>
      <c r="E141" s="50"/>
      <c r="F141" s="50"/>
      <c r="G141" s="50"/>
      <c r="H141" s="50"/>
      <c r="I141" s="50"/>
      <c r="J141" s="51"/>
      <c r="K141" s="52" t="s">
        <v>10</v>
      </c>
      <c r="L141" s="53"/>
      <c r="M141" s="53"/>
      <c r="N141" s="54"/>
      <c r="O141" s="52" t="s">
        <v>8</v>
      </c>
      <c r="P141" s="53"/>
      <c r="Q141" s="53"/>
      <c r="R141" s="54"/>
      <c r="S141" s="52" t="s">
        <v>9</v>
      </c>
      <c r="T141" s="53"/>
      <c r="U141" s="53"/>
      <c r="V141" s="54"/>
      <c r="W141" s="52" t="s">
        <v>14</v>
      </c>
      <c r="X141" s="53"/>
      <c r="Y141" s="53"/>
      <c r="Z141" s="54"/>
      <c r="AA141" s="52" t="str">
        <f>IF(AND(0&lt;ABS($O142),0&lt;ABS($S142),0&lt;ABS($W142)),"CU YD",IF(AND(0&lt;ABS($O142),0&lt;ABS($S142)),"SQ YD",IF(AND(0&lt;ABS($O142)),"FT","EACH")))</f>
        <v>FT</v>
      </c>
      <c r="AB141" s="53"/>
      <c r="AC141" s="53"/>
      <c r="AD141" s="54"/>
    </row>
    <row r="142" spans="2:30" ht="19.5" customHeight="1" thickBot="1">
      <c r="B142" s="67" t="s">
        <v>39</v>
      </c>
      <c r="C142" s="68"/>
      <c r="D142" s="68"/>
      <c r="E142" s="68"/>
      <c r="F142" s="68"/>
      <c r="G142" s="68"/>
      <c r="H142" s="68"/>
      <c r="I142" s="68"/>
      <c r="J142" s="69"/>
      <c r="K142" s="67">
        <v>2</v>
      </c>
      <c r="L142" s="68"/>
      <c r="M142" s="68"/>
      <c r="N142" s="69"/>
      <c r="O142" s="70">
        <v>15</v>
      </c>
      <c r="P142" s="71"/>
      <c r="Q142" s="44"/>
      <c r="R142" s="45"/>
      <c r="S142" s="70"/>
      <c r="T142" s="71"/>
      <c r="U142" s="44"/>
      <c r="V142" s="45"/>
      <c r="W142" s="70"/>
      <c r="X142" s="71"/>
      <c r="Y142" s="44"/>
      <c r="Z142" s="45"/>
      <c r="AA142" s="41">
        <f>IF(AND(0&lt;ABS($O142),0&lt;ABS($S142),0&lt;ABS($W142)),ROUND(($K142*IF($Q142&gt;0,($O142+$Q142)/2,$O142)*IF($U142&gt;0,($S142+$U142)/2,$S142)*IF($Y142&gt;0,($W142+$Y142)/2,$W142))/27,1),IF(AND(0&lt;ABS($O142),0&lt;ABS($S142)),ROUND(($K142*IF($Q142&gt;0,($O142+$Q142)/2,$O142)*IF($U142&gt;0,($S142+$U142)/2,$S142))/9,1),IF(AND(0&lt;ABS($O142)),ROUND($K142*$O142,1),$K142)))</f>
        <v>30</v>
      </c>
      <c r="AB142" s="42"/>
      <c r="AC142" s="42"/>
      <c r="AD142" s="43"/>
    </row>
    <row r="143" spans="2:30" ht="19.5" customHeight="1" thickBot="1" thickTop="1">
      <c r="B143" s="31" t="s">
        <v>11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3"/>
      <c r="AA143" s="34">
        <f>SUM(AA142:AA142)</f>
        <v>30</v>
      </c>
      <c r="AB143" s="35"/>
      <c r="AC143" s="35"/>
      <c r="AD143" s="36"/>
    </row>
    <row r="144" spans="2:30" ht="19.5" customHeight="1" thickBot="1">
      <c r="B144" s="77" t="s">
        <v>64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9"/>
    </row>
    <row r="145" spans="2:30" ht="19.5" customHeight="1" thickBot="1">
      <c r="B145" s="49" t="s">
        <v>12</v>
      </c>
      <c r="C145" s="50"/>
      <c r="D145" s="50"/>
      <c r="E145" s="50"/>
      <c r="F145" s="50"/>
      <c r="G145" s="50"/>
      <c r="H145" s="50"/>
      <c r="I145" s="50"/>
      <c r="J145" s="51"/>
      <c r="K145" s="52" t="s">
        <v>10</v>
      </c>
      <c r="L145" s="53"/>
      <c r="M145" s="53"/>
      <c r="N145" s="54"/>
      <c r="O145" s="52" t="s">
        <v>8</v>
      </c>
      <c r="P145" s="53"/>
      <c r="Q145" s="53"/>
      <c r="R145" s="54"/>
      <c r="S145" s="52" t="s">
        <v>9</v>
      </c>
      <c r="T145" s="53"/>
      <c r="U145" s="53"/>
      <c r="V145" s="54"/>
      <c r="W145" s="52" t="s">
        <v>14</v>
      </c>
      <c r="X145" s="53"/>
      <c r="Y145" s="53"/>
      <c r="Z145" s="54"/>
      <c r="AA145" s="52" t="str">
        <f>IF(AND(0&lt;ABS($O146),0&lt;ABS($S146),0&lt;ABS($W146)),"CU YD",IF(AND(0&lt;ABS($O146),0&lt;ABS($S146)),"SQ YD",IF(AND(0&lt;ABS($O146)),"FT","EACH")))</f>
        <v>SQ YD</v>
      </c>
      <c r="AB145" s="53"/>
      <c r="AC145" s="53"/>
      <c r="AD145" s="54"/>
    </row>
    <row r="146" spans="2:30" ht="19.5" customHeight="1" thickBot="1">
      <c r="B146" s="67" t="s">
        <v>24</v>
      </c>
      <c r="C146" s="68"/>
      <c r="D146" s="68"/>
      <c r="E146" s="68"/>
      <c r="F146" s="68"/>
      <c r="G146" s="68"/>
      <c r="H146" s="68"/>
      <c r="I146" s="68"/>
      <c r="J146" s="69"/>
      <c r="K146" s="67">
        <v>2</v>
      </c>
      <c r="L146" s="68"/>
      <c r="M146" s="68"/>
      <c r="N146" s="69"/>
      <c r="O146" s="70">
        <v>20</v>
      </c>
      <c r="P146" s="71"/>
      <c r="Q146" s="44"/>
      <c r="R146" s="45"/>
      <c r="S146" s="70">
        <v>40</v>
      </c>
      <c r="T146" s="71"/>
      <c r="U146" s="44"/>
      <c r="V146" s="45"/>
      <c r="W146" s="70"/>
      <c r="X146" s="71"/>
      <c r="Y146" s="44"/>
      <c r="Z146" s="45"/>
      <c r="AA146" s="41">
        <f>IF(AND(0&lt;ABS($O146),0&lt;ABS($S146),0&lt;ABS($W146)),ROUND(($K146*IF($Q146&gt;0,($O146+$Q146)/2,$O146)*IF($U146&gt;0,($S146+$U146)/2,$S146)*IF($Y146&gt;0,($W146+$Y146)/2,$W146))/27,1),IF(AND(0&lt;ABS($O146),0&lt;ABS($S146)),ROUND(($K146*IF($Q146&gt;0,($O146+$Q146)/2,$O146)*IF($U146&gt;0,($S146+$U146)/2,$S146))/9,1),IF(AND(0&lt;ABS($O146)),ROUND($K146*$O146,1),$K146)))</f>
        <v>177.8</v>
      </c>
      <c r="AB146" s="42"/>
      <c r="AC146" s="42"/>
      <c r="AD146" s="43"/>
    </row>
    <row r="147" spans="2:30" ht="19.5" customHeight="1" thickBot="1" thickTop="1">
      <c r="B147" s="31" t="s">
        <v>11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3"/>
      <c r="AA147" s="34">
        <f>SUM(AA146:AA146)</f>
        <v>177.8</v>
      </c>
      <c r="AB147" s="35"/>
      <c r="AC147" s="35"/>
      <c r="AD147" s="36"/>
    </row>
    <row r="148" spans="2:30" ht="19.5" customHeight="1" thickBot="1">
      <c r="B148" s="77" t="s">
        <v>116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9"/>
    </row>
    <row r="149" spans="2:30" ht="19.5" customHeight="1" thickBot="1">
      <c r="B149" s="49" t="s">
        <v>12</v>
      </c>
      <c r="C149" s="50"/>
      <c r="D149" s="50"/>
      <c r="E149" s="50"/>
      <c r="F149" s="50"/>
      <c r="G149" s="50"/>
      <c r="H149" s="50"/>
      <c r="I149" s="50"/>
      <c r="J149" s="51"/>
      <c r="K149" s="52" t="s">
        <v>10</v>
      </c>
      <c r="L149" s="53"/>
      <c r="M149" s="53"/>
      <c r="N149" s="54"/>
      <c r="O149" s="52" t="s">
        <v>8</v>
      </c>
      <c r="P149" s="53"/>
      <c r="Q149" s="53"/>
      <c r="R149" s="54"/>
      <c r="S149" s="52" t="s">
        <v>9</v>
      </c>
      <c r="T149" s="53"/>
      <c r="U149" s="53"/>
      <c r="V149" s="54"/>
      <c r="W149" s="52" t="s">
        <v>14</v>
      </c>
      <c r="X149" s="53"/>
      <c r="Y149" s="53"/>
      <c r="Z149" s="54"/>
      <c r="AA149" s="52" t="str">
        <f>IF(AND(0&lt;ABS($O150),0&lt;ABS($S150),0&lt;ABS($W150)),"CU YD",IF(AND(0&lt;ABS($O150),0&lt;ABS($S150)),"SQ YD",IF(AND(0&lt;ABS($O150)),"FT","EACH")))</f>
        <v>SQ YD</v>
      </c>
      <c r="AB149" s="53"/>
      <c r="AC149" s="53"/>
      <c r="AD149" s="54"/>
    </row>
    <row r="150" spans="2:30" ht="19.5" customHeight="1" thickBot="1">
      <c r="B150" s="67" t="s">
        <v>24</v>
      </c>
      <c r="C150" s="68"/>
      <c r="D150" s="68"/>
      <c r="E150" s="68"/>
      <c r="F150" s="68"/>
      <c r="G150" s="68"/>
      <c r="H150" s="68"/>
      <c r="I150" s="68"/>
      <c r="J150" s="69"/>
      <c r="K150" s="67">
        <v>2</v>
      </c>
      <c r="L150" s="68"/>
      <c r="M150" s="68"/>
      <c r="N150" s="69"/>
      <c r="O150" s="70">
        <v>34.51</v>
      </c>
      <c r="P150" s="71"/>
      <c r="Q150" s="44"/>
      <c r="R150" s="45"/>
      <c r="S150" s="70">
        <v>5</v>
      </c>
      <c r="T150" s="71"/>
      <c r="U150" s="44"/>
      <c r="V150" s="45"/>
      <c r="W150" s="70"/>
      <c r="X150" s="71"/>
      <c r="Y150" s="44"/>
      <c r="Z150" s="45"/>
      <c r="AA150" s="41">
        <f>IF(AND(0&lt;ABS($O150),0&lt;ABS($S150),0&lt;ABS($W150)),ROUND(($K150*IF($Q150&gt;0,($O150+$Q150)/2,$O150)*IF($U150&gt;0,($S150+$U150)/2,$S150)*IF($Y150&gt;0,($W150+$Y150)/2,$W150))/27,1),IF(AND(0&lt;ABS($O150),0&lt;ABS($S150)),ROUND(($K150*IF($Q150&gt;0,($O150+$Q150)/2,$O150)*IF($U150&gt;0,($S150+$U150)/2,$S150))/9,1),IF(AND(0&lt;ABS($O150)),ROUND($K150*$O150,1),$K150)))</f>
        <v>38.3</v>
      </c>
      <c r="AB150" s="42"/>
      <c r="AC150" s="42"/>
      <c r="AD150" s="43"/>
    </row>
    <row r="151" spans="2:30" ht="19.5" customHeight="1" thickBot="1" thickTop="1">
      <c r="B151" s="31" t="s">
        <v>11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3"/>
      <c r="AA151" s="34">
        <f>SUM(AA150:AA150)</f>
        <v>38.3</v>
      </c>
      <c r="AB151" s="35"/>
      <c r="AC151" s="35"/>
      <c r="AD151" s="36"/>
    </row>
    <row r="152" spans="2:30" ht="19.5" customHeight="1" thickBot="1">
      <c r="B152" s="77" t="s">
        <v>49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9"/>
    </row>
    <row r="153" spans="2:30" ht="19.5" customHeight="1" thickBot="1">
      <c r="B153" s="49" t="s">
        <v>12</v>
      </c>
      <c r="C153" s="50"/>
      <c r="D153" s="50"/>
      <c r="E153" s="50"/>
      <c r="F153" s="50"/>
      <c r="G153" s="50"/>
      <c r="H153" s="50"/>
      <c r="I153" s="50"/>
      <c r="J153" s="51"/>
      <c r="K153" s="52" t="s">
        <v>10</v>
      </c>
      <c r="L153" s="53"/>
      <c r="M153" s="53"/>
      <c r="N153" s="54"/>
      <c r="O153" s="52" t="s">
        <v>8</v>
      </c>
      <c r="P153" s="53"/>
      <c r="Q153" s="53"/>
      <c r="R153" s="54"/>
      <c r="S153" s="52" t="s">
        <v>9</v>
      </c>
      <c r="T153" s="53"/>
      <c r="U153" s="53"/>
      <c r="V153" s="54"/>
      <c r="W153" s="52" t="s">
        <v>14</v>
      </c>
      <c r="X153" s="53"/>
      <c r="Y153" s="53"/>
      <c r="Z153" s="54"/>
      <c r="AA153" s="77" t="s">
        <v>51</v>
      </c>
      <c r="AB153" s="53"/>
      <c r="AC153" s="53"/>
      <c r="AD153" s="54"/>
    </row>
    <row r="154" spans="2:30" ht="19.5" customHeight="1" thickBot="1">
      <c r="B154" s="67" t="s">
        <v>50</v>
      </c>
      <c r="C154" s="68"/>
      <c r="D154" s="68"/>
      <c r="E154" s="68"/>
      <c r="F154" s="68"/>
      <c r="G154" s="68"/>
      <c r="H154" s="68"/>
      <c r="I154" s="68"/>
      <c r="J154" s="69"/>
      <c r="K154" s="67">
        <v>2</v>
      </c>
      <c r="L154" s="68"/>
      <c r="M154" s="68"/>
      <c r="N154" s="69"/>
      <c r="O154" s="70">
        <v>50</v>
      </c>
      <c r="P154" s="71"/>
      <c r="Q154" s="44"/>
      <c r="R154" s="45"/>
      <c r="S154" s="70">
        <v>10</v>
      </c>
      <c r="T154" s="71"/>
      <c r="U154" s="44"/>
      <c r="V154" s="45"/>
      <c r="W154" s="70">
        <v>2</v>
      </c>
      <c r="X154" s="71"/>
      <c r="Y154" s="44"/>
      <c r="Z154" s="45"/>
      <c r="AA154" s="41">
        <f>(K154*O154*S154*W154)/27</f>
        <v>74.07407407407408</v>
      </c>
      <c r="AB154" s="42"/>
      <c r="AC154" s="42"/>
      <c r="AD154" s="43"/>
    </row>
    <row r="155" spans="2:30" ht="19.5" customHeight="1" thickBot="1" thickTop="1">
      <c r="B155" s="31" t="s">
        <v>11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3"/>
      <c r="AA155" s="34">
        <f>SUM(AA154:AA154)</f>
        <v>74.07407407407408</v>
      </c>
      <c r="AB155" s="35"/>
      <c r="AC155" s="35"/>
      <c r="AD155" s="36"/>
    </row>
    <row r="156" spans="2:30" ht="19.5" customHeight="1" thickBot="1">
      <c r="B156" s="77" t="s">
        <v>25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9"/>
    </row>
    <row r="157" spans="2:30" ht="19.5" customHeight="1" thickBot="1">
      <c r="B157" s="49" t="s">
        <v>12</v>
      </c>
      <c r="C157" s="50"/>
      <c r="D157" s="50"/>
      <c r="E157" s="50"/>
      <c r="F157" s="50"/>
      <c r="G157" s="50"/>
      <c r="H157" s="50"/>
      <c r="I157" s="50"/>
      <c r="J157" s="51"/>
      <c r="K157" s="52" t="s">
        <v>10</v>
      </c>
      <c r="L157" s="53"/>
      <c r="M157" s="53"/>
      <c r="N157" s="54"/>
      <c r="O157" s="52" t="s">
        <v>8</v>
      </c>
      <c r="P157" s="53"/>
      <c r="Q157" s="53"/>
      <c r="R157" s="54"/>
      <c r="S157" s="52" t="s">
        <v>9</v>
      </c>
      <c r="T157" s="53"/>
      <c r="U157" s="53"/>
      <c r="V157" s="54"/>
      <c r="W157" s="52" t="s">
        <v>14</v>
      </c>
      <c r="X157" s="53"/>
      <c r="Y157" s="53"/>
      <c r="Z157" s="54"/>
      <c r="AA157" s="52" t="str">
        <f>IF(AND(0&lt;ABS($O158),0&lt;ABS($S158),0&lt;ABS($W158)),"CU YD",IF(AND(0&lt;ABS($O158),0&lt;ABS($S158)),"SQ YD",IF(AND(0&lt;ABS($O158)),"FT","EACH")))</f>
        <v>EACH</v>
      </c>
      <c r="AB157" s="53"/>
      <c r="AC157" s="53"/>
      <c r="AD157" s="54"/>
    </row>
    <row r="158" spans="2:30" ht="19.5" customHeight="1" thickBot="1">
      <c r="B158" s="67" t="s">
        <v>24</v>
      </c>
      <c r="C158" s="68"/>
      <c r="D158" s="68"/>
      <c r="E158" s="68"/>
      <c r="F158" s="68"/>
      <c r="G158" s="68"/>
      <c r="H158" s="68"/>
      <c r="I158" s="68"/>
      <c r="J158" s="69"/>
      <c r="K158" s="67">
        <v>2</v>
      </c>
      <c r="L158" s="68"/>
      <c r="M158" s="68"/>
      <c r="N158" s="69"/>
      <c r="O158" s="70"/>
      <c r="P158" s="71"/>
      <c r="Q158" s="44"/>
      <c r="R158" s="45"/>
      <c r="S158" s="70"/>
      <c r="T158" s="71"/>
      <c r="U158" s="44"/>
      <c r="V158" s="45"/>
      <c r="W158" s="70"/>
      <c r="X158" s="71"/>
      <c r="Y158" s="44"/>
      <c r="Z158" s="45"/>
      <c r="AA158" s="41">
        <f>IF(AND(0&lt;ABS($O158),0&lt;ABS($S158),0&lt;ABS($W158)),ROUND(($K158*IF($Q158&gt;0,($O158+$Q158)/2,$O158)*IF($U158&gt;0,($S158+$U158)/2,$S158)*IF($Y158&gt;0,($W158+$Y158)/2,$W158))/27,1),IF(AND(0&lt;ABS($O158),0&lt;ABS($S158)),ROUND(($K158*IF($Q158&gt;0,($O158+$Q158)/2,$O158)*IF($U158&gt;0,($S158+$U158)/2,$S158))/9,1),IF(AND(0&lt;ABS($O158)),ROUND($K158*$O158,1),$K158)))</f>
        <v>2</v>
      </c>
      <c r="AB158" s="42"/>
      <c r="AC158" s="42"/>
      <c r="AD158" s="43"/>
    </row>
    <row r="159" spans="2:30" ht="19.5" customHeight="1" thickBot="1" thickTop="1">
      <c r="B159" s="31" t="s">
        <v>11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3"/>
      <c r="AA159" s="34">
        <f>SUM(AA158:AA158)</f>
        <v>2</v>
      </c>
      <c r="AB159" s="35"/>
      <c r="AC159" s="35"/>
      <c r="AD159" s="36"/>
    </row>
    <row r="160" spans="2:30" ht="19.5" customHeight="1" thickBot="1">
      <c r="B160" s="77" t="s">
        <v>117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9"/>
    </row>
    <row r="161" spans="2:30" ht="19.5" customHeight="1" thickBot="1">
      <c r="B161" s="49" t="s">
        <v>12</v>
      </c>
      <c r="C161" s="50"/>
      <c r="D161" s="50"/>
      <c r="E161" s="50"/>
      <c r="F161" s="50"/>
      <c r="G161" s="50"/>
      <c r="H161" s="50"/>
      <c r="I161" s="50"/>
      <c r="J161" s="51"/>
      <c r="K161" s="52" t="s">
        <v>10</v>
      </c>
      <c r="L161" s="53"/>
      <c r="M161" s="53"/>
      <c r="N161" s="54"/>
      <c r="O161" s="52" t="s">
        <v>8</v>
      </c>
      <c r="P161" s="53"/>
      <c r="Q161" s="53"/>
      <c r="R161" s="54"/>
      <c r="S161" s="52" t="s">
        <v>9</v>
      </c>
      <c r="T161" s="53"/>
      <c r="U161" s="53"/>
      <c r="V161" s="54"/>
      <c r="W161" s="52" t="s">
        <v>14</v>
      </c>
      <c r="X161" s="53"/>
      <c r="Y161" s="53"/>
      <c r="Z161" s="54"/>
      <c r="AA161" s="52" t="str">
        <f>IF(AND(0&lt;ABS($O162),0&lt;ABS($S162),0&lt;ABS($W162)),"CU YD",IF(AND(0&lt;ABS($O162),0&lt;ABS($S162)),"SQ YD",IF(AND(0&lt;ABS($O162)),"FT","EACH")))</f>
        <v>EACH</v>
      </c>
      <c r="AB161" s="53"/>
      <c r="AC161" s="53"/>
      <c r="AD161" s="54"/>
    </row>
    <row r="162" spans="2:30" ht="19.5" customHeight="1" thickBot="1">
      <c r="B162" s="67" t="s">
        <v>24</v>
      </c>
      <c r="C162" s="68"/>
      <c r="D162" s="68"/>
      <c r="E162" s="68"/>
      <c r="F162" s="68"/>
      <c r="G162" s="68"/>
      <c r="H162" s="68"/>
      <c r="I162" s="68"/>
      <c r="J162" s="69"/>
      <c r="K162" s="67">
        <v>1</v>
      </c>
      <c r="L162" s="68"/>
      <c r="M162" s="68"/>
      <c r="N162" s="69"/>
      <c r="O162" s="70"/>
      <c r="P162" s="71"/>
      <c r="Q162" s="44"/>
      <c r="R162" s="45"/>
      <c r="S162" s="70"/>
      <c r="T162" s="71"/>
      <c r="U162" s="44"/>
      <c r="V162" s="45"/>
      <c r="W162" s="70"/>
      <c r="X162" s="71"/>
      <c r="Y162" s="44"/>
      <c r="Z162" s="45"/>
      <c r="AA162" s="41">
        <f>IF(AND(0&lt;ABS($O162),0&lt;ABS($S162),0&lt;ABS($W162)),ROUND(($K162*IF($Q162&gt;0,($O162+$Q162)/2,$O162)*IF($U162&gt;0,($S162+$U162)/2,$S162)*IF($Y162&gt;0,($W162+$Y162)/2,$W162))/27,1),IF(AND(0&lt;ABS($O162),0&lt;ABS($S162)),ROUND(($K162*IF($Q162&gt;0,($O162+$Q162)/2,$O162)*IF($U162&gt;0,($S162+$U162)/2,$S162))/9,1),IF(AND(0&lt;ABS($O162)),ROUND($K162*$O162,1),$K162)))</f>
        <v>1</v>
      </c>
      <c r="AB162" s="42"/>
      <c r="AC162" s="42"/>
      <c r="AD162" s="43"/>
    </row>
    <row r="163" spans="2:30" ht="19.5" customHeight="1" thickBot="1" thickTop="1">
      <c r="B163" s="31" t="s">
        <v>11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3"/>
      <c r="AA163" s="34">
        <f>SUM(AA162:AA162)</f>
        <v>1</v>
      </c>
      <c r="AB163" s="35"/>
      <c r="AC163" s="35"/>
      <c r="AD163" s="36"/>
    </row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</sheetData>
  <sheetProtection/>
  <mergeCells count="981">
    <mergeCell ref="AA111:AD111"/>
    <mergeCell ref="Y110:Z110"/>
    <mergeCell ref="AA110:AD110"/>
    <mergeCell ref="B111:J111"/>
    <mergeCell ref="K111:N111"/>
    <mergeCell ref="O111:P111"/>
    <mergeCell ref="Q111:R111"/>
    <mergeCell ref="S111:T111"/>
    <mergeCell ref="U111:V111"/>
    <mergeCell ref="W111:X111"/>
    <mergeCell ref="Y111:Z111"/>
    <mergeCell ref="W109:X109"/>
    <mergeCell ref="Y109:Z109"/>
    <mergeCell ref="AA109:AD109"/>
    <mergeCell ref="B110:J110"/>
    <mergeCell ref="K110:N110"/>
    <mergeCell ref="O110:P110"/>
    <mergeCell ref="Q110:R110"/>
    <mergeCell ref="S110:T110"/>
    <mergeCell ref="U110:V110"/>
    <mergeCell ref="W110:X110"/>
    <mergeCell ref="B109:J109"/>
    <mergeCell ref="K109:N109"/>
    <mergeCell ref="O109:P109"/>
    <mergeCell ref="Q109:R109"/>
    <mergeCell ref="S109:T109"/>
    <mergeCell ref="U109:V109"/>
    <mergeCell ref="AA89:AD89"/>
    <mergeCell ref="B90:J90"/>
    <mergeCell ref="K90:N90"/>
    <mergeCell ref="O90:P90"/>
    <mergeCell ref="Q90:R90"/>
    <mergeCell ref="S90:T90"/>
    <mergeCell ref="U90:V90"/>
    <mergeCell ref="W90:X90"/>
    <mergeCell ref="Y90:Z90"/>
    <mergeCell ref="AA90:AD90"/>
    <mergeCell ref="Y88:Z88"/>
    <mergeCell ref="AA88:AD88"/>
    <mergeCell ref="B89:J89"/>
    <mergeCell ref="K89:N89"/>
    <mergeCell ref="O89:P89"/>
    <mergeCell ref="Q89:R89"/>
    <mergeCell ref="S89:T89"/>
    <mergeCell ref="U89:V89"/>
    <mergeCell ref="W89:X89"/>
    <mergeCell ref="Y89:Z89"/>
    <mergeCell ref="W87:X87"/>
    <mergeCell ref="Y87:Z87"/>
    <mergeCell ref="AA87:AD87"/>
    <mergeCell ref="B88:J88"/>
    <mergeCell ref="K88:N88"/>
    <mergeCell ref="O88:P88"/>
    <mergeCell ref="Q88:R88"/>
    <mergeCell ref="S88:T88"/>
    <mergeCell ref="U88:V88"/>
    <mergeCell ref="W88:X88"/>
    <mergeCell ref="B87:J87"/>
    <mergeCell ref="K87:N87"/>
    <mergeCell ref="O87:P87"/>
    <mergeCell ref="Q87:R87"/>
    <mergeCell ref="S87:T87"/>
    <mergeCell ref="U87:V87"/>
    <mergeCell ref="W69:X69"/>
    <mergeCell ref="Y69:Z69"/>
    <mergeCell ref="B70:J70"/>
    <mergeCell ref="K70:N70"/>
    <mergeCell ref="O70:P70"/>
    <mergeCell ref="Q70:R70"/>
    <mergeCell ref="S70:T70"/>
    <mergeCell ref="U70:V70"/>
    <mergeCell ref="W70:X70"/>
    <mergeCell ref="Y70:Z70"/>
    <mergeCell ref="B69:J69"/>
    <mergeCell ref="K69:N69"/>
    <mergeCell ref="O69:P69"/>
    <mergeCell ref="Q69:R69"/>
    <mergeCell ref="S69:T69"/>
    <mergeCell ref="U69:V69"/>
    <mergeCell ref="Y67:Z67"/>
    <mergeCell ref="AA67:AD67"/>
    <mergeCell ref="B68:J68"/>
    <mergeCell ref="K68:N68"/>
    <mergeCell ref="O68:P68"/>
    <mergeCell ref="Q68:R68"/>
    <mergeCell ref="S68:T68"/>
    <mergeCell ref="U68:V68"/>
    <mergeCell ref="W68:X68"/>
    <mergeCell ref="Y68:Z68"/>
    <mergeCell ref="W47:X47"/>
    <mergeCell ref="Y47:Z47"/>
    <mergeCell ref="AA47:AD47"/>
    <mergeCell ref="B67:J67"/>
    <mergeCell ref="K67:N67"/>
    <mergeCell ref="O67:P67"/>
    <mergeCell ref="Q67:R67"/>
    <mergeCell ref="S67:T67"/>
    <mergeCell ref="U67:V67"/>
    <mergeCell ref="W67:X67"/>
    <mergeCell ref="B47:J47"/>
    <mergeCell ref="K47:N47"/>
    <mergeCell ref="O47:P47"/>
    <mergeCell ref="Q47:R47"/>
    <mergeCell ref="S47:T47"/>
    <mergeCell ref="U47:V47"/>
    <mergeCell ref="AA45:AD45"/>
    <mergeCell ref="B46:J46"/>
    <mergeCell ref="K46:N46"/>
    <mergeCell ref="O46:P46"/>
    <mergeCell ref="Q46:R46"/>
    <mergeCell ref="S46:T46"/>
    <mergeCell ref="U46:V46"/>
    <mergeCell ref="W46:X46"/>
    <mergeCell ref="Y46:Z46"/>
    <mergeCell ref="AA46:AD46"/>
    <mergeCell ref="AA34:AD34"/>
    <mergeCell ref="AA35:AD35"/>
    <mergeCell ref="W35:Z35"/>
    <mergeCell ref="K45:N45"/>
    <mergeCell ref="O45:P45"/>
    <mergeCell ref="Q45:R45"/>
    <mergeCell ref="S45:T45"/>
    <mergeCell ref="U45:V45"/>
    <mergeCell ref="W45:X45"/>
    <mergeCell ref="Y45:Z45"/>
    <mergeCell ref="B34:J34"/>
    <mergeCell ref="B45:J45"/>
    <mergeCell ref="K34:N34"/>
    <mergeCell ref="O34:R34"/>
    <mergeCell ref="S34:V34"/>
    <mergeCell ref="W34:Z34"/>
    <mergeCell ref="B32:AD32"/>
    <mergeCell ref="B33:J33"/>
    <mergeCell ref="K33:N33"/>
    <mergeCell ref="O33:R33"/>
    <mergeCell ref="S33:V33"/>
    <mergeCell ref="W33:Z33"/>
    <mergeCell ref="AA33:AD33"/>
    <mergeCell ref="O116:P116"/>
    <mergeCell ref="B116:J116"/>
    <mergeCell ref="AA115:AD115"/>
    <mergeCell ref="K115:N115"/>
    <mergeCell ref="O115:R115"/>
    <mergeCell ref="B115:J115"/>
    <mergeCell ref="AA116:AD116"/>
    <mergeCell ref="Y116:Z116"/>
    <mergeCell ref="W116:X116"/>
    <mergeCell ref="Q116:R116"/>
    <mergeCell ref="B114:AD114"/>
    <mergeCell ref="AA113:AD113"/>
    <mergeCell ref="AA112:AD112"/>
    <mergeCell ref="Y112:Z112"/>
    <mergeCell ref="W112:X112"/>
    <mergeCell ref="U112:V112"/>
    <mergeCell ref="S112:T112"/>
    <mergeCell ref="Q112:R112"/>
    <mergeCell ref="O112:P112"/>
    <mergeCell ref="K112:N112"/>
    <mergeCell ref="AA103:AD103"/>
    <mergeCell ref="B112:J112"/>
    <mergeCell ref="B113:Z113"/>
    <mergeCell ref="B122:AD122"/>
    <mergeCell ref="B103:J103"/>
    <mergeCell ref="K103:N103"/>
    <mergeCell ref="O103:P103"/>
    <mergeCell ref="Q103:R103"/>
    <mergeCell ref="S103:T103"/>
    <mergeCell ref="U103:V103"/>
    <mergeCell ref="Q102:R102"/>
    <mergeCell ref="S102:T102"/>
    <mergeCell ref="U102:V102"/>
    <mergeCell ref="W102:X102"/>
    <mergeCell ref="Y102:Z102"/>
    <mergeCell ref="AA102:AD102"/>
    <mergeCell ref="AA91:AD91"/>
    <mergeCell ref="B101:J101"/>
    <mergeCell ref="K101:N101"/>
    <mergeCell ref="O101:P101"/>
    <mergeCell ref="Q101:R101"/>
    <mergeCell ref="S101:T101"/>
    <mergeCell ref="U101:V101"/>
    <mergeCell ref="W101:X101"/>
    <mergeCell ref="Y101:Z101"/>
    <mergeCell ref="AA101:AD101"/>
    <mergeCell ref="Y74:Z74"/>
    <mergeCell ref="AA74:AD74"/>
    <mergeCell ref="B91:J91"/>
    <mergeCell ref="K91:N91"/>
    <mergeCell ref="O91:P91"/>
    <mergeCell ref="Q91:R91"/>
    <mergeCell ref="S91:T91"/>
    <mergeCell ref="U91:V91"/>
    <mergeCell ref="W91:X91"/>
    <mergeCell ref="Y91:Z91"/>
    <mergeCell ref="W73:X73"/>
    <mergeCell ref="Y73:Z73"/>
    <mergeCell ref="AA73:AD73"/>
    <mergeCell ref="B74:J74"/>
    <mergeCell ref="K74:N74"/>
    <mergeCell ref="O74:P74"/>
    <mergeCell ref="Q74:R74"/>
    <mergeCell ref="S74:T74"/>
    <mergeCell ref="U74:V74"/>
    <mergeCell ref="W74:X74"/>
    <mergeCell ref="U72:V72"/>
    <mergeCell ref="W72:X72"/>
    <mergeCell ref="Y72:Z72"/>
    <mergeCell ref="AA72:AD72"/>
    <mergeCell ref="B73:J73"/>
    <mergeCell ref="K73:N73"/>
    <mergeCell ref="O73:P73"/>
    <mergeCell ref="Q73:R73"/>
    <mergeCell ref="S73:T73"/>
    <mergeCell ref="U73:V73"/>
    <mergeCell ref="AA85:AD85"/>
    <mergeCell ref="B71:J71"/>
    <mergeCell ref="K71:N71"/>
    <mergeCell ref="O71:P71"/>
    <mergeCell ref="Q71:R71"/>
    <mergeCell ref="S71:T71"/>
    <mergeCell ref="U71:V71"/>
    <mergeCell ref="W71:X71"/>
    <mergeCell ref="Y71:Z71"/>
    <mergeCell ref="AA71:AD71"/>
    <mergeCell ref="Y84:Z84"/>
    <mergeCell ref="AA84:AD84"/>
    <mergeCell ref="B85:J85"/>
    <mergeCell ref="K85:N85"/>
    <mergeCell ref="O85:P85"/>
    <mergeCell ref="Q85:R85"/>
    <mergeCell ref="S85:T85"/>
    <mergeCell ref="U85:V85"/>
    <mergeCell ref="W85:X85"/>
    <mergeCell ref="Y85:Z85"/>
    <mergeCell ref="W83:X83"/>
    <mergeCell ref="Y83:Z83"/>
    <mergeCell ref="AA83:AD83"/>
    <mergeCell ref="B84:J84"/>
    <mergeCell ref="K84:N84"/>
    <mergeCell ref="O84:P84"/>
    <mergeCell ref="Q84:R84"/>
    <mergeCell ref="S84:T84"/>
    <mergeCell ref="U84:V84"/>
    <mergeCell ref="W84:X84"/>
    <mergeCell ref="B83:J83"/>
    <mergeCell ref="K83:N83"/>
    <mergeCell ref="O83:P83"/>
    <mergeCell ref="Q83:R83"/>
    <mergeCell ref="S83:T83"/>
    <mergeCell ref="U83:V83"/>
    <mergeCell ref="AA81:AD81"/>
    <mergeCell ref="B82:J82"/>
    <mergeCell ref="K82:N82"/>
    <mergeCell ref="O82:P82"/>
    <mergeCell ref="Q82:R82"/>
    <mergeCell ref="S82:T82"/>
    <mergeCell ref="U82:V82"/>
    <mergeCell ref="W82:X82"/>
    <mergeCell ref="Y82:Z82"/>
    <mergeCell ref="AA82:AD82"/>
    <mergeCell ref="Y80:Z80"/>
    <mergeCell ref="AA80:AD80"/>
    <mergeCell ref="B81:J81"/>
    <mergeCell ref="K81:N81"/>
    <mergeCell ref="O81:P81"/>
    <mergeCell ref="Q81:R81"/>
    <mergeCell ref="S81:T81"/>
    <mergeCell ref="U81:V81"/>
    <mergeCell ref="W81:X81"/>
    <mergeCell ref="Y81:Z81"/>
    <mergeCell ref="W79:X79"/>
    <mergeCell ref="Y79:Z79"/>
    <mergeCell ref="AA79:AD79"/>
    <mergeCell ref="B80:J80"/>
    <mergeCell ref="K80:N80"/>
    <mergeCell ref="O80:P80"/>
    <mergeCell ref="Q80:R80"/>
    <mergeCell ref="S80:T80"/>
    <mergeCell ref="U80:V80"/>
    <mergeCell ref="W80:X80"/>
    <mergeCell ref="U78:V78"/>
    <mergeCell ref="W78:X78"/>
    <mergeCell ref="Y78:Z78"/>
    <mergeCell ref="AA78:AD78"/>
    <mergeCell ref="B79:J79"/>
    <mergeCell ref="K79:N79"/>
    <mergeCell ref="O79:P79"/>
    <mergeCell ref="Q79:R79"/>
    <mergeCell ref="S79:T79"/>
    <mergeCell ref="U79:V79"/>
    <mergeCell ref="S78:T78"/>
    <mergeCell ref="B72:J72"/>
    <mergeCell ref="K72:N72"/>
    <mergeCell ref="O72:P72"/>
    <mergeCell ref="Q72:R72"/>
    <mergeCell ref="S72:T72"/>
    <mergeCell ref="Q75:R75"/>
    <mergeCell ref="S75:T75"/>
    <mergeCell ref="B76:J76"/>
    <mergeCell ref="Y150:Z150"/>
    <mergeCell ref="AA150:AD150"/>
    <mergeCell ref="B151:Z151"/>
    <mergeCell ref="AA151:AD151"/>
    <mergeCell ref="B150:J150"/>
    <mergeCell ref="K150:N150"/>
    <mergeCell ref="O150:P150"/>
    <mergeCell ref="Q150:R150"/>
    <mergeCell ref="S150:T150"/>
    <mergeCell ref="U150:V150"/>
    <mergeCell ref="K60:N60"/>
    <mergeCell ref="B149:J149"/>
    <mergeCell ref="K149:N149"/>
    <mergeCell ref="O149:R149"/>
    <mergeCell ref="S149:V149"/>
    <mergeCell ref="B60:J60"/>
    <mergeCell ref="B78:J78"/>
    <mergeCell ref="K78:N78"/>
    <mergeCell ref="O78:P78"/>
    <mergeCell ref="Q78:R78"/>
    <mergeCell ref="AA60:AD60"/>
    <mergeCell ref="Y60:Z60"/>
    <mergeCell ref="W60:X60"/>
    <mergeCell ref="U60:V60"/>
    <mergeCell ref="S60:T60"/>
    <mergeCell ref="Q60:R60"/>
    <mergeCell ref="W51:X51"/>
    <mergeCell ref="Y51:Z51"/>
    <mergeCell ref="B162:J162"/>
    <mergeCell ref="K162:N162"/>
    <mergeCell ref="O162:P162"/>
    <mergeCell ref="Q162:R162"/>
    <mergeCell ref="S162:T162"/>
    <mergeCell ref="U162:V162"/>
    <mergeCell ref="W162:X162"/>
    <mergeCell ref="O60:P60"/>
    <mergeCell ref="B51:J51"/>
    <mergeCell ref="K51:N51"/>
    <mergeCell ref="O51:P51"/>
    <mergeCell ref="Q51:R51"/>
    <mergeCell ref="S51:T51"/>
    <mergeCell ref="U51:V51"/>
    <mergeCell ref="AA51:AD51"/>
    <mergeCell ref="AA49:AD49"/>
    <mergeCell ref="B50:J50"/>
    <mergeCell ref="K50:N50"/>
    <mergeCell ref="O50:P50"/>
    <mergeCell ref="Q50:R50"/>
    <mergeCell ref="S50:T50"/>
    <mergeCell ref="U50:V50"/>
    <mergeCell ref="Y50:Z50"/>
    <mergeCell ref="AA50:AD50"/>
    <mergeCell ref="W48:X48"/>
    <mergeCell ref="Y49:Z49"/>
    <mergeCell ref="AA48:AD48"/>
    <mergeCell ref="B49:J49"/>
    <mergeCell ref="K49:N49"/>
    <mergeCell ref="O49:P49"/>
    <mergeCell ref="Q49:R49"/>
    <mergeCell ref="S49:T49"/>
    <mergeCell ref="Y48:Z48"/>
    <mergeCell ref="B53:AD53"/>
    <mergeCell ref="U49:V49"/>
    <mergeCell ref="W49:X49"/>
    <mergeCell ref="B48:J48"/>
    <mergeCell ref="K48:N48"/>
    <mergeCell ref="O48:P48"/>
    <mergeCell ref="Q48:R48"/>
    <mergeCell ref="S48:T48"/>
    <mergeCell ref="U48:V48"/>
    <mergeCell ref="W50:X50"/>
    <mergeCell ref="AA77:AD77"/>
    <mergeCell ref="AA76:AD76"/>
    <mergeCell ref="AA75:AD75"/>
    <mergeCell ref="AA66:AD66"/>
    <mergeCell ref="AA65:AD65"/>
    <mergeCell ref="AA62:AD62"/>
    <mergeCell ref="AA64:AD64"/>
    <mergeCell ref="AA69:AD69"/>
    <mergeCell ref="AA68:AD68"/>
    <mergeCell ref="AA70:AD70"/>
    <mergeCell ref="AA105:AD105"/>
    <mergeCell ref="AA104:AD104"/>
    <mergeCell ref="AA100:AD100"/>
    <mergeCell ref="AA99:AD99"/>
    <mergeCell ref="AA94:AD94"/>
    <mergeCell ref="AA86:AD86"/>
    <mergeCell ref="AA92:AD92"/>
    <mergeCell ref="B97:AD97"/>
    <mergeCell ref="B98:J98"/>
    <mergeCell ref="K98:N98"/>
    <mergeCell ref="AA129:AD129"/>
    <mergeCell ref="AA127:AD127"/>
    <mergeCell ref="B117:Z117"/>
    <mergeCell ref="AA117:AD117"/>
    <mergeCell ref="B123:J123"/>
    <mergeCell ref="U116:V116"/>
    <mergeCell ref="O123:R123"/>
    <mergeCell ref="AA123:AD123"/>
    <mergeCell ref="S116:T116"/>
    <mergeCell ref="AA119:AD119"/>
    <mergeCell ref="AA18:AD18"/>
    <mergeCell ref="AA159:AD159"/>
    <mergeCell ref="AA158:AD158"/>
    <mergeCell ref="AA157:AD157"/>
    <mergeCell ref="AA146:AD146"/>
    <mergeCell ref="AA142:AD142"/>
    <mergeCell ref="AA141:AD141"/>
    <mergeCell ref="B152:AD152"/>
    <mergeCell ref="B153:J153"/>
    <mergeCell ref="K153:N153"/>
    <mergeCell ref="Y10:Z10"/>
    <mergeCell ref="AA10:AD10"/>
    <mergeCell ref="B18:J18"/>
    <mergeCell ref="K18:N18"/>
    <mergeCell ref="O18:P18"/>
    <mergeCell ref="Q18:R18"/>
    <mergeCell ref="S18:T18"/>
    <mergeCell ref="U18:V18"/>
    <mergeCell ref="W18:X18"/>
    <mergeCell ref="Y18:Z18"/>
    <mergeCell ref="W9:X9"/>
    <mergeCell ref="Y9:Z9"/>
    <mergeCell ref="AA9:AD9"/>
    <mergeCell ref="B10:J10"/>
    <mergeCell ref="K10:N10"/>
    <mergeCell ref="O10:P10"/>
    <mergeCell ref="Q10:R10"/>
    <mergeCell ref="S10:T10"/>
    <mergeCell ref="U10:V10"/>
    <mergeCell ref="W10:X10"/>
    <mergeCell ref="B9:J9"/>
    <mergeCell ref="K9:N9"/>
    <mergeCell ref="O9:P9"/>
    <mergeCell ref="Q9:R9"/>
    <mergeCell ref="S9:T9"/>
    <mergeCell ref="U9:V9"/>
    <mergeCell ref="B11:J11"/>
    <mergeCell ref="K11:N11"/>
    <mergeCell ref="O11:P11"/>
    <mergeCell ref="Q11:R11"/>
    <mergeCell ref="S11:T11"/>
    <mergeCell ref="U11:V11"/>
    <mergeCell ref="AA30:AD30"/>
    <mergeCell ref="B31:Z31"/>
    <mergeCell ref="AA31:AD31"/>
    <mergeCell ref="B30:J30"/>
    <mergeCell ref="K30:N30"/>
    <mergeCell ref="O30:P30"/>
    <mergeCell ref="Q30:R30"/>
    <mergeCell ref="S30:T30"/>
    <mergeCell ref="U30:V30"/>
    <mergeCell ref="W30:X30"/>
    <mergeCell ref="Y30:Z30"/>
    <mergeCell ref="B96:Z96"/>
    <mergeCell ref="AA96:AD96"/>
    <mergeCell ref="B28:AD28"/>
    <mergeCell ref="B29:J29"/>
    <mergeCell ref="K29:N29"/>
    <mergeCell ref="O29:R29"/>
    <mergeCell ref="S29:V29"/>
    <mergeCell ref="W29:Z29"/>
    <mergeCell ref="AA29:AD29"/>
    <mergeCell ref="W86:X86"/>
    <mergeCell ref="Y86:Z86"/>
    <mergeCell ref="S153:V153"/>
    <mergeCell ref="W153:Z153"/>
    <mergeCell ref="B143:Z143"/>
    <mergeCell ref="Y142:Z142"/>
    <mergeCell ref="K134:N134"/>
    <mergeCell ref="O134:P134"/>
    <mergeCell ref="Q134:R134"/>
    <mergeCell ref="B120:J120"/>
    <mergeCell ref="Q44:R44"/>
    <mergeCell ref="S44:T44"/>
    <mergeCell ref="U75:V75"/>
    <mergeCell ref="W75:X75"/>
    <mergeCell ref="B62:Z62"/>
    <mergeCell ref="B75:J75"/>
    <mergeCell ref="K75:N75"/>
    <mergeCell ref="O75:P75"/>
    <mergeCell ref="Y65:Z65"/>
    <mergeCell ref="Y59:Z59"/>
    <mergeCell ref="Y42:Z42"/>
    <mergeCell ref="AA42:AD42"/>
    <mergeCell ref="AA52:AD52"/>
    <mergeCell ref="B52:Z52"/>
    <mergeCell ref="U44:V44"/>
    <mergeCell ref="W44:X44"/>
    <mergeCell ref="Y44:Z44"/>
    <mergeCell ref="AA44:AD44"/>
    <mergeCell ref="B44:J44"/>
    <mergeCell ref="K44:N44"/>
    <mergeCell ref="K42:N42"/>
    <mergeCell ref="O42:P42"/>
    <mergeCell ref="Q42:R42"/>
    <mergeCell ref="S42:T42"/>
    <mergeCell ref="U42:V42"/>
    <mergeCell ref="W42:X42"/>
    <mergeCell ref="AA143:AD143"/>
    <mergeCell ref="B40:AD40"/>
    <mergeCell ref="B41:J41"/>
    <mergeCell ref="K41:N41"/>
    <mergeCell ref="O41:R41"/>
    <mergeCell ref="S41:V41"/>
    <mergeCell ref="W41:Z41"/>
    <mergeCell ref="AA41:AD41"/>
    <mergeCell ref="B42:J42"/>
    <mergeCell ref="W142:X142"/>
    <mergeCell ref="B43:J43"/>
    <mergeCell ref="K43:N43"/>
    <mergeCell ref="O43:P43"/>
    <mergeCell ref="Q43:R43"/>
    <mergeCell ref="S43:T43"/>
    <mergeCell ref="U43:V43"/>
    <mergeCell ref="B142:J142"/>
    <mergeCell ref="K142:N142"/>
    <mergeCell ref="O142:P142"/>
    <mergeCell ref="Q142:R142"/>
    <mergeCell ref="S142:T142"/>
    <mergeCell ref="U142:V142"/>
    <mergeCell ref="B140:AD140"/>
    <mergeCell ref="B141:J141"/>
    <mergeCell ref="K141:N141"/>
    <mergeCell ref="O141:R141"/>
    <mergeCell ref="S141:V141"/>
    <mergeCell ref="W141:Z141"/>
    <mergeCell ref="Y138:Z138"/>
    <mergeCell ref="AA138:AD138"/>
    <mergeCell ref="AA43:AD43"/>
    <mergeCell ref="Y43:Z43"/>
    <mergeCell ref="O44:P44"/>
    <mergeCell ref="AA139:AD139"/>
    <mergeCell ref="W43:X43"/>
    <mergeCell ref="B139:Z139"/>
    <mergeCell ref="B136:AD136"/>
    <mergeCell ref="B134:J134"/>
    <mergeCell ref="K138:N138"/>
    <mergeCell ref="O138:P138"/>
    <mergeCell ref="Q138:R138"/>
    <mergeCell ref="S138:T138"/>
    <mergeCell ref="U138:V138"/>
    <mergeCell ref="W138:X138"/>
    <mergeCell ref="W137:Z137"/>
    <mergeCell ref="W133:X133"/>
    <mergeCell ref="W134:X134"/>
    <mergeCell ref="Y134:Z134"/>
    <mergeCell ref="B135:Z135"/>
    <mergeCell ref="AA137:AD137"/>
    <mergeCell ref="AA135:AD135"/>
    <mergeCell ref="AA134:AD134"/>
    <mergeCell ref="AA133:AD133"/>
    <mergeCell ref="B154:J154"/>
    <mergeCell ref="K154:N154"/>
    <mergeCell ref="O154:P154"/>
    <mergeCell ref="Q154:R154"/>
    <mergeCell ref="S154:T154"/>
    <mergeCell ref="B137:J137"/>
    <mergeCell ref="K137:N137"/>
    <mergeCell ref="O137:R137"/>
    <mergeCell ref="S137:V137"/>
    <mergeCell ref="B138:J138"/>
    <mergeCell ref="S134:T134"/>
    <mergeCell ref="B133:J133"/>
    <mergeCell ref="K133:N133"/>
    <mergeCell ref="O133:P133"/>
    <mergeCell ref="W132:Z132"/>
    <mergeCell ref="AA153:AD153"/>
    <mergeCell ref="U134:V134"/>
    <mergeCell ref="Q133:R133"/>
    <mergeCell ref="S133:T133"/>
    <mergeCell ref="U133:V133"/>
    <mergeCell ref="AA128:AD128"/>
    <mergeCell ref="Y133:Z133"/>
    <mergeCell ref="B130:Z130"/>
    <mergeCell ref="AA130:AD130"/>
    <mergeCell ref="B131:AD131"/>
    <mergeCell ref="B128:J128"/>
    <mergeCell ref="K128:N128"/>
    <mergeCell ref="O128:P128"/>
    <mergeCell ref="O132:R132"/>
    <mergeCell ref="AA132:AD132"/>
    <mergeCell ref="Q128:R128"/>
    <mergeCell ref="S128:T128"/>
    <mergeCell ref="U128:V128"/>
    <mergeCell ref="B125:Z125"/>
    <mergeCell ref="W124:X124"/>
    <mergeCell ref="Y124:Z124"/>
    <mergeCell ref="W128:X128"/>
    <mergeCell ref="Y128:Z128"/>
    <mergeCell ref="AA125:AD125"/>
    <mergeCell ref="B126:AD126"/>
    <mergeCell ref="B127:J127"/>
    <mergeCell ref="K127:N127"/>
    <mergeCell ref="O127:R127"/>
    <mergeCell ref="S127:V127"/>
    <mergeCell ref="W127:Z127"/>
    <mergeCell ref="AA124:AD124"/>
    <mergeCell ref="B124:J124"/>
    <mergeCell ref="K124:N124"/>
    <mergeCell ref="O124:P124"/>
    <mergeCell ref="Q124:R124"/>
    <mergeCell ref="S124:T124"/>
    <mergeCell ref="U124:V124"/>
    <mergeCell ref="Y95:Z95"/>
    <mergeCell ref="Y154:Z154"/>
    <mergeCell ref="S115:V115"/>
    <mergeCell ref="W115:Z115"/>
    <mergeCell ref="B144:AD144"/>
    <mergeCell ref="B145:J145"/>
    <mergeCell ref="K145:N145"/>
    <mergeCell ref="W95:X95"/>
    <mergeCell ref="Q95:R95"/>
    <mergeCell ref="S95:T95"/>
    <mergeCell ref="B92:Z92"/>
    <mergeCell ref="B93:AD93"/>
    <mergeCell ref="B94:J94"/>
    <mergeCell ref="K94:N94"/>
    <mergeCell ref="O94:R94"/>
    <mergeCell ref="S94:V94"/>
    <mergeCell ref="W94:Z94"/>
    <mergeCell ref="Y66:Z66"/>
    <mergeCell ref="B77:J77"/>
    <mergeCell ref="K77:N77"/>
    <mergeCell ref="B86:J86"/>
    <mergeCell ref="K86:N86"/>
    <mergeCell ref="O86:P86"/>
    <mergeCell ref="B66:J66"/>
    <mergeCell ref="K66:N66"/>
    <mergeCell ref="O66:P66"/>
    <mergeCell ref="U86:V86"/>
    <mergeCell ref="U66:V66"/>
    <mergeCell ref="W66:X66"/>
    <mergeCell ref="B65:J65"/>
    <mergeCell ref="K65:N65"/>
    <mergeCell ref="O65:P65"/>
    <mergeCell ref="Q65:R65"/>
    <mergeCell ref="S65:T65"/>
    <mergeCell ref="U65:V65"/>
    <mergeCell ref="Q66:R66"/>
    <mergeCell ref="S66:T66"/>
    <mergeCell ref="W54:Z54"/>
    <mergeCell ref="AA95:AD95"/>
    <mergeCell ref="S86:T86"/>
    <mergeCell ref="B95:J95"/>
    <mergeCell ref="K95:N95"/>
    <mergeCell ref="O95:P95"/>
    <mergeCell ref="K64:N64"/>
    <mergeCell ref="O64:R64"/>
    <mergeCell ref="S64:V64"/>
    <mergeCell ref="W64:Z64"/>
    <mergeCell ref="B39:Z39"/>
    <mergeCell ref="AA39:AD39"/>
    <mergeCell ref="U58:V58"/>
    <mergeCell ref="W58:X58"/>
    <mergeCell ref="Y58:Z58"/>
    <mergeCell ref="AA58:AD58"/>
    <mergeCell ref="B54:J54"/>
    <mergeCell ref="K54:N54"/>
    <mergeCell ref="O54:R54"/>
    <mergeCell ref="S54:V54"/>
    <mergeCell ref="U95:V95"/>
    <mergeCell ref="W76:X76"/>
    <mergeCell ref="Y76:Z76"/>
    <mergeCell ref="O77:P77"/>
    <mergeCell ref="Q77:R77"/>
    <mergeCell ref="S77:T77"/>
    <mergeCell ref="U77:V77"/>
    <mergeCell ref="W77:X77"/>
    <mergeCell ref="Y77:Z77"/>
    <mergeCell ref="Q86:R86"/>
    <mergeCell ref="W38:X38"/>
    <mergeCell ref="Y38:Z38"/>
    <mergeCell ref="AA38:AD38"/>
    <mergeCell ref="Y75:Z75"/>
    <mergeCell ref="W65:X65"/>
    <mergeCell ref="AA54:AD54"/>
    <mergeCell ref="B63:AD63"/>
    <mergeCell ref="B64:J64"/>
    <mergeCell ref="U38:V38"/>
    <mergeCell ref="AA57:AD57"/>
    <mergeCell ref="K76:N76"/>
    <mergeCell ref="O76:P76"/>
    <mergeCell ref="Q76:R76"/>
    <mergeCell ref="S76:T76"/>
    <mergeCell ref="U76:V76"/>
    <mergeCell ref="B38:J38"/>
    <mergeCell ref="K38:N38"/>
    <mergeCell ref="O38:P38"/>
    <mergeCell ref="Q38:R38"/>
    <mergeCell ref="S38:T38"/>
    <mergeCell ref="B36:AD36"/>
    <mergeCell ref="B37:J37"/>
    <mergeCell ref="K37:N37"/>
    <mergeCell ref="O37:R37"/>
    <mergeCell ref="S37:V37"/>
    <mergeCell ref="W37:Z37"/>
    <mergeCell ref="AA37:AD37"/>
    <mergeCell ref="V1:X1"/>
    <mergeCell ref="AC1:AD1"/>
    <mergeCell ref="V2:X2"/>
    <mergeCell ref="AC2:AD2"/>
    <mergeCell ref="V3:AD3"/>
    <mergeCell ref="V4:AD4"/>
    <mergeCell ref="O98:R98"/>
    <mergeCell ref="S98:V98"/>
    <mergeCell ref="W98:Z98"/>
    <mergeCell ref="AA98:AD98"/>
    <mergeCell ref="B99:J99"/>
    <mergeCell ref="K99:N99"/>
    <mergeCell ref="O99:P99"/>
    <mergeCell ref="Q99:R99"/>
    <mergeCell ref="S99:T99"/>
    <mergeCell ref="U99:V99"/>
    <mergeCell ref="Y103:Z103"/>
    <mergeCell ref="B100:J100"/>
    <mergeCell ref="K100:N100"/>
    <mergeCell ref="O100:P100"/>
    <mergeCell ref="Q100:R100"/>
    <mergeCell ref="S100:T100"/>
    <mergeCell ref="U100:V100"/>
    <mergeCell ref="B102:J102"/>
    <mergeCell ref="K102:N102"/>
    <mergeCell ref="O102:P102"/>
    <mergeCell ref="Q104:R104"/>
    <mergeCell ref="S104:T104"/>
    <mergeCell ref="U104:V104"/>
    <mergeCell ref="W99:X99"/>
    <mergeCell ref="Y99:Z99"/>
    <mergeCell ref="W100:X100"/>
    <mergeCell ref="W104:X104"/>
    <mergeCell ref="Y104:Z104"/>
    <mergeCell ref="Y100:Z100"/>
    <mergeCell ref="W103:X103"/>
    <mergeCell ref="B105:Z105"/>
    <mergeCell ref="B104:J104"/>
    <mergeCell ref="K104:N104"/>
    <mergeCell ref="O104:P104"/>
    <mergeCell ref="B106:AD106"/>
    <mergeCell ref="B107:J107"/>
    <mergeCell ref="K107:N107"/>
    <mergeCell ref="O107:R107"/>
    <mergeCell ref="S107:V107"/>
    <mergeCell ref="W107:Z107"/>
    <mergeCell ref="AA107:AD107"/>
    <mergeCell ref="AA108:AD108"/>
    <mergeCell ref="K108:N108"/>
    <mergeCell ref="O108:P108"/>
    <mergeCell ref="Q108:R108"/>
    <mergeCell ref="B108:J108"/>
    <mergeCell ref="S108:T108"/>
    <mergeCell ref="U108:V108"/>
    <mergeCell ref="W108:X108"/>
    <mergeCell ref="Y108:Z108"/>
    <mergeCell ref="U129:V129"/>
    <mergeCell ref="W129:X129"/>
    <mergeCell ref="B146:J146"/>
    <mergeCell ref="K146:N146"/>
    <mergeCell ref="O146:P146"/>
    <mergeCell ref="Q146:R146"/>
    <mergeCell ref="B129:J129"/>
    <mergeCell ref="K129:N129"/>
    <mergeCell ref="O129:P129"/>
    <mergeCell ref="S132:V132"/>
    <mergeCell ref="Q129:R129"/>
    <mergeCell ref="B132:J132"/>
    <mergeCell ref="K132:N132"/>
    <mergeCell ref="U158:V158"/>
    <mergeCell ref="W158:X158"/>
    <mergeCell ref="Y158:Z158"/>
    <mergeCell ref="O145:R145"/>
    <mergeCell ref="S145:V145"/>
    <mergeCell ref="W145:Z145"/>
    <mergeCell ref="S129:T129"/>
    <mergeCell ref="B159:Z159"/>
    <mergeCell ref="AA154:AD154"/>
    <mergeCell ref="B155:Z155"/>
    <mergeCell ref="AA155:AD155"/>
    <mergeCell ref="B158:J158"/>
    <mergeCell ref="K158:N158"/>
    <mergeCell ref="O158:P158"/>
    <mergeCell ref="W154:X154"/>
    <mergeCell ref="Q158:R158"/>
    <mergeCell ref="S158:T158"/>
    <mergeCell ref="AA145:AD145"/>
    <mergeCell ref="S146:T146"/>
    <mergeCell ref="U146:V146"/>
    <mergeCell ref="W146:X146"/>
    <mergeCell ref="Y146:Z146"/>
    <mergeCell ref="O153:R153"/>
    <mergeCell ref="AA149:AD149"/>
    <mergeCell ref="B148:AD148"/>
    <mergeCell ref="W149:Z149"/>
    <mergeCell ref="W150:X150"/>
    <mergeCell ref="AA21:AD21"/>
    <mergeCell ref="B147:Z147"/>
    <mergeCell ref="AA147:AD147"/>
    <mergeCell ref="B156:AD156"/>
    <mergeCell ref="B157:J157"/>
    <mergeCell ref="K157:N157"/>
    <mergeCell ref="O157:R157"/>
    <mergeCell ref="S157:V157"/>
    <mergeCell ref="W157:Z157"/>
    <mergeCell ref="U154:V154"/>
    <mergeCell ref="B58:J58"/>
    <mergeCell ref="K58:N58"/>
    <mergeCell ref="O58:P58"/>
    <mergeCell ref="Q58:R58"/>
    <mergeCell ref="S58:T58"/>
    <mergeCell ref="B57:J57"/>
    <mergeCell ref="K57:N57"/>
    <mergeCell ref="O57:P57"/>
    <mergeCell ref="Q57:R57"/>
    <mergeCell ref="S57:T57"/>
    <mergeCell ref="B6:AD6"/>
    <mergeCell ref="B7:J7"/>
    <mergeCell ref="K7:N7"/>
    <mergeCell ref="O7:R7"/>
    <mergeCell ref="S7:V7"/>
    <mergeCell ref="B23:J23"/>
    <mergeCell ref="K23:N23"/>
    <mergeCell ref="B20:AD20"/>
    <mergeCell ref="B21:J21"/>
    <mergeCell ref="K21:N21"/>
    <mergeCell ref="W7:Z7"/>
    <mergeCell ref="AA7:AD7"/>
    <mergeCell ref="B8:J8"/>
    <mergeCell ref="K8:N8"/>
    <mergeCell ref="O8:P8"/>
    <mergeCell ref="Q8:R8"/>
    <mergeCell ref="S8:T8"/>
    <mergeCell ref="U8:V8"/>
    <mergeCell ref="W8:X8"/>
    <mergeCell ref="Y8:Z8"/>
    <mergeCell ref="U57:V57"/>
    <mergeCell ref="W56:X56"/>
    <mergeCell ref="Y56:Z56"/>
    <mergeCell ref="W57:X57"/>
    <mergeCell ref="Y57:Z57"/>
    <mergeCell ref="AA8:AD8"/>
    <mergeCell ref="B19:Z19"/>
    <mergeCell ref="AA19:AD19"/>
    <mergeCell ref="AA56:AD56"/>
    <mergeCell ref="AA22:AD22"/>
    <mergeCell ref="O21:R21"/>
    <mergeCell ref="S21:V21"/>
    <mergeCell ref="W21:Z21"/>
    <mergeCell ref="AA23:AD23"/>
    <mergeCell ref="K25:N25"/>
    <mergeCell ref="B56:J56"/>
    <mergeCell ref="K56:N56"/>
    <mergeCell ref="O56:P56"/>
    <mergeCell ref="Q56:R56"/>
    <mergeCell ref="S56:T56"/>
    <mergeCell ref="U56:V56"/>
    <mergeCell ref="K59:N59"/>
    <mergeCell ref="B59:J59"/>
    <mergeCell ref="B160:AD160"/>
    <mergeCell ref="B161:J161"/>
    <mergeCell ref="K161:N161"/>
    <mergeCell ref="O161:R161"/>
    <mergeCell ref="S161:V161"/>
    <mergeCell ref="W161:Z161"/>
    <mergeCell ref="AA161:AD161"/>
    <mergeCell ref="W11:X11"/>
    <mergeCell ref="Y11:Z11"/>
    <mergeCell ref="AA11:AD11"/>
    <mergeCell ref="B12:J12"/>
    <mergeCell ref="K12:N12"/>
    <mergeCell ref="O12:P12"/>
    <mergeCell ref="Q12:R12"/>
    <mergeCell ref="S12:T12"/>
    <mergeCell ref="U12:V12"/>
    <mergeCell ref="W12:X12"/>
    <mergeCell ref="Y12:Z12"/>
    <mergeCell ref="AA12:AD12"/>
    <mergeCell ref="B13:J13"/>
    <mergeCell ref="K13:N13"/>
    <mergeCell ref="O13:P13"/>
    <mergeCell ref="Q13:R13"/>
    <mergeCell ref="S13:T13"/>
    <mergeCell ref="U13:V13"/>
    <mergeCell ref="W13:X13"/>
    <mergeCell ref="Y13:Z13"/>
    <mergeCell ref="AA13:AD13"/>
    <mergeCell ref="B14:J14"/>
    <mergeCell ref="K14:N14"/>
    <mergeCell ref="O14:P14"/>
    <mergeCell ref="Q14:R14"/>
    <mergeCell ref="S14:T14"/>
    <mergeCell ref="U14:V14"/>
    <mergeCell ref="W14:X14"/>
    <mergeCell ref="Y14:Z14"/>
    <mergeCell ref="AA14:AD14"/>
    <mergeCell ref="B15:J15"/>
    <mergeCell ref="K15:N15"/>
    <mergeCell ref="O15:P15"/>
    <mergeCell ref="Q15:R15"/>
    <mergeCell ref="S15:T15"/>
    <mergeCell ref="U15:V15"/>
    <mergeCell ref="W15:X15"/>
    <mergeCell ref="Y15:Z15"/>
    <mergeCell ref="AA15:AD15"/>
    <mergeCell ref="B16:J16"/>
    <mergeCell ref="K16:N16"/>
    <mergeCell ref="O16:P16"/>
    <mergeCell ref="Q16:R16"/>
    <mergeCell ref="S16:T16"/>
    <mergeCell ref="U16:V16"/>
    <mergeCell ref="W16:X16"/>
    <mergeCell ref="Y16:Z16"/>
    <mergeCell ref="AA16:AD16"/>
    <mergeCell ref="B17:J17"/>
    <mergeCell ref="K17:N17"/>
    <mergeCell ref="O17:P17"/>
    <mergeCell ref="Q17:R17"/>
    <mergeCell ref="S17:T17"/>
    <mergeCell ref="U17:V17"/>
    <mergeCell ref="W17:X17"/>
    <mergeCell ref="Y17:Z17"/>
    <mergeCell ref="AA17:AD17"/>
    <mergeCell ref="B55:J55"/>
    <mergeCell ref="K55:N55"/>
    <mergeCell ref="O55:P55"/>
    <mergeCell ref="Q55:R55"/>
    <mergeCell ref="S55:T55"/>
    <mergeCell ref="U55:V55"/>
    <mergeCell ref="W55:X55"/>
    <mergeCell ref="Y55:Z55"/>
    <mergeCell ref="AA55:AD55"/>
    <mergeCell ref="B25:J25"/>
    <mergeCell ref="AA27:AD27"/>
    <mergeCell ref="B27:Z27"/>
    <mergeCell ref="B24:J24"/>
    <mergeCell ref="K24:N24"/>
    <mergeCell ref="O23:R23"/>
    <mergeCell ref="O24:R24"/>
    <mergeCell ref="O25:R25"/>
    <mergeCell ref="S23:V23"/>
    <mergeCell ref="AA24:AD24"/>
    <mergeCell ref="S24:V24"/>
    <mergeCell ref="S25:V25"/>
    <mergeCell ref="B26:J26"/>
    <mergeCell ref="O26:R26"/>
    <mergeCell ref="S26:V26"/>
    <mergeCell ref="B22:J22"/>
    <mergeCell ref="K22:N22"/>
    <mergeCell ref="O22:R22"/>
    <mergeCell ref="S22:V22"/>
    <mergeCell ref="K26:N26"/>
    <mergeCell ref="W22:Z22"/>
    <mergeCell ref="W23:Z23"/>
    <mergeCell ref="W24:Z24"/>
    <mergeCell ref="W25:Z25"/>
    <mergeCell ref="W26:Z26"/>
    <mergeCell ref="AA25:AD25"/>
    <mergeCell ref="AA26:AD26"/>
    <mergeCell ref="AA59:AD59"/>
    <mergeCell ref="W59:X59"/>
    <mergeCell ref="U59:V59"/>
    <mergeCell ref="S59:T59"/>
    <mergeCell ref="Q59:R59"/>
    <mergeCell ref="O59:P59"/>
    <mergeCell ref="Y162:Z162"/>
    <mergeCell ref="AA162:AD162"/>
    <mergeCell ref="B163:Z163"/>
    <mergeCell ref="AA163:AD163"/>
    <mergeCell ref="B118:AD118"/>
    <mergeCell ref="B119:J119"/>
    <mergeCell ref="K119:N119"/>
    <mergeCell ref="O119:R119"/>
    <mergeCell ref="S119:V119"/>
    <mergeCell ref="W119:Z119"/>
    <mergeCell ref="B121:Z121"/>
    <mergeCell ref="AA121:AD121"/>
    <mergeCell ref="Q120:R120"/>
    <mergeCell ref="S120:T120"/>
    <mergeCell ref="U120:V120"/>
    <mergeCell ref="W120:X120"/>
    <mergeCell ref="Y120:Z120"/>
    <mergeCell ref="AA120:AD120"/>
    <mergeCell ref="O120:P120"/>
  </mergeCells>
  <printOptions horizontalCentered="1"/>
  <pageMargins left="0.18" right="0.17" top="0.16" bottom="0.42" header="0.17" footer="0.18"/>
  <pageSetup horizontalDpi="600" verticalDpi="600" orientation="portrait" scale="62" r:id="rId2"/>
  <headerFooter alignWithMargins="0">
    <oddFooter>&amp;L&amp;Z&amp;F&amp;T&amp;C
&amp;RPage &amp;P</oddFooter>
  </headerFooter>
  <rowBreaks count="1" manualBreakCount="1">
    <brk id="96" max="30" man="1"/>
  </rowBreaks>
  <ignoredErrors>
    <ignoredError sqref="O11:O12 AA100 Y49 AA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Greenwald</dc:creator>
  <cp:keywords/>
  <dc:description/>
  <cp:lastModifiedBy>Hipp, Jeffrey</cp:lastModifiedBy>
  <cp:lastPrinted>2017-09-28T17:48:18Z</cp:lastPrinted>
  <dcterms:created xsi:type="dcterms:W3CDTF">2004-05-21T17:40:21Z</dcterms:created>
  <dcterms:modified xsi:type="dcterms:W3CDTF">2024-05-02T15:59:47Z</dcterms:modified>
  <cp:category/>
  <cp:version/>
  <cp:contentType/>
  <cp:contentStatus/>
</cp:coreProperties>
</file>