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Data\WAR\103849_WAR-22-0303\Design\Structures\"/>
    </mc:Choice>
  </mc:AlternateContent>
  <xr:revisionPtr revIDLastSave="0" documentId="13_ncr:1_{405B3AF6-82FF-4B66-98C0-A657DB15DC62}" xr6:coauthVersionLast="36" xr6:coauthVersionMax="36" xr10:uidLastSave="{00000000-0000-0000-0000-000000000000}"/>
  <bookViews>
    <workbookView xWindow="0" yWindow="0" windowWidth="28380" windowHeight="11055" xr2:uid="{00000000-000D-0000-FFFF-FFFF00000000}"/>
  </bookViews>
  <sheets>
    <sheet name="WAR-48-8.63" sheetId="14" r:id="rId1"/>
    <sheet name="WAR-73-1818R" sheetId="18" r:id="rId2"/>
    <sheet name="WAR-73-1818L" sheetId="8" r:id="rId3"/>
    <sheet name="Sheet1" sheetId="17" r:id="rId4"/>
    <sheet name="Sheet2" sheetId="15" r:id="rId5"/>
    <sheet name="Sheet3" sheetId="16" r:id="rId6"/>
    <sheet name="CLE-28-0175" sheetId="12" r:id="rId7"/>
    <sheet name="CLE-28-0227" sheetId="13" r:id="rId8"/>
    <sheet name="CLE-28-0259" sheetId="1" r:id="rId9"/>
    <sheet name="CLE-28-0282" sheetId="11" r:id="rId10"/>
    <sheet name="CLE-32-1214" sheetId="10" r:id="rId11"/>
    <sheet name="CLE-132-2473" sheetId="2" r:id="rId12"/>
    <sheet name="GRE-35-2297" sheetId="3" r:id="rId13"/>
    <sheet name="HAM-562-0227" sheetId="4" r:id="rId14"/>
    <sheet name="PRE-127-1718" sheetId="5" r:id="rId15"/>
    <sheet name="PRE-177-0486" sheetId="6" r:id="rId16"/>
    <sheet name="CLE-743-0466" sheetId="7" r:id="rId17"/>
    <sheet name="WAR-123-1740" sheetId="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3" i="14" l="1"/>
  <c r="C363" i="14" l="1"/>
  <c r="C361" i="14"/>
  <c r="C5" i="14"/>
  <c r="C4" i="14"/>
  <c r="C3" i="14"/>
  <c r="C425" i="14"/>
  <c r="C437" i="14" s="1"/>
  <c r="C439" i="14" s="1"/>
  <c r="C440" i="14" s="1"/>
  <c r="C415" i="14"/>
  <c r="C418" i="14" s="1"/>
  <c r="D150" i="14"/>
  <c r="D151" i="14" s="1"/>
  <c r="D145" i="14"/>
  <c r="D142" i="14"/>
  <c r="D259" i="14"/>
  <c r="D257" i="14"/>
  <c r="D256" i="14"/>
  <c r="D253" i="14"/>
  <c r="D251" i="14"/>
  <c r="D250" i="14"/>
  <c r="D249" i="14"/>
  <c r="D235" i="14"/>
  <c r="D233" i="14"/>
  <c r="D232" i="14"/>
  <c r="D229" i="14"/>
  <c r="D227" i="14"/>
  <c r="D226" i="14"/>
  <c r="D225" i="14"/>
  <c r="D196" i="14"/>
  <c r="D199" i="14"/>
  <c r="D197" i="14"/>
  <c r="D193" i="14"/>
  <c r="D191" i="14"/>
  <c r="D190" i="14"/>
  <c r="D189" i="14"/>
  <c r="D175" i="14"/>
  <c r="D173" i="14"/>
  <c r="D167" i="14"/>
  <c r="D172" i="14"/>
  <c r="D169" i="14"/>
  <c r="D166" i="14"/>
  <c r="D165" i="14"/>
  <c r="D130" i="14"/>
  <c r="D19" i="14"/>
  <c r="D21" i="14" s="1"/>
  <c r="C11" i="14"/>
  <c r="C10" i="14"/>
  <c r="C9" i="14"/>
  <c r="D117" i="14"/>
  <c r="D109" i="14"/>
  <c r="D100" i="14"/>
  <c r="D103" i="14"/>
  <c r="D87" i="14"/>
  <c r="D88" i="14" s="1"/>
  <c r="D71" i="14"/>
  <c r="D72" i="14" s="1"/>
  <c r="D24" i="14"/>
  <c r="C432" i="14" l="1"/>
  <c r="C434" i="14" s="1"/>
  <c r="C435" i="14" s="1"/>
  <c r="C442" i="14" s="1"/>
  <c r="C419" i="14"/>
  <c r="D177" i="14"/>
  <c r="D178" i="14" s="1"/>
  <c r="C364" i="14"/>
  <c r="C426" i="14"/>
  <c r="D261" i="14"/>
  <c r="D262" i="14" s="1"/>
  <c r="C428" i="14"/>
  <c r="C446" i="14" s="1"/>
  <c r="D237" i="14"/>
  <c r="D238" i="14" s="1"/>
  <c r="D201" i="14"/>
  <c r="D202" i="14" s="1"/>
  <c r="BS322" i="14"/>
  <c r="BO301" i="14"/>
  <c r="BO300" i="14"/>
  <c r="I335" i="14"/>
  <c r="I332" i="14"/>
  <c r="AA295" i="14"/>
  <c r="AA296" i="14"/>
  <c r="Z301" i="14" s="1"/>
  <c r="I326" i="14"/>
  <c r="Z325" i="14"/>
  <c r="J308" i="14"/>
  <c r="J307" i="14"/>
  <c r="J302" i="14"/>
  <c r="Q293" i="14"/>
  <c r="M293" i="14"/>
  <c r="U293" i="14"/>
  <c r="I293" i="14"/>
  <c r="J297" i="14" s="1"/>
  <c r="U290" i="14"/>
  <c r="I290" i="14"/>
  <c r="M290" i="14"/>
  <c r="Q290" i="14"/>
  <c r="Q289" i="14"/>
  <c r="D275" i="14" l="1"/>
  <c r="D111" i="14"/>
  <c r="D112" i="14" s="1"/>
  <c r="D119" i="14"/>
  <c r="D55" i="14"/>
  <c r="D56" i="14" s="1"/>
  <c r="D39" i="14"/>
  <c r="BS324" i="14" l="1"/>
  <c r="BS325" i="14" s="1"/>
  <c r="N299" i="14" s="1"/>
  <c r="BO316" i="14"/>
  <c r="U302" i="14"/>
  <c r="T302" i="14"/>
  <c r="S302" i="14"/>
  <c r="BG384" i="14"/>
  <c r="BI381" i="14"/>
  <c r="AX384" i="14"/>
  <c r="AZ381" i="14"/>
  <c r="BI365" i="14"/>
  <c r="AZ365" i="14"/>
  <c r="BG347" i="14"/>
  <c r="BI344" i="14"/>
  <c r="AX347" i="14"/>
  <c r="AZ344" i="14"/>
  <c r="BG328" i="14"/>
  <c r="BI325" i="14"/>
  <c r="AX328" i="14"/>
  <c r="AZ325" i="14"/>
  <c r="BG310" i="14"/>
  <c r="BI307" i="14"/>
  <c r="AX310" i="14"/>
  <c r="AZ307" i="14"/>
  <c r="AK297" i="14"/>
  <c r="U291" i="14"/>
  <c r="Q291" i="14"/>
  <c r="M291" i="14"/>
  <c r="M280" i="18"/>
  <c r="M279" i="18"/>
  <c r="M271" i="18"/>
  <c r="M269" i="18"/>
  <c r="N264" i="18"/>
  <c r="N263" i="18"/>
  <c r="N259" i="18"/>
  <c r="N258" i="18"/>
  <c r="N253" i="18"/>
  <c r="M247" i="18"/>
  <c r="M251" i="18" s="1"/>
  <c r="M252" i="18" s="1"/>
  <c r="N254" i="18" s="1"/>
  <c r="N256" i="18" s="1"/>
  <c r="C352" i="18"/>
  <c r="C346" i="18"/>
  <c r="C340" i="18"/>
  <c r="C334" i="18"/>
  <c r="C322" i="18"/>
  <c r="D306" i="18"/>
  <c r="D308" i="18" s="1"/>
  <c r="AB283" i="18"/>
  <c r="I279" i="18"/>
  <c r="I280" i="18" s="1"/>
  <c r="U275" i="18"/>
  <c r="U279" i="18" s="1"/>
  <c r="U280" i="18" s="1"/>
  <c r="R275" i="18"/>
  <c r="R279" i="18" s="1"/>
  <c r="R280" i="18" s="1"/>
  <c r="AA274" i="18"/>
  <c r="AA275" i="18" s="1"/>
  <c r="Z279" i="18" s="1"/>
  <c r="Z280" i="18" s="1"/>
  <c r="I271" i="18"/>
  <c r="U268" i="18"/>
  <c r="R268" i="18"/>
  <c r="Q264" i="18"/>
  <c r="J264" i="18"/>
  <c r="U263" i="18"/>
  <c r="U265" i="18" s="1"/>
  <c r="Q263" i="18"/>
  <c r="J263" i="18"/>
  <c r="BE262" i="18"/>
  <c r="BF262" i="18" s="1"/>
  <c r="AT262" i="18"/>
  <c r="AU262" i="18" s="1"/>
  <c r="AI262" i="18"/>
  <c r="AJ262" i="18" s="1"/>
  <c r="AB261" i="18"/>
  <c r="BL260" i="18"/>
  <c r="BA260" i="18"/>
  <c r="AP260" i="18"/>
  <c r="U260" i="18"/>
  <c r="Q260" i="18"/>
  <c r="U259" i="18"/>
  <c r="Q259" i="18"/>
  <c r="J259" i="18"/>
  <c r="BL258" i="18"/>
  <c r="BA258" i="18"/>
  <c r="AP258" i="18"/>
  <c r="J258" i="18"/>
  <c r="Q256" i="18"/>
  <c r="AU255" i="18"/>
  <c r="AT259" i="18" s="1"/>
  <c r="AJ255" i="18"/>
  <c r="AI259" i="18" s="1"/>
  <c r="BF254" i="18"/>
  <c r="BF255" i="18" s="1"/>
  <c r="BE259" i="18" s="1"/>
  <c r="BH253" i="18"/>
  <c r="BG253" i="18"/>
  <c r="AW253" i="18"/>
  <c r="AV253" i="18"/>
  <c r="AL253" i="18"/>
  <c r="AK253" i="18"/>
  <c r="AA253" i="18"/>
  <c r="Z257" i="18" s="1"/>
  <c r="Z258" i="18" s="1"/>
  <c r="J253" i="18"/>
  <c r="U246" i="18"/>
  <c r="U247" i="18" s="1"/>
  <c r="V251" i="18" s="1"/>
  <c r="V252" i="18" s="1"/>
  <c r="Q246" i="18"/>
  <c r="Q247" i="18" s="1"/>
  <c r="R251" i="18" s="1"/>
  <c r="R252" i="18" s="1"/>
  <c r="I247" i="18"/>
  <c r="D233" i="18"/>
  <c r="F233" i="18" s="1"/>
  <c r="D229" i="18"/>
  <c r="F229" i="18" s="1"/>
  <c r="D212" i="18"/>
  <c r="D209" i="18"/>
  <c r="D207" i="18"/>
  <c r="D206" i="18"/>
  <c r="D205" i="18"/>
  <c r="D189" i="18"/>
  <c r="D186" i="18"/>
  <c r="D184" i="18"/>
  <c r="D183" i="18"/>
  <c r="D182" i="18"/>
  <c r="D170" i="18"/>
  <c r="D171" i="18" s="1"/>
  <c r="D154" i="18"/>
  <c r="D151" i="18"/>
  <c r="D149" i="18"/>
  <c r="D148" i="18"/>
  <c r="D147" i="18"/>
  <c r="D131" i="18"/>
  <c r="D128" i="18"/>
  <c r="D126" i="18"/>
  <c r="D125" i="18"/>
  <c r="D124" i="18"/>
  <c r="D108" i="18"/>
  <c r="D109" i="18" s="1"/>
  <c r="D110" i="18" s="1"/>
  <c r="D104" i="18"/>
  <c r="D101" i="18"/>
  <c r="D98" i="18"/>
  <c r="D92" i="18"/>
  <c r="D93" i="18" s="1"/>
  <c r="D78" i="18"/>
  <c r="D79" i="18" s="1"/>
  <c r="D69" i="18"/>
  <c r="D70" i="18" s="1"/>
  <c r="D60" i="18"/>
  <c r="D46" i="18"/>
  <c r="D47" i="18" s="1"/>
  <c r="D30" i="18"/>
  <c r="D31" i="18" s="1"/>
  <c r="D15" i="18"/>
  <c r="D16" i="18" s="1"/>
  <c r="C5" i="18"/>
  <c r="C4" i="18"/>
  <c r="C3" i="18"/>
  <c r="AX316" i="14" l="1"/>
  <c r="AX317" i="14" s="1"/>
  <c r="AX318" i="14" s="1"/>
  <c r="AX320" i="14" s="1"/>
  <c r="T304" i="14"/>
  <c r="T305" i="14" s="1"/>
  <c r="AX342" i="14"/>
  <c r="BG298" i="14"/>
  <c r="BG299" i="14" s="1"/>
  <c r="BG300" i="14" s="1"/>
  <c r="BG302" i="14" s="1"/>
  <c r="AX372" i="14"/>
  <c r="AX373" i="14" s="1"/>
  <c r="AX374" i="14" s="1"/>
  <c r="AX376" i="14" s="1"/>
  <c r="BO302" i="14"/>
  <c r="BO304" i="14" s="1"/>
  <c r="BO305" i="14" s="1"/>
  <c r="N298" i="14" s="1"/>
  <c r="N260" i="18"/>
  <c r="N265" i="18"/>
  <c r="BG316" i="14"/>
  <c r="BG317" i="14" s="1"/>
  <c r="BG318" i="14" s="1"/>
  <c r="BG320" i="14" s="1"/>
  <c r="AX323" i="14"/>
  <c r="BG335" i="14"/>
  <c r="BG336" i="14" s="1"/>
  <c r="BG337" i="14" s="1"/>
  <c r="BG339" i="14" s="1"/>
  <c r="BG379" i="14"/>
  <c r="M272" i="18"/>
  <c r="M273" i="18" s="1"/>
  <c r="AX335" i="14"/>
  <c r="AX336" i="14" s="1"/>
  <c r="AX337" i="14" s="1"/>
  <c r="AX339" i="14" s="1"/>
  <c r="BG305" i="14"/>
  <c r="BG372" i="14"/>
  <c r="BG373" i="14" s="1"/>
  <c r="BG374" i="14" s="1"/>
  <c r="BG376" i="14" s="1"/>
  <c r="AX379" i="14"/>
  <c r="BG352" i="14"/>
  <c r="BG355" i="14" s="1"/>
  <c r="BG356" i="14" s="1"/>
  <c r="BG358" i="14" s="1"/>
  <c r="AX352" i="14"/>
  <c r="AX355" i="14" s="1"/>
  <c r="AX356" i="14" s="1"/>
  <c r="AX358" i="14" s="1"/>
  <c r="BG342" i="14"/>
  <c r="BG323" i="14"/>
  <c r="AX305" i="14"/>
  <c r="AX298" i="14"/>
  <c r="AX299" i="14" s="1"/>
  <c r="AX300" i="14" s="1"/>
  <c r="AX302" i="14" s="1"/>
  <c r="U295" i="14"/>
  <c r="U296" i="14" s="1"/>
  <c r="Q295" i="14"/>
  <c r="Q296" i="14" s="1"/>
  <c r="M295" i="14"/>
  <c r="M296" i="14" s="1"/>
  <c r="D81" i="18"/>
  <c r="D49" i="18"/>
  <c r="C6" i="18"/>
  <c r="J265" i="18"/>
  <c r="AL255" i="18"/>
  <c r="AH259" i="18" s="1"/>
  <c r="AM258" i="18" s="1"/>
  <c r="Q265" i="18"/>
  <c r="AB256" i="18"/>
  <c r="AB263" i="18" s="1"/>
  <c r="AB265" i="18" s="1"/>
  <c r="AB266" i="18" s="1"/>
  <c r="U261" i="18"/>
  <c r="AN255" i="18"/>
  <c r="AJ258" i="18" s="1"/>
  <c r="D158" i="18"/>
  <c r="D159" i="18" s="1"/>
  <c r="D135" i="18"/>
  <c r="D136" i="18" s="1"/>
  <c r="D216" i="18"/>
  <c r="D217" i="18" s="1"/>
  <c r="J260" i="18"/>
  <c r="Q261" i="18"/>
  <c r="C354" i="18"/>
  <c r="D193" i="18"/>
  <c r="D194" i="18" s="1"/>
  <c r="B235" i="18"/>
  <c r="D113" i="18"/>
  <c r="D114" i="18" s="1"/>
  <c r="BJ255" i="18"/>
  <c r="BF258" i="18" s="1"/>
  <c r="BH255" i="18"/>
  <c r="BD259" i="18" s="1"/>
  <c r="AC279" i="18"/>
  <c r="AB285" i="18" s="1"/>
  <c r="F252" i="18"/>
  <c r="F251" i="18"/>
  <c r="AY255" i="18"/>
  <c r="AU258" i="18" s="1"/>
  <c r="AW255" i="18"/>
  <c r="AS259" i="18" s="1"/>
  <c r="I251" i="18"/>
  <c r="I252" i="18" s="1"/>
  <c r="J254" i="18" s="1"/>
  <c r="J256" i="18" s="1"/>
  <c r="BC319" i="14" l="1"/>
  <c r="AK265" i="18"/>
  <c r="D161" i="18"/>
  <c r="D220" i="18"/>
  <c r="I269" i="18"/>
  <c r="I272" i="18" s="1"/>
  <c r="I273" i="18" s="1"/>
  <c r="BI258" i="18"/>
  <c r="BG265" i="18"/>
  <c r="AB287" i="18"/>
  <c r="AB288" i="18" s="1"/>
  <c r="AV265" i="18"/>
  <c r="AX258" i="18"/>
  <c r="AK271" i="18"/>
  <c r="AK274" i="18" s="1"/>
  <c r="AK280" i="18" s="1"/>
  <c r="C401" i="14"/>
  <c r="C395" i="14"/>
  <c r="C389" i="14"/>
  <c r="C383" i="14"/>
  <c r="C371" i="14"/>
  <c r="D356" i="14"/>
  <c r="AB329" i="14"/>
  <c r="AB331" i="14" s="1"/>
  <c r="AA321" i="14"/>
  <c r="Z326" i="14" s="1"/>
  <c r="AB305" i="14"/>
  <c r="AP304" i="14"/>
  <c r="AP302" i="14"/>
  <c r="AJ299" i="14"/>
  <c r="AL297" i="14"/>
  <c r="AA297" i="14"/>
  <c r="I291" i="14"/>
  <c r="I295" i="14" s="1"/>
  <c r="D277" i="14"/>
  <c r="F277" i="14" s="1"/>
  <c r="D273" i="14"/>
  <c r="F273" i="14" s="1"/>
  <c r="D213" i="14"/>
  <c r="D214" i="14" s="1"/>
  <c r="D264" i="14" s="1"/>
  <c r="D139" i="14"/>
  <c r="D154" i="14" s="1"/>
  <c r="D133" i="14"/>
  <c r="D134" i="14" s="1"/>
  <c r="D120" i="14"/>
  <c r="D122" i="14" s="1"/>
  <c r="D40" i="14"/>
  <c r="D22" i="14"/>
  <c r="D25" i="14" s="1"/>
  <c r="D212" i="8"/>
  <c r="D209" i="8"/>
  <c r="D207" i="8"/>
  <c r="D206" i="8"/>
  <c r="D205" i="8"/>
  <c r="D189" i="8"/>
  <c r="D186" i="8"/>
  <c r="D184" i="8"/>
  <c r="D183" i="8"/>
  <c r="D182" i="8"/>
  <c r="D170" i="8"/>
  <c r="D171" i="8" s="1"/>
  <c r="N257" i="8"/>
  <c r="R264" i="8"/>
  <c r="R266" i="8" s="1"/>
  <c r="N265" i="8"/>
  <c r="J265" i="8"/>
  <c r="N264" i="8"/>
  <c r="J264" i="8"/>
  <c r="N260" i="8"/>
  <c r="N261" i="8"/>
  <c r="R261" i="8"/>
  <c r="R260" i="8"/>
  <c r="R276" i="8"/>
  <c r="R280" i="8" s="1"/>
  <c r="R281" i="8" s="1"/>
  <c r="O276" i="8"/>
  <c r="O280" i="8" s="1"/>
  <c r="O281" i="8" s="1"/>
  <c r="I280" i="8"/>
  <c r="I281" i="8" s="1"/>
  <c r="I272" i="8"/>
  <c r="L279" i="8"/>
  <c r="X275" i="8"/>
  <c r="J260" i="8"/>
  <c r="J259" i="8"/>
  <c r="R247" i="8"/>
  <c r="R248" i="8" s="1"/>
  <c r="S252" i="8" s="1"/>
  <c r="S253" i="8" s="1"/>
  <c r="N247" i="8"/>
  <c r="N248" i="8" s="1"/>
  <c r="O252" i="8" s="1"/>
  <c r="O253" i="8" s="1"/>
  <c r="I250" i="8"/>
  <c r="I247" i="8"/>
  <c r="D307" i="8"/>
  <c r="C3" i="8"/>
  <c r="D154" i="8"/>
  <c r="D151" i="8"/>
  <c r="D149" i="8"/>
  <c r="D148" i="8"/>
  <c r="D147" i="8"/>
  <c r="D131" i="8"/>
  <c r="D128" i="8"/>
  <c r="D126" i="8"/>
  <c r="D125" i="8"/>
  <c r="D124" i="8"/>
  <c r="D60" i="8"/>
  <c r="D15" i="8"/>
  <c r="D16" i="8" s="1"/>
  <c r="D46" i="8"/>
  <c r="D47" i="8" s="1"/>
  <c r="D30" i="8"/>
  <c r="C5" i="8"/>
  <c r="C4" i="8"/>
  <c r="C6" i="8" s="1"/>
  <c r="B279" i="14" l="1"/>
  <c r="D92" i="14"/>
  <c r="AB300" i="14"/>
  <c r="AB307" i="14" s="1"/>
  <c r="F295" i="14"/>
  <c r="AK267" i="18"/>
  <c r="AV271" i="18"/>
  <c r="AV274" i="18" s="1"/>
  <c r="AV280" i="18" s="1"/>
  <c r="AV267" i="18"/>
  <c r="R269" i="18"/>
  <c r="R272" i="18" s="1"/>
  <c r="R273" i="18" s="1"/>
  <c r="BG271" i="18"/>
  <c r="BG274" i="18" s="1"/>
  <c r="BG280" i="18" s="1"/>
  <c r="BG267" i="18"/>
  <c r="U269" i="18"/>
  <c r="U272" i="18" s="1"/>
  <c r="U273" i="18" s="1"/>
  <c r="R262" i="8"/>
  <c r="D193" i="8"/>
  <c r="D194" i="8" s="1"/>
  <c r="J309" i="14"/>
  <c r="J304" i="14"/>
  <c r="D155" i="14"/>
  <c r="D204" i="14" s="1"/>
  <c r="C12" i="14"/>
  <c r="D216" i="8"/>
  <c r="D217" i="8" s="1"/>
  <c r="J254" i="8"/>
  <c r="AC325" i="14"/>
  <c r="AB332" i="14" s="1"/>
  <c r="I296" i="14"/>
  <c r="J298" i="14" s="1"/>
  <c r="J300" i="14" s="1"/>
  <c r="Z302" i="14"/>
  <c r="AN299" i="14"/>
  <c r="AL299" i="14"/>
  <c r="J266" i="8"/>
  <c r="N266" i="8"/>
  <c r="N262" i="8"/>
  <c r="D135" i="8"/>
  <c r="D158" i="8"/>
  <c r="D159" i="8" s="1"/>
  <c r="C143" i="12"/>
  <c r="C132" i="12"/>
  <c r="C134" i="12" s="1"/>
  <c r="C133" i="12"/>
  <c r="D220" i="8" l="1"/>
  <c r="I333" i="14"/>
  <c r="I336" i="14" s="1"/>
  <c r="I337" i="14" s="1"/>
  <c r="AB309" i="14"/>
  <c r="AJ302" i="14"/>
  <c r="AK309" i="14" s="1"/>
  <c r="AK316" i="14" s="1"/>
  <c r="AB333" i="14"/>
  <c r="AB334" i="14" s="1"/>
  <c r="I323" i="14"/>
  <c r="I327" i="14" s="1"/>
  <c r="I328" i="14" s="1"/>
  <c r="AB310" i="14"/>
  <c r="P283" i="18"/>
  <c r="F253" i="8"/>
  <c r="F252" i="8"/>
  <c r="AM302" i="14"/>
  <c r="D77" i="1"/>
  <c r="F77" i="1" s="1"/>
  <c r="D72" i="1"/>
  <c r="F72" i="1" s="1"/>
  <c r="D67" i="1"/>
  <c r="F67" i="1" s="1"/>
  <c r="D77" i="13"/>
  <c r="F77" i="13" s="1"/>
  <c r="D72" i="13"/>
  <c r="F72" i="13" s="1"/>
  <c r="D67" i="13"/>
  <c r="F67" i="13" s="1"/>
  <c r="D92" i="12"/>
  <c r="F92" i="12" s="1"/>
  <c r="D87" i="12"/>
  <c r="F87" i="12" s="1"/>
  <c r="D82" i="12"/>
  <c r="F82" i="12" s="1"/>
  <c r="D77" i="12"/>
  <c r="F77" i="12" s="1"/>
  <c r="AK312" i="14" l="1"/>
  <c r="I314" i="14"/>
  <c r="AK320" i="14"/>
  <c r="AK326" i="14" s="1"/>
  <c r="C343" i="14" s="1"/>
  <c r="B94" i="12"/>
  <c r="D98" i="12" s="1"/>
  <c r="B79" i="1"/>
  <c r="D83" i="1" s="1"/>
  <c r="B79" i="13"/>
  <c r="D83" i="13" s="1"/>
  <c r="D54" i="12"/>
  <c r="D56" i="12" s="1"/>
  <c r="F56" i="12" s="1"/>
  <c r="D11" i="12"/>
  <c r="F11" i="12" s="1"/>
  <c r="D3" i="12"/>
  <c r="I317" i="14" l="1"/>
  <c r="I318" i="14" s="1"/>
  <c r="P309" i="14" s="1"/>
  <c r="D246" i="1"/>
  <c r="D238" i="1"/>
  <c r="D276" i="12"/>
  <c r="D268" i="12"/>
  <c r="D245" i="13"/>
  <c r="D237" i="13"/>
  <c r="D228" i="1"/>
  <c r="F228" i="1" s="1"/>
  <c r="D227" i="13"/>
  <c r="F227" i="13" s="1"/>
  <c r="D258" i="12"/>
  <c r="F258" i="12" s="1"/>
  <c r="C216" i="1"/>
  <c r="C221" i="1" s="1"/>
  <c r="C215" i="13"/>
  <c r="C220" i="13" s="1"/>
  <c r="D198" i="1"/>
  <c r="D201" i="1" s="1"/>
  <c r="D193" i="1"/>
  <c r="D195" i="1" s="1"/>
  <c r="D189" i="1"/>
  <c r="D191" i="1" s="1"/>
  <c r="D187" i="1"/>
  <c r="D186" i="1"/>
  <c r="D185" i="1"/>
  <c r="D159" i="1"/>
  <c r="D161" i="1" s="1"/>
  <c r="D163" i="1"/>
  <c r="D165" i="1" s="1"/>
  <c r="D199" i="13"/>
  <c r="D202" i="13" s="1"/>
  <c r="D194" i="13"/>
  <c r="D196" i="13" s="1"/>
  <c r="D190" i="13"/>
  <c r="D192" i="13" s="1"/>
  <c r="D188" i="13"/>
  <c r="D187" i="13"/>
  <c r="D186" i="13"/>
  <c r="D169" i="13"/>
  <c r="D172" i="13" s="1"/>
  <c r="D164" i="13"/>
  <c r="D166" i="13" s="1"/>
  <c r="D160" i="13"/>
  <c r="D162" i="13" s="1"/>
  <c r="D158" i="13"/>
  <c r="D157" i="13"/>
  <c r="D156" i="13"/>
  <c r="D155" i="1"/>
  <c r="D168" i="1"/>
  <c r="D171" i="1" s="1"/>
  <c r="D157" i="1"/>
  <c r="D156" i="1"/>
  <c r="J112" i="13"/>
  <c r="J119" i="13"/>
  <c r="D36" i="13"/>
  <c r="C32" i="13"/>
  <c r="C34" i="13" s="1"/>
  <c r="D28" i="13"/>
  <c r="C23" i="13"/>
  <c r="C25" i="13" s="1"/>
  <c r="D140" i="1"/>
  <c r="D142" i="1" s="1"/>
  <c r="D143" i="1" s="1"/>
  <c r="D133" i="1"/>
  <c r="D135" i="1" s="1"/>
  <c r="D136" i="1" s="1"/>
  <c r="D140" i="13"/>
  <c r="D142" i="13" s="1"/>
  <c r="D143" i="13" s="1"/>
  <c r="D133" i="13"/>
  <c r="D135" i="13" s="1"/>
  <c r="D136" i="13" s="1"/>
  <c r="D100" i="11"/>
  <c r="D103" i="11" s="1"/>
  <c r="D95" i="11"/>
  <c r="D97" i="11" s="1"/>
  <c r="D91" i="11"/>
  <c r="D93" i="11" s="1"/>
  <c r="D89" i="11"/>
  <c r="D88" i="11"/>
  <c r="D87" i="11"/>
  <c r="D65" i="11"/>
  <c r="D67" i="11" s="1"/>
  <c r="D61" i="11"/>
  <c r="D63" i="11" s="1"/>
  <c r="D42" i="11"/>
  <c r="J29" i="11"/>
  <c r="D158" i="12"/>
  <c r="D160" i="12" s="1"/>
  <c r="D161" i="12" s="1"/>
  <c r="D151" i="12"/>
  <c r="D70" i="11"/>
  <c r="D73" i="11" s="1"/>
  <c r="D59" i="11"/>
  <c r="D58" i="11"/>
  <c r="D57" i="11"/>
  <c r="D44" i="11"/>
  <c r="D45" i="11" s="1"/>
  <c r="E21" i="11"/>
  <c r="E17" i="11"/>
  <c r="E13" i="11"/>
  <c r="E7" i="11"/>
  <c r="E9" i="11" s="1"/>
  <c r="E3" i="11"/>
  <c r="E5" i="11" s="1"/>
  <c r="E106" i="1"/>
  <c r="E102" i="1"/>
  <c r="E98" i="1"/>
  <c r="E94" i="1"/>
  <c r="E90" i="1"/>
  <c r="D56" i="1"/>
  <c r="D49" i="1"/>
  <c r="D43" i="1"/>
  <c r="D36" i="1"/>
  <c r="C32" i="1"/>
  <c r="C34" i="1" s="1"/>
  <c r="D28" i="1"/>
  <c r="C23" i="1"/>
  <c r="C25" i="1" s="1"/>
  <c r="D16" i="1"/>
  <c r="F16" i="1" s="1"/>
  <c r="D11" i="1"/>
  <c r="F11" i="1" s="1"/>
  <c r="D6" i="1"/>
  <c r="F6" i="1" s="1"/>
  <c r="E106" i="13"/>
  <c r="E102" i="13"/>
  <c r="E98" i="13"/>
  <c r="E94" i="13"/>
  <c r="E90" i="13"/>
  <c r="D56" i="13"/>
  <c r="D49" i="13"/>
  <c r="D43" i="13"/>
  <c r="D45" i="13" s="1"/>
  <c r="F45" i="13" s="1"/>
  <c r="D16" i="13"/>
  <c r="F16" i="13" s="1"/>
  <c r="D11" i="13"/>
  <c r="F11" i="13" s="1"/>
  <c r="D6" i="13"/>
  <c r="F6" i="13" s="1"/>
  <c r="D239" i="12"/>
  <c r="D242" i="12" s="1"/>
  <c r="D235" i="12"/>
  <c r="D237" i="12" s="1"/>
  <c r="D233" i="12"/>
  <c r="D232" i="12"/>
  <c r="D231" i="12"/>
  <c r="D214" i="12"/>
  <c r="D217" i="12" s="1"/>
  <c r="D210" i="12"/>
  <c r="D212" i="12" s="1"/>
  <c r="D206" i="12"/>
  <c r="D208" i="12"/>
  <c r="D207" i="12"/>
  <c r="D189" i="12"/>
  <c r="D192" i="12" s="1"/>
  <c r="D193" i="12" s="1"/>
  <c r="D183" i="12"/>
  <c r="D172" i="12"/>
  <c r="D174" i="12" s="1"/>
  <c r="D175" i="12" s="1"/>
  <c r="D177" i="12"/>
  <c r="D179" i="12" s="1"/>
  <c r="D180" i="12" s="1"/>
  <c r="D167" i="12"/>
  <c r="D169" i="12" s="1"/>
  <c r="D170" i="12" s="1"/>
  <c r="E124" i="12"/>
  <c r="E120" i="12"/>
  <c r="E116" i="12"/>
  <c r="E108" i="12"/>
  <c r="E112" i="12"/>
  <c r="D67" i="12"/>
  <c r="D60" i="12"/>
  <c r="D62" i="12" s="1"/>
  <c r="F62" i="12" s="1"/>
  <c r="D48" i="12"/>
  <c r="D41" i="12"/>
  <c r="C37" i="12"/>
  <c r="C39" i="12" s="1"/>
  <c r="D33" i="12"/>
  <c r="C28" i="12"/>
  <c r="C30" i="12" s="1"/>
  <c r="D16" i="12"/>
  <c r="F16" i="12" s="1"/>
  <c r="D21" i="12"/>
  <c r="F21" i="12" s="1"/>
  <c r="D6" i="12"/>
  <c r="F6" i="12" s="1"/>
  <c r="C169" i="10"/>
  <c r="B164" i="10"/>
  <c r="D2" i="10"/>
  <c r="F292" i="14" l="1"/>
  <c r="F291" i="14"/>
  <c r="F296" i="14" s="1"/>
  <c r="F294" i="14"/>
  <c r="F293" i="14"/>
  <c r="D173" i="1"/>
  <c r="B23" i="12"/>
  <c r="E23" i="11"/>
  <c r="D75" i="11"/>
  <c r="D76" i="11" s="1"/>
  <c r="D244" i="12"/>
  <c r="D245" i="12" s="1"/>
  <c r="D203" i="1"/>
  <c r="D204" i="1" s="1"/>
  <c r="D204" i="13"/>
  <c r="D205" i="13" s="1"/>
  <c r="D174" i="13"/>
  <c r="D175" i="13" s="1"/>
  <c r="D174" i="1"/>
  <c r="D57" i="1"/>
  <c r="F57" i="1" s="1"/>
  <c r="D45" i="1"/>
  <c r="F45" i="1" s="1"/>
  <c r="D57" i="13"/>
  <c r="F57" i="13" s="1"/>
  <c r="D51" i="13"/>
  <c r="F51" i="13" s="1"/>
  <c r="B18" i="13"/>
  <c r="E108" i="13"/>
  <c r="B18" i="1"/>
  <c r="E108" i="1"/>
  <c r="D51" i="1"/>
  <c r="F51" i="1" s="1"/>
  <c r="D105" i="11"/>
  <c r="D106" i="11" s="1"/>
  <c r="D50" i="12"/>
  <c r="F50" i="12" s="1"/>
  <c r="D68" i="12"/>
  <c r="F68" i="12" s="1"/>
  <c r="E126" i="12"/>
  <c r="D108" i="11" l="1"/>
  <c r="D206" i="1"/>
  <c r="D207" i="13"/>
  <c r="B70" i="12"/>
  <c r="B59" i="13"/>
  <c r="B59" i="1"/>
  <c r="D309" i="8"/>
  <c r="Y284" i="8"/>
  <c r="X276" i="8"/>
  <c r="W280" i="8" s="1"/>
  <c r="W281" i="8" s="1"/>
  <c r="R269" i="8"/>
  <c r="O269" i="8"/>
  <c r="BC255" i="8"/>
  <c r="BC256" i="8" s="1"/>
  <c r="BB260" i="8" s="1"/>
  <c r="AR256" i="8"/>
  <c r="AQ260" i="8" s="1"/>
  <c r="BB263" i="8"/>
  <c r="BC263" i="8" s="1"/>
  <c r="BI261" i="8"/>
  <c r="BI259" i="8"/>
  <c r="BE254" i="8"/>
  <c r="BD254" i="8"/>
  <c r="AQ263" i="8"/>
  <c r="AR263" i="8" s="1"/>
  <c r="AX261" i="8"/>
  <c r="AX259" i="8"/>
  <c r="AT254" i="8"/>
  <c r="AS254" i="8"/>
  <c r="Z280" i="8" l="1"/>
  <c r="Y286" i="8" s="1"/>
  <c r="BG256" i="8"/>
  <c r="BC259" i="8" s="1"/>
  <c r="BE256" i="8"/>
  <c r="BA260" i="8" s="1"/>
  <c r="AV256" i="8"/>
  <c r="AR259" i="8" s="1"/>
  <c r="AT256" i="8"/>
  <c r="AP260" i="8" s="1"/>
  <c r="J261" i="8"/>
  <c r="I248" i="8"/>
  <c r="D234" i="8"/>
  <c r="F234" i="8" s="1"/>
  <c r="C347" i="8"/>
  <c r="C353" i="8"/>
  <c r="D108" i="8"/>
  <c r="D109" i="8" s="1"/>
  <c r="D110" i="8" s="1"/>
  <c r="D104" i="8"/>
  <c r="D98" i="8"/>
  <c r="C341" i="8"/>
  <c r="C335" i="8"/>
  <c r="C323" i="8"/>
  <c r="AF263" i="8"/>
  <c r="AG263" i="8" s="1"/>
  <c r="Y262" i="8"/>
  <c r="AM261" i="8"/>
  <c r="L269" i="8"/>
  <c r="AM259" i="8"/>
  <c r="AG256" i="8"/>
  <c r="AF260" i="8" s="1"/>
  <c r="AH254" i="8"/>
  <c r="X254" i="8"/>
  <c r="W258" i="8" s="1"/>
  <c r="W259" i="8" s="1"/>
  <c r="D230" i="8"/>
  <c r="F230" i="8" s="1"/>
  <c r="D101" i="8"/>
  <c r="D78" i="8"/>
  <c r="D79" i="8" s="1"/>
  <c r="D69" i="8"/>
  <c r="D70" i="8" s="1"/>
  <c r="D31" i="8"/>
  <c r="D49" i="8" s="1"/>
  <c r="D149" i="10"/>
  <c r="D152" i="10" s="1"/>
  <c r="D156" i="10" s="1"/>
  <c r="D157" i="10" s="1"/>
  <c r="C142" i="10"/>
  <c r="C136" i="10"/>
  <c r="D96" i="10"/>
  <c r="D98" i="10" s="1"/>
  <c r="D99" i="10" s="1"/>
  <c r="D87" i="10"/>
  <c r="D86" i="10"/>
  <c r="D88" i="10" s="1"/>
  <c r="D89" i="10" s="1"/>
  <c r="D73" i="10"/>
  <c r="D75" i="10" s="1"/>
  <c r="D76" i="10" s="1"/>
  <c r="D64" i="10"/>
  <c r="D63" i="10"/>
  <c r="D50" i="10"/>
  <c r="D49" i="10"/>
  <c r="D19" i="10"/>
  <c r="D18" i="10"/>
  <c r="D7" i="10"/>
  <c r="D8" i="10"/>
  <c r="D43" i="10"/>
  <c r="D42" i="10"/>
  <c r="D9" i="10" l="1"/>
  <c r="D10" i="10" s="1"/>
  <c r="D81" i="8"/>
  <c r="L252" i="8"/>
  <c r="L253" i="8" s="1"/>
  <c r="I252" i="8"/>
  <c r="I253" i="8" s="1"/>
  <c r="J255" i="8" s="1"/>
  <c r="AS266" i="8"/>
  <c r="O270" i="8" s="1"/>
  <c r="O273" i="8" s="1"/>
  <c r="O274" i="8" s="1"/>
  <c r="C355" i="8"/>
  <c r="BD266" i="8"/>
  <c r="R270" i="8" s="1"/>
  <c r="R273" i="8" s="1"/>
  <c r="R274" i="8" s="1"/>
  <c r="C144" i="10"/>
  <c r="D136" i="8"/>
  <c r="D92" i="8"/>
  <c r="D93" i="8" s="1"/>
  <c r="L277" i="8"/>
  <c r="L280" i="8" s="1"/>
  <c r="L281" i="8" s="1"/>
  <c r="BF259" i="8"/>
  <c r="AU259" i="8"/>
  <c r="Y257" i="8"/>
  <c r="Y264" i="8" s="1"/>
  <c r="I270" i="8" s="1"/>
  <c r="B236" i="8"/>
  <c r="AK256" i="8"/>
  <c r="AG259" i="8" s="1"/>
  <c r="AI256" i="8"/>
  <c r="AE260" i="8" s="1"/>
  <c r="D113" i="8"/>
  <c r="D114" i="8" s="1"/>
  <c r="AI254" i="8"/>
  <c r="D20" i="10"/>
  <c r="D21" i="10" s="1"/>
  <c r="D65" i="10"/>
  <c r="D66" i="10" s="1"/>
  <c r="D101" i="10" s="1"/>
  <c r="D44" i="10"/>
  <c r="D45" i="10" s="1"/>
  <c r="D31" i="10"/>
  <c r="D30" i="10"/>
  <c r="D32" i="10" s="1"/>
  <c r="D33" i="10" s="1"/>
  <c r="AH266" i="8" l="1"/>
  <c r="AH272" i="8" s="1"/>
  <c r="D161" i="8"/>
  <c r="Y288" i="8"/>
  <c r="Y289" i="8" s="1"/>
  <c r="BD268" i="8"/>
  <c r="BD272" i="8"/>
  <c r="BD275" i="8" s="1"/>
  <c r="BD281" i="8" s="1"/>
  <c r="AS268" i="8"/>
  <c r="AS272" i="8"/>
  <c r="AS275" i="8" s="1"/>
  <c r="AS281" i="8" s="1"/>
  <c r="J257" i="8"/>
  <c r="AJ259" i="8"/>
  <c r="I273" i="8"/>
  <c r="I274" i="8" s="1"/>
  <c r="Y266" i="8"/>
  <c r="Y267" i="8" s="1"/>
  <c r="D51" i="10"/>
  <c r="AH268" i="8" l="1"/>
  <c r="AH275" i="8"/>
  <c r="AH281" i="8" s="1"/>
  <c r="L270" i="8"/>
  <c r="L273" i="8" s="1"/>
  <c r="L274" i="8" l="1"/>
  <c r="M284" i="8" s="1"/>
  <c r="D184" i="12" l="1"/>
  <c r="D186" i="12" s="1"/>
  <c r="D187" i="12" s="1"/>
  <c r="D195" i="12" s="1"/>
  <c r="D153" i="12"/>
  <c r="D154" i="12" s="1"/>
  <c r="D219" i="12" l="1"/>
  <c r="D220" i="12" s="1"/>
  <c r="D248" i="12" s="1"/>
  <c r="D112" i="10" l="1"/>
  <c r="D114" i="10" s="1"/>
  <c r="F114" i="10" s="1"/>
  <c r="C122" i="10"/>
  <c r="C123" i="10" s="1"/>
  <c r="C128" i="10" s="1"/>
  <c r="D110" i="10"/>
  <c r="F110" i="10" s="1"/>
  <c r="B116" i="10" s="1"/>
  <c r="C7" i="9"/>
  <c r="C12" i="9" s="1"/>
  <c r="D9" i="7"/>
  <c r="D11" i="7" s="1"/>
  <c r="F11" i="7" s="1"/>
  <c r="D27" i="7"/>
  <c r="D33" i="7" s="1"/>
  <c r="D35" i="7" s="1"/>
  <c r="D7" i="7"/>
  <c r="F7" i="7" s="1"/>
  <c r="C7" i="6"/>
  <c r="C12" i="6" s="1"/>
  <c r="C7" i="5"/>
  <c r="C12" i="5" s="1"/>
  <c r="C7" i="2"/>
  <c r="C12" i="2" s="1"/>
  <c r="J5" i="4"/>
  <c r="H3" i="4"/>
  <c r="D9" i="3"/>
  <c r="D11" i="3" s="1"/>
  <c r="F11" i="3" s="1"/>
  <c r="D7" i="3"/>
  <c r="F7" i="3" s="1"/>
  <c r="D27" i="3"/>
  <c r="D33" i="3" s="1"/>
  <c r="D35" i="3" s="1"/>
  <c r="B13" i="3" l="1"/>
  <c r="B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29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29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2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25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25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25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sharedStrings.xml><?xml version="1.0" encoding="utf-8"?>
<sst xmlns="http://schemas.openxmlformats.org/spreadsheetml/2006/main" count="3600" uniqueCount="424">
  <si>
    <t>ITEM 846 - POLYMER MODIFIED EXPANSION JOINT</t>
  </si>
  <si>
    <t>WIDTH =</t>
  </si>
  <si>
    <t>FT</t>
  </si>
  <si>
    <t>DEPTH =</t>
  </si>
  <si>
    <t>BRIDGE WIDTH =</t>
  </si>
  <si>
    <t>SKEWED JT LENGTH =</t>
  </si>
  <si>
    <t># OF PMA JOINTS =</t>
  </si>
  <si>
    <t xml:space="preserve">TOTAL VOLUME = </t>
  </si>
  <si>
    <t>CU YD</t>
  </si>
  <si>
    <t>ITEM 842 - CORRECTING APPROACH SLABS USING POLYURETHANE FOAM</t>
  </si>
  <si>
    <t>APPROACH SLAB WIDTH =</t>
  </si>
  <si>
    <t>APPROACH SLAB LENGTH =</t>
  </si>
  <si>
    <t># OF APPROACH SLABS =</t>
  </si>
  <si>
    <t>CU FT</t>
  </si>
  <si>
    <t>APPLICATION RATE</t>
  </si>
  <si>
    <t>POUNDS/CU FT</t>
  </si>
  <si>
    <t>CONTINGENCY</t>
  </si>
  <si>
    <t>TOTAL WEIGHT</t>
  </si>
  <si>
    <t>POUNDS</t>
  </si>
  <si>
    <t>ROUND UP</t>
  </si>
  <si>
    <t>ITEM 512 - TREATING BRIDGE DECKS WITH GRAVITY FED RESIN</t>
  </si>
  <si>
    <t>(TOE/TOE OF PARAPETS)</t>
  </si>
  <si>
    <t>APPROACH SLAB SEALING AREA =</t>
  </si>
  <si>
    <t>SQ FT  =</t>
  </si>
  <si>
    <t>SQ YD</t>
  </si>
  <si>
    <t>BRIDGE DECK LENGTH</t>
  </si>
  <si>
    <t>BRIDGE DECK WIDTH =</t>
  </si>
  <si>
    <t>(BRIDGE LIMITS)</t>
  </si>
  <si>
    <t xml:space="preserve">TOTAL = </t>
  </si>
  <si>
    <t>ITEM 202 - VANDAL PROTECTION FENCE REMOVED, AS PER PLAN</t>
  </si>
  <si>
    <t>SKEW ANGLE =</t>
  </si>
  <si>
    <t>DEGREES</t>
  </si>
  <si>
    <t>ITEM 607 - VANDAL PROTECTION FENCE, 8' STRAIGHT, COATED FABRIC, AS PER PLAN</t>
  </si>
  <si>
    <t>1 PANEL @ 5'-9 1/2"</t>
  </si>
  <si>
    <t>22 PANELS @ 7'-5 1/2"</t>
  </si>
  <si>
    <t>TOE/TOE OF PARAPETS</t>
  </si>
  <si>
    <t>BRIDGE DECK SEALING AREA =</t>
  </si>
  <si>
    <t>Repair Area Height =</t>
  </si>
  <si>
    <t>Repair Area Width =</t>
  </si>
  <si>
    <t xml:space="preserve">Sealing Area = </t>
  </si>
  <si>
    <t>SQ FT</t>
  </si>
  <si>
    <t>ITEM 519 - PATCHING CONCRETE STRUCTURE</t>
  </si>
  <si>
    <t xml:space="preserve">Repair Area = </t>
  </si>
  <si>
    <t># of Repair Areas =</t>
  </si>
  <si>
    <t>ITEM 510 - DOWEL HOLES WITH NON-SHRINK, NON-METALLIC GROUT</t>
  </si>
  <si>
    <t>REAR ABUTMENT =</t>
  </si>
  <si>
    <t>FWD. ABUTMENT =</t>
  </si>
  <si>
    <t>ITEM 511 - CLASS QC2 CONCRETE, SUPERSTRUCTURE</t>
  </si>
  <si>
    <t xml:space="preserve">REAR ABUMENT </t>
  </si>
  <si>
    <t>INCHES</t>
  </si>
  <si>
    <t>Add'l Thickness at Edge of deck =</t>
  </si>
  <si>
    <t>Volume =</t>
  </si>
  <si>
    <t>ft</t>
  </si>
  <si>
    <t xml:space="preserve">FORWARD ABUMENT </t>
  </si>
  <si>
    <t>Backwall Width =</t>
  </si>
  <si>
    <t>Backwall Length =</t>
  </si>
  <si>
    <t xml:space="preserve">Volume = </t>
  </si>
  <si>
    <t>TOTAL =</t>
  </si>
  <si>
    <t>ITEM 512 - SEALING OF CONCRETE SURFACES WITH EPOXY URETHANE</t>
  </si>
  <si>
    <t>DECK EDGE PERIMETER =</t>
  </si>
  <si>
    <t>BRIDGE DECK LENGTH =</t>
  </si>
  <si>
    <t># OF SIDES =</t>
  </si>
  <si>
    <t xml:space="preserve">SEALING AREA = </t>
  </si>
  <si>
    <t>PIER CAPS</t>
  </si>
  <si>
    <t># OF PIERS =</t>
  </si>
  <si>
    <t>END OF PIER CAP</t>
  </si>
  <si>
    <t>TOP OF PIER CAP</t>
  </si>
  <si>
    <t>SIDE OF PIER CAP</t>
  </si>
  <si>
    <t># OF ENDS</t>
  </si>
  <si>
    <t># OF TOP AREAS</t>
  </si>
  <si>
    <t># OF SIDE AREAS</t>
  </si>
  <si>
    <t>BOTTOM OF PIER CAP</t>
  </si>
  <si>
    <t>Degrees</t>
  </si>
  <si>
    <t xml:space="preserve">BOTTOM ANGLE = </t>
  </si>
  <si>
    <t>BOTTOM LENGTH =</t>
  </si>
  <si>
    <t>BOTTOM AREA =</t>
  </si>
  <si>
    <t>PIER THICKNESS</t>
  </si>
  <si>
    <t># OF BOTTOM AREAS</t>
  </si>
  <si>
    <t xml:space="preserve">TOTAL AREA = </t>
  </si>
  <si>
    <t>ITEM 512 - REMOVAL OF COATINGS FROM CONCRETE SURFACES</t>
  </si>
  <si>
    <t>REAR ABUTMENT (ASSUME ALL CONCRETE IS SEALED ABOVE TOP OF FOOTING)</t>
  </si>
  <si>
    <t>BEAM SEAT WIDTH =</t>
  </si>
  <si>
    <t>BEAM SEAT LENGTH =</t>
  </si>
  <si>
    <t>HEIGHT OF BEAM SEAT =</t>
  </si>
  <si>
    <t>FACE OF BEAM SEAT =</t>
  </si>
  <si>
    <t>BEAM SEAT =</t>
  </si>
  <si>
    <t>SIDES OF BEAM SEAT</t>
  </si>
  <si>
    <t>SQ FT (CADD)</t>
  </si>
  <si>
    <t>BACKWALL THICKNESS =</t>
  </si>
  <si>
    <t>FORWARD ABUTMENT (ASSUME ALL CONCRETE IS SEALED ABOVE TOP OF FOOTING)</t>
  </si>
  <si>
    <t>GRAND TOTAL =</t>
  </si>
  <si>
    <t>surface area:</t>
  </si>
  <si>
    <t>in</t>
  </si>
  <si>
    <r>
      <t>2D+3W-2t</t>
    </r>
    <r>
      <rPr>
        <vertAlign val="subscript"/>
        <sz val="11"/>
        <color theme="1"/>
        <rFont val="Calibri"/>
        <family val="2"/>
        <scheme val="minor"/>
      </rPr>
      <t>w</t>
    </r>
  </si>
  <si>
    <t>00050</t>
  </si>
  <si>
    <t>SURFACE PREPARATION OF EXISTING STRUCTURAL STEEL</t>
  </si>
  <si>
    <t>00056</t>
  </si>
  <si>
    <t>FIELD PAINTING OF EXISTING STRUCTURAL STEEL, PRIME COAT</t>
  </si>
  <si>
    <t>00060</t>
  </si>
  <si>
    <t>FIELD PAINTING OF EXISTING STRUCTURAL STEEL, INTERMEDIATE COAT</t>
  </si>
  <si>
    <t>length:</t>
  </si>
  <si>
    <t>C</t>
  </si>
  <si>
    <t>L4x4x5/16</t>
  </si>
  <si>
    <t xml:space="preserve"> lb per ft</t>
  </si>
  <si>
    <t>00066</t>
  </si>
  <si>
    <t>FIELD PAINTING OF EXISTING STRUCTURAL STEEL, FINISH COAT</t>
  </si>
  <si>
    <t>designation:</t>
  </si>
  <si>
    <t>End Span</t>
  </si>
  <si>
    <t>Mid Span</t>
  </si>
  <si>
    <t>00504</t>
  </si>
  <si>
    <t>GRINDING FINS, TEARS, SLIVERS ON EXISTING STRUCTURAL STEEL</t>
  </si>
  <si>
    <t>MANHOURS</t>
  </si>
  <si>
    <t>area:</t>
  </si>
  <si>
    <t>sq ft</t>
  </si>
  <si>
    <t>C=</t>
  </si>
  <si>
    <t>FINAL INSPECTION REPAIR</t>
  </si>
  <si>
    <t>EACH</t>
  </si>
  <si>
    <t>area + 10%:</t>
  </si>
  <si>
    <r>
      <t>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</si>
  <si>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t>C/3</t>
  </si>
  <si>
    <t>C/6</t>
  </si>
  <si>
    <t>Total Beam Length =</t>
  </si>
  <si>
    <t>Total Area per Beam</t>
  </si>
  <si>
    <t>Total # of Beams</t>
  </si>
  <si>
    <t>Total Paint Area for all Beams</t>
  </si>
  <si>
    <t>Ft</t>
  </si>
  <si>
    <t>Sq Ft</t>
  </si>
  <si>
    <t>End X-frame</t>
  </si>
  <si>
    <t>quantity:</t>
  </si>
  <si>
    <t xml:space="preserve"> Total X-Frame member length =</t>
  </si>
  <si>
    <t>length=</t>
  </si>
  <si>
    <t xml:space="preserve">L3x3x1/4" Paint Area = </t>
  </si>
  <si>
    <t>Incl. Gusset Pl. =&gt; =</t>
  </si>
  <si>
    <t>Area + 10%</t>
  </si>
  <si>
    <t>Paint area per =</t>
  </si>
  <si>
    <t>End Crossframe</t>
  </si>
  <si>
    <t>Steel Weight for end Crossframes</t>
  </si>
  <si>
    <t>Pounds</t>
  </si>
  <si>
    <t>Add 10% for gusset plates</t>
  </si>
  <si>
    <t># of End Crossframes</t>
  </si>
  <si>
    <t>Total Weight of End Crossframe Structural Steel</t>
  </si>
  <si>
    <t>ITEM 516 - STRUCTURAL EXPANSION JOINT INCLUDING ELASTOMERIC STRIP SEAL, AS PER PLAN</t>
  </si>
  <si>
    <t>Deck Slab Length =</t>
  </si>
  <si>
    <t>Deck Slab Width =</t>
  </si>
  <si>
    <t xml:space="preserve">Deck Slab Thickness = </t>
  </si>
  <si>
    <t>Deck Overhang Width =</t>
  </si>
  <si>
    <t xml:space="preserve">Skew = </t>
  </si>
  <si>
    <t>Total Length =</t>
  </si>
  <si>
    <t>REAR ABUTMENT</t>
  </si>
  <si>
    <t>FWD. ABUTMENT</t>
  </si>
  <si>
    <t>GRAND TOTAL FOR PAINTING:</t>
  </si>
  <si>
    <t>REAR APPROACH SLAB =</t>
  </si>
  <si>
    <t>FWD. APPROACH SLAB =</t>
  </si>
  <si>
    <t>ITEM 204 - SUBGRADE COMPACTION</t>
  </si>
  <si>
    <t>Approach slab extension width =</t>
  </si>
  <si>
    <t>Approach slab extension length =</t>
  </si>
  <si>
    <t># of Extensions per Approach Slab</t>
  </si>
  <si>
    <t>Total =</t>
  </si>
  <si>
    <t>Sq Yd</t>
  </si>
  <si>
    <t>ITEM 304 - AGGREGATE BASE</t>
  </si>
  <si>
    <t>Aggregate Thickness</t>
  </si>
  <si>
    <t>Cu Ft</t>
  </si>
  <si>
    <t>Cu Yd</t>
  </si>
  <si>
    <t>ITEM 203 -EXCAVATION</t>
  </si>
  <si>
    <t>Depth of Excavation =</t>
  </si>
  <si>
    <t>ITEM 203 -EMBANKMENT</t>
  </si>
  <si>
    <t>Depth of Appr. Slab =</t>
  </si>
  <si>
    <t>REAR APPROACH SLAB</t>
  </si>
  <si>
    <t>REAR APPROACH SLAB PARAPET</t>
  </si>
  <si>
    <t>Parapet Area =</t>
  </si>
  <si>
    <t>Parapet Transition Length =</t>
  </si>
  <si>
    <t>Concrete Volume =</t>
  </si>
  <si>
    <t># of Transitions per Appr. Slab =</t>
  </si>
  <si>
    <t>Cu FT</t>
  </si>
  <si>
    <t>Fwd. Abutment</t>
  </si>
  <si>
    <t>Rear Abutment</t>
  </si>
  <si>
    <t>ITEM 512 - SEALING CONCRETE SURFACES WITH EPOXY-URETHANE</t>
  </si>
  <si>
    <t>Parapet Transition Perimeter =</t>
  </si>
  <si>
    <t># of Approach Slabs =</t>
  </si>
  <si>
    <t>Fwd Abutment</t>
  </si>
  <si>
    <t xml:space="preserve">Total = </t>
  </si>
  <si>
    <t>Pier 1 Stem</t>
  </si>
  <si>
    <t>Pier 1 Cap</t>
  </si>
  <si>
    <t>Beams 1-5</t>
  </si>
  <si>
    <t>Intermediate Crossframes for Beams 1-5</t>
  </si>
  <si>
    <t>Rear Abutment End Crossframes for Beams 1-5</t>
  </si>
  <si>
    <t>Stiffener surface area:</t>
  </si>
  <si>
    <t># of Stiffeners</t>
  </si>
  <si>
    <t>Area =</t>
  </si>
  <si>
    <t>Stiffener edge included with web painting</t>
  </si>
  <si>
    <t>17.666+(2*7.10)+(2*4.93)+3.96</t>
  </si>
  <si>
    <t>Bays 2-3 &amp; 3-4</t>
  </si>
  <si>
    <t>Bays 1-2 &amp; 4-5</t>
  </si>
  <si>
    <t>Int. 3 Leg X-frame</t>
  </si>
  <si>
    <t>Rear Expansion Joint Length =</t>
  </si>
  <si>
    <t>Fwd Expansion Joint Length =</t>
  </si>
  <si>
    <t>FORWARD APPROACH SLAB</t>
  </si>
  <si>
    <t>FORWARD APPROACH SLAB PARAPET</t>
  </si>
  <si>
    <t>Rear Approach Slab</t>
  </si>
  <si>
    <t>Approach slab extension width +1'=</t>
  </si>
  <si>
    <t>Approach slab extension length +1'=</t>
  </si>
  <si>
    <t>Item 659 - SEEDING AND MULCHING</t>
  </si>
  <si>
    <t xml:space="preserve">AREA = </t>
  </si>
  <si>
    <t>ITEM 516 - 1" PEJF</t>
  </si>
  <si>
    <t>PARAPETS =</t>
  </si>
  <si>
    <t>Forward Abutment End Crossframes</t>
  </si>
  <si>
    <t>ITEM 254 - PAVEMENT PLANING, ASPHALT</t>
  </si>
  <si>
    <t>LENGTH =</t>
  </si>
  <si>
    <t>(TOE OF SIEDWALK CURB TO TOE OF PARAPETS)</t>
  </si>
  <si>
    <t>APPROACH PVMT LENGTH =</t>
  </si>
  <si>
    <t>APPROACH PVMT WIDTH =</t>
  </si>
  <si>
    <t># OF APPROACHES  =</t>
  </si>
  <si>
    <t>APPROACH PVMT PLANING AREA =</t>
  </si>
  <si>
    <t>BRIDGE DECK PLANING AREA =</t>
  </si>
  <si>
    <t>ITEM 202 - SIDEWALK REMOVED</t>
  </si>
  <si>
    <t>ITEM 202 - CURB REMOVED</t>
  </si>
  <si>
    <t>ITEM 608 - 4" SIDEWALK</t>
  </si>
  <si>
    <t>AREA =</t>
  </si>
  <si>
    <t>ITEM 609 - CUTB TYPE 2</t>
  </si>
  <si>
    <t>ITEM 856 - ASPHALT CONCRETE SURFACE COURSE, TYPE 1, PG64-28</t>
  </si>
  <si>
    <t>ASPHALT DEPTH =</t>
  </si>
  <si>
    <t>CU FT  =</t>
  </si>
  <si>
    <t>ITEM 512 - HOT APPLIED ASPHALT JOINT SEALER</t>
  </si>
  <si>
    <t>REAR FIXED JOINT WIDTH =</t>
  </si>
  <si>
    <t>FORWARD EXPANSION JOINT CONC HEADER =</t>
  </si>
  <si>
    <t>REAR ABUMENT SIDEWALK &amp; PARAPET CURB</t>
  </si>
  <si>
    <t>(TOE OF SIEDWALK CURB &amp; TOE OF PARAPET)</t>
  </si>
  <si>
    <t>(TOE OF SIEDWALK CURB TO TOE OF PARAPET)</t>
  </si>
  <si>
    <t>FORWARD ABUMENT SIDEWALK &amp; PARAPET CURB</t>
  </si>
  <si>
    <t>BRIDGE DECK SIDEWALK &amp; PARAPET CURB</t>
  </si>
  <si>
    <t>ITEM 607 - VANDAL PROTECTION FENCE, 12' CURVED, COATED FABRIC, AS PER PLAN</t>
  </si>
  <si>
    <t>PIER COLUMN PERIMETER =</t>
  </si>
  <si>
    <t>PIER COLUMN HEIGHT</t>
  </si>
  <si>
    <t># OF PIER COLUMNS=</t>
  </si>
  <si>
    <t>TOTAL AREA =</t>
  </si>
  <si>
    <t xml:space="preserve">GRAND TOTAL AREA = </t>
  </si>
  <si>
    <t>HEIGHT OF BREAST WALL =</t>
  </si>
  <si>
    <t>FACE OF WINGWALLS</t>
  </si>
  <si>
    <t># OF WINGWALLS</t>
  </si>
  <si>
    <t>LENGTH OF WINGWALL</t>
  </si>
  <si>
    <t>WINGWALL PARAPET PERIMETER</t>
  </si>
  <si>
    <t>BRIDGE DECK &amp; PARAPET</t>
  </si>
  <si>
    <t>FORWARD ABUTMENT (ASSUME ALL CONCRETE IS SEALED ABOVE CONC BARRIER OR GROUNDLINE)</t>
  </si>
  <si>
    <t>REAR ABUTMENT (ASSUME ALL CONCRETE IS SEALED ABOVE CONC BARRIER OR GROUNDLINE)</t>
  </si>
  <si>
    <t>ITEM 202 - REMOVAL OF DELAMINATIONS/SPALLS FROM BOTTOM OF SUPERSTRUCTURE</t>
  </si>
  <si>
    <t>LUMP SUM</t>
  </si>
  <si>
    <t>BRIDGE DECK &amp; SIDEWALK</t>
  </si>
  <si>
    <t>DECK/PARAPET/SIDEWALK PERIMETER =</t>
  </si>
  <si>
    <t>DECK EDGE/PARAPET PERIMETER =</t>
  </si>
  <si>
    <t>FACE OF STRAIGHT WINGWALLS</t>
  </si>
  <si>
    <t>FACE OF TURNBACK WINGWALLS</t>
  </si>
  <si>
    <t>(FIXED JOINT)</t>
  </si>
  <si>
    <t>ITEM 512 - TYPE 3 WATERPROOFING</t>
  </si>
  <si>
    <t>ITEM 519 - PATCHING CONCRETE STRUCTURE, AS PER PLAN</t>
  </si>
  <si>
    <t>TOP OF PRESTRESSED BEAMS</t>
  </si>
  <si>
    <t xml:space="preserve"># OF BEAMS = </t>
  </si>
  <si>
    <t>LENGTH OF BEAMS =</t>
  </si>
  <si>
    <t>WIDTH OF BEAMS =</t>
  </si>
  <si>
    <t>ASSUME 5% REPAIR AREA</t>
  </si>
  <si>
    <t>ITEM 519 - SPECIAL - PATCHING CONCRETE STRUCTURE, MISC. SHEAR KEY REPAIRS</t>
  </si>
  <si>
    <t xml:space="preserve">REPAIR LENGTH = </t>
  </si>
  <si>
    <t>HOT APPLIED ASPHALT JOINT SEALER</t>
  </si>
  <si>
    <t>22 PANELS @ 5'-3" =</t>
  </si>
  <si>
    <t>REAR APPROACH PVMT LENGTH =</t>
  </si>
  <si>
    <t>FWD APPROACH PVMT LENGTH =</t>
  </si>
  <si>
    <t>ITEM 407 - TACK COAT FOR INTERMEDIATE COURSE</t>
  </si>
  <si>
    <t xml:space="preserve"># OF GALLONS REQ'D = </t>
  </si>
  <si>
    <t>GALLON/SQ YD</t>
  </si>
  <si>
    <t xml:space="preserve">APPLICATION RATE = </t>
  </si>
  <si>
    <t>GALLONS</t>
  </si>
  <si>
    <t>12 PANELS @ 5'-3" =</t>
  </si>
  <si>
    <t>23 PANELS @ 5'-3" =</t>
  </si>
  <si>
    <t>ITEM 253 - PAVEMENT REPAIR, APP</t>
  </si>
  <si>
    <t>VOLUME =</t>
  </si>
  <si>
    <t>ITEM 512 - SEALING CONCRETE BRIDGE DECK WITH HMWM RESIN</t>
  </si>
  <si>
    <t>BACKWALL HEIGHT =</t>
  </si>
  <si>
    <t>HEIGHT FROM GROUND TO BEAM SEAT =</t>
  </si>
  <si>
    <t>PARAPET =</t>
  </si>
  <si>
    <t>SF</t>
  </si>
  <si>
    <t>DECK =</t>
  </si>
  <si>
    <t>TRANSITION =</t>
  </si>
  <si>
    <t>2 CY</t>
  </si>
  <si>
    <t xml:space="preserve">BACKWALL </t>
  </si>
  <si>
    <t>Haunch Width =</t>
  </si>
  <si>
    <t>ITEM 511 - CLASS QC3 CONCRETE, SUPERSTRUCTURE</t>
  </si>
  <si>
    <t>ITEM 511 - CLASS QC3 CONCRETE, ABUTMENT</t>
  </si>
  <si>
    <t>Girder Flange Width =</t>
  </si>
  <si>
    <t>Haunch Thickness =</t>
  </si>
  <si>
    <t xml:space="preserve">Backwall Height = </t>
  </si>
  <si>
    <t xml:space="preserve">DECK SLAB AT REAR ABUMENT </t>
  </si>
  <si>
    <t xml:space="preserve">DECK SLAB AT FORWARD ABUMENT </t>
  </si>
  <si>
    <t>PARAPETS</t>
  </si>
  <si>
    <t xml:space="preserve">End Area = </t>
  </si>
  <si>
    <t xml:space="preserve">Length = </t>
  </si>
  <si>
    <t xml:space="preserve"># of Parapets = </t>
  </si>
  <si>
    <t>CF</t>
  </si>
  <si>
    <t xml:space="preserve">Transition Volume = </t>
  </si>
  <si>
    <t>CY</t>
  </si>
  <si>
    <t># of Transitions</t>
  </si>
  <si>
    <t>BRIDGE DECK/PARAPET</t>
  </si>
  <si>
    <t>FACE OF BACKWALL=</t>
  </si>
  <si>
    <t>WINGWALLS=</t>
  </si>
  <si>
    <t># of wing Walls =</t>
  </si>
  <si>
    <t xml:space="preserve">PARAPETS= </t>
  </si>
  <si>
    <t>ITEM 516 - BEARING, ROCKER</t>
  </si>
  <si>
    <t>Deck Slab</t>
  </si>
  <si>
    <t>ITEM 516 - REFURBISH BEARING, AS PER PLAN</t>
  </si>
  <si>
    <t xml:space="preserve">PIER 4 = </t>
  </si>
  <si>
    <t xml:space="preserve"> </t>
  </si>
  <si>
    <t xml:space="preserve">ITEM 514 - (Paint the structural steel using OZEU 514 specifications using Federal Color Number 15450 Blue). </t>
  </si>
  <si>
    <t>Variable Depth over Piers</t>
  </si>
  <si>
    <t>56" PL. Girder Straight  (16" Wide Flange)</t>
  </si>
  <si>
    <t>56" PL. Girder Variable Depth (20" Wide Flange)</t>
  </si>
  <si>
    <t>56" PL Girder</t>
  </si>
  <si>
    <t>Variable Depth Intermediate Crossframes for Beams 1-5</t>
  </si>
  <si>
    <t>90" Max PL Girder</t>
  </si>
  <si>
    <t>Var. Depth Int. 3-Leg X-frame</t>
  </si>
  <si>
    <t>Girder Web Ht=</t>
  </si>
  <si>
    <t>9.5+(2*5.5)+(2*4.77)</t>
  </si>
  <si>
    <t>Rear End X-frame</t>
  </si>
  <si>
    <t>Forward End X-frame</t>
  </si>
  <si>
    <t>Girder Ht=</t>
  </si>
  <si>
    <t>Utility Supports</t>
  </si>
  <si>
    <t>Lateral Brace WT6X135</t>
  </si>
  <si>
    <t>Variable Depth Vertical</t>
  </si>
  <si>
    <t>Vert. Stiffener surf. area:</t>
  </si>
  <si>
    <t>Abut. Brg. Stiff. surf. area:</t>
  </si>
  <si>
    <t>Pier Brg. Stiff. surf. area:</t>
  </si>
  <si>
    <t># of Scuppers</t>
  </si>
  <si>
    <t>Each</t>
  </si>
  <si>
    <t>Scupper Surf. Area =</t>
  </si>
  <si>
    <t xml:space="preserve">Paint for 35 Bearings = </t>
  </si>
  <si>
    <t>ITEM 516 - 1/8" PREFORMED BEARING PAD</t>
  </si>
  <si>
    <t>(Along overlay constructio joint)</t>
  </si>
  <si>
    <t>Longitudinal Web Stiffeners at Piers</t>
  </si>
  <si>
    <t>518 - SCUPPER, MISC.: DEBRIS REMOVAL</t>
  </si>
  <si>
    <r>
      <t>2(D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+T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)+3W-2t</t>
    </r>
    <r>
      <rPr>
        <vertAlign val="subscript"/>
        <sz val="11"/>
        <color theme="1"/>
        <rFont val="Calibri"/>
        <family val="2"/>
        <scheme val="minor"/>
      </rPr>
      <t>w</t>
    </r>
  </si>
  <si>
    <t>72" PL. Girder Straight  (18" Wide Flange) Flange thickness: 1.125</t>
  </si>
  <si>
    <t>72" PL. Girder Straight  (18" Wide Flange) Flange thickness: 1.75</t>
  </si>
  <si>
    <t>Endspan</t>
  </si>
  <si>
    <t>V1</t>
  </si>
  <si>
    <t>V2</t>
  </si>
  <si>
    <t>Midspan</t>
  </si>
  <si>
    <t>Total Area per beam</t>
  </si>
  <si>
    <t xml:space="preserve">L4x4x5/16" Paint Area = </t>
  </si>
  <si>
    <t>surface area Diag:</t>
  </si>
  <si>
    <t>surface area Hor:</t>
  </si>
  <si>
    <t>length Diag:</t>
  </si>
  <si>
    <t>length Hor:</t>
  </si>
  <si>
    <t>Tot. Hor. Length</t>
  </si>
  <si>
    <t>Tot. Diagonal Length</t>
  </si>
  <si>
    <t xml:space="preserve">Total Paint Area = </t>
  </si>
  <si>
    <t>Total</t>
  </si>
  <si>
    <t>Abutment end crossframe</t>
  </si>
  <si>
    <t>9.83+(2*5.8999)+(2*6.3350)</t>
  </si>
  <si>
    <t>area + 10%: for Gusset Plates</t>
  </si>
  <si>
    <t>End Crossframes</t>
  </si>
  <si>
    <t>Length</t>
  </si>
  <si>
    <t>Span=</t>
  </si>
  <si>
    <t>Quantity</t>
  </si>
  <si>
    <t>Total Painted Area</t>
  </si>
  <si>
    <t>Total Paint Area</t>
  </si>
  <si>
    <t>Total Area</t>
  </si>
  <si>
    <t>Painting</t>
  </si>
  <si>
    <t>Bearings</t>
  </si>
  <si>
    <t>Rockers</t>
  </si>
  <si>
    <t>Area</t>
  </si>
  <si>
    <t>Fixed</t>
  </si>
  <si>
    <t>Hinge</t>
  </si>
  <si>
    <t>Painted Area</t>
  </si>
  <si>
    <t>Add 10%</t>
  </si>
  <si>
    <t>Hinge(x2)</t>
  </si>
  <si>
    <t>sq in</t>
  </si>
  <si>
    <t>top/bottom</t>
  </si>
  <si>
    <t>Side</t>
  </si>
  <si>
    <t>Total surface</t>
  </si>
  <si>
    <t>Total Painted Hinges</t>
  </si>
  <si>
    <t>Scuppers</t>
  </si>
  <si>
    <t>Internal Hinges</t>
  </si>
  <si>
    <t>SINGLE SLOPE PARAPETS</t>
  </si>
  <si>
    <t xml:space="preserve">4 Parapet Transitions = </t>
  </si>
  <si>
    <t>TOTAL</t>
  </si>
  <si>
    <t>Backwall Plan Area =</t>
  </si>
  <si>
    <t>Hinge #1 Expansion Joint Length =</t>
  </si>
  <si>
    <t>Hinge #2 Expansion Joint Length =</t>
  </si>
  <si>
    <t>ITEM 516 - ELASTOMERIC BEARING WITH INTERNAL LAMINATES AND LOAD PLATE, AS PER PLAN</t>
  </si>
  <si>
    <t>72" PL. Girder Straight  (18" Wide Flange) Flange thickness: 2.125" MIN, 2.5" MAX</t>
  </si>
  <si>
    <t>72" PL. Girder Straight  (18" Wide Flange) Flange thickness: 1.25" MIN, 1.50" MAX</t>
  </si>
  <si>
    <t>Abut. &amp; Pier Brg. Stiff. surf. area:</t>
  </si>
  <si>
    <t>Intermediate Bridge Crossframes</t>
  </si>
  <si>
    <t>72" PL Girder</t>
  </si>
  <si>
    <t>Lateral Crossframes</t>
  </si>
  <si>
    <t>Girder Spacing =</t>
  </si>
  <si>
    <t xml:space="preserve">L5x5x5/16" Paint Area = </t>
  </si>
  <si>
    <t>Info Unverified - Do Not Use</t>
  </si>
  <si>
    <t>DECK SLAB AT HINGE 1</t>
  </si>
  <si>
    <t>DECK SLAB AT HINGE 2</t>
  </si>
  <si>
    <t>LEFT WINGWALL=</t>
  </si>
  <si>
    <t>RIGHT WINGWALL=</t>
  </si>
  <si>
    <t>SIDE, TOP &amp; BACK OF WINGWALL =</t>
  </si>
  <si>
    <t xml:space="preserve">DECK AREA = </t>
  </si>
  <si>
    <t xml:space="preserve">DECK LENGTH = </t>
  </si>
  <si>
    <t>DECK WIDTH =</t>
  </si>
  <si>
    <t>FT (TOE/TOE OF PARAPET)</t>
  </si>
  <si>
    <t>FWD. APPROACH SLAB</t>
  </si>
  <si>
    <t>BRIDGE DECK</t>
  </si>
  <si>
    <t>848 - SURFACE PREPARATION USING HYDRODEMOLITION</t>
  </si>
  <si>
    <t>848 - HAND CHIPPING</t>
  </si>
  <si>
    <t>848 - TEST SLAB</t>
  </si>
  <si>
    <t>848 - SUPERPLASTICIZED DENSE CONCRETE OVERLAY (VARIABLE THICKNESS), MATERIAL ONLY</t>
  </si>
  <si>
    <t xml:space="preserve">VOLUME = </t>
  </si>
  <si>
    <t xml:space="preserve">FWD APPROACH SLAB AREA = </t>
  </si>
  <si>
    <t>TOTAL VOLUME =</t>
  </si>
  <si>
    <t>848  - EXISTING CONCRETE OVERLAY REMOVED</t>
  </si>
  <si>
    <t>Rear Abutment End Crossframes for Beams 1-4</t>
  </si>
  <si>
    <t>Abutment &amp; Hinge End Crossframes</t>
  </si>
  <si>
    <t>TOTAL WEIGHT  =</t>
  </si>
  <si>
    <t>ITEM 503 - UNCLASSIFIED EXCAVATION</t>
  </si>
  <si>
    <t>848 - FULL DEPTH REPAIR</t>
  </si>
  <si>
    <t>Pier 3 Cap</t>
  </si>
  <si>
    <t>Pier ? Stem</t>
  </si>
  <si>
    <t>848 - SUPERPLASTICIZED DENSE CONCRETE OVERLAY USING HYDRODEMOLITION (T=1.75")</t>
  </si>
  <si>
    <t>ITEM 513 - REPLACEMENT OF DETERIORATED END CROSS FRAMES</t>
  </si>
  <si>
    <t>ITEM 513 - TRIMMING BEAM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</si>
</sst>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2" borderId="0" xfId="0" applyFill="1"/>
    <xf numFmtId="0" fontId="3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49" fontId="0" fillId="0" borderId="0" xfId="0" applyNumberFormat="1"/>
    <xf numFmtId="1" fontId="0" fillId="2" borderId="0" xfId="0" applyNumberFormat="1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9" xfId="0" applyBorder="1"/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3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1" fontId="0" fillId="3" borderId="0" xfId="0" applyNumberFormat="1" applyFill="1" applyAlignment="1">
      <alignment horizontal="center" vertical="center"/>
    </xf>
    <xf numFmtId="1" fontId="0" fillId="2" borderId="3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2" fontId="0" fillId="0" borderId="0" xfId="0" applyNumberFormat="1" applyBorder="1"/>
    <xf numFmtId="165" fontId="0" fillId="0" borderId="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164" fontId="0" fillId="0" borderId="3" xfId="0" applyNumberFormat="1" applyBorder="1"/>
    <xf numFmtId="0" fontId="0" fillId="0" borderId="10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3" xfId="0" applyBorder="1"/>
    <xf numFmtId="1" fontId="0" fillId="4" borderId="0" xfId="0" applyNumberFormat="1" applyFill="1"/>
    <xf numFmtId="0" fontId="0" fillId="0" borderId="0" xfId="0" applyFill="1" applyBorder="1"/>
    <xf numFmtId="0" fontId="0" fillId="2" borderId="12" xfId="0" applyFill="1" applyBorder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2" borderId="0" xfId="0" applyNumberFormat="1" applyFill="1"/>
    <xf numFmtId="0" fontId="0" fillId="2" borderId="0" xfId="0" applyFill="1" applyBorder="1"/>
    <xf numFmtId="0" fontId="0" fillId="0" borderId="0" xfId="0" applyFont="1"/>
    <xf numFmtId="0" fontId="1" fillId="0" borderId="12" xfId="0" applyFont="1" applyBorder="1" applyAlignment="1">
      <alignment wrapText="1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4" xfId="0" applyBorder="1" applyAlignment="1">
      <alignment vertical="center" wrapText="1"/>
    </xf>
    <xf numFmtId="0" fontId="0" fillId="2" borderId="1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0" xfId="0" applyFill="1"/>
    <xf numFmtId="0" fontId="0" fillId="5" borderId="0" xfId="0" applyFill="1" applyBorder="1" applyAlignment="1">
      <alignment horizontal="right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/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 vertical="center"/>
    </xf>
    <xf numFmtId="165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/>
    <xf numFmtId="165" fontId="0" fillId="5" borderId="8" xfId="0" applyNumberForma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right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4" xfId="0" applyFill="1" applyBorder="1"/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5" xfId="0" applyFill="1" applyBorder="1"/>
    <xf numFmtId="0" fontId="0" fillId="5" borderId="13" xfId="0" applyFill="1" applyBorder="1"/>
    <xf numFmtId="0" fontId="0" fillId="5" borderId="10" xfId="0" applyFill="1" applyBorder="1"/>
    <xf numFmtId="0" fontId="1" fillId="5" borderId="12" xfId="0" applyFont="1" applyFill="1" applyBorder="1" applyAlignment="1">
      <alignment wrapText="1"/>
    </xf>
    <xf numFmtId="0" fontId="0" fillId="5" borderId="12" xfId="0" applyFill="1" applyBorder="1"/>
    <xf numFmtId="0" fontId="0" fillId="5" borderId="11" xfId="0" applyFill="1" applyBorder="1"/>
    <xf numFmtId="0" fontId="9" fillId="5" borderId="5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13" xfId="0" applyFill="1" applyBorder="1"/>
    <xf numFmtId="2" fontId="0" fillId="0" borderId="6" xfId="0" applyNumberFormat="1" applyBorder="1"/>
    <xf numFmtId="0" fontId="0" fillId="0" borderId="6" xfId="0" applyFill="1" applyBorder="1"/>
    <xf numFmtId="0" fontId="0" fillId="2" borderId="3" xfId="0" applyFill="1" applyBorder="1"/>
    <xf numFmtId="0" fontId="7" fillId="0" borderId="0" xfId="0" applyFont="1" applyAlignment="1"/>
    <xf numFmtId="0" fontId="2" fillId="0" borderId="0" xfId="0" applyFont="1" applyAlignmen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Fill="1" applyBorder="1"/>
    <xf numFmtId="1" fontId="0" fillId="2" borderId="2" xfId="0" applyNumberForma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ill="1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0" fillId="2" borderId="23" xfId="0" applyFill="1" applyBorder="1"/>
    <xf numFmtId="0" fontId="0" fillId="0" borderId="24" xfId="0" applyFill="1" applyBorder="1"/>
    <xf numFmtId="0" fontId="10" fillId="6" borderId="19" xfId="0" applyFont="1" applyFill="1" applyBorder="1"/>
    <xf numFmtId="0" fontId="10" fillId="6" borderId="11" xfId="0" applyFont="1" applyFill="1" applyBorder="1"/>
    <xf numFmtId="0" fontId="10" fillId="6" borderId="3" xfId="0" applyFont="1" applyFill="1" applyBorder="1"/>
    <xf numFmtId="0" fontId="10" fillId="6" borderId="20" xfId="0" applyFont="1" applyFill="1" applyBorder="1"/>
    <xf numFmtId="0" fontId="0" fillId="0" borderId="0" xfId="0" applyFill="1"/>
    <xf numFmtId="164" fontId="0" fillId="0" borderId="3" xfId="0" applyNumberFormat="1" applyFill="1" applyBorder="1"/>
    <xf numFmtId="0" fontId="0" fillId="0" borderId="10" xfId="0" applyFill="1" applyBorder="1" applyAlignment="1"/>
    <xf numFmtId="0" fontId="0" fillId="0" borderId="11" xfId="0" applyFill="1" applyBorder="1" applyAlignment="1"/>
    <xf numFmtId="1" fontId="0" fillId="0" borderId="0" xfId="0" applyNumberFormat="1" applyFill="1" applyBorder="1"/>
    <xf numFmtId="0" fontId="0" fillId="0" borderId="3" xfId="0" applyFill="1" applyBorder="1" applyAlignment="1">
      <alignment wrapText="1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wrapText="1"/>
    </xf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1" fontId="0" fillId="4" borderId="28" xfId="0" applyNumberFormat="1" applyFill="1" applyBorder="1"/>
    <xf numFmtId="9" fontId="0" fillId="0" borderId="1" xfId="0" applyNumberFormat="1" applyBorder="1"/>
    <xf numFmtId="0" fontId="0" fillId="0" borderId="0" xfId="0" applyAlignment="1">
      <alignment horizontal="center" wrapText="1"/>
    </xf>
    <xf numFmtId="0" fontId="12" fillId="0" borderId="0" xfId="0" applyFont="1"/>
    <xf numFmtId="0" fontId="11" fillId="0" borderId="0" xfId="0" applyFont="1"/>
    <xf numFmtId="0" fontId="1" fillId="0" borderId="6" xfId="0" applyFont="1" applyFill="1" applyBorder="1"/>
    <xf numFmtId="164" fontId="0" fillId="0" borderId="0" xfId="0" applyNumberFormat="1" applyFill="1" applyBorder="1"/>
    <xf numFmtId="0" fontId="0" fillId="0" borderId="9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8" xfId="0" applyFill="1" applyBorder="1" applyAlignment="1"/>
    <xf numFmtId="2" fontId="0" fillId="0" borderId="0" xfId="0" applyNumberFormat="1" applyFill="1" applyBorder="1"/>
    <xf numFmtId="0" fontId="0" fillId="0" borderId="1" xfId="0" applyFill="1" applyBorder="1"/>
    <xf numFmtId="0" fontId="0" fillId="0" borderId="14" xfId="0" applyFill="1" applyBorder="1"/>
    <xf numFmtId="2" fontId="0" fillId="2" borderId="0" xfId="0" applyNumberFormat="1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/>
    <xf numFmtId="0" fontId="0" fillId="4" borderId="8" xfId="0" applyFill="1" applyBorder="1" applyAlignment="1">
      <alignment horizontal="left"/>
    </xf>
    <xf numFmtId="0" fontId="0" fillId="4" borderId="8" xfId="0" applyFill="1" applyBorder="1" applyAlignment="1">
      <alignment wrapText="1"/>
    </xf>
    <xf numFmtId="0" fontId="0" fillId="4" borderId="8" xfId="0" applyFill="1" applyBorder="1"/>
    <xf numFmtId="0" fontId="0" fillId="4" borderId="1" xfId="0" applyFill="1" applyBorder="1"/>
    <xf numFmtId="0" fontId="11" fillId="4" borderId="0" xfId="0" applyFont="1" applyFill="1"/>
    <xf numFmtId="0" fontId="1" fillId="2" borderId="0" xfId="0" applyFont="1" applyFill="1"/>
    <xf numFmtId="0" fontId="13" fillId="0" borderId="0" xfId="0" applyFont="1"/>
    <xf numFmtId="2" fontId="1" fillId="2" borderId="0" xfId="0" applyNumberFormat="1" applyFont="1" applyFill="1"/>
    <xf numFmtId="0" fontId="0" fillId="0" borderId="0" xfId="0" applyAlignment="1">
      <alignment horizontal="right"/>
    </xf>
    <xf numFmtId="0" fontId="0" fillId="0" borderId="10" xfId="0" applyFill="1" applyBorder="1"/>
    <xf numFmtId="0" fontId="1" fillId="0" borderId="12" xfId="0" applyFont="1" applyFill="1" applyBorder="1" applyAlignment="1">
      <alignment wrapText="1"/>
    </xf>
    <xf numFmtId="0" fontId="0" fillId="0" borderId="12" xfId="0" applyFill="1" applyBorder="1"/>
    <xf numFmtId="0" fontId="0" fillId="0" borderId="11" xfId="0" applyFill="1" applyBorder="1"/>
    <xf numFmtId="0" fontId="0" fillId="0" borderId="0" xfId="0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1" fontId="0" fillId="2" borderId="0" xfId="0" applyNumberFormat="1" applyFill="1"/>
    <xf numFmtId="0" fontId="11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/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299</xdr:row>
      <xdr:rowOff>0</xdr:rowOff>
    </xdr:from>
    <xdr:to>
      <xdr:col>29</xdr:col>
      <xdr:colOff>9525</xdr:colOff>
      <xdr:row>303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EBCC038-8C08-4C87-BC4A-4973128BC146}"/>
            </a:ext>
          </a:extLst>
        </xdr:cNvPr>
        <xdr:cNvCxnSpPr/>
      </xdr:nvCxnSpPr>
      <xdr:spPr>
        <a:xfrm>
          <a:off x="19021425" y="61979175"/>
          <a:ext cx="1952625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299</xdr:row>
      <xdr:rowOff>0</xdr:rowOff>
    </xdr:from>
    <xdr:to>
      <xdr:col>29</xdr:col>
      <xdr:colOff>28575</xdr:colOff>
      <xdr:row>303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29BDF74-2CCE-434B-A631-D2104EA01AD2}"/>
            </a:ext>
          </a:extLst>
        </xdr:cNvPr>
        <xdr:cNvCxnSpPr/>
      </xdr:nvCxnSpPr>
      <xdr:spPr>
        <a:xfrm flipV="1">
          <a:off x="19021425" y="61979175"/>
          <a:ext cx="1971675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742950</xdr:colOff>
      <xdr:row>303</xdr:row>
      <xdr:rowOff>47625</xdr:rowOff>
    </xdr:from>
    <xdr:to>
      <xdr:col>29</xdr:col>
      <xdr:colOff>0</xdr:colOff>
      <xdr:row>303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F6208B7-264F-442D-A33F-BF07B4C1F710}"/>
            </a:ext>
          </a:extLst>
        </xdr:cNvPr>
        <xdr:cNvCxnSpPr/>
      </xdr:nvCxnSpPr>
      <xdr:spPr>
        <a:xfrm flipH="1" flipV="1">
          <a:off x="18859500" y="6316980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300</xdr:row>
      <xdr:rowOff>57150</xdr:rowOff>
    </xdr:from>
    <xdr:to>
      <xdr:col>35</xdr:col>
      <xdr:colOff>47625</xdr:colOff>
      <xdr:row>304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2AED7D1B-D8AB-4200-ADB7-45D55E26064F}"/>
            </a:ext>
          </a:extLst>
        </xdr:cNvPr>
        <xdr:cNvSpPr/>
      </xdr:nvSpPr>
      <xdr:spPr>
        <a:xfrm flipH="1">
          <a:off x="23622000" y="62607825"/>
          <a:ext cx="14001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60511</xdr:colOff>
      <xdr:row>300</xdr:row>
      <xdr:rowOff>66675</xdr:rowOff>
    </xdr:from>
    <xdr:to>
      <xdr:col>36</xdr:col>
      <xdr:colOff>108136</xdr:colOff>
      <xdr:row>304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A6530205-A51A-4166-BC47-CC9413CC1970}"/>
            </a:ext>
          </a:extLst>
        </xdr:cNvPr>
        <xdr:cNvSpPr/>
      </xdr:nvSpPr>
      <xdr:spPr>
        <a:xfrm>
          <a:off x="27503717" y="52779146"/>
          <a:ext cx="652743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300</xdr:row>
      <xdr:rowOff>66675</xdr:rowOff>
    </xdr:from>
    <xdr:to>
      <xdr:col>39</xdr:col>
      <xdr:colOff>257175</xdr:colOff>
      <xdr:row>304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13AEB6A2-7D5C-4707-BD16-2AA939D903F4}"/>
            </a:ext>
          </a:extLst>
        </xdr:cNvPr>
        <xdr:cNvSpPr/>
      </xdr:nvSpPr>
      <xdr:spPr>
        <a:xfrm>
          <a:off x="26346150" y="626173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300</xdr:row>
      <xdr:rowOff>66675</xdr:rowOff>
    </xdr:from>
    <xdr:to>
      <xdr:col>37</xdr:col>
      <xdr:colOff>142875</xdr:colOff>
      <xdr:row>304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65F43847-AD7A-4D3C-99C8-F7D23DEC576D}"/>
            </a:ext>
          </a:extLst>
        </xdr:cNvPr>
        <xdr:cNvSpPr/>
      </xdr:nvSpPr>
      <xdr:spPr>
        <a:xfrm flipH="1">
          <a:off x="25679400" y="6261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323</xdr:row>
      <xdr:rowOff>0</xdr:rowOff>
    </xdr:from>
    <xdr:to>
      <xdr:col>29</xdr:col>
      <xdr:colOff>9525</xdr:colOff>
      <xdr:row>327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30D9533-A36E-458C-8931-CD0CC155F715}"/>
            </a:ext>
          </a:extLst>
        </xdr:cNvPr>
        <xdr:cNvCxnSpPr/>
      </xdr:nvCxnSpPr>
      <xdr:spPr>
        <a:xfrm>
          <a:off x="19021425" y="66589275"/>
          <a:ext cx="19526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323</xdr:row>
      <xdr:rowOff>0</xdr:rowOff>
    </xdr:from>
    <xdr:to>
      <xdr:col>29</xdr:col>
      <xdr:colOff>28575</xdr:colOff>
      <xdr:row>327</xdr:row>
      <xdr:rowOff>19050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A0C9620B-6D7F-48E2-BFB1-D240D3F9D37E}"/>
            </a:ext>
          </a:extLst>
        </xdr:cNvPr>
        <xdr:cNvCxnSpPr/>
      </xdr:nvCxnSpPr>
      <xdr:spPr>
        <a:xfrm flipV="1">
          <a:off x="19021425" y="66589275"/>
          <a:ext cx="197167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742950</xdr:colOff>
      <xdr:row>327</xdr:row>
      <xdr:rowOff>47625</xdr:rowOff>
    </xdr:from>
    <xdr:to>
      <xdr:col>29</xdr:col>
      <xdr:colOff>0</xdr:colOff>
      <xdr:row>327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C49629A2-1089-49BB-9B9F-E3DAB2BBA237}"/>
            </a:ext>
          </a:extLst>
        </xdr:cNvPr>
        <xdr:cNvCxnSpPr/>
      </xdr:nvCxnSpPr>
      <xdr:spPr>
        <a:xfrm flipH="1" flipV="1">
          <a:off x="18859500" y="6743700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371475</xdr:colOff>
      <xdr:row>334</xdr:row>
      <xdr:rowOff>95250</xdr:rowOff>
    </xdr:from>
    <xdr:to>
      <xdr:col>38</xdr:col>
      <xdr:colOff>533400</xdr:colOff>
      <xdr:row>334</xdr:row>
      <xdr:rowOff>95250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A989C44F-C62B-481F-94E3-F4F82EF092F2}"/>
            </a:ext>
          </a:extLst>
        </xdr:cNvPr>
        <xdr:cNvCxnSpPr/>
      </xdr:nvCxnSpPr>
      <xdr:spPr>
        <a:xfrm>
          <a:off x="25346025" y="69199125"/>
          <a:ext cx="1990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303</xdr:row>
      <xdr:rowOff>22411</xdr:rowOff>
    </xdr:from>
    <xdr:to>
      <xdr:col>51</xdr:col>
      <xdr:colOff>0</xdr:colOff>
      <xdr:row>309</xdr:row>
      <xdr:rowOff>11205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3DDFAAB8-8E9E-49DB-B9D5-6A20487E57EF}"/>
            </a:ext>
          </a:extLst>
        </xdr:cNvPr>
        <xdr:cNvCxnSpPr/>
      </xdr:nvCxnSpPr>
      <xdr:spPr>
        <a:xfrm flipV="1">
          <a:off x="35858824" y="53115882"/>
          <a:ext cx="1815352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593912</xdr:colOff>
      <xdr:row>303</xdr:row>
      <xdr:rowOff>0</xdr:rowOff>
    </xdr:from>
    <xdr:to>
      <xdr:col>51</xdr:col>
      <xdr:colOff>11206</xdr:colOff>
      <xdr:row>309</xdr:row>
      <xdr:rowOff>22411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D0F7A9F7-5475-45B4-BA06-86DC5BEFA6A5}"/>
            </a:ext>
          </a:extLst>
        </xdr:cNvPr>
        <xdr:cNvCxnSpPr/>
      </xdr:nvCxnSpPr>
      <xdr:spPr>
        <a:xfrm>
          <a:off x="35847618" y="53093471"/>
          <a:ext cx="1837764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33617</xdr:colOff>
      <xdr:row>303</xdr:row>
      <xdr:rowOff>0</xdr:rowOff>
    </xdr:from>
    <xdr:to>
      <xdr:col>60</xdr:col>
      <xdr:colOff>33616</xdr:colOff>
      <xdr:row>308</xdr:row>
      <xdr:rowOff>179294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6D932548-76DC-4BFF-8597-A8C07F6A5C30}"/>
            </a:ext>
          </a:extLst>
        </xdr:cNvPr>
        <xdr:cNvCxnSpPr/>
      </xdr:nvCxnSpPr>
      <xdr:spPr>
        <a:xfrm flipV="1">
          <a:off x="42784058" y="52902971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33618</xdr:colOff>
      <xdr:row>303</xdr:row>
      <xdr:rowOff>33617</xdr:rowOff>
    </xdr:from>
    <xdr:to>
      <xdr:col>60</xdr:col>
      <xdr:colOff>11206</xdr:colOff>
      <xdr:row>309</xdr:row>
      <xdr:rowOff>22411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7C44B9EB-89EA-4185-B6FA-2603E833358F}"/>
            </a:ext>
          </a:extLst>
        </xdr:cNvPr>
        <xdr:cNvCxnSpPr/>
      </xdr:nvCxnSpPr>
      <xdr:spPr>
        <a:xfrm>
          <a:off x="42784059" y="52936588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33617</xdr:colOff>
      <xdr:row>321</xdr:row>
      <xdr:rowOff>0</xdr:rowOff>
    </xdr:from>
    <xdr:to>
      <xdr:col>51</xdr:col>
      <xdr:colOff>33616</xdr:colOff>
      <xdr:row>326</xdr:row>
      <xdr:rowOff>179294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8B3996EA-8AD7-4437-9383-2D7931E153B4}"/>
            </a:ext>
          </a:extLst>
        </xdr:cNvPr>
        <xdr:cNvCxnSpPr/>
      </xdr:nvCxnSpPr>
      <xdr:spPr>
        <a:xfrm flipV="1">
          <a:off x="42784058" y="52902971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33618</xdr:colOff>
      <xdr:row>321</xdr:row>
      <xdr:rowOff>33617</xdr:rowOff>
    </xdr:from>
    <xdr:to>
      <xdr:col>51</xdr:col>
      <xdr:colOff>11206</xdr:colOff>
      <xdr:row>327</xdr:row>
      <xdr:rowOff>22411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E1AB018B-0F52-4D0A-B3D7-B5A0B720A672}"/>
            </a:ext>
          </a:extLst>
        </xdr:cNvPr>
        <xdr:cNvCxnSpPr/>
      </xdr:nvCxnSpPr>
      <xdr:spPr>
        <a:xfrm>
          <a:off x="42784059" y="52936588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33617</xdr:colOff>
      <xdr:row>321</xdr:row>
      <xdr:rowOff>0</xdr:rowOff>
    </xdr:from>
    <xdr:to>
      <xdr:col>60</xdr:col>
      <xdr:colOff>33616</xdr:colOff>
      <xdr:row>326</xdr:row>
      <xdr:rowOff>179294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1BDCB05A-1BA1-4FFB-98A3-F793754209D2}"/>
            </a:ext>
          </a:extLst>
        </xdr:cNvPr>
        <xdr:cNvCxnSpPr/>
      </xdr:nvCxnSpPr>
      <xdr:spPr>
        <a:xfrm flipV="1">
          <a:off x="35892441" y="56522471"/>
          <a:ext cx="2756646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33618</xdr:colOff>
      <xdr:row>321</xdr:row>
      <xdr:rowOff>33617</xdr:rowOff>
    </xdr:from>
    <xdr:to>
      <xdr:col>60</xdr:col>
      <xdr:colOff>11206</xdr:colOff>
      <xdr:row>327</xdr:row>
      <xdr:rowOff>22411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16D685C1-D0B9-4888-A488-FE1DC0E4647B}"/>
            </a:ext>
          </a:extLst>
        </xdr:cNvPr>
        <xdr:cNvCxnSpPr/>
      </xdr:nvCxnSpPr>
      <xdr:spPr>
        <a:xfrm>
          <a:off x="35892442" y="56556088"/>
          <a:ext cx="2734235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33617</xdr:colOff>
      <xdr:row>340</xdr:row>
      <xdr:rowOff>0</xdr:rowOff>
    </xdr:from>
    <xdr:to>
      <xdr:col>51</xdr:col>
      <xdr:colOff>33616</xdr:colOff>
      <xdr:row>345</xdr:row>
      <xdr:rowOff>179294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6E610F7F-F191-45B0-931A-B13DB210E8D5}"/>
            </a:ext>
          </a:extLst>
        </xdr:cNvPr>
        <xdr:cNvCxnSpPr/>
      </xdr:nvCxnSpPr>
      <xdr:spPr>
        <a:xfrm flipV="1">
          <a:off x="42784058" y="56522471"/>
          <a:ext cx="2734234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33618</xdr:colOff>
      <xdr:row>340</xdr:row>
      <xdr:rowOff>33617</xdr:rowOff>
    </xdr:from>
    <xdr:to>
      <xdr:col>51</xdr:col>
      <xdr:colOff>11206</xdr:colOff>
      <xdr:row>346</xdr:row>
      <xdr:rowOff>22411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C2CC8B40-D6DE-4058-91D0-39FAC1ECBEB7}"/>
            </a:ext>
          </a:extLst>
        </xdr:cNvPr>
        <xdr:cNvCxnSpPr/>
      </xdr:nvCxnSpPr>
      <xdr:spPr>
        <a:xfrm>
          <a:off x="42784059" y="56556088"/>
          <a:ext cx="2711823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33617</xdr:colOff>
      <xdr:row>340</xdr:row>
      <xdr:rowOff>0</xdr:rowOff>
    </xdr:from>
    <xdr:to>
      <xdr:col>60</xdr:col>
      <xdr:colOff>33616</xdr:colOff>
      <xdr:row>345</xdr:row>
      <xdr:rowOff>179294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BAFBE61F-4E13-44BE-9F4E-AF621278E731}"/>
            </a:ext>
          </a:extLst>
        </xdr:cNvPr>
        <xdr:cNvCxnSpPr/>
      </xdr:nvCxnSpPr>
      <xdr:spPr>
        <a:xfrm flipV="1">
          <a:off x="35892441" y="60366088"/>
          <a:ext cx="2756646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33618</xdr:colOff>
      <xdr:row>340</xdr:row>
      <xdr:rowOff>33617</xdr:rowOff>
    </xdr:from>
    <xdr:to>
      <xdr:col>60</xdr:col>
      <xdr:colOff>11206</xdr:colOff>
      <xdr:row>346</xdr:row>
      <xdr:rowOff>22411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908D4202-8994-497D-93B1-BF2452395C92}"/>
            </a:ext>
          </a:extLst>
        </xdr:cNvPr>
        <xdr:cNvCxnSpPr/>
      </xdr:nvCxnSpPr>
      <xdr:spPr>
        <a:xfrm>
          <a:off x="35892442" y="60399705"/>
          <a:ext cx="2734235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33617</xdr:colOff>
      <xdr:row>364</xdr:row>
      <xdr:rowOff>0</xdr:rowOff>
    </xdr:from>
    <xdr:to>
      <xdr:col>51</xdr:col>
      <xdr:colOff>33616</xdr:colOff>
      <xdr:row>366</xdr:row>
      <xdr:rowOff>179294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FFC1973A-0C99-418C-8753-A14DA9A6F692}"/>
            </a:ext>
          </a:extLst>
        </xdr:cNvPr>
        <xdr:cNvCxnSpPr/>
      </xdr:nvCxnSpPr>
      <xdr:spPr>
        <a:xfrm flipV="1">
          <a:off x="42784058" y="60366088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33618</xdr:colOff>
      <xdr:row>364</xdr:row>
      <xdr:rowOff>0</xdr:rowOff>
    </xdr:from>
    <xdr:to>
      <xdr:col>51</xdr:col>
      <xdr:colOff>11206</xdr:colOff>
      <xdr:row>367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24F704EC-B4AD-4E2D-AD1B-C802A348F8CD}"/>
            </a:ext>
          </a:extLst>
        </xdr:cNvPr>
        <xdr:cNvCxnSpPr/>
      </xdr:nvCxnSpPr>
      <xdr:spPr>
        <a:xfrm>
          <a:off x="42784059" y="60399705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33617</xdr:colOff>
      <xdr:row>364</xdr:row>
      <xdr:rowOff>0</xdr:rowOff>
    </xdr:from>
    <xdr:to>
      <xdr:col>60</xdr:col>
      <xdr:colOff>33616</xdr:colOff>
      <xdr:row>366</xdr:row>
      <xdr:rowOff>179294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4E87C4EC-A0F5-40D3-BBD8-62A351840DB7}"/>
            </a:ext>
          </a:extLst>
        </xdr:cNvPr>
        <xdr:cNvCxnSpPr/>
      </xdr:nvCxnSpPr>
      <xdr:spPr>
        <a:xfrm flipV="1">
          <a:off x="35892441" y="63604588"/>
          <a:ext cx="2756646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33618</xdr:colOff>
      <xdr:row>364</xdr:row>
      <xdr:rowOff>0</xdr:rowOff>
    </xdr:from>
    <xdr:to>
      <xdr:col>60</xdr:col>
      <xdr:colOff>11206</xdr:colOff>
      <xdr:row>367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F5E8E62C-6FB2-4BD6-889D-6DBFF4DFF6AE}"/>
            </a:ext>
          </a:extLst>
        </xdr:cNvPr>
        <xdr:cNvCxnSpPr/>
      </xdr:nvCxnSpPr>
      <xdr:spPr>
        <a:xfrm>
          <a:off x="35892442" y="63638205"/>
          <a:ext cx="2734235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33617</xdr:colOff>
      <xdr:row>377</xdr:row>
      <xdr:rowOff>0</xdr:rowOff>
    </xdr:from>
    <xdr:to>
      <xdr:col>51</xdr:col>
      <xdr:colOff>33616</xdr:colOff>
      <xdr:row>382</xdr:row>
      <xdr:rowOff>179294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9951B3A0-AA27-482E-A4B1-5115948AAA84}"/>
            </a:ext>
          </a:extLst>
        </xdr:cNvPr>
        <xdr:cNvCxnSpPr/>
      </xdr:nvCxnSpPr>
      <xdr:spPr>
        <a:xfrm flipV="1">
          <a:off x="42784058" y="63604588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33618</xdr:colOff>
      <xdr:row>377</xdr:row>
      <xdr:rowOff>33617</xdr:rowOff>
    </xdr:from>
    <xdr:to>
      <xdr:col>51</xdr:col>
      <xdr:colOff>11206</xdr:colOff>
      <xdr:row>383</xdr:row>
      <xdr:rowOff>22411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C2C4B5B7-D4B0-42DE-B648-71C70A3A470D}"/>
            </a:ext>
          </a:extLst>
        </xdr:cNvPr>
        <xdr:cNvCxnSpPr/>
      </xdr:nvCxnSpPr>
      <xdr:spPr>
        <a:xfrm>
          <a:off x="42784059" y="63638205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33617</xdr:colOff>
      <xdr:row>377</xdr:row>
      <xdr:rowOff>0</xdr:rowOff>
    </xdr:from>
    <xdr:to>
      <xdr:col>60</xdr:col>
      <xdr:colOff>33616</xdr:colOff>
      <xdr:row>382</xdr:row>
      <xdr:rowOff>179294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748C7F98-FE30-4D36-BBB4-7151AA20D390}"/>
            </a:ext>
          </a:extLst>
        </xdr:cNvPr>
        <xdr:cNvCxnSpPr/>
      </xdr:nvCxnSpPr>
      <xdr:spPr>
        <a:xfrm flipV="1">
          <a:off x="35892441" y="66843088"/>
          <a:ext cx="2756646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33618</xdr:colOff>
      <xdr:row>377</xdr:row>
      <xdr:rowOff>33617</xdr:rowOff>
    </xdr:from>
    <xdr:to>
      <xdr:col>60</xdr:col>
      <xdr:colOff>11206</xdr:colOff>
      <xdr:row>383</xdr:row>
      <xdr:rowOff>22411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BA9647F0-1EF7-429C-B64A-675203B816AD}"/>
            </a:ext>
          </a:extLst>
        </xdr:cNvPr>
        <xdr:cNvCxnSpPr/>
      </xdr:nvCxnSpPr>
      <xdr:spPr>
        <a:xfrm>
          <a:off x="35892442" y="66876705"/>
          <a:ext cx="2734235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257175</xdr:colOff>
      <xdr:row>306</xdr:row>
      <xdr:rowOff>171450</xdr:rowOff>
    </xdr:from>
    <xdr:to>
      <xdr:col>70</xdr:col>
      <xdr:colOff>447675</xdr:colOff>
      <xdr:row>308</xdr:row>
      <xdr:rowOff>38100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506CC2D1-9A7B-41BB-A985-F8D3E0BDC492}"/>
            </a:ext>
          </a:extLst>
        </xdr:cNvPr>
        <xdr:cNvCxnSpPr/>
      </xdr:nvCxnSpPr>
      <xdr:spPr>
        <a:xfrm>
          <a:off x="48863250" y="53644800"/>
          <a:ext cx="32385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447675</xdr:colOff>
      <xdr:row>308</xdr:row>
      <xdr:rowOff>19051</xdr:rowOff>
    </xdr:from>
    <xdr:to>
      <xdr:col>70</xdr:col>
      <xdr:colOff>447676</xdr:colOff>
      <xdr:row>309</xdr:row>
      <xdr:rowOff>66675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853EED7B-A7DE-4D4D-A435-9C66F779562E}"/>
            </a:ext>
          </a:extLst>
        </xdr:cNvPr>
        <xdr:cNvCxnSpPr/>
      </xdr:nvCxnSpPr>
      <xdr:spPr>
        <a:xfrm flipV="1">
          <a:off x="52101750" y="53882926"/>
          <a:ext cx="1" cy="2476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333375</xdr:colOff>
      <xdr:row>309</xdr:row>
      <xdr:rowOff>76200</xdr:rowOff>
    </xdr:from>
    <xdr:to>
      <xdr:col>70</xdr:col>
      <xdr:colOff>457200</xdr:colOff>
      <xdr:row>310</xdr:row>
      <xdr:rowOff>104775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7761459C-2A85-4D0C-9D26-19B7EF554FDC}"/>
            </a:ext>
          </a:extLst>
        </xdr:cNvPr>
        <xdr:cNvCxnSpPr/>
      </xdr:nvCxnSpPr>
      <xdr:spPr>
        <a:xfrm flipV="1">
          <a:off x="48939450" y="54140100"/>
          <a:ext cx="3171825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19050</xdr:colOff>
      <xdr:row>306</xdr:row>
      <xdr:rowOff>161925</xdr:rowOff>
    </xdr:from>
    <xdr:to>
      <xdr:col>65</xdr:col>
      <xdr:colOff>228600</xdr:colOff>
      <xdr:row>306</xdr:row>
      <xdr:rowOff>161925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7206ADFB-EE2E-4120-B8AB-A4A21D89710C}"/>
            </a:ext>
          </a:extLst>
        </xdr:cNvPr>
        <xdr:cNvCxnSpPr/>
      </xdr:nvCxnSpPr>
      <xdr:spPr>
        <a:xfrm>
          <a:off x="48015525" y="53635275"/>
          <a:ext cx="819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66675</xdr:colOff>
      <xdr:row>310</xdr:row>
      <xdr:rowOff>104775</xdr:rowOff>
    </xdr:from>
    <xdr:to>
      <xdr:col>65</xdr:col>
      <xdr:colOff>371475</xdr:colOff>
      <xdr:row>310</xdr:row>
      <xdr:rowOff>104775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C4C325C2-4522-4BFF-86CC-9955A1898F7F}"/>
            </a:ext>
          </a:extLst>
        </xdr:cNvPr>
        <xdr:cNvCxnSpPr/>
      </xdr:nvCxnSpPr>
      <xdr:spPr>
        <a:xfrm>
          <a:off x="48063150" y="54359175"/>
          <a:ext cx="914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38099</xdr:colOff>
      <xdr:row>306</xdr:row>
      <xdr:rowOff>152401</xdr:rowOff>
    </xdr:from>
    <xdr:to>
      <xdr:col>64</xdr:col>
      <xdr:colOff>47625</xdr:colOff>
      <xdr:row>310</xdr:row>
      <xdr:rowOff>104775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7606744A-A7F3-42A8-BDF9-C10385411EFB}"/>
            </a:ext>
          </a:extLst>
        </xdr:cNvPr>
        <xdr:cNvCxnSpPr/>
      </xdr:nvCxnSpPr>
      <xdr:spPr>
        <a:xfrm flipH="1" flipV="1">
          <a:off x="48034574" y="53625751"/>
          <a:ext cx="9526" cy="7334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76200</xdr:colOff>
      <xdr:row>312</xdr:row>
      <xdr:rowOff>142875</xdr:rowOff>
    </xdr:from>
    <xdr:to>
      <xdr:col>70</xdr:col>
      <xdr:colOff>409575</xdr:colOff>
      <xdr:row>312</xdr:row>
      <xdr:rowOff>171450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777857F-62F7-4475-9882-A9C3F616D8C7}"/>
            </a:ext>
          </a:extLst>
        </xdr:cNvPr>
        <xdr:cNvCxnSpPr/>
      </xdr:nvCxnSpPr>
      <xdr:spPr>
        <a:xfrm flipV="1">
          <a:off x="48072675" y="54778275"/>
          <a:ext cx="414337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123825</xdr:colOff>
      <xdr:row>313</xdr:row>
      <xdr:rowOff>142875</xdr:rowOff>
    </xdr:from>
    <xdr:to>
      <xdr:col>70</xdr:col>
      <xdr:colOff>438150</xdr:colOff>
      <xdr:row>313</xdr:row>
      <xdr:rowOff>180976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F084B288-7386-4DC9-8973-08854A15370A}"/>
            </a:ext>
          </a:extLst>
        </xdr:cNvPr>
        <xdr:cNvCxnSpPr/>
      </xdr:nvCxnSpPr>
      <xdr:spPr>
        <a:xfrm flipV="1">
          <a:off x="48120300" y="54968775"/>
          <a:ext cx="4124325" cy="381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66675</xdr:colOff>
      <xdr:row>313</xdr:row>
      <xdr:rowOff>0</xdr:rowOff>
    </xdr:from>
    <xdr:to>
      <xdr:col>64</xdr:col>
      <xdr:colOff>66675</xdr:colOff>
      <xdr:row>313</xdr:row>
      <xdr:rowOff>171450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45E0F8CB-F656-4AFC-8882-1041951D278C}"/>
            </a:ext>
          </a:extLst>
        </xdr:cNvPr>
        <xdr:cNvCxnSpPr/>
      </xdr:nvCxnSpPr>
      <xdr:spPr>
        <a:xfrm>
          <a:off x="48063150" y="54825900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428624</xdr:colOff>
      <xdr:row>312</xdr:row>
      <xdr:rowOff>161925</xdr:rowOff>
    </xdr:from>
    <xdr:to>
      <xdr:col>70</xdr:col>
      <xdr:colOff>428625</xdr:colOff>
      <xdr:row>313</xdr:row>
      <xdr:rowOff>123825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885744FF-FA01-4AFD-87F0-364D021C1A8A}"/>
            </a:ext>
          </a:extLst>
        </xdr:cNvPr>
        <xdr:cNvCxnSpPr/>
      </xdr:nvCxnSpPr>
      <xdr:spPr>
        <a:xfrm flipH="1" flipV="1">
          <a:off x="52235099" y="54797325"/>
          <a:ext cx="1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68036</xdr:colOff>
      <xdr:row>323</xdr:row>
      <xdr:rowOff>27214</xdr:rowOff>
    </xdr:from>
    <xdr:to>
      <xdr:col>66</xdr:col>
      <xdr:colOff>68036</xdr:colOff>
      <xdr:row>334</xdr:row>
      <xdr:rowOff>40822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E47B3F0A-11B2-4A53-A0AD-240C45B30710}"/>
            </a:ext>
          </a:extLst>
        </xdr:cNvPr>
        <xdr:cNvCxnSpPr>
          <a:endCxn id="111" idx="2"/>
        </xdr:cNvCxnSpPr>
      </xdr:nvCxnSpPr>
      <xdr:spPr>
        <a:xfrm flipV="1">
          <a:off x="49611643" y="56973107"/>
          <a:ext cx="0" cy="23404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244928</xdr:colOff>
      <xdr:row>323</xdr:row>
      <xdr:rowOff>27214</xdr:rowOff>
    </xdr:from>
    <xdr:to>
      <xdr:col>67</xdr:col>
      <xdr:colOff>244928</xdr:colOff>
      <xdr:row>333</xdr:row>
      <xdr:rowOff>163286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41742BB-C5DF-4413-BA08-8D1EA5F715DC}"/>
            </a:ext>
          </a:extLst>
        </xdr:cNvPr>
        <xdr:cNvCxnSpPr>
          <a:endCxn id="111" idx="6"/>
        </xdr:cNvCxnSpPr>
      </xdr:nvCxnSpPr>
      <xdr:spPr>
        <a:xfrm flipV="1">
          <a:off x="50400857" y="56973107"/>
          <a:ext cx="0" cy="22723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68036</xdr:colOff>
      <xdr:row>322</xdr:row>
      <xdr:rowOff>54428</xdr:rowOff>
    </xdr:from>
    <xdr:to>
      <xdr:col>67</xdr:col>
      <xdr:colOff>244928</xdr:colOff>
      <xdr:row>324</xdr:row>
      <xdr:rowOff>0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6320B21A-F5AD-4E50-8A45-6B8B903CFCE6}"/>
            </a:ext>
          </a:extLst>
        </xdr:cNvPr>
        <xdr:cNvSpPr/>
      </xdr:nvSpPr>
      <xdr:spPr>
        <a:xfrm>
          <a:off x="49611643" y="56809821"/>
          <a:ext cx="789214" cy="326572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66</xdr:col>
      <xdr:colOff>79825</xdr:colOff>
      <xdr:row>333</xdr:row>
      <xdr:rowOff>160807</xdr:rowOff>
    </xdr:from>
    <xdr:to>
      <xdr:col>67</xdr:col>
      <xdr:colOff>250272</xdr:colOff>
      <xdr:row>334</xdr:row>
      <xdr:rowOff>146539</xdr:rowOff>
    </xdr:to>
    <xdr:sp macro="" textlink="">
      <xdr:nvSpPr>
        <xdr:cNvPr id="119" name="Freeform: Shape 118">
          <a:extLst>
            <a:ext uri="{FF2B5EF4-FFF2-40B4-BE49-F238E27FC236}">
              <a16:creationId xmlns:a16="http://schemas.microsoft.com/office/drawing/2014/main" id="{858C4569-86C5-43F9-BE2C-C86243A59CCE}"/>
            </a:ext>
          </a:extLst>
        </xdr:cNvPr>
        <xdr:cNvSpPr/>
      </xdr:nvSpPr>
      <xdr:spPr>
        <a:xfrm>
          <a:off x="49448633" y="59208480"/>
          <a:ext cx="778581" cy="176232"/>
        </a:xfrm>
        <a:custGeom>
          <a:avLst/>
          <a:gdLst>
            <a:gd name="connsiteX0" fmla="*/ 0 w 782053"/>
            <a:gd name="connsiteY0" fmla="*/ 45118 h 196010"/>
            <a:gd name="connsiteX1" fmla="*/ 381000 w 782053"/>
            <a:gd name="connsiteY1" fmla="*/ 195513 h 196010"/>
            <a:gd name="connsiteX2" fmla="*/ 782053 w 782053"/>
            <a:gd name="connsiteY2" fmla="*/ 0 h 196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2053" h="196010">
              <a:moveTo>
                <a:pt x="0" y="45118"/>
              </a:moveTo>
              <a:cubicBezTo>
                <a:pt x="125329" y="124075"/>
                <a:pt x="250658" y="203033"/>
                <a:pt x="381000" y="195513"/>
              </a:cubicBezTo>
              <a:cubicBezTo>
                <a:pt x="511342" y="187993"/>
                <a:pt x="646697" y="93996"/>
                <a:pt x="782053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255</xdr:row>
      <xdr:rowOff>0</xdr:rowOff>
    </xdr:from>
    <xdr:to>
      <xdr:col>29</xdr:col>
      <xdr:colOff>9525</xdr:colOff>
      <xdr:row>259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1F1F082-6CC9-4AE5-A6BD-6D47D9B2424E}"/>
            </a:ext>
          </a:extLst>
        </xdr:cNvPr>
        <xdr:cNvCxnSpPr/>
      </xdr:nvCxnSpPr>
      <xdr:spPr>
        <a:xfrm>
          <a:off x="19173825" y="51701700"/>
          <a:ext cx="1952625" cy="1171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255</xdr:row>
      <xdr:rowOff>0</xdr:rowOff>
    </xdr:from>
    <xdr:to>
      <xdr:col>29</xdr:col>
      <xdr:colOff>28575</xdr:colOff>
      <xdr:row>259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AB84831-9011-4FC8-9A69-906EF5A10B46}"/>
            </a:ext>
          </a:extLst>
        </xdr:cNvPr>
        <xdr:cNvCxnSpPr/>
      </xdr:nvCxnSpPr>
      <xdr:spPr>
        <a:xfrm flipV="1">
          <a:off x="19173825" y="51701700"/>
          <a:ext cx="1971675" cy="1171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742950</xdr:colOff>
      <xdr:row>259</xdr:row>
      <xdr:rowOff>47625</xdr:rowOff>
    </xdr:from>
    <xdr:to>
      <xdr:col>29</xdr:col>
      <xdr:colOff>0</xdr:colOff>
      <xdr:row>259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44E66A7-7B6C-452B-A1C5-ABBC28153176}"/>
            </a:ext>
          </a:extLst>
        </xdr:cNvPr>
        <xdr:cNvCxnSpPr/>
      </xdr:nvCxnSpPr>
      <xdr:spPr>
        <a:xfrm flipH="1" flipV="1">
          <a:off x="19011900" y="5290185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256</xdr:row>
      <xdr:rowOff>57150</xdr:rowOff>
    </xdr:from>
    <xdr:to>
      <xdr:col>35</xdr:col>
      <xdr:colOff>47625</xdr:colOff>
      <xdr:row>260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F77CF6D3-280C-4802-9F4F-42670F0593C3}"/>
            </a:ext>
          </a:extLst>
        </xdr:cNvPr>
        <xdr:cNvSpPr/>
      </xdr:nvSpPr>
      <xdr:spPr>
        <a:xfrm flipH="1">
          <a:off x="23774400" y="52339875"/>
          <a:ext cx="14001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38100</xdr:colOff>
      <xdr:row>256</xdr:row>
      <xdr:rowOff>66675</xdr:rowOff>
    </xdr:from>
    <xdr:to>
      <xdr:col>36</xdr:col>
      <xdr:colOff>85725</xdr:colOff>
      <xdr:row>260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9B51A6EA-CB35-4C65-A6AF-D6C586ED8161}"/>
            </a:ext>
          </a:extLst>
        </xdr:cNvPr>
        <xdr:cNvSpPr/>
      </xdr:nvSpPr>
      <xdr:spPr>
        <a:xfrm>
          <a:off x="25165050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256</xdr:row>
      <xdr:rowOff>66675</xdr:rowOff>
    </xdr:from>
    <xdr:to>
      <xdr:col>39</xdr:col>
      <xdr:colOff>257175</xdr:colOff>
      <xdr:row>260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58B06268-7F3E-4D96-A6A4-67985076F65D}"/>
            </a:ext>
          </a:extLst>
        </xdr:cNvPr>
        <xdr:cNvSpPr/>
      </xdr:nvSpPr>
      <xdr:spPr>
        <a:xfrm>
          <a:off x="26498550" y="523494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256</xdr:row>
      <xdr:rowOff>66675</xdr:rowOff>
    </xdr:from>
    <xdr:to>
      <xdr:col>37</xdr:col>
      <xdr:colOff>142875</xdr:colOff>
      <xdr:row>260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D1B5A041-9F82-4FD9-8DC4-DDC58901E544}"/>
            </a:ext>
          </a:extLst>
        </xdr:cNvPr>
        <xdr:cNvSpPr/>
      </xdr:nvSpPr>
      <xdr:spPr>
        <a:xfrm flipH="1">
          <a:off x="25831800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44</xdr:col>
      <xdr:colOff>219075</xdr:colOff>
      <xdr:row>256</xdr:row>
      <xdr:rowOff>57150</xdr:rowOff>
    </xdr:from>
    <xdr:to>
      <xdr:col>46</xdr:col>
      <xdr:colOff>47625</xdr:colOff>
      <xdr:row>260</xdr:row>
      <xdr:rowOff>152399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CB4A6433-0787-4F75-ABC6-BF09817F0809}"/>
            </a:ext>
          </a:extLst>
        </xdr:cNvPr>
        <xdr:cNvSpPr/>
      </xdr:nvSpPr>
      <xdr:spPr>
        <a:xfrm flipH="1">
          <a:off x="30832425" y="52339875"/>
          <a:ext cx="15906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38100</xdr:colOff>
      <xdr:row>256</xdr:row>
      <xdr:rowOff>66675</xdr:rowOff>
    </xdr:from>
    <xdr:to>
      <xdr:col>47</xdr:col>
      <xdr:colOff>85725</xdr:colOff>
      <xdr:row>260</xdr:row>
      <xdr:rowOff>152400</xdr:rowOff>
    </xdr:to>
    <xdr:sp macro="" textlink="">
      <xdr:nvSpPr>
        <xdr:cNvPr id="10" name="Right Triangle 9">
          <a:extLst>
            <a:ext uri="{FF2B5EF4-FFF2-40B4-BE49-F238E27FC236}">
              <a16:creationId xmlns:a16="http://schemas.microsoft.com/office/drawing/2014/main" id="{A94A24CD-3D1A-4B1B-8EF5-4C383DB68E44}"/>
            </a:ext>
          </a:extLst>
        </xdr:cNvPr>
        <xdr:cNvSpPr/>
      </xdr:nvSpPr>
      <xdr:spPr>
        <a:xfrm>
          <a:off x="3241357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152400</xdr:colOff>
      <xdr:row>256</xdr:row>
      <xdr:rowOff>66675</xdr:rowOff>
    </xdr:from>
    <xdr:to>
      <xdr:col>50</xdr:col>
      <xdr:colOff>257175</xdr:colOff>
      <xdr:row>260</xdr:row>
      <xdr:rowOff>161924</xdr:rowOff>
    </xdr:to>
    <xdr:sp macro="" textlink="">
      <xdr:nvSpPr>
        <xdr:cNvPr id="11" name="Right Triangle 10">
          <a:extLst>
            <a:ext uri="{FF2B5EF4-FFF2-40B4-BE49-F238E27FC236}">
              <a16:creationId xmlns:a16="http://schemas.microsoft.com/office/drawing/2014/main" id="{8C0F1253-2AD6-4CEE-90D9-EB4701C85997}"/>
            </a:ext>
          </a:extLst>
        </xdr:cNvPr>
        <xdr:cNvSpPr/>
      </xdr:nvSpPr>
      <xdr:spPr>
        <a:xfrm>
          <a:off x="33747075" y="523494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95250</xdr:colOff>
      <xdr:row>256</xdr:row>
      <xdr:rowOff>66675</xdr:rowOff>
    </xdr:from>
    <xdr:to>
      <xdr:col>48</xdr:col>
      <xdr:colOff>142875</xdr:colOff>
      <xdr:row>260</xdr:row>
      <xdr:rowOff>152400</xdr:rowOff>
    </xdr:to>
    <xdr:sp macro="" textlink="">
      <xdr:nvSpPr>
        <xdr:cNvPr id="12" name="Right Triangle 11">
          <a:extLst>
            <a:ext uri="{FF2B5EF4-FFF2-40B4-BE49-F238E27FC236}">
              <a16:creationId xmlns:a16="http://schemas.microsoft.com/office/drawing/2014/main" id="{25EEBF1D-349A-43EB-BE9A-9B01B8A8DAAE}"/>
            </a:ext>
          </a:extLst>
        </xdr:cNvPr>
        <xdr:cNvSpPr/>
      </xdr:nvSpPr>
      <xdr:spPr>
        <a:xfrm flipH="1">
          <a:off x="3308032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219075</xdr:colOff>
      <xdr:row>256</xdr:row>
      <xdr:rowOff>57150</xdr:rowOff>
    </xdr:from>
    <xdr:to>
      <xdr:col>57</xdr:col>
      <xdr:colOff>47625</xdr:colOff>
      <xdr:row>260</xdr:row>
      <xdr:rowOff>152399</xdr:rowOff>
    </xdr:to>
    <xdr:sp macro="" textlink="">
      <xdr:nvSpPr>
        <xdr:cNvPr id="13" name="Right Triangle 12">
          <a:extLst>
            <a:ext uri="{FF2B5EF4-FFF2-40B4-BE49-F238E27FC236}">
              <a16:creationId xmlns:a16="http://schemas.microsoft.com/office/drawing/2014/main" id="{099E9174-1D1E-4434-BAF0-81305D9E5C25}"/>
            </a:ext>
          </a:extLst>
        </xdr:cNvPr>
        <xdr:cNvSpPr/>
      </xdr:nvSpPr>
      <xdr:spPr>
        <a:xfrm flipH="1">
          <a:off x="38080950" y="52339875"/>
          <a:ext cx="154305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57</xdr:col>
      <xdr:colOff>38100</xdr:colOff>
      <xdr:row>256</xdr:row>
      <xdr:rowOff>66675</xdr:rowOff>
    </xdr:from>
    <xdr:to>
      <xdr:col>58</xdr:col>
      <xdr:colOff>85725</xdr:colOff>
      <xdr:row>260</xdr:row>
      <xdr:rowOff>152400</xdr:rowOff>
    </xdr:to>
    <xdr:sp macro="" textlink="">
      <xdr:nvSpPr>
        <xdr:cNvPr id="14" name="Right Triangle 13">
          <a:extLst>
            <a:ext uri="{FF2B5EF4-FFF2-40B4-BE49-F238E27FC236}">
              <a16:creationId xmlns:a16="http://schemas.microsoft.com/office/drawing/2014/main" id="{82603221-8351-4006-95B7-CEFC16873386}"/>
            </a:ext>
          </a:extLst>
        </xdr:cNvPr>
        <xdr:cNvSpPr/>
      </xdr:nvSpPr>
      <xdr:spPr>
        <a:xfrm>
          <a:off x="3961447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152400</xdr:colOff>
      <xdr:row>256</xdr:row>
      <xdr:rowOff>66675</xdr:rowOff>
    </xdr:from>
    <xdr:to>
      <xdr:col>61</xdr:col>
      <xdr:colOff>257175</xdr:colOff>
      <xdr:row>260</xdr:row>
      <xdr:rowOff>161924</xdr:rowOff>
    </xdr:to>
    <xdr:sp macro="" textlink="">
      <xdr:nvSpPr>
        <xdr:cNvPr id="15" name="Right Triangle 14">
          <a:extLst>
            <a:ext uri="{FF2B5EF4-FFF2-40B4-BE49-F238E27FC236}">
              <a16:creationId xmlns:a16="http://schemas.microsoft.com/office/drawing/2014/main" id="{37B87B2E-46E7-478F-B8D8-FFA8FC97651D}"/>
            </a:ext>
          </a:extLst>
        </xdr:cNvPr>
        <xdr:cNvSpPr/>
      </xdr:nvSpPr>
      <xdr:spPr>
        <a:xfrm>
          <a:off x="40947975" y="523494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58</xdr:col>
      <xdr:colOff>95250</xdr:colOff>
      <xdr:row>256</xdr:row>
      <xdr:rowOff>66675</xdr:rowOff>
    </xdr:from>
    <xdr:to>
      <xdr:col>59</xdr:col>
      <xdr:colOff>142875</xdr:colOff>
      <xdr:row>260</xdr:row>
      <xdr:rowOff>152400</xdr:rowOff>
    </xdr:to>
    <xdr:sp macro="" textlink="">
      <xdr:nvSpPr>
        <xdr:cNvPr id="16" name="Right Triangle 15">
          <a:extLst>
            <a:ext uri="{FF2B5EF4-FFF2-40B4-BE49-F238E27FC236}">
              <a16:creationId xmlns:a16="http://schemas.microsoft.com/office/drawing/2014/main" id="{EE6B6DCD-C2D4-4D85-801E-F73CE08A6591}"/>
            </a:ext>
          </a:extLst>
        </xdr:cNvPr>
        <xdr:cNvSpPr/>
      </xdr:nvSpPr>
      <xdr:spPr>
        <a:xfrm flipH="1">
          <a:off x="4028122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58</xdr:col>
      <xdr:colOff>95250</xdr:colOff>
      <xdr:row>256</xdr:row>
      <xdr:rowOff>76200</xdr:rowOff>
    </xdr:from>
    <xdr:to>
      <xdr:col>58</xdr:col>
      <xdr:colOff>104775</xdr:colOff>
      <xdr:row>260</xdr:row>
      <xdr:rowOff>152400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3E15749-90FC-4BE2-96FD-D4DFEEFE5805}"/>
            </a:ext>
          </a:extLst>
        </xdr:cNvPr>
        <xdr:cNvCxnSpPr>
          <a:stCxn id="16" idx="4"/>
        </xdr:cNvCxnSpPr>
      </xdr:nvCxnSpPr>
      <xdr:spPr>
        <a:xfrm flipV="1">
          <a:off x="40281225" y="52358925"/>
          <a:ext cx="9525" cy="838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277</xdr:row>
      <xdr:rowOff>0</xdr:rowOff>
    </xdr:from>
    <xdr:to>
      <xdr:col>29</xdr:col>
      <xdr:colOff>9525</xdr:colOff>
      <xdr:row>281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8430E008-0C74-4737-BD35-4FB7C29139C0}"/>
            </a:ext>
          </a:extLst>
        </xdr:cNvPr>
        <xdr:cNvCxnSpPr/>
      </xdr:nvCxnSpPr>
      <xdr:spPr>
        <a:xfrm>
          <a:off x="19173825" y="56321325"/>
          <a:ext cx="19526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277</xdr:row>
      <xdr:rowOff>0</xdr:rowOff>
    </xdr:from>
    <xdr:to>
      <xdr:col>29</xdr:col>
      <xdr:colOff>28575</xdr:colOff>
      <xdr:row>281</xdr:row>
      <xdr:rowOff>19050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DF98ED2-6610-474C-B336-658DC38F1D36}"/>
            </a:ext>
          </a:extLst>
        </xdr:cNvPr>
        <xdr:cNvCxnSpPr/>
      </xdr:nvCxnSpPr>
      <xdr:spPr>
        <a:xfrm flipV="1">
          <a:off x="19173825" y="56321325"/>
          <a:ext cx="197167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742950</xdr:colOff>
      <xdr:row>281</xdr:row>
      <xdr:rowOff>47625</xdr:rowOff>
    </xdr:from>
    <xdr:to>
      <xdr:col>29</xdr:col>
      <xdr:colOff>0</xdr:colOff>
      <xdr:row>281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2511518B-FE22-4228-AF22-83A2C2977B09}"/>
            </a:ext>
          </a:extLst>
        </xdr:cNvPr>
        <xdr:cNvCxnSpPr/>
      </xdr:nvCxnSpPr>
      <xdr:spPr>
        <a:xfrm flipH="1" flipV="1">
          <a:off x="19011900" y="5716905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371475</xdr:colOff>
      <xdr:row>288</xdr:row>
      <xdr:rowOff>95250</xdr:rowOff>
    </xdr:from>
    <xdr:to>
      <xdr:col>38</xdr:col>
      <xdr:colOff>533400</xdr:colOff>
      <xdr:row>288</xdr:row>
      <xdr:rowOff>95250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C754D34E-EC46-4246-B281-621615EB174F}"/>
            </a:ext>
          </a:extLst>
        </xdr:cNvPr>
        <xdr:cNvCxnSpPr/>
      </xdr:nvCxnSpPr>
      <xdr:spPr>
        <a:xfrm>
          <a:off x="25498425" y="58931175"/>
          <a:ext cx="1990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256</xdr:row>
      <xdr:rowOff>0</xdr:rowOff>
    </xdr:from>
    <xdr:to>
      <xdr:col>26</xdr:col>
      <xdr:colOff>9525</xdr:colOff>
      <xdr:row>260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14658975" y="34318575"/>
          <a:ext cx="2171700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256</xdr:row>
      <xdr:rowOff>0</xdr:rowOff>
    </xdr:from>
    <xdr:to>
      <xdr:col>26</xdr:col>
      <xdr:colOff>28575</xdr:colOff>
      <xdr:row>260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flipV="1">
          <a:off x="14658975" y="34318575"/>
          <a:ext cx="2190750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742950</xdr:colOff>
      <xdr:row>260</xdr:row>
      <xdr:rowOff>47625</xdr:rowOff>
    </xdr:from>
    <xdr:to>
      <xdr:col>26</xdr:col>
      <xdr:colOff>0</xdr:colOff>
      <xdr:row>260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14649450" y="35890200"/>
          <a:ext cx="2171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219075</xdr:colOff>
      <xdr:row>257</xdr:row>
      <xdr:rowOff>57150</xdr:rowOff>
    </xdr:from>
    <xdr:to>
      <xdr:col>32</xdr:col>
      <xdr:colOff>47625</xdr:colOff>
      <xdr:row>261</xdr:row>
      <xdr:rowOff>152399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 flipH="1">
          <a:off x="19478625" y="35328225"/>
          <a:ext cx="12477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38100</xdr:colOff>
      <xdr:row>257</xdr:row>
      <xdr:rowOff>66675</xdr:rowOff>
    </xdr:from>
    <xdr:to>
      <xdr:col>33</xdr:col>
      <xdr:colOff>85725</xdr:colOff>
      <xdr:row>261</xdr:row>
      <xdr:rowOff>152400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0716875" y="353377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152400</xdr:colOff>
      <xdr:row>257</xdr:row>
      <xdr:rowOff>66675</xdr:rowOff>
    </xdr:from>
    <xdr:to>
      <xdr:col>36</xdr:col>
      <xdr:colOff>257175</xdr:colOff>
      <xdr:row>261</xdr:row>
      <xdr:rowOff>161924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22050375" y="353377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95250</xdr:colOff>
      <xdr:row>257</xdr:row>
      <xdr:rowOff>66675</xdr:rowOff>
    </xdr:from>
    <xdr:to>
      <xdr:col>34</xdr:col>
      <xdr:colOff>142875</xdr:colOff>
      <xdr:row>261</xdr:row>
      <xdr:rowOff>152400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 flipH="1">
          <a:off x="21383625" y="353377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41</xdr:col>
      <xdr:colOff>219075</xdr:colOff>
      <xdr:row>257</xdr:row>
      <xdr:rowOff>57150</xdr:rowOff>
    </xdr:from>
    <xdr:to>
      <xdr:col>43</xdr:col>
      <xdr:colOff>47625</xdr:colOff>
      <xdr:row>261</xdr:row>
      <xdr:rowOff>152399</xdr:rowOff>
    </xdr:to>
    <xdr:sp macro="" textlink="">
      <xdr:nvSpPr>
        <xdr:cNvPr id="11" name="Right Triangl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 flipH="1">
          <a:off x="18507075" y="35937825"/>
          <a:ext cx="104775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38100</xdr:colOff>
      <xdr:row>257</xdr:row>
      <xdr:rowOff>66675</xdr:rowOff>
    </xdr:from>
    <xdr:to>
      <xdr:col>44</xdr:col>
      <xdr:colOff>85725</xdr:colOff>
      <xdr:row>261</xdr:row>
      <xdr:rowOff>152400</xdr:rowOff>
    </xdr:to>
    <xdr:sp macro="" textlink="">
      <xdr:nvSpPr>
        <xdr:cNvPr id="12" name="Right Triangle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954530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45</xdr:col>
      <xdr:colOff>152400</xdr:colOff>
      <xdr:row>257</xdr:row>
      <xdr:rowOff>66675</xdr:rowOff>
    </xdr:from>
    <xdr:to>
      <xdr:col>47</xdr:col>
      <xdr:colOff>257175</xdr:colOff>
      <xdr:row>261</xdr:row>
      <xdr:rowOff>161924</xdr:rowOff>
    </xdr:to>
    <xdr:sp macro="" textlink="">
      <xdr:nvSpPr>
        <xdr:cNvPr id="13" name="Right Triangle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20878800" y="359473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44</xdr:col>
      <xdr:colOff>95250</xdr:colOff>
      <xdr:row>257</xdr:row>
      <xdr:rowOff>66675</xdr:rowOff>
    </xdr:from>
    <xdr:to>
      <xdr:col>45</xdr:col>
      <xdr:colOff>142875</xdr:colOff>
      <xdr:row>261</xdr:row>
      <xdr:rowOff>152400</xdr:rowOff>
    </xdr:to>
    <xdr:sp macro="" textlink="">
      <xdr:nvSpPr>
        <xdr:cNvPr id="14" name="Right Triangle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 flipH="1">
          <a:off x="2021205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52</xdr:col>
      <xdr:colOff>219075</xdr:colOff>
      <xdr:row>257</xdr:row>
      <xdr:rowOff>57150</xdr:rowOff>
    </xdr:from>
    <xdr:to>
      <xdr:col>54</xdr:col>
      <xdr:colOff>47625</xdr:colOff>
      <xdr:row>261</xdr:row>
      <xdr:rowOff>152399</xdr:rowOff>
    </xdr:to>
    <xdr:sp macro="" textlink="">
      <xdr:nvSpPr>
        <xdr:cNvPr id="16" name="Right Triangle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 flipH="1">
          <a:off x="25736550" y="35937825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38100</xdr:colOff>
      <xdr:row>257</xdr:row>
      <xdr:rowOff>66675</xdr:rowOff>
    </xdr:from>
    <xdr:to>
      <xdr:col>55</xdr:col>
      <xdr:colOff>85725</xdr:colOff>
      <xdr:row>261</xdr:row>
      <xdr:rowOff>152400</xdr:rowOff>
    </xdr:to>
    <xdr:sp macro="" textlink="">
      <xdr:nvSpPr>
        <xdr:cNvPr id="17" name="Right Triangle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2705100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56</xdr:col>
      <xdr:colOff>152400</xdr:colOff>
      <xdr:row>257</xdr:row>
      <xdr:rowOff>66675</xdr:rowOff>
    </xdr:from>
    <xdr:to>
      <xdr:col>58</xdr:col>
      <xdr:colOff>257175</xdr:colOff>
      <xdr:row>261</xdr:row>
      <xdr:rowOff>161924</xdr:rowOff>
    </xdr:to>
    <xdr:sp macro="" textlink="">
      <xdr:nvSpPr>
        <xdr:cNvPr id="18" name="Right Triangle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28384500" y="359473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95250</xdr:colOff>
      <xdr:row>257</xdr:row>
      <xdr:rowOff>66675</xdr:rowOff>
    </xdr:from>
    <xdr:to>
      <xdr:col>56</xdr:col>
      <xdr:colOff>142875</xdr:colOff>
      <xdr:row>261</xdr:row>
      <xdr:rowOff>152400</xdr:rowOff>
    </xdr:to>
    <xdr:sp macro="" textlink="">
      <xdr:nvSpPr>
        <xdr:cNvPr id="19" name="Right Triangle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 flipH="1">
          <a:off x="2771775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95250</xdr:colOff>
      <xdr:row>257</xdr:row>
      <xdr:rowOff>76200</xdr:rowOff>
    </xdr:from>
    <xdr:to>
      <xdr:col>55</xdr:col>
      <xdr:colOff>104775</xdr:colOff>
      <xdr:row>261</xdr:row>
      <xdr:rowOff>152400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>
          <a:stCxn id="19" idx="4"/>
        </xdr:cNvCxnSpPr>
      </xdr:nvCxnSpPr>
      <xdr:spPr>
        <a:xfrm flipV="1">
          <a:off x="27717750" y="35956875"/>
          <a:ext cx="9525" cy="838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278</xdr:row>
      <xdr:rowOff>0</xdr:rowOff>
    </xdr:from>
    <xdr:to>
      <xdr:col>26</xdr:col>
      <xdr:colOff>9525</xdr:colOff>
      <xdr:row>282</xdr:row>
      <xdr:rowOff>19050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>
          <a:off x="15725775" y="35652075"/>
          <a:ext cx="1952625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278</xdr:row>
      <xdr:rowOff>0</xdr:rowOff>
    </xdr:from>
    <xdr:to>
      <xdr:col>26</xdr:col>
      <xdr:colOff>28575</xdr:colOff>
      <xdr:row>282</xdr:row>
      <xdr:rowOff>19050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flipV="1">
          <a:off x="15725775" y="35652075"/>
          <a:ext cx="1971675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742950</xdr:colOff>
      <xdr:row>282</xdr:row>
      <xdr:rowOff>47625</xdr:rowOff>
    </xdr:from>
    <xdr:to>
      <xdr:col>26</xdr:col>
      <xdr:colOff>0</xdr:colOff>
      <xdr:row>282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flipH="1" flipV="1">
          <a:off x="15678150" y="37223700"/>
          <a:ext cx="19907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371475</xdr:colOff>
      <xdr:row>289</xdr:row>
      <xdr:rowOff>95250</xdr:rowOff>
    </xdr:from>
    <xdr:to>
      <xdr:col>35</xdr:col>
      <xdr:colOff>533400</xdr:colOff>
      <xdr:row>289</xdr:row>
      <xdr:rowOff>95250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>
          <a:off x="25155525" y="47482125"/>
          <a:ext cx="1990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281</xdr:row>
      <xdr:rowOff>0</xdr:rowOff>
    </xdr:from>
    <xdr:to>
      <xdr:col>26</xdr:col>
      <xdr:colOff>9525</xdr:colOff>
      <xdr:row>285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7678400" y="24050625"/>
          <a:ext cx="209550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281</xdr:row>
      <xdr:rowOff>0</xdr:rowOff>
    </xdr:from>
    <xdr:to>
      <xdr:col>26</xdr:col>
      <xdr:colOff>28575</xdr:colOff>
      <xdr:row>285</xdr:row>
      <xdr:rowOff>19050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17678400" y="24050625"/>
          <a:ext cx="211455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742950</xdr:colOff>
      <xdr:row>285</xdr:row>
      <xdr:rowOff>47625</xdr:rowOff>
    </xdr:from>
    <xdr:to>
      <xdr:col>26</xdr:col>
      <xdr:colOff>0</xdr:colOff>
      <xdr:row>285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 flipV="1">
          <a:off x="17668875" y="25241250"/>
          <a:ext cx="2095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280</xdr:row>
      <xdr:rowOff>161925</xdr:rowOff>
    </xdr:from>
    <xdr:to>
      <xdr:col>26</xdr:col>
      <xdr:colOff>47625</xdr:colOff>
      <xdr:row>280</xdr:row>
      <xdr:rowOff>161925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678400" y="24022050"/>
          <a:ext cx="2133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219075</xdr:colOff>
      <xdr:row>282</xdr:row>
      <xdr:rowOff>57150</xdr:rowOff>
    </xdr:from>
    <xdr:to>
      <xdr:col>32</xdr:col>
      <xdr:colOff>47625</xdr:colOff>
      <xdr:row>286</xdr:row>
      <xdr:rowOff>152399</xdr:rowOff>
    </xdr:to>
    <xdr:sp macro="" textlink="">
      <xdr:nvSpPr>
        <xdr:cNvPr id="22" name="Right Tri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flipH="1">
          <a:off x="22421850" y="24679275"/>
          <a:ext cx="137160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38100</xdr:colOff>
      <xdr:row>282</xdr:row>
      <xdr:rowOff>66675</xdr:rowOff>
    </xdr:from>
    <xdr:to>
      <xdr:col>33</xdr:col>
      <xdr:colOff>85725</xdr:colOff>
      <xdr:row>286</xdr:row>
      <xdr:rowOff>152400</xdr:rowOff>
    </xdr:to>
    <xdr:sp macro="" textlink="">
      <xdr:nvSpPr>
        <xdr:cNvPr id="23" name="Right Tri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3783925" y="246888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152400</xdr:colOff>
      <xdr:row>282</xdr:row>
      <xdr:rowOff>66675</xdr:rowOff>
    </xdr:from>
    <xdr:to>
      <xdr:col>36</xdr:col>
      <xdr:colOff>257175</xdr:colOff>
      <xdr:row>286</xdr:row>
      <xdr:rowOff>161924</xdr:rowOff>
    </xdr:to>
    <xdr:sp macro="" textlink="">
      <xdr:nvSpPr>
        <xdr:cNvPr id="24" name="Right Tri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117425" y="246888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95250</xdr:colOff>
      <xdr:row>282</xdr:row>
      <xdr:rowOff>66675</xdr:rowOff>
    </xdr:from>
    <xdr:to>
      <xdr:col>34</xdr:col>
      <xdr:colOff>142875</xdr:colOff>
      <xdr:row>286</xdr:row>
      <xdr:rowOff>152400</xdr:rowOff>
    </xdr:to>
    <xdr:sp macro="" textlink="">
      <xdr:nvSpPr>
        <xdr:cNvPr id="25" name="Right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flipH="1">
          <a:off x="24450675" y="246888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51"/>
  <sheetViews>
    <sheetView tabSelected="1" topLeftCell="A238" zoomScaleNormal="100" workbookViewId="0">
      <selection activeCell="D212" sqref="D212"/>
    </sheetView>
  </sheetViews>
  <sheetFormatPr defaultRowHeight="15" x14ac:dyDescent="0.25"/>
  <cols>
    <col min="2" max="2" width="17.7109375" customWidth="1"/>
    <col min="3" max="3" width="19.140625" customWidth="1"/>
    <col min="4" max="4" width="22" customWidth="1"/>
    <col min="5" max="5" width="10.7109375" customWidth="1"/>
    <col min="8" max="8" width="18.7109375" customWidth="1"/>
    <col min="9" max="9" width="10.42578125" customWidth="1"/>
    <col min="11" max="11" width="12.85546875" customWidth="1"/>
    <col min="12" max="12" width="13" bestFit="1" customWidth="1"/>
    <col min="13" max="13" width="16.7109375" bestFit="1" customWidth="1"/>
    <col min="14" max="22" width="12.85546875" customWidth="1"/>
    <col min="23" max="24" width="14.140625" customWidth="1"/>
    <col min="25" max="26" width="13.42578125" customWidth="1"/>
    <col min="27" max="27" width="11" customWidth="1"/>
    <col min="35" max="35" width="14.42578125" customWidth="1"/>
    <col min="46" max="46" width="17.28515625" customWidth="1"/>
    <col min="49" max="49" width="23.140625" customWidth="1"/>
    <col min="57" max="57" width="16.5703125" customWidth="1"/>
    <col min="58" max="58" width="22.85546875" bestFit="1" customWidth="1"/>
    <col min="65" max="65" width="12.28515625" bestFit="1" customWidth="1"/>
  </cols>
  <sheetData>
    <row r="1" spans="1:11" x14ac:dyDescent="0.25">
      <c r="A1" s="72" t="s">
        <v>417</v>
      </c>
    </row>
    <row r="3" spans="1:11" x14ac:dyDescent="0.25">
      <c r="A3" t="s">
        <v>45</v>
      </c>
      <c r="C3">
        <f>2*(4.5*2.5*2/27)</f>
        <v>1.6666666666666667</v>
      </c>
      <c r="D3" t="s">
        <v>8</v>
      </c>
    </row>
    <row r="4" spans="1:11" x14ac:dyDescent="0.25">
      <c r="A4" t="s">
        <v>46</v>
      </c>
      <c r="C4">
        <f>2*(4.5*2.5*2/27)</f>
        <v>1.6666666666666667</v>
      </c>
      <c r="D4" t="s">
        <v>8</v>
      </c>
    </row>
    <row r="5" spans="1:11" x14ac:dyDescent="0.25">
      <c r="A5" s="171" t="s">
        <v>381</v>
      </c>
      <c r="B5" s="7"/>
      <c r="C5" s="171">
        <f>ROUNDUP(SUM(C2:C4),0)</f>
        <v>4</v>
      </c>
      <c r="D5" s="171" t="s">
        <v>8</v>
      </c>
    </row>
    <row r="7" spans="1:11" x14ac:dyDescent="0.25">
      <c r="A7" s="72" t="s">
        <v>44</v>
      </c>
    </row>
    <row r="9" spans="1:11" x14ac:dyDescent="0.25">
      <c r="A9" t="s">
        <v>303</v>
      </c>
      <c r="C9">
        <f>2*(2*(8+331+329+331+8))</f>
        <v>4028</v>
      </c>
    </row>
    <row r="10" spans="1:11" x14ac:dyDescent="0.25">
      <c r="A10" t="s">
        <v>45</v>
      </c>
      <c r="C10">
        <f>38*2+6</f>
        <v>82</v>
      </c>
    </row>
    <row r="11" spans="1:11" x14ac:dyDescent="0.25">
      <c r="A11" t="s">
        <v>46</v>
      </c>
      <c r="C11">
        <f>38*2+6</f>
        <v>82</v>
      </c>
    </row>
    <row r="12" spans="1:11" x14ac:dyDescent="0.25">
      <c r="A12" s="171" t="s">
        <v>381</v>
      </c>
      <c r="B12" s="7"/>
      <c r="C12" s="171">
        <f>SUM(C9:C11)</f>
        <v>4192</v>
      </c>
      <c r="D12" s="171" t="s">
        <v>116</v>
      </c>
    </row>
    <row r="15" spans="1:11" x14ac:dyDescent="0.25">
      <c r="A15" s="72" t="s">
        <v>284</v>
      </c>
      <c r="K15" t="s">
        <v>277</v>
      </c>
    </row>
    <row r="16" spans="1:11" x14ac:dyDescent="0.25">
      <c r="A16" s="2"/>
    </row>
    <row r="17" spans="1:5" x14ac:dyDescent="0.25">
      <c r="A17" s="6" t="s">
        <v>379</v>
      </c>
    </row>
    <row r="18" spans="1:5" x14ac:dyDescent="0.25">
      <c r="A18" s="64" t="s">
        <v>292</v>
      </c>
      <c r="D18">
        <v>4.08</v>
      </c>
      <c r="E18" t="s">
        <v>278</v>
      </c>
    </row>
    <row r="19" spans="1:5" x14ac:dyDescent="0.25">
      <c r="A19" s="64" t="s">
        <v>293</v>
      </c>
      <c r="D19" s="1">
        <f>(1+1025.5+1 - (4*0.4166))-(2*11.333)</f>
        <v>1003.1675999999999</v>
      </c>
      <c r="E19" t="s">
        <v>2</v>
      </c>
    </row>
    <row r="20" spans="1:5" x14ac:dyDescent="0.25">
      <c r="A20" s="64" t="s">
        <v>294</v>
      </c>
      <c r="D20">
        <v>2</v>
      </c>
      <c r="E20" t="s">
        <v>116</v>
      </c>
    </row>
    <row r="21" spans="1:5" x14ac:dyDescent="0.25">
      <c r="A21" s="64" t="s">
        <v>56</v>
      </c>
      <c r="D21" s="1">
        <f>D18*D19*D20</f>
        <v>8185.8476159999991</v>
      </c>
      <c r="E21" t="s">
        <v>295</v>
      </c>
    </row>
    <row r="22" spans="1:5" x14ac:dyDescent="0.25">
      <c r="A22" s="64"/>
      <c r="D22">
        <f>ROUNDUP(D21/27,0)</f>
        <v>304</v>
      </c>
      <c r="E22" t="s">
        <v>8</v>
      </c>
    </row>
    <row r="23" spans="1:5" x14ac:dyDescent="0.25">
      <c r="A23" s="64"/>
    </row>
    <row r="24" spans="1:5" x14ac:dyDescent="0.25">
      <c r="A24" s="64" t="s">
        <v>380</v>
      </c>
      <c r="D24" s="1">
        <f>(4*(11.33/14)*1.82)</f>
        <v>5.8916000000000004</v>
      </c>
      <c r="E24" t="s">
        <v>8</v>
      </c>
    </row>
    <row r="25" spans="1:5" x14ac:dyDescent="0.25">
      <c r="A25" s="64" t="s">
        <v>381</v>
      </c>
      <c r="D25" s="1">
        <f>D22+D24</f>
        <v>309.89159999999998</v>
      </c>
      <c r="E25" t="s">
        <v>8</v>
      </c>
    </row>
    <row r="27" spans="1:5" x14ac:dyDescent="0.25">
      <c r="A27" s="6" t="s">
        <v>289</v>
      </c>
    </row>
    <row r="29" spans="1:5" x14ac:dyDescent="0.25">
      <c r="A29" t="s">
        <v>142</v>
      </c>
      <c r="D29">
        <v>3</v>
      </c>
      <c r="E29" t="s">
        <v>2</v>
      </c>
    </row>
    <row r="30" spans="1:5" x14ac:dyDescent="0.25">
      <c r="A30" t="s">
        <v>143</v>
      </c>
      <c r="D30">
        <v>36.5</v>
      </c>
      <c r="E30" t="s">
        <v>2</v>
      </c>
    </row>
    <row r="31" spans="1:5" x14ac:dyDescent="0.25">
      <c r="A31" t="s">
        <v>283</v>
      </c>
      <c r="D31">
        <v>9</v>
      </c>
      <c r="E31" t="s">
        <v>49</v>
      </c>
    </row>
    <row r="32" spans="1:5" x14ac:dyDescent="0.25">
      <c r="A32" t="s">
        <v>287</v>
      </c>
      <c r="D32">
        <v>2.5</v>
      </c>
      <c r="E32" t="s">
        <v>49</v>
      </c>
    </row>
    <row r="33" spans="1:5" x14ac:dyDescent="0.25">
      <c r="A33" t="s">
        <v>144</v>
      </c>
      <c r="D33">
        <v>9</v>
      </c>
      <c r="E33" t="s">
        <v>49</v>
      </c>
    </row>
    <row r="34" spans="1:5" x14ac:dyDescent="0.25">
      <c r="A34" s="188" t="s">
        <v>50</v>
      </c>
      <c r="B34" s="188"/>
    </row>
    <row r="35" spans="1:5" x14ac:dyDescent="0.25">
      <c r="A35" s="188"/>
      <c r="B35" s="188"/>
      <c r="D35">
        <v>2.5</v>
      </c>
      <c r="E35" t="s">
        <v>49</v>
      </c>
    </row>
    <row r="36" spans="1:5" x14ac:dyDescent="0.25">
      <c r="A36" t="s">
        <v>145</v>
      </c>
      <c r="D36">
        <v>3.5</v>
      </c>
      <c r="E36" t="s">
        <v>2</v>
      </c>
    </row>
    <row r="37" spans="1:5" x14ac:dyDescent="0.25">
      <c r="A37" t="s">
        <v>286</v>
      </c>
      <c r="D37">
        <v>1.5</v>
      </c>
      <c r="E37" t="s">
        <v>2</v>
      </c>
    </row>
    <row r="39" spans="1:5" x14ac:dyDescent="0.25">
      <c r="A39" t="s">
        <v>51</v>
      </c>
      <c r="D39" s="1">
        <f>(D29*D30*(D33+D35)/12)</f>
        <v>104.9375</v>
      </c>
      <c r="E39" t="s">
        <v>13</v>
      </c>
    </row>
    <row r="40" spans="1:5" x14ac:dyDescent="0.25">
      <c r="D40" s="1">
        <f>D39/27</f>
        <v>3.886574074074074</v>
      </c>
      <c r="E40" t="s">
        <v>8</v>
      </c>
    </row>
    <row r="43" spans="1:5" x14ac:dyDescent="0.25">
      <c r="A43" s="6" t="s">
        <v>395</v>
      </c>
    </row>
    <row r="45" spans="1:5" x14ac:dyDescent="0.25">
      <c r="A45" t="s">
        <v>142</v>
      </c>
      <c r="D45">
        <v>3</v>
      </c>
      <c r="E45" t="s">
        <v>2</v>
      </c>
    </row>
    <row r="46" spans="1:5" x14ac:dyDescent="0.25">
      <c r="A46" t="s">
        <v>143</v>
      </c>
      <c r="D46">
        <v>36.5</v>
      </c>
      <c r="E46" t="s">
        <v>2</v>
      </c>
    </row>
    <row r="47" spans="1:5" x14ac:dyDescent="0.25">
      <c r="A47" t="s">
        <v>283</v>
      </c>
      <c r="D47">
        <v>9</v>
      </c>
      <c r="E47" t="s">
        <v>49</v>
      </c>
    </row>
    <row r="48" spans="1:5" ht="15" customHeight="1" x14ac:dyDescent="0.25">
      <c r="A48" t="s">
        <v>287</v>
      </c>
      <c r="D48">
        <v>2.5</v>
      </c>
      <c r="E48" t="s">
        <v>49</v>
      </c>
    </row>
    <row r="49" spans="1:5" x14ac:dyDescent="0.25">
      <c r="A49" t="s">
        <v>144</v>
      </c>
      <c r="D49">
        <v>9</v>
      </c>
      <c r="E49" t="s">
        <v>49</v>
      </c>
    </row>
    <row r="50" spans="1:5" x14ac:dyDescent="0.25">
      <c r="A50" s="188" t="s">
        <v>50</v>
      </c>
      <c r="B50" s="188"/>
    </row>
    <row r="51" spans="1:5" x14ac:dyDescent="0.25">
      <c r="A51" s="188"/>
      <c r="B51" s="188"/>
      <c r="D51">
        <v>2.5</v>
      </c>
      <c r="E51" t="s">
        <v>49</v>
      </c>
    </row>
    <row r="52" spans="1:5" x14ac:dyDescent="0.25">
      <c r="A52" t="s">
        <v>145</v>
      </c>
      <c r="D52">
        <v>3.5</v>
      </c>
      <c r="E52" t="s">
        <v>2</v>
      </c>
    </row>
    <row r="53" spans="1:5" x14ac:dyDescent="0.25">
      <c r="A53" t="s">
        <v>286</v>
      </c>
      <c r="D53">
        <v>1.5</v>
      </c>
      <c r="E53" t="s">
        <v>2</v>
      </c>
    </row>
    <row r="55" spans="1:5" x14ac:dyDescent="0.25">
      <c r="A55" t="s">
        <v>51</v>
      </c>
      <c r="D55" s="1">
        <f>(D45*D46*(D49+D51)/12)</f>
        <v>104.9375</v>
      </c>
      <c r="E55" t="s">
        <v>13</v>
      </c>
    </row>
    <row r="56" spans="1:5" x14ac:dyDescent="0.25">
      <c r="D56" s="1">
        <f>D55/27</f>
        <v>3.886574074074074</v>
      </c>
      <c r="E56" t="s">
        <v>8</v>
      </c>
    </row>
    <row r="57" spans="1:5" x14ac:dyDescent="0.25">
      <c r="D57" s="1"/>
    </row>
    <row r="58" spans="1:5" x14ac:dyDescent="0.25">
      <c r="D58" s="1"/>
    </row>
    <row r="59" spans="1:5" x14ac:dyDescent="0.25">
      <c r="A59" s="6" t="s">
        <v>396</v>
      </c>
    </row>
    <row r="61" spans="1:5" x14ac:dyDescent="0.25">
      <c r="A61" t="s">
        <v>142</v>
      </c>
      <c r="D61">
        <v>3</v>
      </c>
      <c r="E61" t="s">
        <v>2</v>
      </c>
    </row>
    <row r="62" spans="1:5" x14ac:dyDescent="0.25">
      <c r="A62" t="s">
        <v>143</v>
      </c>
      <c r="D62">
        <v>36.5</v>
      </c>
      <c r="E62" t="s">
        <v>2</v>
      </c>
    </row>
    <row r="63" spans="1:5" x14ac:dyDescent="0.25">
      <c r="A63" t="s">
        <v>283</v>
      </c>
      <c r="D63">
        <v>9</v>
      </c>
      <c r="E63" t="s">
        <v>49</v>
      </c>
    </row>
    <row r="64" spans="1:5" ht="15" customHeight="1" x14ac:dyDescent="0.25">
      <c r="A64" t="s">
        <v>287</v>
      </c>
      <c r="D64">
        <v>2.5</v>
      </c>
      <c r="E64" t="s">
        <v>49</v>
      </c>
    </row>
    <row r="65" spans="1:5" x14ac:dyDescent="0.25">
      <c r="A65" t="s">
        <v>144</v>
      </c>
      <c r="D65">
        <v>9</v>
      </c>
      <c r="E65" t="s">
        <v>49</v>
      </c>
    </row>
    <row r="66" spans="1:5" x14ac:dyDescent="0.25">
      <c r="A66" s="188" t="s">
        <v>50</v>
      </c>
      <c r="B66" s="188"/>
    </row>
    <row r="67" spans="1:5" x14ac:dyDescent="0.25">
      <c r="A67" s="188"/>
      <c r="B67" s="188"/>
      <c r="D67">
        <v>2.5</v>
      </c>
      <c r="E67" t="s">
        <v>49</v>
      </c>
    </row>
    <row r="68" spans="1:5" x14ac:dyDescent="0.25">
      <c r="A68" t="s">
        <v>145</v>
      </c>
      <c r="D68">
        <v>3.5</v>
      </c>
      <c r="E68" t="s">
        <v>2</v>
      </c>
    </row>
    <row r="69" spans="1:5" x14ac:dyDescent="0.25">
      <c r="A69" t="s">
        <v>286</v>
      </c>
      <c r="D69">
        <v>1.5</v>
      </c>
      <c r="E69" t="s">
        <v>2</v>
      </c>
    </row>
    <row r="71" spans="1:5" x14ac:dyDescent="0.25">
      <c r="A71" t="s">
        <v>51</v>
      </c>
      <c r="D71" s="1">
        <f>(D61*D62*(D65+D67)/12)</f>
        <v>104.9375</v>
      </c>
      <c r="E71" t="s">
        <v>13</v>
      </c>
    </row>
    <row r="72" spans="1:5" x14ac:dyDescent="0.25">
      <c r="D72" s="1">
        <f>D71/27</f>
        <v>3.886574074074074</v>
      </c>
      <c r="E72" t="s">
        <v>8</v>
      </c>
    </row>
    <row r="73" spans="1:5" x14ac:dyDescent="0.25">
      <c r="D73" s="1"/>
    </row>
    <row r="74" spans="1:5" x14ac:dyDescent="0.25">
      <c r="D74" s="1"/>
    </row>
    <row r="75" spans="1:5" x14ac:dyDescent="0.25">
      <c r="A75" s="6" t="s">
        <v>290</v>
      </c>
    </row>
    <row r="77" spans="1:5" x14ac:dyDescent="0.25">
      <c r="A77" t="s">
        <v>142</v>
      </c>
      <c r="D77">
        <v>3</v>
      </c>
      <c r="E77" t="s">
        <v>2</v>
      </c>
    </row>
    <row r="78" spans="1:5" x14ac:dyDescent="0.25">
      <c r="A78" t="s">
        <v>143</v>
      </c>
      <c r="D78">
        <v>36.5</v>
      </c>
      <c r="E78" t="s">
        <v>2</v>
      </c>
    </row>
    <row r="79" spans="1:5" x14ac:dyDescent="0.25">
      <c r="A79" t="s">
        <v>283</v>
      </c>
      <c r="D79">
        <v>9</v>
      </c>
      <c r="E79" t="s">
        <v>49</v>
      </c>
    </row>
    <row r="80" spans="1:5" ht="15" customHeight="1" x14ac:dyDescent="0.25">
      <c r="A80" t="s">
        <v>287</v>
      </c>
      <c r="D80">
        <v>2.5</v>
      </c>
      <c r="E80" t="s">
        <v>49</v>
      </c>
    </row>
    <row r="81" spans="1:5" x14ac:dyDescent="0.25">
      <c r="A81" t="s">
        <v>144</v>
      </c>
      <c r="D81">
        <v>9</v>
      </c>
      <c r="E81" t="s">
        <v>49</v>
      </c>
    </row>
    <row r="82" spans="1:5" x14ac:dyDescent="0.25">
      <c r="A82" s="188" t="s">
        <v>50</v>
      </c>
      <c r="B82" s="188"/>
    </row>
    <row r="83" spans="1:5" x14ac:dyDescent="0.25">
      <c r="A83" s="188"/>
      <c r="B83" s="188"/>
      <c r="D83">
        <v>2.5</v>
      </c>
      <c r="E83" t="s">
        <v>49</v>
      </c>
    </row>
    <row r="84" spans="1:5" x14ac:dyDescent="0.25">
      <c r="A84" t="s">
        <v>145</v>
      </c>
      <c r="D84">
        <v>3.5</v>
      </c>
      <c r="E84" t="s">
        <v>2</v>
      </c>
    </row>
    <row r="85" spans="1:5" x14ac:dyDescent="0.25">
      <c r="A85" t="s">
        <v>286</v>
      </c>
      <c r="D85">
        <v>1.5</v>
      </c>
      <c r="E85" t="s">
        <v>2</v>
      </c>
    </row>
    <row r="87" spans="1:5" x14ac:dyDescent="0.25">
      <c r="A87" t="s">
        <v>51</v>
      </c>
      <c r="D87" s="1">
        <f>(D77*D78*(D81+D83)/12)</f>
        <v>104.9375</v>
      </c>
      <c r="E87" t="s">
        <v>13</v>
      </c>
    </row>
    <row r="88" spans="1:5" x14ac:dyDescent="0.25">
      <c r="D88" s="1">
        <f>D87/27</f>
        <v>3.886574074074074</v>
      </c>
      <c r="E88" t="s">
        <v>8</v>
      </c>
    </row>
    <row r="89" spans="1:5" x14ac:dyDescent="0.25">
      <c r="D89" s="1"/>
    </row>
    <row r="90" spans="1:5" x14ac:dyDescent="0.25">
      <c r="D90" s="1"/>
    </row>
    <row r="92" spans="1:5" x14ac:dyDescent="0.25">
      <c r="A92" s="171" t="s">
        <v>28</v>
      </c>
      <c r="B92" s="7"/>
      <c r="C92" s="7"/>
      <c r="D92" s="173">
        <f>ROUNDUP(D25+D40+D56+D72+D88,0)</f>
        <v>326</v>
      </c>
      <c r="E92" s="171" t="s">
        <v>8</v>
      </c>
    </row>
    <row r="94" spans="1:5" x14ac:dyDescent="0.25">
      <c r="A94" s="72" t="s">
        <v>285</v>
      </c>
    </row>
    <row r="96" spans="1:5" x14ac:dyDescent="0.25">
      <c r="A96" s="6" t="s">
        <v>291</v>
      </c>
    </row>
    <row r="97" spans="1:5" x14ac:dyDescent="0.25">
      <c r="A97" s="64" t="s">
        <v>292</v>
      </c>
      <c r="D97">
        <v>0</v>
      </c>
      <c r="E97" t="s">
        <v>278</v>
      </c>
    </row>
    <row r="98" spans="1:5" x14ac:dyDescent="0.25">
      <c r="A98" s="64" t="s">
        <v>293</v>
      </c>
      <c r="D98">
        <v>2.6659999999999999</v>
      </c>
      <c r="E98" t="s">
        <v>2</v>
      </c>
    </row>
    <row r="99" spans="1:5" x14ac:dyDescent="0.25">
      <c r="A99" s="64" t="s">
        <v>294</v>
      </c>
      <c r="D99">
        <v>4</v>
      </c>
      <c r="E99" t="s">
        <v>116</v>
      </c>
    </row>
    <row r="100" spans="1:5" x14ac:dyDescent="0.25">
      <c r="A100" s="64" t="s">
        <v>296</v>
      </c>
      <c r="D100">
        <f>(2.67/14)*1.82</f>
        <v>0.34709999999999996</v>
      </c>
      <c r="E100" t="s">
        <v>297</v>
      </c>
    </row>
    <row r="101" spans="1:5" x14ac:dyDescent="0.25">
      <c r="A101" s="64" t="s">
        <v>298</v>
      </c>
      <c r="D101">
        <v>4</v>
      </c>
      <c r="E101" t="s">
        <v>116</v>
      </c>
    </row>
    <row r="102" spans="1:5" x14ac:dyDescent="0.25">
      <c r="A102" s="64"/>
    </row>
    <row r="103" spans="1:5" x14ac:dyDescent="0.25">
      <c r="A103" s="64" t="s">
        <v>56</v>
      </c>
      <c r="D103" s="1">
        <f>(D97*D98*D99/27)+(D100*D101)</f>
        <v>1.3883999999999999</v>
      </c>
      <c r="E103" t="s">
        <v>8</v>
      </c>
    </row>
    <row r="104" spans="1:5" x14ac:dyDescent="0.25">
      <c r="A104" s="64"/>
    </row>
    <row r="105" spans="1:5" x14ac:dyDescent="0.25">
      <c r="A105" s="64"/>
    </row>
    <row r="106" spans="1:5" x14ac:dyDescent="0.25">
      <c r="A106" s="6" t="s">
        <v>48</v>
      </c>
    </row>
    <row r="108" spans="1:5" x14ac:dyDescent="0.25">
      <c r="A108" t="s">
        <v>382</v>
      </c>
      <c r="D108" s="1">
        <v>64.900000000000006</v>
      </c>
      <c r="E108" t="s">
        <v>2</v>
      </c>
    </row>
    <row r="109" spans="1:5" x14ac:dyDescent="0.25">
      <c r="A109" t="s">
        <v>288</v>
      </c>
      <c r="D109" s="1">
        <f>AVERAGE(1.333,1.62)</f>
        <v>1.4765000000000001</v>
      </c>
      <c r="E109" t="s">
        <v>2</v>
      </c>
    </row>
    <row r="110" spans="1:5" x14ac:dyDescent="0.25">
      <c r="D110" s="1"/>
    </row>
    <row r="111" spans="1:5" x14ac:dyDescent="0.25">
      <c r="A111" t="s">
        <v>56</v>
      </c>
      <c r="D111" s="1">
        <f>D108*D109</f>
        <v>95.824850000000012</v>
      </c>
      <c r="E111" t="s">
        <v>13</v>
      </c>
    </row>
    <row r="112" spans="1:5" x14ac:dyDescent="0.25">
      <c r="D112" s="1">
        <f>D111/27</f>
        <v>3.5490685185185189</v>
      </c>
      <c r="E112" t="s">
        <v>8</v>
      </c>
    </row>
    <row r="114" spans="1:5" x14ac:dyDescent="0.25">
      <c r="A114" s="6" t="s">
        <v>53</v>
      </c>
    </row>
    <row r="116" spans="1:5" x14ac:dyDescent="0.25">
      <c r="A116" t="s">
        <v>382</v>
      </c>
      <c r="D116" s="1">
        <v>47.4</v>
      </c>
      <c r="E116" t="s">
        <v>40</v>
      </c>
    </row>
    <row r="117" spans="1:5" x14ac:dyDescent="0.25">
      <c r="A117" t="s">
        <v>288</v>
      </c>
      <c r="D117" s="1">
        <f>AVERAGE(1.333,1.62)</f>
        <v>1.4765000000000001</v>
      </c>
      <c r="E117" t="s">
        <v>2</v>
      </c>
    </row>
    <row r="118" spans="1:5" x14ac:dyDescent="0.25">
      <c r="D118" s="1"/>
    </row>
    <row r="119" spans="1:5" x14ac:dyDescent="0.25">
      <c r="A119" t="s">
        <v>56</v>
      </c>
      <c r="D119" s="1">
        <f>D116*D117</f>
        <v>69.986100000000008</v>
      </c>
      <c r="E119" t="s">
        <v>13</v>
      </c>
    </row>
    <row r="120" spans="1:5" x14ac:dyDescent="0.25">
      <c r="D120" s="1">
        <f>D119/27</f>
        <v>2.5920777777777779</v>
      </c>
      <c r="E120" t="s">
        <v>8</v>
      </c>
    </row>
    <row r="122" spans="1:5" x14ac:dyDescent="0.25">
      <c r="A122" s="171" t="s">
        <v>57</v>
      </c>
      <c r="B122" s="7"/>
      <c r="C122" s="7"/>
      <c r="D122" s="173">
        <f>ROUNDUP((D103+D112+D120),0)</f>
        <v>8</v>
      </c>
      <c r="E122" s="171" t="s">
        <v>8</v>
      </c>
    </row>
    <row r="126" spans="1:5" x14ac:dyDescent="0.25">
      <c r="B126" s="6"/>
      <c r="C126" s="6"/>
      <c r="D126" s="6"/>
      <c r="E126" s="6"/>
    </row>
    <row r="127" spans="1:5" s="151" customFormat="1" x14ac:dyDescent="0.25">
      <c r="A127" s="172" t="s">
        <v>58</v>
      </c>
      <c r="B127" s="150"/>
      <c r="C127" s="150"/>
      <c r="D127" s="150"/>
      <c r="E127" s="150"/>
    </row>
    <row r="128" spans="1:5" x14ac:dyDescent="0.25">
      <c r="A128" s="2"/>
    </row>
    <row r="129" spans="1:5" x14ac:dyDescent="0.25">
      <c r="A129" s="3" t="s">
        <v>299</v>
      </c>
      <c r="B129" s="3"/>
    </row>
    <row r="130" spans="1:5" x14ac:dyDescent="0.25">
      <c r="A130" t="s">
        <v>60</v>
      </c>
      <c r="D130">
        <f>1+1025.5+1</f>
        <v>1027.5</v>
      </c>
      <c r="E130" t="s">
        <v>2</v>
      </c>
    </row>
    <row r="131" spans="1:5" x14ac:dyDescent="0.25">
      <c r="A131" t="s">
        <v>248</v>
      </c>
      <c r="D131">
        <v>11.25</v>
      </c>
      <c r="E131" t="s">
        <v>2</v>
      </c>
    </row>
    <row r="132" spans="1:5" x14ac:dyDescent="0.25">
      <c r="A132" t="s">
        <v>61</v>
      </c>
      <c r="D132">
        <v>2</v>
      </c>
    </row>
    <row r="133" spans="1:5" x14ac:dyDescent="0.25">
      <c r="A133" t="s">
        <v>62</v>
      </c>
      <c r="D133">
        <f>D130*D131*D132</f>
        <v>23118.75</v>
      </c>
      <c r="E133" t="s">
        <v>40</v>
      </c>
    </row>
    <row r="134" spans="1:5" x14ac:dyDescent="0.25">
      <c r="D134" s="2">
        <f>ROUNDUP(D133/9,0)</f>
        <v>2569</v>
      </c>
      <c r="E134" s="2" t="s">
        <v>24</v>
      </c>
    </row>
    <row r="136" spans="1:5" x14ac:dyDescent="0.25">
      <c r="A136" s="6" t="s">
        <v>63</v>
      </c>
    </row>
    <row r="137" spans="1:5" x14ac:dyDescent="0.25">
      <c r="A137" t="s">
        <v>64</v>
      </c>
      <c r="D137">
        <v>7</v>
      </c>
    </row>
    <row r="138" spans="1:5" x14ac:dyDescent="0.25">
      <c r="A138" t="s">
        <v>76</v>
      </c>
      <c r="D138">
        <v>3</v>
      </c>
      <c r="E138" t="s">
        <v>2</v>
      </c>
    </row>
    <row r="139" spans="1:5" x14ac:dyDescent="0.25">
      <c r="A139" t="s">
        <v>65</v>
      </c>
      <c r="D139">
        <f>D138*4</f>
        <v>12</v>
      </c>
      <c r="E139" t="s">
        <v>40</v>
      </c>
    </row>
    <row r="140" spans="1:5" x14ac:dyDescent="0.25">
      <c r="A140" t="s">
        <v>68</v>
      </c>
      <c r="D140">
        <v>2</v>
      </c>
    </row>
    <row r="142" spans="1:5" x14ac:dyDescent="0.25">
      <c r="A142" t="s">
        <v>66</v>
      </c>
      <c r="D142">
        <f>D138*4</f>
        <v>12</v>
      </c>
      <c r="E142" t="s">
        <v>40</v>
      </c>
    </row>
    <row r="143" spans="1:5" x14ac:dyDescent="0.25">
      <c r="A143" t="s">
        <v>69</v>
      </c>
      <c r="D143">
        <v>2</v>
      </c>
    </row>
    <row r="145" spans="1:8" x14ac:dyDescent="0.25">
      <c r="A145" t="s">
        <v>67</v>
      </c>
      <c r="D145">
        <f>4*(4+5.25)/2</f>
        <v>18.5</v>
      </c>
      <c r="E145" t="s">
        <v>40</v>
      </c>
    </row>
    <row r="146" spans="1:8" x14ac:dyDescent="0.25">
      <c r="A146" t="s">
        <v>70</v>
      </c>
      <c r="D146">
        <v>4</v>
      </c>
    </row>
    <row r="148" spans="1:8" x14ac:dyDescent="0.25">
      <c r="A148" t="s">
        <v>71</v>
      </c>
    </row>
    <row r="149" spans="1:8" x14ac:dyDescent="0.25">
      <c r="A149" t="s">
        <v>73</v>
      </c>
      <c r="D149">
        <v>17.100000000000001</v>
      </c>
      <c r="E149" t="s">
        <v>72</v>
      </c>
    </row>
    <row r="150" spans="1:8" x14ac:dyDescent="0.25">
      <c r="A150" t="s">
        <v>74</v>
      </c>
      <c r="D150">
        <f>4/COS(D149*PI()/180)</f>
        <v>4.1850065213585914</v>
      </c>
      <c r="E150" t="s">
        <v>2</v>
      </c>
    </row>
    <row r="151" spans="1:8" x14ac:dyDescent="0.25">
      <c r="A151" t="s">
        <v>75</v>
      </c>
      <c r="D151">
        <f>D138*D150</f>
        <v>12.555019564075774</v>
      </c>
      <c r="E151" t="s">
        <v>40</v>
      </c>
    </row>
    <row r="152" spans="1:8" x14ac:dyDescent="0.25">
      <c r="A152" t="s">
        <v>77</v>
      </c>
      <c r="D152">
        <v>2</v>
      </c>
    </row>
    <row r="154" spans="1:8" x14ac:dyDescent="0.25">
      <c r="A154" t="s">
        <v>78</v>
      </c>
      <c r="D154">
        <f>D137*(D139*D140+D142*D143+D145*D146+D151*D152)</f>
        <v>1029.7702738970609</v>
      </c>
      <c r="E154" t="s">
        <v>40</v>
      </c>
    </row>
    <row r="155" spans="1:8" x14ac:dyDescent="0.25">
      <c r="D155" s="2">
        <f>ROUNDUP(D154/9,0)</f>
        <v>115</v>
      </c>
      <c r="E155" s="2" t="s">
        <v>24</v>
      </c>
    </row>
    <row r="157" spans="1:8" x14ac:dyDescent="0.25">
      <c r="A157" s="3" t="s">
        <v>80</v>
      </c>
      <c r="B157" s="3"/>
      <c r="C157" s="3"/>
      <c r="D157" s="3"/>
      <c r="E157" s="3"/>
      <c r="F157" s="3"/>
      <c r="G157" s="3"/>
      <c r="H157" s="3"/>
    </row>
    <row r="159" spans="1:8" x14ac:dyDescent="0.25">
      <c r="A159" t="s">
        <v>81</v>
      </c>
      <c r="D159">
        <v>2</v>
      </c>
      <c r="E159" t="s">
        <v>2</v>
      </c>
    </row>
    <row r="160" spans="1:8" x14ac:dyDescent="0.25">
      <c r="A160" t="s">
        <v>82</v>
      </c>
      <c r="D160">
        <v>33.5</v>
      </c>
      <c r="E160" t="s">
        <v>2</v>
      </c>
    </row>
    <row r="161" spans="1:8" x14ac:dyDescent="0.25">
      <c r="A161" t="s">
        <v>276</v>
      </c>
      <c r="D161">
        <v>3</v>
      </c>
      <c r="E161" t="s">
        <v>2</v>
      </c>
    </row>
    <row r="162" spans="1:8" x14ac:dyDescent="0.25">
      <c r="A162" t="s">
        <v>88</v>
      </c>
      <c r="D162">
        <v>1.75</v>
      </c>
      <c r="E162" t="s">
        <v>2</v>
      </c>
    </row>
    <row r="163" spans="1:8" x14ac:dyDescent="0.25">
      <c r="A163" t="s">
        <v>275</v>
      </c>
      <c r="D163">
        <v>7.5</v>
      </c>
      <c r="E163" t="s">
        <v>2</v>
      </c>
    </row>
    <row r="165" spans="1:8" x14ac:dyDescent="0.25">
      <c r="A165" t="s">
        <v>84</v>
      </c>
      <c r="D165">
        <f>D160*D161</f>
        <v>100.5</v>
      </c>
      <c r="E165" t="s">
        <v>40</v>
      </c>
    </row>
    <row r="166" spans="1:8" x14ac:dyDescent="0.25">
      <c r="A166" t="s">
        <v>85</v>
      </c>
      <c r="D166">
        <f>D160*D159</f>
        <v>67</v>
      </c>
      <c r="E166" t="s">
        <v>40</v>
      </c>
    </row>
    <row r="167" spans="1:8" x14ac:dyDescent="0.25">
      <c r="A167" t="s">
        <v>86</v>
      </c>
      <c r="D167">
        <f>2*(D159*D161)</f>
        <v>12</v>
      </c>
      <c r="E167" t="s">
        <v>40</v>
      </c>
    </row>
    <row r="169" spans="1:8" ht="15" customHeight="1" x14ac:dyDescent="0.25">
      <c r="A169" s="31" t="s">
        <v>300</v>
      </c>
      <c r="B169" s="69"/>
      <c r="D169">
        <f>D163*D160</f>
        <v>251.25</v>
      </c>
      <c r="E169" t="s">
        <v>40</v>
      </c>
    </row>
    <row r="170" spans="1:8" x14ac:dyDescent="0.25">
      <c r="A170" s="69"/>
      <c r="B170" s="69"/>
      <c r="H170" s="70"/>
    </row>
    <row r="171" spans="1:8" x14ac:dyDescent="0.25">
      <c r="A171" s="4"/>
      <c r="B171" s="4"/>
    </row>
    <row r="172" spans="1:8" ht="15" customHeight="1" x14ac:dyDescent="0.25">
      <c r="A172" s="31" t="s">
        <v>397</v>
      </c>
      <c r="B172" s="71"/>
      <c r="D172">
        <f>125.6</f>
        <v>125.6</v>
      </c>
      <c r="E172" t="s">
        <v>87</v>
      </c>
    </row>
    <row r="173" spans="1:8" ht="15" customHeight="1" x14ac:dyDescent="0.25">
      <c r="A173" s="31" t="s">
        <v>399</v>
      </c>
      <c r="B173" s="71"/>
      <c r="D173">
        <f>21.5*(1.75+0.5)</f>
        <v>48.375</v>
      </c>
      <c r="E173" t="s">
        <v>40</v>
      </c>
    </row>
    <row r="174" spans="1:8" x14ac:dyDescent="0.25">
      <c r="A174" s="31" t="s">
        <v>398</v>
      </c>
      <c r="B174" s="71"/>
      <c r="D174">
        <v>144</v>
      </c>
      <c r="E174" t="s">
        <v>87</v>
      </c>
    </row>
    <row r="175" spans="1:8" x14ac:dyDescent="0.25">
      <c r="A175" s="31" t="s">
        <v>399</v>
      </c>
      <c r="B175" s="71"/>
      <c r="D175">
        <f>23*(1.75+0.5)</f>
        <v>51.75</v>
      </c>
      <c r="E175" t="s">
        <v>40</v>
      </c>
    </row>
    <row r="177" spans="1:8" x14ac:dyDescent="0.25">
      <c r="A177" t="s">
        <v>78</v>
      </c>
      <c r="D177">
        <f>D165+D166+D167+D169+D172+D173+D174+D175</f>
        <v>800.47500000000002</v>
      </c>
      <c r="E177" t="s">
        <v>40</v>
      </c>
    </row>
    <row r="178" spans="1:8" x14ac:dyDescent="0.25">
      <c r="D178" s="2">
        <f>ROUNDUP(D177/9,0)</f>
        <v>89</v>
      </c>
      <c r="E178" s="2" t="s">
        <v>24</v>
      </c>
    </row>
    <row r="181" spans="1:8" x14ac:dyDescent="0.25">
      <c r="A181" s="3" t="s">
        <v>89</v>
      </c>
      <c r="B181" s="3"/>
      <c r="C181" s="3"/>
      <c r="D181" s="3"/>
      <c r="E181" s="3"/>
      <c r="F181" s="3"/>
      <c r="G181" s="3"/>
      <c r="H181" s="3"/>
    </row>
    <row r="183" spans="1:8" x14ac:dyDescent="0.25">
      <c r="A183" t="s">
        <v>81</v>
      </c>
      <c r="D183">
        <v>2</v>
      </c>
      <c r="E183" t="s">
        <v>2</v>
      </c>
    </row>
    <row r="184" spans="1:8" x14ac:dyDescent="0.25">
      <c r="A184" t="s">
        <v>82</v>
      </c>
      <c r="D184">
        <v>33.5</v>
      </c>
      <c r="E184" t="s">
        <v>2</v>
      </c>
    </row>
    <row r="185" spans="1:8" x14ac:dyDescent="0.25">
      <c r="A185" t="s">
        <v>276</v>
      </c>
      <c r="D185">
        <v>3</v>
      </c>
      <c r="E185" t="s">
        <v>2</v>
      </c>
    </row>
    <row r="186" spans="1:8" x14ac:dyDescent="0.25">
      <c r="A186" t="s">
        <v>88</v>
      </c>
      <c r="D186">
        <v>1.75</v>
      </c>
      <c r="E186" t="s">
        <v>2</v>
      </c>
    </row>
    <row r="187" spans="1:8" x14ac:dyDescent="0.25">
      <c r="A187" t="s">
        <v>275</v>
      </c>
      <c r="D187">
        <v>7.5</v>
      </c>
      <c r="E187" t="s">
        <v>2</v>
      </c>
    </row>
    <row r="189" spans="1:8" x14ac:dyDescent="0.25">
      <c r="A189" t="s">
        <v>84</v>
      </c>
      <c r="D189">
        <f>D184*D185</f>
        <v>100.5</v>
      </c>
      <c r="E189" t="s">
        <v>40</v>
      </c>
    </row>
    <row r="190" spans="1:8" x14ac:dyDescent="0.25">
      <c r="A190" t="s">
        <v>85</v>
      </c>
      <c r="D190">
        <f>D184*D183</f>
        <v>67</v>
      </c>
      <c r="E190" t="s">
        <v>40</v>
      </c>
    </row>
    <row r="191" spans="1:8" x14ac:dyDescent="0.25">
      <c r="A191" t="s">
        <v>86</v>
      </c>
      <c r="D191">
        <f>2*(D183*D185)</f>
        <v>12</v>
      </c>
      <c r="E191" t="s">
        <v>40</v>
      </c>
    </row>
    <row r="192" spans="1:8" ht="15" customHeight="1" x14ac:dyDescent="0.25"/>
    <row r="193" spans="1:5" x14ac:dyDescent="0.25">
      <c r="A193" s="31" t="s">
        <v>300</v>
      </c>
      <c r="B193" s="149"/>
      <c r="D193">
        <f>D187*D184</f>
        <v>251.25</v>
      </c>
      <c r="E193" t="s">
        <v>40</v>
      </c>
    </row>
    <row r="194" spans="1:5" x14ac:dyDescent="0.25">
      <c r="A194" s="149"/>
      <c r="B194" s="149"/>
    </row>
    <row r="195" spans="1:5" ht="15" customHeight="1" x14ac:dyDescent="0.25">
      <c r="A195" s="4"/>
      <c r="B195" s="4"/>
    </row>
    <row r="196" spans="1:5" x14ac:dyDescent="0.25">
      <c r="A196" s="31" t="s">
        <v>397</v>
      </c>
      <c r="B196" s="71"/>
      <c r="D196">
        <f>124.9</f>
        <v>124.9</v>
      </c>
      <c r="E196" t="s">
        <v>87</v>
      </c>
    </row>
    <row r="197" spans="1:5" x14ac:dyDescent="0.25">
      <c r="A197" s="31" t="s">
        <v>399</v>
      </c>
      <c r="B197" s="71"/>
      <c r="D197">
        <f>21.5*(1.75+0.5)</f>
        <v>48.375</v>
      </c>
      <c r="E197" t="s">
        <v>40</v>
      </c>
    </row>
    <row r="198" spans="1:5" x14ac:dyDescent="0.25">
      <c r="A198" s="31" t="s">
        <v>398</v>
      </c>
      <c r="B198" s="71"/>
      <c r="D198">
        <v>124.9</v>
      </c>
      <c r="E198" t="s">
        <v>87</v>
      </c>
    </row>
    <row r="199" spans="1:5" x14ac:dyDescent="0.25">
      <c r="A199" s="31" t="s">
        <v>399</v>
      </c>
      <c r="B199" s="71"/>
      <c r="D199">
        <f>21.5*(1.75+0.5)</f>
        <v>48.375</v>
      </c>
      <c r="E199" t="s">
        <v>40</v>
      </c>
    </row>
    <row r="201" spans="1:5" x14ac:dyDescent="0.25">
      <c r="A201" t="s">
        <v>78</v>
      </c>
      <c r="D201">
        <f>D189+D190+D191+D193+D196+D197+D198+D199</f>
        <v>777.3</v>
      </c>
      <c r="E201" t="s">
        <v>40</v>
      </c>
    </row>
    <row r="202" spans="1:5" x14ac:dyDescent="0.25">
      <c r="D202" s="2">
        <f>ROUNDUP(D201/9,0)</f>
        <v>87</v>
      </c>
      <c r="E202" s="2" t="s">
        <v>24</v>
      </c>
    </row>
    <row r="204" spans="1:5" x14ac:dyDescent="0.25">
      <c r="A204" s="171" t="s">
        <v>90</v>
      </c>
      <c r="B204" s="7"/>
      <c r="C204" s="7"/>
      <c r="D204" s="171">
        <f>ROUNDUP(D134+D155+D178+D202,0)</f>
        <v>2860</v>
      </c>
      <c r="E204" s="171" t="s">
        <v>24</v>
      </c>
    </row>
    <row r="207" spans="1:5" s="151" customFormat="1" x14ac:dyDescent="0.25">
      <c r="A207" s="172" t="s">
        <v>79</v>
      </c>
    </row>
    <row r="209" spans="1:8" x14ac:dyDescent="0.25">
      <c r="A209" s="3" t="s">
        <v>299</v>
      </c>
      <c r="B209" s="3"/>
    </row>
    <row r="210" spans="1:8" x14ac:dyDescent="0.25">
      <c r="A210" t="s">
        <v>60</v>
      </c>
      <c r="D210">
        <v>1027.5</v>
      </c>
      <c r="E210" t="s">
        <v>2</v>
      </c>
    </row>
    <row r="211" spans="1:8" x14ac:dyDescent="0.25">
      <c r="A211" t="s">
        <v>248</v>
      </c>
      <c r="D211">
        <v>1.5</v>
      </c>
      <c r="E211" t="s">
        <v>2</v>
      </c>
    </row>
    <row r="212" spans="1:8" x14ac:dyDescent="0.25">
      <c r="A212" t="s">
        <v>61</v>
      </c>
      <c r="D212">
        <v>2</v>
      </c>
    </row>
    <row r="213" spans="1:8" x14ac:dyDescent="0.25">
      <c r="A213" t="s">
        <v>62</v>
      </c>
      <c r="D213">
        <f>D210*D211*D212</f>
        <v>3082.5</v>
      </c>
      <c r="E213" t="s">
        <v>40</v>
      </c>
    </row>
    <row r="214" spans="1:8" x14ac:dyDescent="0.25">
      <c r="D214">
        <f>D213/9</f>
        <v>342.5</v>
      </c>
      <c r="E214" t="s">
        <v>24</v>
      </c>
    </row>
    <row r="217" spans="1:8" x14ac:dyDescent="0.25">
      <c r="A217" s="3" t="s">
        <v>80</v>
      </c>
      <c r="B217" s="3"/>
      <c r="C217" s="3"/>
      <c r="D217" s="3"/>
      <c r="E217" s="3"/>
      <c r="F217" s="3"/>
      <c r="G217" s="3"/>
      <c r="H217" s="3"/>
    </row>
    <row r="219" spans="1:8" x14ac:dyDescent="0.25">
      <c r="A219" t="s">
        <v>81</v>
      </c>
      <c r="D219">
        <v>2</v>
      </c>
      <c r="E219" t="s">
        <v>2</v>
      </c>
    </row>
    <row r="220" spans="1:8" x14ac:dyDescent="0.25">
      <c r="A220" t="s">
        <v>82</v>
      </c>
      <c r="D220">
        <v>33.5</v>
      </c>
      <c r="E220" t="s">
        <v>2</v>
      </c>
    </row>
    <row r="221" spans="1:8" x14ac:dyDescent="0.25">
      <c r="A221" t="s">
        <v>276</v>
      </c>
      <c r="D221">
        <v>3</v>
      </c>
      <c r="E221" t="s">
        <v>2</v>
      </c>
    </row>
    <row r="222" spans="1:8" x14ac:dyDescent="0.25">
      <c r="A222" t="s">
        <v>88</v>
      </c>
      <c r="D222">
        <v>1.75</v>
      </c>
      <c r="E222" t="s">
        <v>2</v>
      </c>
    </row>
    <row r="223" spans="1:8" x14ac:dyDescent="0.25">
      <c r="A223" t="s">
        <v>275</v>
      </c>
      <c r="D223">
        <v>7.5</v>
      </c>
      <c r="E223" t="s">
        <v>2</v>
      </c>
    </row>
    <row r="225" spans="1:8" x14ac:dyDescent="0.25">
      <c r="A225" t="s">
        <v>84</v>
      </c>
      <c r="D225">
        <f>D220*D221</f>
        <v>100.5</v>
      </c>
      <c r="E225" t="s">
        <v>40</v>
      </c>
    </row>
    <row r="226" spans="1:8" x14ac:dyDescent="0.25">
      <c r="A226" t="s">
        <v>85</v>
      </c>
      <c r="D226">
        <f>D220*D219</f>
        <v>67</v>
      </c>
      <c r="E226" t="s">
        <v>40</v>
      </c>
    </row>
    <row r="227" spans="1:8" x14ac:dyDescent="0.25">
      <c r="A227" t="s">
        <v>86</v>
      </c>
      <c r="D227">
        <f>2*(D219*D221)</f>
        <v>12</v>
      </c>
      <c r="E227" t="s">
        <v>40</v>
      </c>
    </row>
    <row r="229" spans="1:8" x14ac:dyDescent="0.25">
      <c r="A229" s="31" t="s">
        <v>300</v>
      </c>
      <c r="B229" s="149"/>
      <c r="D229">
        <f>D223*D220</f>
        <v>251.25</v>
      </c>
      <c r="E229" t="s">
        <v>40</v>
      </c>
    </row>
    <row r="230" spans="1:8" x14ac:dyDescent="0.25">
      <c r="A230" s="149"/>
      <c r="B230" s="149"/>
      <c r="H230" s="70"/>
    </row>
    <row r="231" spans="1:8" x14ac:dyDescent="0.25">
      <c r="A231" s="4"/>
      <c r="B231" s="4"/>
    </row>
    <row r="232" spans="1:8" x14ac:dyDescent="0.25">
      <c r="A232" s="31" t="s">
        <v>397</v>
      </c>
      <c r="B232" s="71"/>
      <c r="D232">
        <f>125.6</f>
        <v>125.6</v>
      </c>
      <c r="E232" t="s">
        <v>87</v>
      </c>
    </row>
    <row r="233" spans="1:8" x14ac:dyDescent="0.25">
      <c r="A233" s="31" t="s">
        <v>399</v>
      </c>
      <c r="B233" s="71"/>
      <c r="D233">
        <f>21.5*(1.75+0.5)</f>
        <v>48.375</v>
      </c>
      <c r="E233" t="s">
        <v>40</v>
      </c>
    </row>
    <row r="234" spans="1:8" x14ac:dyDescent="0.25">
      <c r="A234" s="31" t="s">
        <v>398</v>
      </c>
      <c r="B234" s="71"/>
      <c r="D234">
        <v>144</v>
      </c>
      <c r="E234" t="s">
        <v>87</v>
      </c>
    </row>
    <row r="235" spans="1:8" x14ac:dyDescent="0.25">
      <c r="A235" s="31" t="s">
        <v>399</v>
      </c>
      <c r="B235" s="71"/>
      <c r="D235">
        <f>23*(1.75+0.5)</f>
        <v>51.75</v>
      </c>
      <c r="E235" t="s">
        <v>40</v>
      </c>
    </row>
    <row r="237" spans="1:8" x14ac:dyDescent="0.25">
      <c r="A237" t="s">
        <v>78</v>
      </c>
      <c r="D237">
        <f>D225+D226+D227+D229+D232+D233+D234+D235</f>
        <v>800.47500000000002</v>
      </c>
      <c r="E237" t="s">
        <v>40</v>
      </c>
    </row>
    <row r="238" spans="1:8" x14ac:dyDescent="0.25">
      <c r="D238" s="2">
        <f>ROUNDUP(D237/9,0)</f>
        <v>89</v>
      </c>
      <c r="E238" s="2" t="s">
        <v>24</v>
      </c>
    </row>
    <row r="241" spans="1:8" x14ac:dyDescent="0.25">
      <c r="A241" s="3" t="s">
        <v>89</v>
      </c>
      <c r="B241" s="3"/>
      <c r="C241" s="3"/>
      <c r="D241" s="3"/>
      <c r="E241" s="3"/>
      <c r="F241" s="3"/>
      <c r="G241" s="3"/>
      <c r="H241" s="3"/>
    </row>
    <row r="243" spans="1:8" x14ac:dyDescent="0.25">
      <c r="A243" t="s">
        <v>81</v>
      </c>
      <c r="D243">
        <v>2</v>
      </c>
      <c r="E243" t="s">
        <v>2</v>
      </c>
    </row>
    <row r="244" spans="1:8" x14ac:dyDescent="0.25">
      <c r="A244" t="s">
        <v>82</v>
      </c>
      <c r="D244">
        <v>33.5</v>
      </c>
      <c r="E244" t="s">
        <v>2</v>
      </c>
    </row>
    <row r="245" spans="1:8" x14ac:dyDescent="0.25">
      <c r="A245" t="s">
        <v>276</v>
      </c>
      <c r="D245">
        <v>3</v>
      </c>
      <c r="E245" t="s">
        <v>2</v>
      </c>
    </row>
    <row r="246" spans="1:8" x14ac:dyDescent="0.25">
      <c r="A246" t="s">
        <v>88</v>
      </c>
      <c r="D246">
        <v>1.75</v>
      </c>
      <c r="E246" t="s">
        <v>2</v>
      </c>
    </row>
    <row r="247" spans="1:8" x14ac:dyDescent="0.25">
      <c r="A247" t="s">
        <v>275</v>
      </c>
      <c r="D247">
        <v>7.5</v>
      </c>
      <c r="E247" t="s">
        <v>2</v>
      </c>
    </row>
    <row r="249" spans="1:8" x14ac:dyDescent="0.25">
      <c r="A249" t="s">
        <v>84</v>
      </c>
      <c r="D249">
        <f>D244*D245</f>
        <v>100.5</v>
      </c>
      <c r="E249" t="s">
        <v>40</v>
      </c>
    </row>
    <row r="250" spans="1:8" x14ac:dyDescent="0.25">
      <c r="A250" t="s">
        <v>85</v>
      </c>
      <c r="D250">
        <f>D244*D243</f>
        <v>67</v>
      </c>
      <c r="E250" t="s">
        <v>40</v>
      </c>
    </row>
    <row r="251" spans="1:8" x14ac:dyDescent="0.25">
      <c r="A251" t="s">
        <v>86</v>
      </c>
      <c r="D251">
        <f>2*(D243*D245)</f>
        <v>12</v>
      </c>
      <c r="E251" t="s">
        <v>40</v>
      </c>
    </row>
    <row r="253" spans="1:8" x14ac:dyDescent="0.25">
      <c r="A253" s="31" t="s">
        <v>300</v>
      </c>
      <c r="B253" s="149"/>
      <c r="D253">
        <f>D247*D244</f>
        <v>251.25</v>
      </c>
      <c r="E253" t="s">
        <v>40</v>
      </c>
    </row>
    <row r="254" spans="1:8" x14ac:dyDescent="0.25">
      <c r="A254" s="149"/>
      <c r="B254" s="149"/>
    </row>
    <row r="255" spans="1:8" x14ac:dyDescent="0.25">
      <c r="A255" s="4"/>
      <c r="B255" s="4"/>
    </row>
    <row r="256" spans="1:8" x14ac:dyDescent="0.25">
      <c r="A256" s="31" t="s">
        <v>397</v>
      </c>
      <c r="B256" s="71"/>
      <c r="D256">
        <f>124.9</f>
        <v>124.9</v>
      </c>
      <c r="E256" t="s">
        <v>87</v>
      </c>
    </row>
    <row r="257" spans="1:6" x14ac:dyDescent="0.25">
      <c r="A257" s="31" t="s">
        <v>399</v>
      </c>
      <c r="B257" s="71"/>
      <c r="D257">
        <f>21.5*(1.75+0.5)</f>
        <v>48.375</v>
      </c>
      <c r="E257" t="s">
        <v>40</v>
      </c>
    </row>
    <row r="258" spans="1:6" x14ac:dyDescent="0.25">
      <c r="A258" s="31" t="s">
        <v>398</v>
      </c>
      <c r="B258" s="71"/>
      <c r="D258">
        <v>124.9</v>
      </c>
      <c r="E258" t="s">
        <v>87</v>
      </c>
    </row>
    <row r="259" spans="1:6" x14ac:dyDescent="0.25">
      <c r="A259" s="31" t="s">
        <v>399</v>
      </c>
      <c r="B259" s="71"/>
      <c r="D259">
        <f>21.5*(1.75+0.5)</f>
        <v>48.375</v>
      </c>
      <c r="E259" t="s">
        <v>40</v>
      </c>
    </row>
    <row r="261" spans="1:6" x14ac:dyDescent="0.25">
      <c r="A261" t="s">
        <v>78</v>
      </c>
      <c r="D261">
        <f>D249+D250+D251+D253+D256+D257+D258+D259</f>
        <v>777.3</v>
      </c>
      <c r="E261" t="s">
        <v>40</v>
      </c>
    </row>
    <row r="262" spans="1:6" x14ac:dyDescent="0.25">
      <c r="D262" s="2">
        <f>ROUNDUP(D261/9,0)</f>
        <v>87</v>
      </c>
      <c r="E262" s="2" t="s">
        <v>24</v>
      </c>
    </row>
    <row r="263" spans="1:6" x14ac:dyDescent="0.25">
      <c r="D263" s="2"/>
      <c r="E263" s="2"/>
    </row>
    <row r="264" spans="1:6" x14ac:dyDescent="0.25">
      <c r="A264" s="171" t="s">
        <v>90</v>
      </c>
      <c r="B264" s="171"/>
      <c r="C264" s="171"/>
      <c r="D264" s="171">
        <f>ROUNDUP(D214+D238+D262,0)</f>
        <v>519</v>
      </c>
      <c r="E264" s="171" t="s">
        <v>24</v>
      </c>
    </row>
    <row r="268" spans="1:6" x14ac:dyDescent="0.25">
      <c r="A268" s="2" t="s">
        <v>274</v>
      </c>
    </row>
    <row r="270" spans="1:6" x14ac:dyDescent="0.25">
      <c r="A270" t="s">
        <v>11</v>
      </c>
      <c r="D270">
        <v>25</v>
      </c>
      <c r="E270" t="s">
        <v>2</v>
      </c>
    </row>
    <row r="271" spans="1:6" x14ac:dyDescent="0.25">
      <c r="A271" t="s">
        <v>10</v>
      </c>
      <c r="D271">
        <v>2</v>
      </c>
      <c r="E271" t="s">
        <v>2</v>
      </c>
      <c r="F271" t="s">
        <v>21</v>
      </c>
    </row>
    <row r="272" spans="1:6" x14ac:dyDescent="0.25">
      <c r="A272" t="s">
        <v>12</v>
      </c>
      <c r="D272">
        <v>0</v>
      </c>
    </row>
    <row r="273" spans="1:10" x14ac:dyDescent="0.25">
      <c r="A273" t="s">
        <v>22</v>
      </c>
      <c r="D273">
        <f>D270*D271*D272</f>
        <v>0</v>
      </c>
      <c r="E273" t="s">
        <v>23</v>
      </c>
      <c r="F273">
        <f>D273/9</f>
        <v>0</v>
      </c>
      <c r="G273" t="s">
        <v>24</v>
      </c>
    </row>
    <row r="275" spans="1:10" x14ac:dyDescent="0.25">
      <c r="A275" t="s">
        <v>25</v>
      </c>
      <c r="D275" s="1">
        <f>0.6666+1025.5+0.6666</f>
        <v>1026.8332</v>
      </c>
      <c r="E275" t="s">
        <v>2</v>
      </c>
      <c r="F275" t="s">
        <v>27</v>
      </c>
    </row>
    <row r="276" spans="1:10" x14ac:dyDescent="0.25">
      <c r="A276" t="s">
        <v>26</v>
      </c>
      <c r="D276">
        <v>0</v>
      </c>
      <c r="E276" t="s">
        <v>2</v>
      </c>
      <c r="F276" t="s">
        <v>21</v>
      </c>
    </row>
    <row r="277" spans="1:10" x14ac:dyDescent="0.25">
      <c r="A277" t="s">
        <v>36</v>
      </c>
      <c r="D277" s="1">
        <f>D275*D276</f>
        <v>0</v>
      </c>
      <c r="E277" t="s">
        <v>23</v>
      </c>
      <c r="F277">
        <f>D277/9</f>
        <v>0</v>
      </c>
      <c r="G277" t="s">
        <v>24</v>
      </c>
    </row>
    <row r="279" spans="1:10" x14ac:dyDescent="0.25">
      <c r="A279" s="171" t="s">
        <v>28</v>
      </c>
      <c r="B279" s="171">
        <f>ROUNDUP(F273+F277,0)</f>
        <v>0</v>
      </c>
      <c r="C279" s="171" t="s">
        <v>24</v>
      </c>
    </row>
    <row r="285" spans="1:10" x14ac:dyDescent="0.25">
      <c r="A285" s="73"/>
    </row>
    <row r="286" spans="1:10" x14ac:dyDescent="0.25">
      <c r="A286" s="189" t="s">
        <v>309</v>
      </c>
      <c r="B286" s="189"/>
      <c r="C286" s="189"/>
      <c r="D286" s="189"/>
      <c r="E286" s="189"/>
      <c r="F286" s="189"/>
      <c r="G286" s="189"/>
      <c r="H286" s="189"/>
      <c r="I286" s="189"/>
      <c r="J286" s="189"/>
    </row>
    <row r="287" spans="1:10" x14ac:dyDescent="0.25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</row>
    <row r="288" spans="1:10" x14ac:dyDescent="0.25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</row>
    <row r="289" spans="2:71" ht="15.75" x14ac:dyDescent="0.25">
      <c r="H289" t="s">
        <v>339</v>
      </c>
      <c r="L289" t="s">
        <v>340</v>
      </c>
      <c r="P289" t="s">
        <v>341</v>
      </c>
      <c r="Q289">
        <f>2*(2.5+72+2.5)+(3*18)-(2*0.4375)</f>
        <v>207.125</v>
      </c>
      <c r="T289" t="s">
        <v>342</v>
      </c>
      <c r="AM289" s="8"/>
    </row>
    <row r="290" spans="2:71" ht="18" x14ac:dyDescent="0.25">
      <c r="H290" s="9" t="s">
        <v>91</v>
      </c>
      <c r="I290" s="10">
        <f>2*(1.125+72+1.125)+(3*18)-(2*0.4375)</f>
        <v>201.625</v>
      </c>
      <c r="J290" s="10" t="s">
        <v>92</v>
      </c>
      <c r="K290" s="9" t="s">
        <v>93</v>
      </c>
      <c r="L290" s="9" t="s">
        <v>91</v>
      </c>
      <c r="M290" s="10">
        <f>2*(1.75+72+1.75)+(3*18)-(2*0.4375)</f>
        <v>204.125</v>
      </c>
      <c r="N290" s="10" t="s">
        <v>92</v>
      </c>
      <c r="O290" s="9" t="s">
        <v>93</v>
      </c>
      <c r="P290" s="9" t="s">
        <v>91</v>
      </c>
      <c r="Q290" s="10">
        <f>2*(2.5+72+2.5)+(3*18)-(2*0.4375)</f>
        <v>207.125</v>
      </c>
      <c r="R290" s="10" t="s">
        <v>92</v>
      </c>
      <c r="S290" s="9" t="s">
        <v>93</v>
      </c>
      <c r="T290" s="9" t="s">
        <v>91</v>
      </c>
      <c r="U290" s="10">
        <f>2*(1.25+72+1.25)+(3*18)-(2*0.4375)</f>
        <v>202.125</v>
      </c>
      <c r="V290" s="10" t="s">
        <v>92</v>
      </c>
      <c r="W290" s="9" t="s">
        <v>93</v>
      </c>
      <c r="X290" s="162"/>
    </row>
    <row r="291" spans="2:71" ht="123.75" customHeight="1" x14ac:dyDescent="0.25">
      <c r="B291">
        <v>514</v>
      </c>
      <c r="C291" s="11" t="s">
        <v>94</v>
      </c>
      <c r="D291" s="4" t="s">
        <v>95</v>
      </c>
      <c r="E291" t="s">
        <v>40</v>
      </c>
      <c r="F291" s="12">
        <f>P309</f>
        <v>189744.42263084429</v>
      </c>
      <c r="H291" s="74" t="s">
        <v>337</v>
      </c>
      <c r="I291" s="10">
        <f>I290/12</f>
        <v>16.802083333333332</v>
      </c>
      <c r="J291" s="10" t="s">
        <v>52</v>
      </c>
      <c r="K291" s="13"/>
      <c r="L291" s="74" t="s">
        <v>338</v>
      </c>
      <c r="M291" s="10">
        <f>M290/12</f>
        <v>17.010416666666668</v>
      </c>
      <c r="N291" s="10" t="s">
        <v>52</v>
      </c>
      <c r="O291" s="13"/>
      <c r="P291" s="74" t="s">
        <v>386</v>
      </c>
      <c r="Q291" s="10">
        <f>Q290/12</f>
        <v>17.260416666666668</v>
      </c>
      <c r="R291" s="10" t="s">
        <v>52</v>
      </c>
      <c r="S291" s="13"/>
      <c r="T291" s="74" t="s">
        <v>387</v>
      </c>
      <c r="U291" s="10">
        <f>U290/12</f>
        <v>16.84375</v>
      </c>
      <c r="V291" s="10" t="s">
        <v>52</v>
      </c>
      <c r="W291" s="13"/>
      <c r="X291" s="163"/>
    </row>
    <row r="292" spans="2:71" ht="45" x14ac:dyDescent="0.25">
      <c r="B292">
        <v>514</v>
      </c>
      <c r="C292" s="11" t="s">
        <v>96</v>
      </c>
      <c r="D292" s="4" t="s">
        <v>97</v>
      </c>
      <c r="E292" t="s">
        <v>40</v>
      </c>
      <c r="F292" s="12">
        <f>P309</f>
        <v>189744.42263084429</v>
      </c>
      <c r="AH292" s="18" t="s">
        <v>414</v>
      </c>
      <c r="AI292" s="16"/>
      <c r="AJ292" s="16"/>
      <c r="AK292" s="16"/>
      <c r="AL292" s="16"/>
      <c r="AM292" s="16"/>
      <c r="AN292" s="16"/>
      <c r="AO292" s="16"/>
      <c r="AP292" s="16"/>
      <c r="AQ292" s="17"/>
    </row>
    <row r="293" spans="2:71" ht="60" x14ac:dyDescent="0.25">
      <c r="B293">
        <v>514</v>
      </c>
      <c r="C293" s="11" t="s">
        <v>98</v>
      </c>
      <c r="D293" s="4" t="s">
        <v>99</v>
      </c>
      <c r="E293" t="s">
        <v>40</v>
      </c>
      <c r="F293" s="12">
        <f>P309</f>
        <v>189744.42263084429</v>
      </c>
      <c r="H293" s="10" t="s">
        <v>100</v>
      </c>
      <c r="I293" s="10">
        <f>2*(66.66+68.5)</f>
        <v>270.32</v>
      </c>
      <c r="J293" s="10" t="s">
        <v>52</v>
      </c>
      <c r="K293" s="10"/>
      <c r="L293" s="10" t="s">
        <v>100</v>
      </c>
      <c r="M293" s="10">
        <f>2*(20+15.5+14.5+18+14)</f>
        <v>164</v>
      </c>
      <c r="N293" s="10" t="s">
        <v>52</v>
      </c>
      <c r="O293" s="10"/>
      <c r="P293" s="10" t="s">
        <v>100</v>
      </c>
      <c r="Q293" s="10">
        <f>2*(37.5+43+45+22.5)</f>
        <v>296</v>
      </c>
      <c r="R293" s="10" t="s">
        <v>52</v>
      </c>
      <c r="S293" s="10"/>
      <c r="T293" s="10" t="s">
        <v>100</v>
      </c>
      <c r="U293" s="10">
        <f>2*(79.25+68.75)</f>
        <v>296</v>
      </c>
      <c r="V293" s="10" t="s">
        <v>52</v>
      </c>
      <c r="W293" s="10"/>
      <c r="X293" s="20"/>
      <c r="AH293" s="19"/>
      <c r="AI293" s="20"/>
      <c r="AJ293" s="20"/>
      <c r="AK293" s="20"/>
      <c r="AL293" s="20"/>
      <c r="AM293" t="s">
        <v>102</v>
      </c>
      <c r="AO293" s="21">
        <v>8.1999999999999993</v>
      </c>
      <c r="AP293" s="68" t="s">
        <v>103</v>
      </c>
      <c r="AQ293" s="22"/>
    </row>
    <row r="294" spans="2:71" ht="45" x14ac:dyDescent="0.25">
      <c r="B294">
        <v>514</v>
      </c>
      <c r="C294" s="11" t="s">
        <v>104</v>
      </c>
      <c r="D294" s="4" t="s">
        <v>105</v>
      </c>
      <c r="E294" t="s">
        <v>40</v>
      </c>
      <c r="F294" s="12">
        <f>P309</f>
        <v>189744.42263084429</v>
      </c>
      <c r="H294" s="23" t="s">
        <v>106</v>
      </c>
      <c r="I294" s="24" t="s">
        <v>107</v>
      </c>
      <c r="J294" s="25"/>
      <c r="K294" s="23"/>
      <c r="L294" s="23" t="s">
        <v>106</v>
      </c>
      <c r="M294" s="24" t="s">
        <v>340</v>
      </c>
      <c r="N294" s="25"/>
      <c r="O294" s="23"/>
      <c r="P294" s="23" t="s">
        <v>106</v>
      </c>
      <c r="Q294" s="24" t="s">
        <v>341</v>
      </c>
      <c r="R294" s="25"/>
      <c r="S294" s="23"/>
      <c r="T294" s="23" t="s">
        <v>106</v>
      </c>
      <c r="U294" s="24" t="s">
        <v>342</v>
      </c>
      <c r="V294" s="25"/>
      <c r="W294" s="23"/>
      <c r="X294" s="164"/>
      <c r="Y294" s="105"/>
      <c r="Z294" s="152" t="s">
        <v>391</v>
      </c>
      <c r="AA294" s="109"/>
      <c r="AB294" s="109"/>
      <c r="AC294" s="109"/>
      <c r="AD294" s="109"/>
      <c r="AE294" s="109"/>
      <c r="AF294" s="141"/>
      <c r="AH294" s="19"/>
      <c r="AL294" s="68"/>
      <c r="AM294" s="68"/>
      <c r="AN294" s="68"/>
      <c r="AO294" s="20"/>
      <c r="AP294" s="20"/>
      <c r="AQ294" s="22"/>
    </row>
    <row r="295" spans="2:71" ht="45" x14ac:dyDescent="0.25">
      <c r="B295">
        <v>514</v>
      </c>
      <c r="C295" s="11" t="s">
        <v>109</v>
      </c>
      <c r="D295" s="69" t="s">
        <v>110</v>
      </c>
      <c r="E295" t="s">
        <v>111</v>
      </c>
      <c r="F295" s="27">
        <f>ROUNDUP(J297*J299/60,0)</f>
        <v>69</v>
      </c>
      <c r="H295" s="10" t="s">
        <v>112</v>
      </c>
      <c r="I295" s="28">
        <f>I293*I291</f>
        <v>4541.9391666666661</v>
      </c>
      <c r="J295" s="10" t="s">
        <v>113</v>
      </c>
      <c r="K295" s="10"/>
      <c r="L295" s="10" t="s">
        <v>112</v>
      </c>
      <c r="M295" s="28">
        <f>M293*M291</f>
        <v>2789.7083333333335</v>
      </c>
      <c r="N295" s="10" t="s">
        <v>113</v>
      </c>
      <c r="O295" s="10"/>
      <c r="P295" s="10" t="s">
        <v>112</v>
      </c>
      <c r="Q295" s="28">
        <f>Q293*Q291</f>
        <v>5109.0833333333339</v>
      </c>
      <c r="R295" s="10" t="s">
        <v>113</v>
      </c>
      <c r="S295" s="10"/>
      <c r="T295" s="10" t="s">
        <v>112</v>
      </c>
      <c r="U295" s="28">
        <f>U293*U291</f>
        <v>4985.75</v>
      </c>
      <c r="V295" s="10" t="s">
        <v>113</v>
      </c>
      <c r="W295" s="10"/>
      <c r="X295" s="19"/>
      <c r="Y295" s="106"/>
      <c r="Z295" s="57" t="s">
        <v>114</v>
      </c>
      <c r="AA295" s="153">
        <f>15.25</f>
        <v>15.25</v>
      </c>
      <c r="AB295" s="153" t="s">
        <v>52</v>
      </c>
      <c r="AC295" s="153"/>
      <c r="AD295" s="57"/>
      <c r="AE295" s="57"/>
      <c r="AF295" s="154"/>
      <c r="AH295" s="190" t="s">
        <v>353</v>
      </c>
      <c r="AI295" s="191"/>
      <c r="AJ295" s="191"/>
      <c r="AK295" s="191"/>
      <c r="AL295" s="191"/>
      <c r="AM295" s="191"/>
      <c r="AN295" s="191"/>
      <c r="AO295" s="20"/>
      <c r="AP295" s="20"/>
      <c r="AQ295" s="22"/>
      <c r="AW295" t="s">
        <v>394</v>
      </c>
    </row>
    <row r="296" spans="2:71" ht="32.25" thickBot="1" x14ac:dyDescent="0.4">
      <c r="B296">
        <v>514</v>
      </c>
      <c r="C296" s="31">
        <v>10000</v>
      </c>
      <c r="D296" s="69" t="s">
        <v>115</v>
      </c>
      <c r="E296" t="s">
        <v>116</v>
      </c>
      <c r="F296" s="32">
        <f>ROUNDUP(MAX(F291/1200,(J297*J299/150)),0)</f>
        <v>159</v>
      </c>
      <c r="H296" s="118" t="s">
        <v>117</v>
      </c>
      <c r="I296" s="119">
        <f>I295*1.1</f>
        <v>4996.1330833333332</v>
      </c>
      <c r="J296" s="118" t="s">
        <v>113</v>
      </c>
      <c r="K296" s="118"/>
      <c r="L296" s="28" t="s">
        <v>117</v>
      </c>
      <c r="M296" s="33">
        <f>M295*1.1</f>
        <v>3068.6791666666672</v>
      </c>
      <c r="N296" s="28" t="s">
        <v>113</v>
      </c>
      <c r="O296" s="28"/>
      <c r="P296" s="28" t="s">
        <v>117</v>
      </c>
      <c r="Q296" s="33">
        <f>Q295*1.1</f>
        <v>5619.9916666666677</v>
      </c>
      <c r="R296" s="28" t="s">
        <v>113</v>
      </c>
      <c r="S296" s="28"/>
      <c r="T296" s="28" t="s">
        <v>117</v>
      </c>
      <c r="U296" s="33">
        <f>U295*1.1</f>
        <v>5484.3250000000007</v>
      </c>
      <c r="V296" s="28" t="s">
        <v>113</v>
      </c>
      <c r="W296" s="28"/>
      <c r="X296" s="106"/>
      <c r="Y296" s="106" t="s">
        <v>313</v>
      </c>
      <c r="Z296" s="155" t="s">
        <v>392</v>
      </c>
      <c r="AA296" s="57">
        <f>9.96*12</f>
        <v>119.52000000000001</v>
      </c>
      <c r="AB296" s="57" t="s">
        <v>92</v>
      </c>
      <c r="AC296" s="57"/>
      <c r="AD296" s="156"/>
      <c r="AE296" s="57"/>
      <c r="AF296" s="154"/>
      <c r="AH296" s="67"/>
      <c r="AI296" s="68"/>
      <c r="AJ296" s="68" t="s">
        <v>101</v>
      </c>
      <c r="AK296" s="155" t="s">
        <v>119</v>
      </c>
      <c r="AL296" s="155" t="s">
        <v>120</v>
      </c>
      <c r="AM296" s="155"/>
      <c r="AN296" s="155"/>
      <c r="AO296" s="156" t="s">
        <v>118</v>
      </c>
      <c r="AP296" s="57">
        <v>2</v>
      </c>
      <c r="AQ296" s="154" t="s">
        <v>92</v>
      </c>
      <c r="AW296" s="165" t="s">
        <v>358</v>
      </c>
      <c r="AX296" s="165">
        <v>10.25</v>
      </c>
      <c r="AY296" s="165" t="s">
        <v>52</v>
      </c>
      <c r="AZ296" s="165"/>
      <c r="BA296" s="165"/>
      <c r="BB296" s="165"/>
      <c r="BC296" s="165"/>
      <c r="BD296" s="165"/>
      <c r="BE296" s="165"/>
      <c r="BF296" s="165" t="s">
        <v>358</v>
      </c>
      <c r="BG296" s="165">
        <v>13.5</v>
      </c>
      <c r="BH296" s="165" t="s">
        <v>52</v>
      </c>
      <c r="BI296" s="165"/>
    </row>
    <row r="297" spans="2:71" x14ac:dyDescent="0.25">
      <c r="H297" s="120" t="s">
        <v>121</v>
      </c>
      <c r="I297" s="121"/>
      <c r="J297" s="122">
        <f>I293+M293+Q293+U293</f>
        <v>1026.32</v>
      </c>
      <c r="K297" s="123" t="s">
        <v>52</v>
      </c>
      <c r="Y297" s="106"/>
      <c r="Z297" s="57"/>
      <c r="AA297" s="57">
        <f>AA296/12</f>
        <v>9.9600000000000009</v>
      </c>
      <c r="AB297" s="57" t="s">
        <v>52</v>
      </c>
      <c r="AC297" s="57"/>
      <c r="AD297" s="156"/>
      <c r="AE297" s="57"/>
      <c r="AF297" s="154"/>
      <c r="AH297" s="67"/>
      <c r="AI297" s="68" t="s">
        <v>114</v>
      </c>
      <c r="AJ297" s="68">
        <v>9.9600000000000009</v>
      </c>
      <c r="AK297" s="155">
        <f>AJ297/3</f>
        <v>3.3200000000000003</v>
      </c>
      <c r="AL297" s="155">
        <f>AJ297/6</f>
        <v>1.6600000000000001</v>
      </c>
      <c r="AM297" s="155"/>
      <c r="AN297" s="155"/>
      <c r="AO297" s="57" t="s">
        <v>92</v>
      </c>
      <c r="AP297" s="57"/>
      <c r="AQ297" s="154"/>
      <c r="AW297" s="165" t="s">
        <v>114</v>
      </c>
      <c r="AX297" s="165">
        <v>9.83</v>
      </c>
      <c r="AY297" s="165" t="s">
        <v>52</v>
      </c>
      <c r="AZ297" s="165"/>
      <c r="BA297" s="165"/>
      <c r="BB297" s="165"/>
      <c r="BC297" s="165"/>
      <c r="BD297" s="165"/>
      <c r="BE297" s="165"/>
      <c r="BF297" s="165" t="s">
        <v>114</v>
      </c>
      <c r="BG297" s="165">
        <v>9.83</v>
      </c>
      <c r="BH297" s="165" t="s">
        <v>52</v>
      </c>
      <c r="BI297" s="165"/>
    </row>
    <row r="298" spans="2:71" x14ac:dyDescent="0.25">
      <c r="H298" s="131" t="s">
        <v>343</v>
      </c>
      <c r="I298" s="132"/>
      <c r="J298" s="133">
        <f>2*(I296+M296+Q296+U296)</f>
        <v>38338.257833333337</v>
      </c>
      <c r="K298" s="134" t="s">
        <v>113</v>
      </c>
      <c r="L298" s="20"/>
      <c r="M298" s="57" t="s">
        <v>378</v>
      </c>
      <c r="N298" s="161">
        <f>BO305</f>
        <v>24.383333333333336</v>
      </c>
      <c r="O298" s="20" t="s">
        <v>126</v>
      </c>
      <c r="P298" s="20"/>
      <c r="Q298" s="20"/>
      <c r="R298" s="20"/>
      <c r="S298" s="20"/>
      <c r="T298" s="20"/>
      <c r="U298" s="20"/>
      <c r="V298" s="20"/>
      <c r="Y298" s="106"/>
      <c r="Z298" s="57"/>
      <c r="AA298" s="57"/>
      <c r="AB298" s="57"/>
      <c r="AC298" s="57"/>
      <c r="AD298" s="57"/>
      <c r="AE298" s="57"/>
      <c r="AF298" s="154"/>
      <c r="AH298" s="67"/>
      <c r="AI298" s="68" t="s">
        <v>321</v>
      </c>
      <c r="AJ298" s="68">
        <v>72</v>
      </c>
      <c r="AK298" s="179" t="s">
        <v>92</v>
      </c>
      <c r="AL298" s="155"/>
      <c r="AM298" s="155"/>
      <c r="AN298" s="155"/>
      <c r="AO298" s="57" t="s">
        <v>92</v>
      </c>
      <c r="AP298" s="57"/>
      <c r="AQ298" s="154"/>
      <c r="AW298" s="165" t="s">
        <v>357</v>
      </c>
      <c r="AX298" s="165">
        <f>2*(SQRT((AX310)^2+(AZ307)^2))</f>
        <v>28.403619487663892</v>
      </c>
      <c r="AY298" s="165" t="s">
        <v>52</v>
      </c>
      <c r="AZ298" s="165"/>
      <c r="BA298" s="165"/>
      <c r="BB298" s="165"/>
      <c r="BC298" s="165"/>
      <c r="BD298" s="165"/>
      <c r="BE298" s="165"/>
      <c r="BF298" s="165" t="s">
        <v>357</v>
      </c>
      <c r="BG298" s="165">
        <f>2*(SQRT((BG310)^2+(BI307)^2))</f>
        <v>33.399335322727609</v>
      </c>
      <c r="BH298" s="165" t="s">
        <v>52</v>
      </c>
      <c r="BI298" s="165"/>
      <c r="BL298" s="14"/>
      <c r="BM298" s="16"/>
      <c r="BN298" s="16"/>
      <c r="BO298" s="16"/>
      <c r="BP298" s="16"/>
      <c r="BQ298" s="16"/>
      <c r="BR298" s="16"/>
      <c r="BS298" s="17"/>
    </row>
    <row r="299" spans="2:71" x14ac:dyDescent="0.25">
      <c r="H299" s="124" t="s">
        <v>123</v>
      </c>
      <c r="I299" s="37"/>
      <c r="J299" s="10">
        <v>4</v>
      </c>
      <c r="K299" s="126"/>
      <c r="L299" s="20"/>
      <c r="M299" s="20" t="s">
        <v>377</v>
      </c>
      <c r="N299" s="161">
        <f>BS325</f>
        <v>1087.5539268258367</v>
      </c>
      <c r="O299" s="20" t="s">
        <v>126</v>
      </c>
      <c r="P299" s="20"/>
      <c r="Q299" s="20"/>
      <c r="R299" s="14" t="s">
        <v>364</v>
      </c>
      <c r="S299" s="16" t="s">
        <v>365</v>
      </c>
      <c r="T299" s="109" t="s">
        <v>367</v>
      </c>
      <c r="U299" s="141" t="s">
        <v>368</v>
      </c>
      <c r="V299" s="57"/>
      <c r="Y299" s="106"/>
      <c r="Z299" s="57"/>
      <c r="AA299" s="57"/>
      <c r="AB299" s="57"/>
      <c r="AC299" s="57"/>
      <c r="AD299" s="57"/>
      <c r="AE299" s="57"/>
      <c r="AF299" s="154"/>
      <c r="AH299" s="67"/>
      <c r="AI299" s="68"/>
      <c r="AJ299" s="68">
        <f>AJ298/12</f>
        <v>6</v>
      </c>
      <c r="AK299" s="179" t="s">
        <v>52</v>
      </c>
      <c r="AL299" s="155">
        <f>AI303^2+AI306^2</f>
        <v>40.136400000000002</v>
      </c>
      <c r="AM299" s="155"/>
      <c r="AN299" s="180">
        <f>AI303^2+AJ306^2</f>
        <v>34.809372250000003</v>
      </c>
      <c r="AO299" s="57" t="s">
        <v>92</v>
      </c>
      <c r="AP299" s="57"/>
      <c r="AQ299" s="154"/>
      <c r="AW299" s="166" t="s">
        <v>344</v>
      </c>
      <c r="AX299" s="165">
        <f>0.33*4*AX298</f>
        <v>37.492777723716337</v>
      </c>
      <c r="AY299" s="165" t="s">
        <v>113</v>
      </c>
      <c r="AZ299" s="165"/>
      <c r="BA299" s="165"/>
      <c r="BB299" s="165"/>
      <c r="BC299" s="165"/>
      <c r="BD299" s="165"/>
      <c r="BE299" s="165"/>
      <c r="BF299" s="166" t="s">
        <v>344</v>
      </c>
      <c r="BG299" s="165">
        <f>0.33*4*BG298</f>
        <v>44.087122626000443</v>
      </c>
      <c r="BH299" s="165" t="s">
        <v>113</v>
      </c>
      <c r="BI299" s="165"/>
      <c r="BL299" s="19"/>
      <c r="BM299" s="20"/>
      <c r="BN299" s="20" t="s">
        <v>371</v>
      </c>
      <c r="BO299" s="20"/>
      <c r="BP299" s="20"/>
      <c r="BQ299" s="20"/>
      <c r="BR299" s="20"/>
      <c r="BS299" s="22"/>
    </row>
    <row r="300" spans="2:71" ht="15.75" thickBot="1" x14ac:dyDescent="0.3">
      <c r="H300" s="127" t="s">
        <v>361</v>
      </c>
      <c r="I300" s="128"/>
      <c r="J300" s="129">
        <f>J298*J299</f>
        <v>153353.03133333335</v>
      </c>
      <c r="K300" s="130" t="s">
        <v>113</v>
      </c>
      <c r="L300" s="20"/>
      <c r="M300" s="20"/>
      <c r="N300" s="20"/>
      <c r="O300" s="20"/>
      <c r="P300" s="20"/>
      <c r="Q300" s="20"/>
      <c r="R300" s="106" t="s">
        <v>369</v>
      </c>
      <c r="S300" s="20">
        <v>11.35</v>
      </c>
      <c r="T300" s="20">
        <v>4.1399999999999997</v>
      </c>
      <c r="U300" s="22">
        <v>1.67</v>
      </c>
      <c r="V300" s="20"/>
      <c r="Y300" s="106"/>
      <c r="Z300" s="57"/>
      <c r="AA300" s="57"/>
      <c r="AB300" s="57">
        <f>(SQRT((AB305)^2+(Z301)^2))</f>
        <v>18.214392660750452</v>
      </c>
      <c r="AC300" s="57" t="s">
        <v>2</v>
      </c>
      <c r="AD300" s="57"/>
      <c r="AE300" s="57"/>
      <c r="AF300" s="154"/>
      <c r="AH300" s="67"/>
      <c r="AI300" s="68"/>
      <c r="AJ300" s="68"/>
      <c r="AK300" s="179"/>
      <c r="AL300" s="155"/>
      <c r="AM300" s="155"/>
      <c r="AN300" s="155"/>
      <c r="AO300" s="57"/>
      <c r="AP300" s="57"/>
      <c r="AQ300" s="154"/>
      <c r="AW300" s="167" t="s">
        <v>132</v>
      </c>
      <c r="AX300" s="165">
        <f>AX299*1.1</f>
        <v>41.242055496087971</v>
      </c>
      <c r="AY300" s="165" t="s">
        <v>113</v>
      </c>
      <c r="AZ300" s="165"/>
      <c r="BA300" s="165"/>
      <c r="BB300" s="165"/>
      <c r="BC300" s="165"/>
      <c r="BD300" s="165"/>
      <c r="BE300" s="165"/>
      <c r="BF300" s="167" t="s">
        <v>132</v>
      </c>
      <c r="BG300" s="165">
        <f>BG299*1.1</f>
        <v>48.495834888600491</v>
      </c>
      <c r="BH300" s="165" t="s">
        <v>113</v>
      </c>
      <c r="BI300" s="165"/>
      <c r="BL300" s="19"/>
      <c r="BM300" s="20" t="s">
        <v>373</v>
      </c>
      <c r="BN300" s="20" t="s">
        <v>366</v>
      </c>
      <c r="BO300" s="20">
        <f>(BM307*BL309)+(BS309*BP306)+(2*(BL309-BS309)*BP306/2)</f>
        <v>798</v>
      </c>
      <c r="BP300" s="20" t="s">
        <v>372</v>
      </c>
      <c r="BQ300" s="20"/>
      <c r="BR300" s="20"/>
      <c r="BS300" s="22"/>
    </row>
    <row r="301" spans="2:71" x14ac:dyDescent="0.25">
      <c r="H301" s="4"/>
      <c r="L301" s="20"/>
      <c r="O301" s="20"/>
      <c r="P301" s="20"/>
      <c r="Q301" s="20"/>
      <c r="R301" s="106" t="s">
        <v>359</v>
      </c>
      <c r="S301" s="20">
        <v>16</v>
      </c>
      <c r="T301" s="20">
        <v>12</v>
      </c>
      <c r="U301" s="22">
        <v>8</v>
      </c>
      <c r="V301" s="20"/>
      <c r="Y301" s="106"/>
      <c r="Z301" s="57">
        <f>(AA296)/12</f>
        <v>9.9600000000000009</v>
      </c>
      <c r="AA301" s="57" t="s">
        <v>2</v>
      </c>
      <c r="AB301" s="57"/>
      <c r="AC301" s="57"/>
      <c r="AD301" s="57"/>
      <c r="AE301" s="57"/>
      <c r="AF301" s="154"/>
      <c r="AH301" s="67"/>
      <c r="AI301" s="68"/>
      <c r="AJ301" s="68"/>
      <c r="AK301" s="155"/>
      <c r="AL301" s="155"/>
      <c r="AM301" s="155"/>
      <c r="AN301" s="155"/>
      <c r="AO301" s="57"/>
      <c r="AP301" s="57">
        <v>1.333</v>
      </c>
      <c r="AQ301" s="154" t="s">
        <v>125</v>
      </c>
      <c r="AW301" s="165" t="s">
        <v>359</v>
      </c>
      <c r="AX301" s="165">
        <v>1</v>
      </c>
      <c r="AY301" s="165"/>
      <c r="AZ301" s="165"/>
      <c r="BA301" s="165"/>
      <c r="BB301" s="165"/>
      <c r="BC301" s="165"/>
      <c r="BD301" s="165"/>
      <c r="BE301" s="165"/>
      <c r="BF301" s="165" t="s">
        <v>359</v>
      </c>
      <c r="BG301" s="165">
        <v>6</v>
      </c>
      <c r="BH301" s="165"/>
      <c r="BI301" s="165"/>
      <c r="BL301" s="19"/>
      <c r="BM301" s="20" t="s">
        <v>374</v>
      </c>
      <c r="BN301" s="20" t="s">
        <v>366</v>
      </c>
      <c r="BO301" s="20">
        <f>0</f>
        <v>0</v>
      </c>
      <c r="BP301" s="20" t="s">
        <v>372</v>
      </c>
      <c r="BQ301" s="20"/>
      <c r="BR301" s="20"/>
      <c r="BS301" s="22"/>
    </row>
    <row r="302" spans="2:71" x14ac:dyDescent="0.25">
      <c r="H302" s="105" t="s">
        <v>325</v>
      </c>
      <c r="I302" s="16"/>
      <c r="J302" s="16">
        <f>2*(6*72)/144</f>
        <v>6</v>
      </c>
      <c r="K302" s="17" t="s">
        <v>126</v>
      </c>
      <c r="R302" s="106" t="s">
        <v>362</v>
      </c>
      <c r="S302" s="20">
        <f>S300*S301</f>
        <v>181.6</v>
      </c>
      <c r="T302" s="20">
        <f>T300*T301</f>
        <v>49.679999999999993</v>
      </c>
      <c r="U302" s="22">
        <f>U300*U301</f>
        <v>13.36</v>
      </c>
      <c r="Y302" s="106"/>
      <c r="Z302" s="57">
        <f>Z301*12</f>
        <v>119.52000000000001</v>
      </c>
      <c r="AA302" s="57"/>
      <c r="AB302" s="57"/>
      <c r="AC302" s="57"/>
      <c r="AD302" s="57"/>
      <c r="AE302" s="57"/>
      <c r="AF302" s="154"/>
      <c r="AH302" s="67"/>
      <c r="AI302" s="68"/>
      <c r="AJ302" s="39">
        <f>SQRT(AN299)</f>
        <v>5.8999468006076121</v>
      </c>
      <c r="AK302" s="180"/>
      <c r="AL302" s="155"/>
      <c r="AM302" s="180">
        <f>AH303</f>
        <v>6.335</v>
      </c>
      <c r="AN302" s="155"/>
      <c r="AO302" s="57"/>
      <c r="AP302" s="158">
        <f>0.33*AP301*2</f>
        <v>0.87978000000000001</v>
      </c>
      <c r="AQ302" s="154" t="s">
        <v>126</v>
      </c>
      <c r="AW302" s="165" t="s">
        <v>360</v>
      </c>
      <c r="AX302" s="165">
        <f>AX301*AX300*2</f>
        <v>82.484110992175943</v>
      </c>
      <c r="AY302" s="165"/>
      <c r="AZ302" s="165"/>
      <c r="BA302" s="165"/>
      <c r="BB302" s="165"/>
      <c r="BC302" s="165"/>
      <c r="BD302" s="165"/>
      <c r="BE302" s="165"/>
      <c r="BF302" s="165" t="s">
        <v>360</v>
      </c>
      <c r="BG302" s="165">
        <f>BG301*BG300*2</f>
        <v>581.95001866320592</v>
      </c>
      <c r="BH302" s="165"/>
      <c r="BI302" s="165"/>
      <c r="BL302" s="19"/>
      <c r="BM302" s="20" t="s">
        <v>375</v>
      </c>
      <c r="BN302" s="20" t="s">
        <v>366</v>
      </c>
      <c r="BO302" s="20">
        <f>(BO300+BO301)/144*2</f>
        <v>11.083333333333334</v>
      </c>
      <c r="BP302" s="20" t="s">
        <v>113</v>
      </c>
      <c r="BQ302" s="20"/>
      <c r="BR302" s="20"/>
      <c r="BS302" s="22"/>
    </row>
    <row r="303" spans="2:71" x14ac:dyDescent="0.25">
      <c r="H303" s="106" t="s">
        <v>187</v>
      </c>
      <c r="I303" s="20"/>
      <c r="J303" s="20">
        <v>2208</v>
      </c>
      <c r="K303" s="22" t="s">
        <v>329</v>
      </c>
      <c r="L303" s="20"/>
      <c r="M303" s="20"/>
      <c r="N303" s="20"/>
      <c r="O303" s="20"/>
      <c r="P303" s="20"/>
      <c r="Q303" s="20"/>
      <c r="R303" s="19"/>
      <c r="S303" s="20"/>
      <c r="T303" s="20"/>
      <c r="U303" s="22"/>
      <c r="V303" s="20"/>
      <c r="Y303" s="106"/>
      <c r="Z303" s="57"/>
      <c r="AA303" s="57"/>
      <c r="AB303" s="57"/>
      <c r="AC303" s="57"/>
      <c r="AD303" s="57"/>
      <c r="AE303" s="57"/>
      <c r="AF303" s="154"/>
      <c r="AH303" s="42">
        <v>6.335</v>
      </c>
      <c r="AI303" s="43">
        <v>5.58</v>
      </c>
      <c r="AJ303" s="68"/>
      <c r="AK303" s="155"/>
      <c r="AL303" s="155"/>
      <c r="AM303" s="155"/>
      <c r="AN303" s="155"/>
      <c r="AO303" s="57"/>
      <c r="AP303" s="57">
        <v>7</v>
      </c>
      <c r="AQ303" s="154" t="s">
        <v>125</v>
      </c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  <c r="BI303" s="165"/>
      <c r="BL303" s="19"/>
      <c r="BM303" s="20" t="s">
        <v>359</v>
      </c>
      <c r="BN303" s="20"/>
      <c r="BO303" s="20">
        <v>2</v>
      </c>
      <c r="BP303" s="20"/>
      <c r="BQ303" s="20"/>
      <c r="BR303" s="20"/>
      <c r="BS303" s="22"/>
    </row>
    <row r="304" spans="2:71" x14ac:dyDescent="0.25">
      <c r="H304" s="106" t="s">
        <v>188</v>
      </c>
      <c r="I304" s="20"/>
      <c r="J304" s="63">
        <f>J302*J303</f>
        <v>13248</v>
      </c>
      <c r="K304" s="22" t="s">
        <v>126</v>
      </c>
      <c r="L304" s="20"/>
      <c r="M304" s="20"/>
      <c r="N304" s="20"/>
      <c r="O304" s="20"/>
      <c r="P304" s="20"/>
      <c r="Q304" s="20"/>
      <c r="R304" s="19"/>
      <c r="S304" s="20" t="s">
        <v>352</v>
      </c>
      <c r="T304" s="57">
        <f>S302+T302+U302</f>
        <v>244.64</v>
      </c>
      <c r="U304" s="22"/>
      <c r="V304" s="20"/>
      <c r="Y304" s="106"/>
      <c r="Z304" s="57"/>
      <c r="AA304" s="57"/>
      <c r="AB304" s="57"/>
      <c r="AC304" s="57"/>
      <c r="AD304" s="57"/>
      <c r="AE304" s="57"/>
      <c r="AF304" s="154"/>
      <c r="AH304" s="67"/>
      <c r="AI304" s="68"/>
      <c r="AJ304" s="68"/>
      <c r="AK304" s="155"/>
      <c r="AL304" s="155"/>
      <c r="AM304" s="155"/>
      <c r="AN304" s="155"/>
      <c r="AO304" s="57"/>
      <c r="AP304" s="158">
        <f>0.33*AP303*2</f>
        <v>4.62</v>
      </c>
      <c r="AQ304" s="154" t="s">
        <v>126</v>
      </c>
      <c r="AW304" s="165"/>
      <c r="AX304" s="165"/>
      <c r="AY304" s="165"/>
      <c r="AZ304" s="168"/>
      <c r="BA304" s="165"/>
      <c r="BB304" s="165"/>
      <c r="BC304" s="165"/>
      <c r="BD304" s="165"/>
      <c r="BE304" s="165"/>
      <c r="BF304" s="165"/>
      <c r="BG304" s="165"/>
      <c r="BH304" s="165"/>
      <c r="BI304" s="168"/>
      <c r="BL304" s="19"/>
      <c r="BM304" s="20" t="s">
        <v>376</v>
      </c>
      <c r="BN304" s="20"/>
      <c r="BO304" s="20">
        <f>BO302*BO303</f>
        <v>22.166666666666668</v>
      </c>
      <c r="BP304" s="20"/>
      <c r="BQ304" s="20"/>
      <c r="BR304" s="20"/>
      <c r="BS304" s="22"/>
    </row>
    <row r="305" spans="8:71" x14ac:dyDescent="0.25">
      <c r="H305" s="55" t="s">
        <v>189</v>
      </c>
      <c r="I305" s="3"/>
      <c r="J305" s="3"/>
      <c r="K305" s="50"/>
      <c r="L305" s="20"/>
      <c r="M305" s="20"/>
      <c r="N305" s="20"/>
      <c r="O305" s="20"/>
      <c r="P305" s="20"/>
      <c r="Q305" s="20"/>
      <c r="R305" s="55"/>
      <c r="S305" s="148" t="s">
        <v>370</v>
      </c>
      <c r="T305" s="75">
        <f>T304*1.1</f>
        <v>269.10399999999998</v>
      </c>
      <c r="U305" s="50"/>
      <c r="V305" s="20"/>
      <c r="Y305" s="106"/>
      <c r="Z305" s="57"/>
      <c r="AA305" s="57"/>
      <c r="AB305" s="153">
        <f>AA295</f>
        <v>15.25</v>
      </c>
      <c r="AC305" s="57"/>
      <c r="AD305" s="57"/>
      <c r="AE305" s="57"/>
      <c r="AF305" s="154"/>
      <c r="AH305" s="67"/>
      <c r="AI305" s="68"/>
      <c r="AJ305" s="68"/>
      <c r="AK305" s="68"/>
      <c r="AL305" s="68"/>
      <c r="AM305" s="68"/>
      <c r="AN305" s="68"/>
      <c r="AO305" s="20"/>
      <c r="AP305" s="20"/>
      <c r="AQ305" s="22"/>
      <c r="AW305" s="165"/>
      <c r="AX305" s="165">
        <f>SQRT((AX310)^2+(AZ307)^2)</f>
        <v>14.201809743831946</v>
      </c>
      <c r="AY305" s="165"/>
      <c r="AZ305" s="168"/>
      <c r="BA305" s="165"/>
      <c r="BB305" s="165"/>
      <c r="BC305" s="165"/>
      <c r="BD305" s="165"/>
      <c r="BE305" s="165"/>
      <c r="BF305" s="165"/>
      <c r="BG305" s="165">
        <f>SQRT((BG310)^2+(BI307)^2)</f>
        <v>16.699667661363804</v>
      </c>
      <c r="BH305" s="165"/>
      <c r="BI305" s="168"/>
      <c r="BL305" s="19"/>
      <c r="BM305" s="20" t="s">
        <v>370</v>
      </c>
      <c r="BN305" s="20"/>
      <c r="BO305" s="63">
        <f>BO304*1.1</f>
        <v>24.383333333333336</v>
      </c>
      <c r="BP305" s="20"/>
      <c r="BQ305" s="20"/>
      <c r="BR305" s="20"/>
      <c r="BS305" s="22"/>
    </row>
    <row r="306" spans="8:71" x14ac:dyDescent="0.25"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Y306" s="106"/>
      <c r="Z306" s="57"/>
      <c r="AA306" s="57"/>
      <c r="AB306" s="57"/>
      <c r="AC306" s="57"/>
      <c r="AD306" s="57"/>
      <c r="AE306" s="57"/>
      <c r="AF306" s="154"/>
      <c r="AH306" s="67"/>
      <c r="AI306" s="39">
        <v>3</v>
      </c>
      <c r="AJ306" s="39">
        <v>1.9165000000000001</v>
      </c>
      <c r="AK306" s="68"/>
      <c r="AL306" s="68"/>
      <c r="AM306" s="68"/>
      <c r="AN306" s="68"/>
      <c r="AO306" s="20"/>
      <c r="AP306" s="20"/>
      <c r="AQ306" s="22"/>
      <c r="AW306" s="165"/>
      <c r="AX306" s="165"/>
      <c r="AY306" s="165"/>
      <c r="AZ306" s="168"/>
      <c r="BA306" s="165"/>
      <c r="BB306" s="165"/>
      <c r="BC306" s="165"/>
      <c r="BD306" s="165"/>
      <c r="BE306" s="165"/>
      <c r="BF306" s="165"/>
      <c r="BG306" s="165"/>
      <c r="BH306" s="165"/>
      <c r="BI306" s="168"/>
      <c r="BL306" s="19"/>
      <c r="BM306" s="20"/>
      <c r="BN306" s="20"/>
      <c r="BO306" s="20"/>
      <c r="BP306" s="20">
        <v>39</v>
      </c>
      <c r="BQ306" s="20"/>
      <c r="BR306" s="20"/>
      <c r="BS306" s="22"/>
    </row>
    <row r="307" spans="8:71" ht="15.75" thickBot="1" x14ac:dyDescent="0.3">
      <c r="H307" s="105" t="s">
        <v>388</v>
      </c>
      <c r="I307" s="16"/>
      <c r="J307" s="16">
        <f>2*(8*72)/144</f>
        <v>8</v>
      </c>
      <c r="K307" s="17" t="s">
        <v>126</v>
      </c>
      <c r="Y307" s="157" t="s">
        <v>129</v>
      </c>
      <c r="Z307" s="57"/>
      <c r="AA307" s="135"/>
      <c r="AB307" s="153">
        <f>(2*AB300)</f>
        <v>36.428785321500904</v>
      </c>
      <c r="AC307" s="57" t="s">
        <v>125</v>
      </c>
      <c r="AD307" s="57"/>
      <c r="AE307" s="57"/>
      <c r="AF307" s="154"/>
      <c r="AH307" s="48"/>
      <c r="AI307" s="49"/>
      <c r="AJ307" s="49"/>
      <c r="AK307" s="49"/>
      <c r="AL307" s="49"/>
      <c r="AM307" s="49"/>
      <c r="AN307" s="49"/>
      <c r="AO307" s="3"/>
      <c r="AP307" s="3"/>
      <c r="AQ307" s="50"/>
      <c r="AW307" s="165"/>
      <c r="AX307" s="165"/>
      <c r="AY307" s="165"/>
      <c r="AZ307" s="168">
        <f>AX297</f>
        <v>9.83</v>
      </c>
      <c r="BA307" s="165"/>
      <c r="BB307" s="165"/>
      <c r="BC307" s="165"/>
      <c r="BD307" s="165"/>
      <c r="BE307" s="165"/>
      <c r="BF307" s="165"/>
      <c r="BG307" s="165"/>
      <c r="BH307" s="165"/>
      <c r="BI307" s="168">
        <f>BG297</f>
        <v>9.83</v>
      </c>
      <c r="BL307" s="19"/>
      <c r="BM307" s="20">
        <v>18</v>
      </c>
      <c r="BN307" s="20"/>
      <c r="BO307" s="20"/>
      <c r="BP307" s="20"/>
      <c r="BQ307" s="20"/>
      <c r="BR307" s="20"/>
      <c r="BS307" s="22"/>
    </row>
    <row r="308" spans="8:71" x14ac:dyDescent="0.25">
      <c r="H308" s="106" t="s">
        <v>187</v>
      </c>
      <c r="I308" s="20"/>
      <c r="J308" s="20">
        <f>9*8</f>
        <v>72</v>
      </c>
      <c r="K308" s="22" t="s">
        <v>329</v>
      </c>
      <c r="L308" s="20"/>
      <c r="M308" s="20"/>
      <c r="N308" s="20"/>
      <c r="O308" s="144" t="s">
        <v>363</v>
      </c>
      <c r="P308" s="145"/>
      <c r="Q308" s="20"/>
      <c r="R308" s="20"/>
      <c r="S308" s="20"/>
      <c r="T308" s="20"/>
      <c r="U308" s="20"/>
      <c r="V308" s="20"/>
      <c r="Y308" s="106"/>
      <c r="Z308" s="57"/>
      <c r="AA308" s="57"/>
      <c r="AB308" s="57"/>
      <c r="AC308" s="57"/>
      <c r="AD308" s="57"/>
      <c r="AE308" s="57"/>
      <c r="AF308" s="154"/>
      <c r="AH308" s="51"/>
      <c r="AI308" s="52"/>
      <c r="AJ308" s="52" t="s">
        <v>130</v>
      </c>
      <c r="AK308" s="53" t="s">
        <v>354</v>
      </c>
      <c r="AL308" s="52"/>
      <c r="AM308" s="52"/>
      <c r="AN308" s="52"/>
      <c r="AO308" s="16"/>
      <c r="AP308" s="16"/>
      <c r="AQ308" s="17"/>
      <c r="AW308" s="165"/>
      <c r="AX308" s="165"/>
      <c r="AY308" s="165"/>
      <c r="AZ308" s="168"/>
      <c r="BA308" s="165"/>
      <c r="BB308" s="165"/>
      <c r="BC308" s="165"/>
      <c r="BD308" s="165"/>
      <c r="BE308" s="165"/>
      <c r="BF308" s="165"/>
      <c r="BG308" s="165"/>
      <c r="BH308" s="165"/>
      <c r="BI308" s="168"/>
      <c r="BL308" s="19"/>
      <c r="BM308" s="20"/>
      <c r="BN308" s="20"/>
      <c r="BO308" s="20"/>
      <c r="BP308" s="20"/>
      <c r="BQ308" s="20"/>
      <c r="BR308" s="20"/>
      <c r="BS308" s="22"/>
    </row>
    <row r="309" spans="8:71" ht="15.75" thickBot="1" x14ac:dyDescent="0.3">
      <c r="H309" s="106" t="s">
        <v>188</v>
      </c>
      <c r="I309" s="20"/>
      <c r="J309" s="63">
        <f>J307*J308</f>
        <v>576</v>
      </c>
      <c r="K309" s="22" t="s">
        <v>126</v>
      </c>
      <c r="L309" s="20"/>
      <c r="M309" s="20"/>
      <c r="N309" s="20"/>
      <c r="O309" s="146" t="s">
        <v>352</v>
      </c>
      <c r="P309" s="147">
        <f>J300+J304+J309+I318+I328+I337+N302+T305+N298+N299</f>
        <v>189744.42263084429</v>
      </c>
      <c r="Q309" s="20"/>
      <c r="R309" s="20"/>
      <c r="S309" s="20"/>
      <c r="T309" s="20"/>
      <c r="U309" s="20"/>
      <c r="V309" s="20"/>
      <c r="Y309" s="142" t="s">
        <v>393</v>
      </c>
      <c r="Z309" s="57"/>
      <c r="AA309" s="57"/>
      <c r="AB309" s="158">
        <f>0.417*4*AB307</f>
        <v>60.763213916263503</v>
      </c>
      <c r="AC309" s="57" t="s">
        <v>126</v>
      </c>
      <c r="AD309" s="57"/>
      <c r="AE309" s="57"/>
      <c r="AF309" s="154"/>
      <c r="AH309" s="48"/>
      <c r="AI309" s="49"/>
      <c r="AJ309" s="49"/>
      <c r="AK309" s="49">
        <f>AJ297+(2*AH303)+(2*AJ302)</f>
        <v>34.429893601215227</v>
      </c>
      <c r="AL309" s="49" t="s">
        <v>52</v>
      </c>
      <c r="AM309" s="49"/>
      <c r="AN309" s="49"/>
      <c r="AO309" s="3"/>
      <c r="AP309" s="3"/>
      <c r="AQ309" s="50"/>
      <c r="AW309" s="165"/>
      <c r="AX309" s="165"/>
      <c r="AY309" s="165"/>
      <c r="AZ309" s="168"/>
      <c r="BA309" s="165"/>
      <c r="BB309" s="165"/>
      <c r="BC309" s="165"/>
      <c r="BD309" s="165"/>
      <c r="BE309" s="165"/>
      <c r="BF309" s="165"/>
      <c r="BG309" s="165"/>
      <c r="BH309" s="165"/>
      <c r="BI309" s="168"/>
      <c r="BL309" s="19">
        <v>14</v>
      </c>
      <c r="BM309" s="20"/>
      <c r="BN309" s="20"/>
      <c r="BO309" s="20"/>
      <c r="BP309" s="20"/>
      <c r="BQ309" s="20"/>
      <c r="BR309" s="20"/>
      <c r="BS309" s="22">
        <v>6</v>
      </c>
    </row>
    <row r="310" spans="8:71" x14ac:dyDescent="0.25">
      <c r="H310" s="55" t="s">
        <v>189</v>
      </c>
      <c r="I310" s="3"/>
      <c r="J310" s="3"/>
      <c r="K310" s="50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Y310" s="106" t="s">
        <v>132</v>
      </c>
      <c r="Z310" s="57"/>
      <c r="AA310" s="57" t="s">
        <v>133</v>
      </c>
      <c r="AB310" s="153">
        <f>AB309*1.1</f>
        <v>66.839535307889861</v>
      </c>
      <c r="AC310" s="57" t="s">
        <v>126</v>
      </c>
      <c r="AD310" s="57"/>
      <c r="AE310" s="57"/>
      <c r="AF310" s="154"/>
      <c r="AH310" s="51"/>
      <c r="AI310" s="52"/>
      <c r="AJ310" s="52"/>
      <c r="AK310" s="52"/>
      <c r="AL310" s="52"/>
      <c r="AM310" s="52"/>
      <c r="AN310" s="52"/>
      <c r="AO310" s="16"/>
      <c r="AP310" s="16"/>
      <c r="AQ310" s="17"/>
      <c r="AW310" s="169"/>
      <c r="AX310" s="169">
        <f>AX296</f>
        <v>10.25</v>
      </c>
      <c r="AY310" s="169"/>
      <c r="AZ310" s="165"/>
      <c r="BA310" s="165"/>
      <c r="BB310" s="165"/>
      <c r="BC310" s="165"/>
      <c r="BD310" s="165"/>
      <c r="BE310" s="165"/>
      <c r="BF310" s="169"/>
      <c r="BG310" s="169">
        <f>BG296</f>
        <v>13.5</v>
      </c>
      <c r="BH310" s="169"/>
      <c r="BI310" s="165"/>
      <c r="BL310" s="19"/>
      <c r="BM310" s="20"/>
      <c r="BN310" s="20"/>
      <c r="BO310" s="20"/>
      <c r="BP310" s="20"/>
      <c r="BQ310" s="20"/>
      <c r="BR310" s="20"/>
      <c r="BS310" s="22"/>
    </row>
    <row r="311" spans="8:71" x14ac:dyDescent="0.25">
      <c r="H311" s="20"/>
      <c r="I311" s="20"/>
      <c r="J311" s="20"/>
      <c r="K311" s="20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Y311" s="106"/>
      <c r="Z311" s="57"/>
      <c r="AA311" s="57"/>
      <c r="AB311" s="153"/>
      <c r="AC311" s="57"/>
      <c r="AD311" s="57"/>
      <c r="AE311" s="57"/>
      <c r="AF311" s="154"/>
      <c r="AH311" s="113"/>
      <c r="AI311" s="114"/>
      <c r="AJ311" s="114"/>
      <c r="AK311" s="114"/>
      <c r="AL311" s="114"/>
      <c r="AM311" s="114"/>
      <c r="AN311" s="114"/>
      <c r="AO311" s="20"/>
      <c r="AP311" s="20"/>
      <c r="AQ311" s="22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  <c r="BI311" s="165"/>
      <c r="BL311" s="19"/>
      <c r="BM311" s="20"/>
      <c r="BN311" s="20"/>
      <c r="BO311" s="20"/>
      <c r="BP311" s="20"/>
      <c r="BQ311" s="20"/>
      <c r="BR311" s="20"/>
      <c r="BS311" s="22"/>
    </row>
    <row r="312" spans="8:71" x14ac:dyDescent="0.25">
      <c r="H312" s="57" t="s">
        <v>415</v>
      </c>
      <c r="I312" s="135"/>
      <c r="J312" s="135"/>
      <c r="K312" s="135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Y312" s="107"/>
      <c r="Z312" s="159"/>
      <c r="AA312" s="159"/>
      <c r="AB312" s="159"/>
      <c r="AC312" s="159"/>
      <c r="AD312" s="159"/>
      <c r="AE312" s="159"/>
      <c r="AF312" s="160"/>
      <c r="AH312" s="67"/>
      <c r="AI312" s="68" t="s">
        <v>134</v>
      </c>
      <c r="AJ312" s="68"/>
      <c r="AK312" s="68">
        <f>AK309*(0.3333*4)</f>
        <v>45.901934149140139</v>
      </c>
      <c r="AL312" s="68" t="s">
        <v>126</v>
      </c>
      <c r="AM312" s="68"/>
      <c r="AN312" s="68"/>
      <c r="AO312" s="20"/>
      <c r="AP312" s="20"/>
      <c r="AQ312" s="22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65"/>
      <c r="BI312" s="165"/>
      <c r="BL312" s="19"/>
      <c r="BM312" s="20"/>
      <c r="BN312" s="20"/>
      <c r="BO312" s="20"/>
      <c r="BP312" s="20"/>
      <c r="BQ312" s="20"/>
      <c r="BR312" s="20"/>
      <c r="BS312" s="22"/>
    </row>
    <row r="313" spans="8:71" ht="15" customHeight="1" x14ac:dyDescent="0.25">
      <c r="H313" s="28" t="s">
        <v>91</v>
      </c>
      <c r="I313" s="28">
        <v>1.333</v>
      </c>
      <c r="J313" s="28" t="s">
        <v>52</v>
      </c>
      <c r="K313" s="28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AH313" s="48"/>
      <c r="AI313" s="49" t="s">
        <v>135</v>
      </c>
      <c r="AJ313" s="49"/>
      <c r="AK313" s="49"/>
      <c r="AL313" s="49"/>
      <c r="AM313" s="49"/>
      <c r="AN313" s="49"/>
      <c r="AO313" s="3"/>
      <c r="AP313" s="3"/>
      <c r="AQ313" s="50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  <c r="BI313" s="165"/>
      <c r="BL313" s="19"/>
      <c r="BM313" s="20"/>
      <c r="BN313" s="20"/>
      <c r="BO313" s="20"/>
      <c r="BP313" s="20"/>
      <c r="BQ313" s="20"/>
      <c r="BR313" s="20"/>
      <c r="BS313" s="22"/>
    </row>
    <row r="314" spans="8:71" x14ac:dyDescent="0.25">
      <c r="H314" s="28" t="s">
        <v>100</v>
      </c>
      <c r="I314" s="136">
        <f>AK309</f>
        <v>34.429893601215227</v>
      </c>
      <c r="J314" s="28" t="s">
        <v>52</v>
      </c>
      <c r="K314" s="28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AH314" s="105"/>
      <c r="AI314" s="109"/>
      <c r="AJ314" s="109"/>
      <c r="AK314" s="109"/>
      <c r="AL314" s="109"/>
      <c r="AM314" s="109"/>
      <c r="AN314" s="109"/>
      <c r="AO314" s="109"/>
      <c r="AP314" s="109"/>
      <c r="AQ314" s="141"/>
      <c r="AW314" s="165" t="s">
        <v>358</v>
      </c>
      <c r="AX314" s="165">
        <v>10.792</v>
      </c>
      <c r="AY314" s="165" t="s">
        <v>52</v>
      </c>
      <c r="AZ314" s="165"/>
      <c r="BA314" s="165"/>
      <c r="BB314" s="165"/>
      <c r="BC314" s="165"/>
      <c r="BD314" s="165"/>
      <c r="BE314" s="165"/>
      <c r="BF314" s="165" t="s">
        <v>358</v>
      </c>
      <c r="BG314" s="165">
        <v>10.916700000000001</v>
      </c>
      <c r="BH314" s="165" t="s">
        <v>52</v>
      </c>
      <c r="BI314" s="165"/>
      <c r="BL314" s="19">
        <v>1.375</v>
      </c>
      <c r="BM314" s="20"/>
      <c r="BN314" s="20"/>
      <c r="BO314" s="20"/>
      <c r="BP314" s="20"/>
      <c r="BQ314" s="20"/>
      <c r="BR314" s="20"/>
      <c r="BS314" s="22"/>
    </row>
    <row r="315" spans="8:71" x14ac:dyDescent="0.25">
      <c r="H315" s="28" t="s">
        <v>106</v>
      </c>
      <c r="I315" t="s">
        <v>356</v>
      </c>
      <c r="K315" s="28"/>
      <c r="Y315" s="14"/>
      <c r="Z315" s="15" t="s">
        <v>389</v>
      </c>
      <c r="AA315" s="16"/>
      <c r="AB315" s="16"/>
      <c r="AC315" s="16"/>
      <c r="AD315" s="16"/>
      <c r="AE315" s="16"/>
      <c r="AF315" s="17"/>
      <c r="AH315" s="106"/>
      <c r="AI315" s="186" t="s">
        <v>136</v>
      </c>
      <c r="AJ315" s="57"/>
      <c r="AK315" s="57"/>
      <c r="AL315" s="57"/>
      <c r="AM315" s="57"/>
      <c r="AN315" s="57"/>
      <c r="AO315" s="57"/>
      <c r="AP315" s="57"/>
      <c r="AQ315" s="154"/>
      <c r="AW315" s="165" t="s">
        <v>114</v>
      </c>
      <c r="AX315" s="165">
        <v>9.83</v>
      </c>
      <c r="AY315" s="165" t="s">
        <v>52</v>
      </c>
      <c r="AZ315" s="165"/>
      <c r="BA315" s="165"/>
      <c r="BB315" s="165"/>
      <c r="BC315" s="165"/>
      <c r="BD315" s="165"/>
      <c r="BE315" s="165"/>
      <c r="BF315" s="165" t="s">
        <v>114</v>
      </c>
      <c r="BG315" s="165">
        <v>9.83</v>
      </c>
      <c r="BH315" s="165" t="s">
        <v>52</v>
      </c>
      <c r="BI315" s="165"/>
      <c r="BL315" s="19"/>
      <c r="BM315" s="20"/>
      <c r="BN315" s="20"/>
      <c r="BO315" s="20"/>
      <c r="BP315" s="20"/>
      <c r="BQ315" s="20"/>
      <c r="BR315" s="20"/>
      <c r="BS315" s="22"/>
    </row>
    <row r="316" spans="8:71" x14ac:dyDescent="0.25">
      <c r="H316" s="28" t="s">
        <v>128</v>
      </c>
      <c r="I316" s="137">
        <v>21</v>
      </c>
      <c r="J316" s="138"/>
      <c r="K316" s="28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Y316" s="19"/>
      <c r="Z316" s="20"/>
      <c r="AA316" s="20" t="s">
        <v>101</v>
      </c>
      <c r="AB316" s="20"/>
      <c r="AC316" s="20"/>
      <c r="AH316" s="106"/>
      <c r="AI316" s="186"/>
      <c r="AJ316" s="57"/>
      <c r="AK316" s="57">
        <f>AO293*AK309</f>
        <v>282.32512752996485</v>
      </c>
      <c r="AL316" s="57" t="s">
        <v>137</v>
      </c>
      <c r="AM316" s="57"/>
      <c r="AN316" s="57"/>
      <c r="AO316" s="57"/>
      <c r="AP316" s="57"/>
      <c r="AQ316" s="154"/>
      <c r="AW316" s="165" t="s">
        <v>357</v>
      </c>
      <c r="AX316" s="165">
        <f>2*(SQRT((AX328)^2+(AZ325)^2))</f>
        <v>29.195627343833529</v>
      </c>
      <c r="AY316" s="165" t="s">
        <v>52</v>
      </c>
      <c r="AZ316" s="165"/>
      <c r="BA316" s="165"/>
      <c r="BB316" s="165"/>
      <c r="BC316" s="165"/>
      <c r="BD316" s="165"/>
      <c r="BE316" s="165"/>
      <c r="BF316" s="165" t="s">
        <v>357</v>
      </c>
      <c r="BG316" s="165">
        <f>2*(SQRT((BG328)^2+(BI325)^2))</f>
        <v>29.380485965347816</v>
      </c>
      <c r="BH316" s="165" t="s">
        <v>52</v>
      </c>
      <c r="BI316" s="165"/>
      <c r="BL316" s="19"/>
      <c r="BM316" s="20"/>
      <c r="BN316" s="20"/>
      <c r="BO316" s="20">
        <f>BM307+BP306</f>
        <v>57</v>
      </c>
      <c r="BP316" s="20"/>
      <c r="BQ316" s="20"/>
      <c r="BR316" s="20"/>
      <c r="BS316" s="22"/>
    </row>
    <row r="317" spans="8:71" x14ac:dyDescent="0.25">
      <c r="H317" s="28" t="s">
        <v>112</v>
      </c>
      <c r="I317" s="28">
        <f>I314*I313*I316</f>
        <v>963.7960115788178</v>
      </c>
      <c r="J317" s="28" t="s">
        <v>113</v>
      </c>
      <c r="K317" s="28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Y317" s="19"/>
      <c r="Z317" s="20"/>
      <c r="AA317" s="20"/>
      <c r="AB317" s="20"/>
      <c r="AC317" s="20"/>
      <c r="AD317" s="26"/>
      <c r="AE317" s="20"/>
      <c r="AF317" s="22"/>
      <c r="AH317" s="107"/>
      <c r="AI317" s="187"/>
      <c r="AJ317" s="159"/>
      <c r="AK317" s="159"/>
      <c r="AL317" s="159"/>
      <c r="AM317" s="159"/>
      <c r="AN317" s="159"/>
      <c r="AO317" s="159"/>
      <c r="AP317" s="159"/>
      <c r="AQ317" s="160"/>
      <c r="AW317" s="166" t="s">
        <v>344</v>
      </c>
      <c r="AX317" s="165">
        <f>0.33*4*AX316</f>
        <v>38.538228093860262</v>
      </c>
      <c r="AY317" s="165" t="s">
        <v>113</v>
      </c>
      <c r="AZ317" s="165"/>
      <c r="BA317" s="165"/>
      <c r="BB317" s="165"/>
      <c r="BC317" s="165"/>
      <c r="BD317" s="165"/>
      <c r="BE317" s="165"/>
      <c r="BF317" s="166" t="s">
        <v>344</v>
      </c>
      <c r="BG317" s="165">
        <f>0.33*4*BG316</f>
        <v>38.782241474259116</v>
      </c>
      <c r="BH317" s="165" t="s">
        <v>113</v>
      </c>
      <c r="BI317" s="165"/>
      <c r="BL317" s="55"/>
      <c r="BM317" s="3"/>
      <c r="BN317" s="3"/>
      <c r="BO317" s="3"/>
      <c r="BP317" s="3"/>
      <c r="BQ317" s="3"/>
      <c r="BR317" s="3"/>
      <c r="BS317" s="50"/>
    </row>
    <row r="318" spans="8:71" ht="30" x14ac:dyDescent="0.25">
      <c r="H318" s="140" t="s">
        <v>355</v>
      </c>
      <c r="I318" s="33">
        <f>I317*1.1</f>
        <v>1060.1756127366996</v>
      </c>
      <c r="J318" s="28" t="s">
        <v>113</v>
      </c>
      <c r="K318" s="28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Y318" s="19"/>
      <c r="Z318" s="20" t="s">
        <v>114</v>
      </c>
      <c r="AA318" s="29">
        <v>9.9600000000000009</v>
      </c>
      <c r="AB318" s="29" t="s">
        <v>52</v>
      </c>
      <c r="AC318" s="29"/>
      <c r="AD318" s="20"/>
      <c r="AE318" s="20"/>
      <c r="AF318" s="22"/>
      <c r="AH318" s="105"/>
      <c r="AI318" s="109"/>
      <c r="AJ318" s="109"/>
      <c r="AK318" s="109"/>
      <c r="AL318" s="109"/>
      <c r="AM318" s="109"/>
      <c r="AN318" s="109"/>
      <c r="AO318" s="109"/>
      <c r="AP318" s="109"/>
      <c r="AQ318" s="141"/>
      <c r="AW318" s="167" t="s">
        <v>132</v>
      </c>
      <c r="AX318" s="165">
        <f>AX317*1.1</f>
        <v>42.392050903246293</v>
      </c>
      <c r="AY318" s="165" t="s">
        <v>113</v>
      </c>
      <c r="AZ318" s="165"/>
      <c r="BA318" s="165"/>
      <c r="BB318" s="165"/>
      <c r="BC318" s="165"/>
      <c r="BD318" s="165"/>
      <c r="BE318" s="165"/>
      <c r="BF318" s="167" t="s">
        <v>132</v>
      </c>
      <c r="BG318" s="165">
        <f>BG317*1.1</f>
        <v>42.660465621685034</v>
      </c>
      <c r="BH318" s="165" t="s">
        <v>113</v>
      </c>
      <c r="BI318" s="165"/>
    </row>
    <row r="319" spans="8:71" x14ac:dyDescent="0.25">
      <c r="H319" s="57"/>
      <c r="I319" s="139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Y319" s="19"/>
      <c r="Z319" s="20"/>
      <c r="AA319" s="29"/>
      <c r="AB319" s="29"/>
      <c r="AC319" s="29"/>
      <c r="AD319" s="20"/>
      <c r="AE319" s="20"/>
      <c r="AF319" s="22"/>
      <c r="AH319" s="106"/>
      <c r="AI319" s="57"/>
      <c r="AJ319" s="57"/>
      <c r="AK319" s="57"/>
      <c r="AL319" s="57"/>
      <c r="AM319" s="57"/>
      <c r="AN319" s="57"/>
      <c r="AO319" s="57"/>
      <c r="AP319" s="57"/>
      <c r="AQ319" s="154"/>
      <c r="AW319" s="165" t="s">
        <v>359</v>
      </c>
      <c r="AX319" s="165">
        <v>2</v>
      </c>
      <c r="AY319" s="165"/>
      <c r="AZ319" s="165"/>
      <c r="BA319" s="165"/>
      <c r="BB319" s="165"/>
      <c r="BC319" s="165">
        <f>AX302+BG302+AX320+BG320+AX339+BG339+AX376+BG376</f>
        <v>3076.9496903811141</v>
      </c>
      <c r="BD319" s="165"/>
      <c r="BE319" s="165"/>
      <c r="BF319" s="165" t="s">
        <v>359</v>
      </c>
      <c r="BG319" s="165">
        <v>4</v>
      </c>
      <c r="BH319" s="165"/>
      <c r="BI319" s="165"/>
    </row>
    <row r="320" spans="8:71" x14ac:dyDescent="0.25">
      <c r="H320" s="57" t="s">
        <v>389</v>
      </c>
      <c r="I320" s="135"/>
      <c r="J320" s="135"/>
      <c r="K320" s="135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Y320" s="143" t="s">
        <v>390</v>
      </c>
      <c r="Z320" s="68" t="s">
        <v>317</v>
      </c>
      <c r="AA320" s="20">
        <v>72</v>
      </c>
      <c r="AB320" s="20" t="s">
        <v>92</v>
      </c>
      <c r="AC320" s="20"/>
      <c r="AD320" s="26"/>
      <c r="AE320" s="20"/>
      <c r="AF320" s="22"/>
      <c r="AH320" s="106"/>
      <c r="AI320" s="186" t="s">
        <v>138</v>
      </c>
      <c r="AJ320" s="57"/>
      <c r="AK320" s="57">
        <f>1.1*AK316</f>
        <v>310.55764028296136</v>
      </c>
      <c r="AL320" s="57" t="s">
        <v>137</v>
      </c>
      <c r="AM320" s="57"/>
      <c r="AN320" s="57"/>
      <c r="AO320" s="57"/>
      <c r="AP320" s="57"/>
      <c r="AQ320" s="154"/>
      <c r="AW320" s="165" t="s">
        <v>360</v>
      </c>
      <c r="AX320" s="165">
        <f>AX319*AX318*2</f>
        <v>169.56820361298517</v>
      </c>
      <c r="AY320" s="165"/>
      <c r="AZ320" s="165"/>
      <c r="BA320" s="165"/>
      <c r="BB320" s="165"/>
      <c r="BC320" s="165"/>
      <c r="BD320" s="165"/>
      <c r="BE320" s="165"/>
      <c r="BF320" s="165" t="s">
        <v>360</v>
      </c>
      <c r="BG320" s="165">
        <f>BG319*BG318*2</f>
        <v>341.28372497348028</v>
      </c>
      <c r="BH320" s="165"/>
      <c r="BI320" s="165"/>
    </row>
    <row r="321" spans="8:72" x14ac:dyDescent="0.25">
      <c r="H321" s="28" t="s">
        <v>345</v>
      </c>
      <c r="I321" s="28">
        <v>1</v>
      </c>
      <c r="J321" s="28" t="s">
        <v>52</v>
      </c>
      <c r="K321" s="28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Y321" s="143"/>
      <c r="Z321" s="20"/>
      <c r="AA321" s="20">
        <f>AA320/12</f>
        <v>6</v>
      </c>
      <c r="AB321" s="20" t="s">
        <v>52</v>
      </c>
      <c r="AC321" s="20"/>
      <c r="AD321" s="26"/>
      <c r="AE321" s="20"/>
      <c r="AF321" s="22"/>
      <c r="AH321" s="107"/>
      <c r="AI321" s="187"/>
      <c r="AJ321" s="159"/>
      <c r="AK321" s="159"/>
      <c r="AL321" s="159"/>
      <c r="AM321" s="159"/>
      <c r="AN321" s="159"/>
      <c r="AO321" s="159"/>
      <c r="AP321" s="159"/>
      <c r="AQ321" s="160"/>
      <c r="AW321" s="165"/>
      <c r="AX321" s="165"/>
      <c r="AY321" s="165"/>
      <c r="AZ321" s="165"/>
      <c r="BA321" s="165"/>
      <c r="BB321" s="165"/>
      <c r="BC321" s="165"/>
      <c r="BD321" s="165"/>
      <c r="BE321" s="165"/>
      <c r="BF321" s="165"/>
      <c r="BG321" s="165"/>
      <c r="BH321" s="165"/>
      <c r="BI321" s="165"/>
      <c r="BM321" t="s">
        <v>377</v>
      </c>
    </row>
    <row r="322" spans="8:72" x14ac:dyDescent="0.25">
      <c r="H322" s="28" t="s">
        <v>346</v>
      </c>
      <c r="I322" s="135">
        <v>1.667</v>
      </c>
      <c r="J322" s="28" t="s">
        <v>52</v>
      </c>
      <c r="K322" s="28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Y322" s="19"/>
      <c r="Z322" s="20"/>
      <c r="AA322" s="20"/>
      <c r="AB322" s="20"/>
      <c r="AC322" s="20"/>
      <c r="AD322" s="20"/>
      <c r="AE322" s="20"/>
      <c r="AF322" s="22"/>
      <c r="AH322" s="105"/>
      <c r="AI322" s="109"/>
      <c r="AJ322" s="109"/>
      <c r="AK322" s="109"/>
      <c r="AL322" s="109"/>
      <c r="AM322" s="109"/>
      <c r="AN322" s="109"/>
      <c r="AO322" s="109"/>
      <c r="AP322" s="109"/>
      <c r="AQ322" s="141"/>
      <c r="AW322" s="165"/>
      <c r="AX322" s="165"/>
      <c r="AY322" s="165"/>
      <c r="AZ322" s="168"/>
      <c r="BA322" s="165"/>
      <c r="BB322" s="165"/>
      <c r="BC322" s="165"/>
      <c r="BD322" s="165"/>
      <c r="BE322" s="165"/>
      <c r="BF322" s="165"/>
      <c r="BG322" s="165"/>
      <c r="BH322" s="165"/>
      <c r="BI322" s="168"/>
      <c r="BO322">
        <v>6.5</v>
      </c>
      <c r="BP322" t="s">
        <v>92</v>
      </c>
      <c r="BR322" t="s">
        <v>366</v>
      </c>
      <c r="BS322">
        <f>PI()*BO322/12*BQ329</f>
        <v>11.911872144861299</v>
      </c>
    </row>
    <row r="323" spans="8:72" x14ac:dyDescent="0.25">
      <c r="H323" s="28" t="s">
        <v>347</v>
      </c>
      <c r="I323" s="136">
        <f>AB332</f>
        <v>22.836392982352631</v>
      </c>
      <c r="J323" s="28" t="s">
        <v>52</v>
      </c>
      <c r="K323" s="28"/>
      <c r="Y323" s="19"/>
      <c r="Z323" s="20"/>
      <c r="AA323" s="20"/>
      <c r="AB323" s="20"/>
      <c r="AC323" s="20"/>
      <c r="AD323" s="20"/>
      <c r="AE323" s="20"/>
      <c r="AF323" s="22"/>
      <c r="AH323" s="106"/>
      <c r="AI323" s="186" t="s">
        <v>139</v>
      </c>
      <c r="AJ323" s="57"/>
      <c r="AK323" s="57">
        <v>18</v>
      </c>
      <c r="AL323" s="57"/>
      <c r="AM323" s="57"/>
      <c r="AN323" s="57"/>
      <c r="AO323" s="57"/>
      <c r="AP323" s="57"/>
      <c r="AQ323" s="154"/>
      <c r="AW323" s="165"/>
      <c r="AX323" s="165">
        <f>SQRT((AX328)^2+(AZ325)^2)</f>
        <v>14.597813671916764</v>
      </c>
      <c r="AY323" s="165"/>
      <c r="AZ323" s="168"/>
      <c r="BA323" s="165"/>
      <c r="BB323" s="165"/>
      <c r="BC323" s="165"/>
      <c r="BD323" s="165"/>
      <c r="BE323" s="165"/>
      <c r="BF323" s="165"/>
      <c r="BG323" s="165">
        <f>SQRT((BG328)^2+(BI325)^2)</f>
        <v>14.690242982673908</v>
      </c>
      <c r="BH323" s="165"/>
      <c r="BI323" s="168"/>
      <c r="BR323" t="s">
        <v>359</v>
      </c>
      <c r="BS323">
        <v>83</v>
      </c>
      <c r="BT323" t="s">
        <v>116</v>
      </c>
    </row>
    <row r="324" spans="8:72" x14ac:dyDescent="0.25">
      <c r="H324" s="28" t="s">
        <v>348</v>
      </c>
      <c r="I324" s="135">
        <v>9.83</v>
      </c>
      <c r="J324" s="28" t="s">
        <v>52</v>
      </c>
      <c r="K324" s="28"/>
      <c r="Y324" s="19"/>
      <c r="Z324" s="20"/>
      <c r="AA324" s="20"/>
      <c r="AD324" s="20"/>
      <c r="AE324" s="20"/>
      <c r="AF324" s="22"/>
      <c r="AH324" s="106"/>
      <c r="AI324" s="186"/>
      <c r="AJ324" s="57"/>
      <c r="AK324" s="57"/>
      <c r="AL324" s="57"/>
      <c r="AM324" s="57"/>
      <c r="AN324" s="57"/>
      <c r="AO324" s="57"/>
      <c r="AP324" s="57"/>
      <c r="AQ324" s="154"/>
      <c r="AW324" s="165"/>
      <c r="AX324" s="165"/>
      <c r="AY324" s="165"/>
      <c r="AZ324" s="168"/>
      <c r="BA324" s="165"/>
      <c r="BB324" s="165"/>
      <c r="BC324" s="165"/>
      <c r="BD324" s="165"/>
      <c r="BE324" s="165"/>
      <c r="BF324" s="165"/>
      <c r="BG324" s="165"/>
      <c r="BH324" s="165"/>
      <c r="BI324" s="168"/>
      <c r="BR324" t="s">
        <v>362</v>
      </c>
      <c r="BS324">
        <f>BS322*BS323</f>
        <v>988.6853880234878</v>
      </c>
    </row>
    <row r="325" spans="8:72" x14ac:dyDescent="0.25">
      <c r="H325" s="28" t="s">
        <v>106</v>
      </c>
      <c r="I325" s="137" t="s">
        <v>193</v>
      </c>
      <c r="J325" s="138"/>
      <c r="K325" s="28"/>
      <c r="Y325" s="19"/>
      <c r="Z325" s="20">
        <f>(AA320-5)/12</f>
        <v>5.583333333333333</v>
      </c>
      <c r="AA325" s="20" t="s">
        <v>2</v>
      </c>
      <c r="AB325" s="20"/>
      <c r="AC325" s="20">
        <f>SQRT((AB329)^2+(Z325)^2)</f>
        <v>11.418196491176316</v>
      </c>
      <c r="AD325" s="20" t="s">
        <v>2</v>
      </c>
      <c r="AE325" s="20"/>
      <c r="AF325" s="22"/>
      <c r="AH325" s="107"/>
      <c r="AI325" s="159"/>
      <c r="AJ325" s="159"/>
      <c r="AK325" s="159"/>
      <c r="AL325" s="159"/>
      <c r="AM325" s="159"/>
      <c r="AN325" s="159"/>
      <c r="AO325" s="159"/>
      <c r="AP325" s="159"/>
      <c r="AQ325" s="160"/>
      <c r="AW325" s="165"/>
      <c r="AX325" s="165"/>
      <c r="AY325" s="165"/>
      <c r="AZ325" s="168">
        <f>AX315</f>
        <v>9.83</v>
      </c>
      <c r="BA325" s="165"/>
      <c r="BB325" s="165"/>
      <c r="BC325" s="165"/>
      <c r="BD325" s="165"/>
      <c r="BE325" s="165"/>
      <c r="BF325" s="165"/>
      <c r="BG325" s="165"/>
      <c r="BH325" s="165"/>
      <c r="BI325" s="168">
        <f>BG315</f>
        <v>9.83</v>
      </c>
      <c r="BR325" t="s">
        <v>370</v>
      </c>
      <c r="BS325" s="7">
        <f>BS324*1.1</f>
        <v>1087.5539268258367</v>
      </c>
      <c r="BT325" t="s">
        <v>40</v>
      </c>
    </row>
    <row r="326" spans="8:72" ht="18" customHeight="1" x14ac:dyDescent="0.25">
      <c r="H326" s="28" t="s">
        <v>128</v>
      </c>
      <c r="I326" s="137">
        <f>77*3</f>
        <v>231</v>
      </c>
      <c r="J326" s="138"/>
      <c r="K326" s="28"/>
      <c r="Y326" s="19"/>
      <c r="Z326" s="20">
        <f>Z325*12</f>
        <v>67</v>
      </c>
      <c r="AA326" s="20"/>
      <c r="AB326" s="20"/>
      <c r="AC326" s="20"/>
      <c r="AD326" s="20"/>
      <c r="AE326" s="20"/>
      <c r="AF326" s="22"/>
      <c r="AH326" s="175"/>
      <c r="AI326" s="176" t="s">
        <v>140</v>
      </c>
      <c r="AJ326" s="177"/>
      <c r="AK326" s="177">
        <f>AK320*AK323</f>
        <v>5590.0375250933048</v>
      </c>
      <c r="AL326" s="177" t="s">
        <v>137</v>
      </c>
      <c r="AM326" s="177"/>
      <c r="AN326" s="177"/>
      <c r="AO326" s="177"/>
      <c r="AP326" s="177"/>
      <c r="AQ326" s="178"/>
      <c r="AW326" s="165"/>
      <c r="AX326" s="165"/>
      <c r="AY326" s="165"/>
      <c r="AZ326" s="168"/>
      <c r="BA326" s="165"/>
      <c r="BB326" s="165"/>
      <c r="BC326" s="165"/>
      <c r="BD326" s="165"/>
      <c r="BE326" s="165"/>
      <c r="BF326" s="165"/>
      <c r="BG326" s="165"/>
      <c r="BH326" s="165"/>
      <c r="BI326" s="168"/>
    </row>
    <row r="327" spans="8:72" x14ac:dyDescent="0.25">
      <c r="H327" s="28" t="s">
        <v>112</v>
      </c>
      <c r="I327" s="28">
        <f>((I323*I321)+(I322*I324))*I326</f>
        <v>9060.5136889234582</v>
      </c>
      <c r="J327" s="28" t="s">
        <v>113</v>
      </c>
      <c r="K327" s="28"/>
      <c r="Y327" s="19"/>
      <c r="Z327" s="20"/>
      <c r="AA327" s="20"/>
      <c r="AB327" s="20"/>
      <c r="AC327" s="20"/>
      <c r="AD327" s="20"/>
      <c r="AE327" s="20"/>
      <c r="AF327" s="22"/>
      <c r="AW327" s="165"/>
      <c r="AX327" s="165"/>
      <c r="AY327" s="165"/>
      <c r="AZ327" s="168"/>
      <c r="BA327" s="165"/>
      <c r="BB327" s="165"/>
      <c r="BC327" s="165"/>
      <c r="BD327" s="165"/>
      <c r="BE327" s="165"/>
      <c r="BF327" s="165"/>
      <c r="BG327" s="165"/>
      <c r="BH327" s="165"/>
      <c r="BI327" s="168"/>
    </row>
    <row r="328" spans="8:72" ht="30" x14ac:dyDescent="0.25">
      <c r="H328" s="140" t="s">
        <v>355</v>
      </c>
      <c r="I328" s="33">
        <f>I327*1.1</f>
        <v>9966.5650578158056</v>
      </c>
      <c r="J328" s="28" t="s">
        <v>113</v>
      </c>
      <c r="K328" s="28"/>
      <c r="Y328" s="19"/>
      <c r="Z328" s="20"/>
      <c r="AA328" s="20"/>
      <c r="AB328" s="20"/>
      <c r="AC328" s="20"/>
      <c r="AD328" s="20"/>
      <c r="AE328" s="20"/>
      <c r="AF328" s="22"/>
      <c r="AW328" s="169"/>
      <c r="AX328" s="169">
        <f>AX314</f>
        <v>10.792</v>
      </c>
      <c r="AY328" s="169"/>
      <c r="AZ328" s="165"/>
      <c r="BA328" s="165"/>
      <c r="BB328" s="165"/>
      <c r="BC328" s="165"/>
      <c r="BD328" s="165"/>
      <c r="BE328" s="165"/>
      <c r="BF328" s="169"/>
      <c r="BG328" s="169">
        <f>BG314</f>
        <v>10.916700000000001</v>
      </c>
      <c r="BH328" s="169"/>
      <c r="BI328" s="165"/>
    </row>
    <row r="329" spans="8:72" x14ac:dyDescent="0.25">
      <c r="Y329" s="19"/>
      <c r="Z329" s="20"/>
      <c r="AA329" s="20"/>
      <c r="AB329" s="29">
        <f>AA318</f>
        <v>9.9600000000000009</v>
      </c>
      <c r="AC329" s="20"/>
      <c r="AD329" s="20"/>
      <c r="AE329" s="20"/>
      <c r="AF329" s="22"/>
      <c r="AW329" s="165"/>
      <c r="AX329" s="165"/>
      <c r="AY329" s="165"/>
      <c r="AZ329" s="165"/>
      <c r="BA329" s="165"/>
      <c r="BB329" s="165"/>
      <c r="BC329" s="165"/>
      <c r="BD329" s="165"/>
      <c r="BE329" s="165"/>
      <c r="BF329" s="165"/>
      <c r="BG329" s="165"/>
      <c r="BH329" s="165"/>
      <c r="BI329" s="165"/>
      <c r="BQ329">
        <v>7</v>
      </c>
      <c r="BR329" t="s">
        <v>52</v>
      </c>
    </row>
    <row r="330" spans="8:72" x14ac:dyDescent="0.25">
      <c r="Y330" s="19"/>
      <c r="Z330" s="20"/>
      <c r="AA330" s="20"/>
      <c r="AB330" s="20"/>
      <c r="AC330" s="20"/>
      <c r="AD330" s="20"/>
      <c r="AE330" s="20"/>
      <c r="AF330" s="22"/>
      <c r="AW330" s="165"/>
      <c r="AX330" s="165"/>
      <c r="AY330" s="165"/>
      <c r="AZ330" s="165"/>
      <c r="BA330" s="165"/>
      <c r="BB330" s="165"/>
      <c r="BC330" s="165"/>
      <c r="BD330" s="165"/>
      <c r="BE330" s="165"/>
      <c r="BF330" s="165"/>
      <c r="BG330" s="165"/>
      <c r="BH330" s="165"/>
      <c r="BI330" s="165"/>
    </row>
    <row r="331" spans="8:72" x14ac:dyDescent="0.25">
      <c r="H331" s="57" t="s">
        <v>391</v>
      </c>
      <c r="I331" s="135"/>
      <c r="J331" s="135"/>
      <c r="K331" s="135"/>
      <c r="Y331" s="47" t="s">
        <v>349</v>
      </c>
      <c r="Z331" s="20"/>
      <c r="AB331" s="29">
        <f>(1*AB329)</f>
        <v>9.9600000000000009</v>
      </c>
      <c r="AC331" s="20" t="s">
        <v>125</v>
      </c>
      <c r="AD331" s="20"/>
      <c r="AE331" s="20"/>
      <c r="AF331" s="22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  <c r="BI331" s="165"/>
    </row>
    <row r="332" spans="8:72" x14ac:dyDescent="0.25">
      <c r="H332" s="28" t="s">
        <v>91</v>
      </c>
      <c r="I332" s="28">
        <f>0.417*4</f>
        <v>1.6679999999999999</v>
      </c>
      <c r="J332" s="28" t="s">
        <v>52</v>
      </c>
      <c r="K332" s="28"/>
      <c r="Y332" s="19" t="s">
        <v>350</v>
      </c>
      <c r="Z332" s="20"/>
      <c r="AA332" s="20"/>
      <c r="AB332" s="20">
        <f>AC325*2</f>
        <v>22.836392982352631</v>
      </c>
      <c r="AC332" s="20" t="s">
        <v>125</v>
      </c>
      <c r="AD332" s="20"/>
      <c r="AE332" s="20"/>
      <c r="AF332" s="22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5"/>
    </row>
    <row r="333" spans="8:72" x14ac:dyDescent="0.25">
      <c r="H333" s="28" t="s">
        <v>100</v>
      </c>
      <c r="I333" s="136">
        <f>AB307</f>
        <v>36.428785321500904</v>
      </c>
      <c r="J333" s="28" t="s">
        <v>52</v>
      </c>
      <c r="K333" s="28"/>
      <c r="Y333" s="54" t="s">
        <v>351</v>
      </c>
      <c r="Z333" s="20"/>
      <c r="AA333" s="20"/>
      <c r="AB333" s="41">
        <f>(0.25*4*AB332)+(20/12*AB331)</f>
        <v>39.436392982352629</v>
      </c>
      <c r="AC333" s="20" t="s">
        <v>126</v>
      </c>
      <c r="AD333" s="20"/>
      <c r="AE333" s="20"/>
      <c r="AF333" s="22"/>
      <c r="AW333" s="165" t="s">
        <v>358</v>
      </c>
      <c r="AX333" s="165">
        <v>14.25</v>
      </c>
      <c r="AY333" s="165" t="s">
        <v>52</v>
      </c>
      <c r="AZ333" s="165"/>
      <c r="BA333" s="165"/>
      <c r="BB333" s="165"/>
      <c r="BC333" s="165"/>
      <c r="BD333" s="165"/>
      <c r="BE333" s="165"/>
      <c r="BF333" s="165" t="s">
        <v>358</v>
      </c>
      <c r="BG333" s="165">
        <v>10.75</v>
      </c>
      <c r="BH333" s="165" t="s">
        <v>52</v>
      </c>
      <c r="BI333" s="165"/>
    </row>
    <row r="334" spans="8:72" x14ac:dyDescent="0.25">
      <c r="H334" s="28" t="s">
        <v>106</v>
      </c>
      <c r="I334" t="s">
        <v>391</v>
      </c>
      <c r="K334" s="28"/>
      <c r="Y334" s="19" t="s">
        <v>132</v>
      </c>
      <c r="Z334" s="20"/>
      <c r="AA334" s="20" t="s">
        <v>133</v>
      </c>
      <c r="AB334" s="29">
        <f>AB333*1.1</f>
        <v>43.380032280587898</v>
      </c>
      <c r="AC334" s="20" t="s">
        <v>126</v>
      </c>
      <c r="AD334" s="20"/>
      <c r="AE334" s="20"/>
      <c r="AF334" s="22"/>
      <c r="AW334" s="165" t="s">
        <v>114</v>
      </c>
      <c r="AX334" s="165">
        <v>9.83</v>
      </c>
      <c r="AY334" s="165" t="s">
        <v>52</v>
      </c>
      <c r="AZ334" s="165"/>
      <c r="BA334" s="165"/>
      <c r="BB334" s="165"/>
      <c r="BC334" s="165"/>
      <c r="BD334" s="165"/>
      <c r="BE334" s="165"/>
      <c r="BF334" s="165" t="s">
        <v>114</v>
      </c>
      <c r="BG334" s="165">
        <v>9.83</v>
      </c>
      <c r="BH334" s="165" t="s">
        <v>52</v>
      </c>
      <c r="BI334" s="165"/>
    </row>
    <row r="335" spans="8:72" x14ac:dyDescent="0.25">
      <c r="H335" s="28" t="s">
        <v>128</v>
      </c>
      <c r="I335" s="137">
        <f>76*2</f>
        <v>152</v>
      </c>
      <c r="J335" s="138"/>
      <c r="K335" s="28"/>
      <c r="Y335" s="55"/>
      <c r="Z335" s="3"/>
      <c r="AA335" s="3"/>
      <c r="AB335" s="3"/>
      <c r="AC335" s="3"/>
      <c r="AD335" s="3"/>
      <c r="AE335" s="3"/>
      <c r="AF335" s="50"/>
      <c r="AW335" s="165" t="s">
        <v>357</v>
      </c>
      <c r="AX335" s="165">
        <f>2*(SQRT((AX347)^2+(AZ344)^2))</f>
        <v>34.623194537766153</v>
      </c>
      <c r="AY335" s="165" t="s">
        <v>52</v>
      </c>
      <c r="AZ335" s="165"/>
      <c r="BA335" s="165"/>
      <c r="BB335" s="165"/>
      <c r="BC335" s="165"/>
      <c r="BD335" s="165"/>
      <c r="BE335" s="165"/>
      <c r="BF335" s="165" t="s">
        <v>357</v>
      </c>
      <c r="BG335" s="165">
        <f>2*(SQRT((BG347)^2+(BI344)^2))</f>
        <v>29.133581997413224</v>
      </c>
      <c r="BH335" s="165" t="s">
        <v>52</v>
      </c>
      <c r="BI335" s="165"/>
    </row>
    <row r="336" spans="8:72" x14ac:dyDescent="0.25">
      <c r="H336" s="28" t="s">
        <v>112</v>
      </c>
      <c r="I336" s="28">
        <f>I333*I332*I335</f>
        <v>9236.008515272053</v>
      </c>
      <c r="J336" s="28" t="s">
        <v>113</v>
      </c>
      <c r="K336" s="28"/>
      <c r="AW336" s="166" t="s">
        <v>344</v>
      </c>
      <c r="AX336" s="165">
        <f>0.33*4*AX335</f>
        <v>45.702616789851326</v>
      </c>
      <c r="AY336" s="165" t="s">
        <v>113</v>
      </c>
      <c r="AZ336" s="165"/>
      <c r="BA336" s="165"/>
      <c r="BB336" s="165"/>
      <c r="BC336" s="165"/>
      <c r="BD336" s="165"/>
      <c r="BE336" s="165"/>
      <c r="BF336" s="166" t="s">
        <v>344</v>
      </c>
      <c r="BG336" s="165">
        <f>0.33*4*BG335</f>
        <v>38.456328236585456</v>
      </c>
      <c r="BH336" s="165" t="s">
        <v>113</v>
      </c>
      <c r="BI336" s="165"/>
    </row>
    <row r="337" spans="1:61" ht="30" x14ac:dyDescent="0.25">
      <c r="H337" s="140" t="s">
        <v>355</v>
      </c>
      <c r="I337" s="33">
        <f>I336*1.1</f>
        <v>10159.609366799259</v>
      </c>
      <c r="J337" s="28" t="s">
        <v>113</v>
      </c>
      <c r="K337" s="28"/>
      <c r="AW337" s="167" t="s">
        <v>132</v>
      </c>
      <c r="AX337" s="165">
        <f>AX336*1.1</f>
        <v>50.27287846883646</v>
      </c>
      <c r="AY337" s="165" t="s">
        <v>113</v>
      </c>
      <c r="AZ337" s="165"/>
      <c r="BA337" s="165"/>
      <c r="BB337" s="165"/>
      <c r="BC337" s="165"/>
      <c r="BD337" s="165"/>
      <c r="BE337" s="165"/>
      <c r="BF337" s="167" t="s">
        <v>132</v>
      </c>
      <c r="BG337" s="165">
        <f>BG336*1.1</f>
        <v>42.301961060244004</v>
      </c>
      <c r="BH337" s="165" t="s">
        <v>113</v>
      </c>
      <c r="BI337" s="165"/>
    </row>
    <row r="338" spans="1:61" x14ac:dyDescent="0.25">
      <c r="AW338" s="165" t="s">
        <v>359</v>
      </c>
      <c r="AX338" s="165">
        <v>16</v>
      </c>
      <c r="AY338" s="165"/>
      <c r="AZ338" s="165"/>
      <c r="BA338" s="165"/>
      <c r="BB338" s="165"/>
      <c r="BC338" s="165"/>
      <c r="BD338" s="165"/>
      <c r="BE338" s="165"/>
      <c r="BF338" s="165" t="s">
        <v>359</v>
      </c>
      <c r="BG338" s="165">
        <v>1</v>
      </c>
      <c r="BH338" s="165"/>
      <c r="BI338" s="165"/>
    </row>
    <row r="339" spans="1:61" x14ac:dyDescent="0.25">
      <c r="A339" s="72" t="s">
        <v>423</v>
      </c>
      <c r="AW339" s="165" t="s">
        <v>360</v>
      </c>
      <c r="AX339" s="165">
        <f>AX338*AX337*2</f>
        <v>1608.7321110027667</v>
      </c>
      <c r="AY339" s="165"/>
      <c r="AZ339" s="165"/>
      <c r="BA339" s="165"/>
      <c r="BB339" s="165"/>
      <c r="BC339" s="165"/>
      <c r="BD339" s="165"/>
      <c r="BE339" s="165"/>
      <c r="BF339" s="165" t="s">
        <v>360</v>
      </c>
      <c r="BG339" s="165">
        <f>BG338*BG337*2</f>
        <v>84.603922120488008</v>
      </c>
      <c r="BH339" s="165"/>
      <c r="BI339" s="165"/>
    </row>
    <row r="340" spans="1:61" x14ac:dyDescent="0.25">
      <c r="A340" s="7" t="s">
        <v>57</v>
      </c>
      <c r="B340" s="7"/>
      <c r="C340" s="7">
        <v>8</v>
      </c>
      <c r="D340" s="7" t="s">
        <v>116</v>
      </c>
      <c r="AW340" s="165"/>
      <c r="AX340" s="165"/>
      <c r="AY340" s="165"/>
      <c r="AZ340" s="165"/>
      <c r="BA340" s="165"/>
      <c r="BB340" s="165"/>
      <c r="BC340" s="165"/>
      <c r="BD340" s="165"/>
      <c r="BE340" s="165"/>
      <c r="BF340" s="165"/>
      <c r="BG340" s="165"/>
      <c r="BH340" s="165"/>
      <c r="BI340" s="165"/>
    </row>
    <row r="341" spans="1:61" x14ac:dyDescent="0.25">
      <c r="AW341" s="165"/>
      <c r="AX341" s="165"/>
      <c r="AY341" s="165"/>
      <c r="AZ341" s="168"/>
      <c r="BA341" s="165"/>
      <c r="BB341" s="165"/>
      <c r="BC341" s="165"/>
      <c r="BD341" s="165"/>
      <c r="BE341" s="165"/>
      <c r="BF341" s="165"/>
      <c r="BG341" s="165"/>
      <c r="BH341" s="165"/>
      <c r="BI341" s="168"/>
    </row>
    <row r="342" spans="1:61" x14ac:dyDescent="0.25">
      <c r="A342" s="72" t="s">
        <v>422</v>
      </c>
      <c r="B342" s="6"/>
      <c r="C342" s="6"/>
      <c r="AW342" s="165"/>
      <c r="AX342" s="165">
        <f>SQRT((AX347)^2+(AZ344)^2)</f>
        <v>17.311597268883077</v>
      </c>
      <c r="AY342" s="165"/>
      <c r="AZ342" s="168"/>
      <c r="BA342" s="165"/>
      <c r="BB342" s="165"/>
      <c r="BC342" s="165"/>
      <c r="BD342" s="165"/>
      <c r="BE342" s="165"/>
      <c r="BF342" s="165"/>
      <c r="BG342" s="165">
        <f>SQRT((BG347)^2+(BI344)^2)</f>
        <v>14.566790998706612</v>
      </c>
      <c r="BH342" s="165"/>
      <c r="BI342" s="168"/>
    </row>
    <row r="343" spans="1:61" x14ac:dyDescent="0.25">
      <c r="A343" s="7" t="s">
        <v>416</v>
      </c>
      <c r="B343" s="7"/>
      <c r="C343" s="181">
        <f>AK326</f>
        <v>5590.0375250933048</v>
      </c>
      <c r="D343" s="7" t="s">
        <v>137</v>
      </c>
      <c r="E343" s="7"/>
      <c r="AW343" s="165"/>
      <c r="AX343" s="165"/>
      <c r="AY343" s="165"/>
      <c r="AZ343" s="168"/>
      <c r="BA343" s="165"/>
      <c r="BB343" s="165"/>
      <c r="BC343" s="165"/>
      <c r="BD343" s="165"/>
      <c r="BE343" s="165"/>
      <c r="BF343" s="165"/>
      <c r="BG343" s="165"/>
      <c r="BH343" s="165"/>
      <c r="BI343" s="168"/>
    </row>
    <row r="344" spans="1:61" x14ac:dyDescent="0.25">
      <c r="AW344" s="165"/>
      <c r="AX344" s="165"/>
      <c r="AY344" s="165"/>
      <c r="AZ344" s="168">
        <f>AX334</f>
        <v>9.83</v>
      </c>
      <c r="BA344" s="165"/>
      <c r="BB344" s="165"/>
      <c r="BC344" s="165"/>
      <c r="BD344" s="165"/>
      <c r="BE344" s="165"/>
      <c r="BF344" s="165"/>
      <c r="BG344" s="165"/>
      <c r="BH344" s="165"/>
      <c r="BI344" s="168">
        <f>BG334</f>
        <v>9.83</v>
      </c>
    </row>
    <row r="345" spans="1:61" x14ac:dyDescent="0.25">
      <c r="AW345" s="165"/>
      <c r="AX345" s="165"/>
      <c r="AY345" s="165"/>
      <c r="AZ345" s="168"/>
      <c r="BA345" s="165"/>
      <c r="BB345" s="165"/>
      <c r="BC345" s="165"/>
      <c r="BD345" s="165"/>
      <c r="BE345" s="165"/>
      <c r="BF345" s="165"/>
      <c r="BG345" s="165"/>
      <c r="BH345" s="165"/>
      <c r="BI345" s="168"/>
    </row>
    <row r="346" spans="1:61" x14ac:dyDescent="0.25">
      <c r="AW346" s="165"/>
      <c r="AX346" s="165"/>
      <c r="AY346" s="165"/>
      <c r="AZ346" s="168"/>
      <c r="BA346" s="165"/>
      <c r="BB346" s="165"/>
      <c r="BC346" s="165"/>
      <c r="BD346" s="165"/>
      <c r="BE346" s="165"/>
      <c r="BF346" s="165"/>
      <c r="BG346" s="165"/>
      <c r="BH346" s="165"/>
      <c r="BI346" s="168"/>
    </row>
    <row r="347" spans="1:61" x14ac:dyDescent="0.25">
      <c r="A347" s="72" t="s">
        <v>141</v>
      </c>
      <c r="AW347" s="169"/>
      <c r="AX347" s="169">
        <f>AX333</f>
        <v>14.25</v>
      </c>
      <c r="AY347" s="169"/>
      <c r="AZ347" s="165"/>
      <c r="BA347" s="165"/>
      <c r="BB347" s="165"/>
      <c r="BC347" s="165"/>
      <c r="BD347" s="165"/>
      <c r="BE347" s="165"/>
      <c r="BF347" s="169"/>
      <c r="BG347" s="169">
        <f>BG333</f>
        <v>10.75</v>
      </c>
      <c r="BH347" s="169"/>
      <c r="BI347" s="165"/>
    </row>
    <row r="348" spans="1:61" x14ac:dyDescent="0.25"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</row>
    <row r="349" spans="1:61" x14ac:dyDescent="0.25">
      <c r="A349" t="s">
        <v>143</v>
      </c>
      <c r="D349">
        <v>36.5</v>
      </c>
      <c r="E349" t="s">
        <v>2</v>
      </c>
      <c r="AW349" s="165"/>
      <c r="AX349" s="165"/>
      <c r="AY349" s="165"/>
      <c r="AZ349" s="165"/>
      <c r="BA349" s="165"/>
      <c r="BB349" s="165"/>
      <c r="BC349" s="165"/>
      <c r="BD349" s="165"/>
      <c r="BE349" s="165"/>
      <c r="BF349" s="165"/>
      <c r="BG349" s="165"/>
      <c r="BH349" s="165"/>
      <c r="BI349" s="165"/>
    </row>
    <row r="350" spans="1:61" x14ac:dyDescent="0.25">
      <c r="A350" t="s">
        <v>146</v>
      </c>
      <c r="D350">
        <v>0</v>
      </c>
      <c r="E350" t="s">
        <v>72</v>
      </c>
      <c r="AW350" s="165" t="s">
        <v>358</v>
      </c>
      <c r="AX350" s="165">
        <v>13.583</v>
      </c>
      <c r="AY350" s="165" t="s">
        <v>52</v>
      </c>
      <c r="AZ350" s="165"/>
      <c r="BA350" s="165"/>
      <c r="BB350" s="165"/>
      <c r="BC350" s="165"/>
      <c r="BD350" s="165"/>
      <c r="BE350" s="165"/>
      <c r="BF350" s="165" t="s">
        <v>358</v>
      </c>
      <c r="BG350" s="165">
        <v>11.25</v>
      </c>
      <c r="BH350" s="165" t="s">
        <v>52</v>
      </c>
      <c r="BI350" s="165"/>
    </row>
    <row r="351" spans="1:61" x14ac:dyDescent="0.25">
      <c r="AW351" s="165" t="s">
        <v>114</v>
      </c>
      <c r="AX351" s="165">
        <v>9.83</v>
      </c>
      <c r="AY351" s="165" t="s">
        <v>52</v>
      </c>
      <c r="AZ351" s="165"/>
      <c r="BA351" s="165"/>
      <c r="BB351" s="165"/>
      <c r="BC351" s="165"/>
      <c r="BD351" s="165"/>
      <c r="BE351" s="165"/>
      <c r="BF351" s="165" t="s">
        <v>114</v>
      </c>
      <c r="BG351" s="165">
        <v>9.83</v>
      </c>
      <c r="BH351" s="165" t="s">
        <v>52</v>
      </c>
      <c r="BI351" s="165"/>
    </row>
    <row r="352" spans="1:61" x14ac:dyDescent="0.25">
      <c r="A352" t="s">
        <v>194</v>
      </c>
      <c r="D352" s="1">
        <v>36.5</v>
      </c>
      <c r="E352" t="s">
        <v>2</v>
      </c>
      <c r="AW352" s="165" t="s">
        <v>357</v>
      </c>
      <c r="AX352" s="165" t="e">
        <f>2*(SQRT((#REF!)^2+(AZ365)^2))</f>
        <v>#REF!</v>
      </c>
      <c r="AY352" s="165" t="s">
        <v>52</v>
      </c>
      <c r="AZ352" s="165"/>
      <c r="BA352" s="165"/>
      <c r="BB352" s="165"/>
      <c r="BC352" s="165"/>
      <c r="BD352" s="165"/>
      <c r="BE352" s="165"/>
      <c r="BF352" s="165" t="s">
        <v>357</v>
      </c>
      <c r="BG352" s="165" t="e">
        <f>2*(SQRT((#REF!)^2+(BI365)^2))</f>
        <v>#REF!</v>
      </c>
      <c r="BH352" s="165" t="s">
        <v>52</v>
      </c>
      <c r="BI352" s="165"/>
    </row>
    <row r="353" spans="1:61" x14ac:dyDescent="0.25">
      <c r="A353" t="s">
        <v>383</v>
      </c>
      <c r="D353" s="1">
        <v>36.5</v>
      </c>
      <c r="E353" t="s">
        <v>2</v>
      </c>
      <c r="AW353" s="165"/>
      <c r="AX353" s="165"/>
      <c r="AY353" s="165"/>
      <c r="AZ353" s="165"/>
      <c r="BA353" s="165"/>
      <c r="BB353" s="165"/>
      <c r="BC353" s="165"/>
      <c r="BD353" s="165"/>
      <c r="BE353" s="165"/>
      <c r="BF353" s="165"/>
      <c r="BG353" s="165"/>
      <c r="BH353" s="165"/>
      <c r="BI353" s="165"/>
    </row>
    <row r="354" spans="1:61" x14ac:dyDescent="0.25">
      <c r="A354" t="s">
        <v>384</v>
      </c>
      <c r="D354" s="1">
        <v>36.5</v>
      </c>
      <c r="E354" t="s">
        <v>2</v>
      </c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5"/>
      <c r="BH354" s="165"/>
      <c r="BI354" s="165"/>
    </row>
    <row r="355" spans="1:61" x14ac:dyDescent="0.25">
      <c r="A355" t="s">
        <v>195</v>
      </c>
      <c r="D355" s="3">
        <v>36.5</v>
      </c>
      <c r="E355" s="3" t="s">
        <v>2</v>
      </c>
      <c r="AW355" s="166" t="s">
        <v>344</v>
      </c>
      <c r="AX355" s="165" t="e">
        <f>0.33*4*AX352</f>
        <v>#REF!</v>
      </c>
      <c r="AY355" s="165" t="s">
        <v>113</v>
      </c>
      <c r="AZ355" s="165"/>
      <c r="BA355" s="165"/>
      <c r="BB355" s="165"/>
      <c r="BC355" s="165"/>
      <c r="BD355" s="165"/>
      <c r="BE355" s="165"/>
      <c r="BF355" s="166" t="s">
        <v>344</v>
      </c>
      <c r="BG355" s="165" t="e">
        <f>0.33*4*BG352</f>
        <v>#REF!</v>
      </c>
      <c r="BH355" s="165" t="s">
        <v>113</v>
      </c>
      <c r="BI355" s="165"/>
    </row>
    <row r="356" spans="1:61" x14ac:dyDescent="0.25">
      <c r="A356" t="s">
        <v>147</v>
      </c>
      <c r="D356" s="62">
        <f>SUM(D352:D355)</f>
        <v>146</v>
      </c>
      <c r="E356" s="7" t="s">
        <v>2</v>
      </c>
      <c r="AW356" s="167" t="s">
        <v>132</v>
      </c>
      <c r="AX356" s="165" t="e">
        <f>AX355*1.1</f>
        <v>#REF!</v>
      </c>
      <c r="AY356" s="165" t="s">
        <v>113</v>
      </c>
      <c r="AZ356" s="165"/>
      <c r="BA356" s="165"/>
      <c r="BB356" s="165"/>
      <c r="BC356" s="165"/>
      <c r="BD356" s="165"/>
      <c r="BE356" s="165"/>
      <c r="BF356" s="167" t="s">
        <v>132</v>
      </c>
      <c r="BG356" s="165" t="e">
        <f>BG355*1.1</f>
        <v>#REF!</v>
      </c>
      <c r="BH356" s="165" t="s">
        <v>113</v>
      </c>
      <c r="BI356" s="165"/>
    </row>
    <row r="357" spans="1:61" x14ac:dyDescent="0.25">
      <c r="AW357" s="165" t="s">
        <v>359</v>
      </c>
      <c r="AX357" s="165">
        <v>6</v>
      </c>
      <c r="AY357" s="165"/>
      <c r="AZ357" s="165"/>
      <c r="BA357" s="165"/>
      <c r="BB357" s="165"/>
      <c r="BC357" s="165"/>
      <c r="BD357" s="165"/>
      <c r="BE357" s="165"/>
      <c r="BF357" s="165" t="s">
        <v>359</v>
      </c>
      <c r="BG357" s="165">
        <v>1</v>
      </c>
      <c r="BH357" s="165"/>
      <c r="BI357" s="165"/>
    </row>
    <row r="358" spans="1:61" x14ac:dyDescent="0.25">
      <c r="AW358" s="165" t="s">
        <v>360</v>
      </c>
      <c r="AX358" s="165" t="e">
        <f>AX357*AX356*2</f>
        <v>#REF!</v>
      </c>
      <c r="AY358" s="165"/>
      <c r="AZ358" s="165"/>
      <c r="BA358" s="165"/>
      <c r="BB358" s="165"/>
      <c r="BC358" s="165"/>
      <c r="BD358" s="165"/>
      <c r="BE358" s="165"/>
      <c r="BF358" s="165" t="s">
        <v>360</v>
      </c>
      <c r="BG358" s="165" t="e">
        <f>BG357*BG356*2</f>
        <v>#REF!</v>
      </c>
      <c r="BH358" s="165"/>
      <c r="BI358" s="165"/>
    </row>
    <row r="359" spans="1:61" x14ac:dyDescent="0.25">
      <c r="AW359" s="165"/>
      <c r="AX359" s="165"/>
      <c r="AY359" s="165"/>
      <c r="AZ359" s="165"/>
      <c r="BA359" s="165"/>
      <c r="BB359" s="165"/>
      <c r="BC359" s="165"/>
      <c r="BD359" s="165"/>
      <c r="BE359" s="165"/>
      <c r="BF359" s="165"/>
      <c r="BG359" s="165"/>
      <c r="BH359" s="165"/>
      <c r="BI359" s="165"/>
    </row>
    <row r="360" spans="1:61" x14ac:dyDescent="0.25">
      <c r="A360" s="72" t="s">
        <v>203</v>
      </c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65"/>
      <c r="BH360" s="165"/>
      <c r="BI360" s="165"/>
    </row>
    <row r="361" spans="1:61" x14ac:dyDescent="0.25">
      <c r="A361" t="s">
        <v>148</v>
      </c>
      <c r="C361">
        <f>2*(0.5*1.333)</f>
        <v>1.333</v>
      </c>
      <c r="D361" t="s">
        <v>278</v>
      </c>
      <c r="AW361" s="165"/>
      <c r="AX361" s="165"/>
      <c r="AY361" s="165"/>
      <c r="AZ361" s="165"/>
      <c r="BA361" s="165"/>
      <c r="BB361" s="165"/>
      <c r="BC361" s="165"/>
      <c r="BD361" s="165"/>
      <c r="BE361" s="165"/>
      <c r="BF361" s="165"/>
      <c r="BG361" s="165"/>
      <c r="BH361" s="165"/>
      <c r="BI361" s="165"/>
    </row>
    <row r="362" spans="1:61" x14ac:dyDescent="0.25">
      <c r="AW362" s="165"/>
      <c r="AX362" s="165"/>
      <c r="AY362" s="165"/>
      <c r="AZ362" s="165"/>
      <c r="BA362" s="165"/>
      <c r="BB362" s="165"/>
      <c r="BC362" s="165"/>
      <c r="BD362" s="165"/>
      <c r="BE362" s="165"/>
      <c r="BF362" s="165"/>
      <c r="BG362" s="165"/>
      <c r="BH362" s="165"/>
      <c r="BI362" s="165"/>
    </row>
    <row r="363" spans="1:61" x14ac:dyDescent="0.25">
      <c r="A363" t="s">
        <v>149</v>
      </c>
      <c r="C363">
        <f>2*(0.5*1.333)</f>
        <v>1.333</v>
      </c>
      <c r="D363" s="3" t="s">
        <v>278</v>
      </c>
      <c r="AW363" s="165"/>
      <c r="AX363" s="165"/>
      <c r="AY363" s="165"/>
      <c r="AZ363" s="165"/>
      <c r="BA363" s="165"/>
      <c r="BB363" s="165"/>
      <c r="BC363" s="165"/>
      <c r="BD363" s="165"/>
      <c r="BE363" s="165"/>
      <c r="BF363" s="165"/>
      <c r="BG363" s="165"/>
      <c r="BH363" s="165"/>
      <c r="BI363" s="165"/>
    </row>
    <row r="364" spans="1:61" x14ac:dyDescent="0.25">
      <c r="C364" s="7">
        <f>SUM(C361:C363)</f>
        <v>2.6659999999999999</v>
      </c>
      <c r="D364" s="63" t="s">
        <v>278</v>
      </c>
      <c r="AW364" s="165"/>
      <c r="AX364" s="165"/>
      <c r="AY364" s="165"/>
      <c r="AZ364" s="165"/>
      <c r="BA364" s="165"/>
      <c r="BB364" s="165"/>
      <c r="BC364" s="165"/>
      <c r="BD364" s="165"/>
      <c r="BE364" s="165"/>
      <c r="BF364" s="165"/>
      <c r="BG364" s="165"/>
      <c r="BH364" s="165"/>
      <c r="BI364" s="165"/>
    </row>
    <row r="365" spans="1:61" x14ac:dyDescent="0.25">
      <c r="AW365" s="165"/>
      <c r="AX365" s="165"/>
      <c r="AY365" s="165"/>
      <c r="AZ365" s="168">
        <f>AX351</f>
        <v>9.83</v>
      </c>
      <c r="BA365" s="165"/>
      <c r="BB365" s="165"/>
      <c r="BC365" s="165"/>
      <c r="BD365" s="165"/>
      <c r="BE365" s="165"/>
      <c r="BF365" s="165"/>
      <c r="BG365" s="165"/>
      <c r="BH365" s="165"/>
      <c r="BI365" s="168">
        <f>BG351</f>
        <v>9.83</v>
      </c>
    </row>
    <row r="366" spans="1:61" x14ac:dyDescent="0.25">
      <c r="AW366" s="165"/>
      <c r="AX366" s="165"/>
      <c r="AY366" s="165"/>
      <c r="AZ366" s="168"/>
      <c r="BA366" s="165"/>
      <c r="BB366" s="165"/>
      <c r="BC366" s="165"/>
      <c r="BD366" s="165"/>
      <c r="BE366" s="165"/>
      <c r="BF366" s="165"/>
      <c r="BG366" s="165"/>
      <c r="BH366" s="165"/>
      <c r="BI366" s="168"/>
    </row>
    <row r="367" spans="1:61" x14ac:dyDescent="0.25">
      <c r="A367" s="72" t="s">
        <v>385</v>
      </c>
      <c r="AW367" s="165"/>
      <c r="AX367" s="165"/>
      <c r="AY367" s="165"/>
      <c r="AZ367" s="168"/>
      <c r="BA367" s="165"/>
      <c r="BB367" s="165"/>
      <c r="BC367" s="165"/>
      <c r="BD367" s="165"/>
      <c r="BE367" s="165"/>
      <c r="BF367" s="165"/>
      <c r="BG367" s="165"/>
      <c r="BH367" s="165"/>
      <c r="BI367" s="168"/>
    </row>
    <row r="368" spans="1:61" x14ac:dyDescent="0.25">
      <c r="A368" t="s">
        <v>148</v>
      </c>
      <c r="C368">
        <v>4</v>
      </c>
      <c r="D368" t="s">
        <v>116</v>
      </c>
      <c r="AW368" s="165"/>
      <c r="AX368" s="165"/>
      <c r="AY368" s="165"/>
      <c r="AZ368" s="165"/>
      <c r="BA368" s="165"/>
      <c r="BB368" s="165"/>
      <c r="BC368" s="165"/>
      <c r="BD368" s="165"/>
      <c r="BE368" s="165"/>
      <c r="BF368" s="165"/>
      <c r="BG368" s="165"/>
      <c r="BH368" s="165"/>
      <c r="BI368" s="165"/>
    </row>
    <row r="369" spans="1:61" x14ac:dyDescent="0.25">
      <c r="AW369" s="165"/>
      <c r="AX369" s="165"/>
      <c r="AY369" s="165"/>
      <c r="AZ369" s="165"/>
      <c r="BA369" s="165"/>
      <c r="BB369" s="165"/>
      <c r="BC369" s="165"/>
      <c r="BD369" s="165"/>
      <c r="BE369" s="165"/>
      <c r="BF369" s="165"/>
      <c r="BG369" s="165"/>
      <c r="BH369" s="165"/>
      <c r="BI369" s="165"/>
    </row>
    <row r="370" spans="1:61" x14ac:dyDescent="0.25">
      <c r="A370" t="s">
        <v>149</v>
      </c>
      <c r="C370" s="3">
        <v>4</v>
      </c>
      <c r="D370" s="3" t="s">
        <v>116</v>
      </c>
      <c r="AW370" s="165" t="s">
        <v>358</v>
      </c>
      <c r="AX370" s="165">
        <v>15.229200000000001</v>
      </c>
      <c r="AY370" s="165" t="s">
        <v>52</v>
      </c>
      <c r="AZ370" s="165"/>
      <c r="BA370" s="165"/>
      <c r="BB370" s="165"/>
      <c r="BC370" s="165"/>
      <c r="BD370" s="165"/>
      <c r="BE370" s="165"/>
      <c r="BF370" s="165" t="s">
        <v>358</v>
      </c>
      <c r="BG370" s="165">
        <v>14.771000000000001</v>
      </c>
      <c r="BH370" s="165" t="s">
        <v>52</v>
      </c>
      <c r="BI370" s="165"/>
    </row>
    <row r="371" spans="1:61" x14ac:dyDescent="0.25">
      <c r="C371" s="7">
        <f>SUM(C368:C370)</f>
        <v>8</v>
      </c>
      <c r="D371" s="63" t="s">
        <v>116</v>
      </c>
      <c r="AW371" s="165" t="s">
        <v>114</v>
      </c>
      <c r="AX371" s="165">
        <v>9.83</v>
      </c>
      <c r="AY371" s="165" t="s">
        <v>52</v>
      </c>
      <c r="AZ371" s="165"/>
      <c r="BA371" s="165"/>
      <c r="BB371" s="165"/>
      <c r="BC371" s="165"/>
      <c r="BD371" s="165"/>
      <c r="BE371" s="165"/>
      <c r="BF371" s="165" t="s">
        <v>114</v>
      </c>
      <c r="BG371" s="165">
        <v>9.83</v>
      </c>
      <c r="BH371" s="165" t="s">
        <v>52</v>
      </c>
      <c r="BI371" s="165"/>
    </row>
    <row r="372" spans="1:61" x14ac:dyDescent="0.25">
      <c r="AW372" s="165" t="s">
        <v>357</v>
      </c>
      <c r="AX372" s="165">
        <f>2*(SQRT((AX384)^2+(AZ381)^2))</f>
        <v>36.25230655503178</v>
      </c>
      <c r="AY372" s="165" t="s">
        <v>52</v>
      </c>
      <c r="AZ372" s="165"/>
      <c r="BA372" s="165"/>
      <c r="BB372" s="165"/>
      <c r="BC372" s="165"/>
      <c r="BD372" s="165"/>
      <c r="BE372" s="165"/>
      <c r="BF372" s="165" t="s">
        <v>357</v>
      </c>
      <c r="BG372" s="165">
        <f>2*(SQRT((BG384)^2+(BI381)^2))</f>
        <v>35.48584737610193</v>
      </c>
      <c r="BH372" s="165" t="s">
        <v>52</v>
      </c>
      <c r="BI372" s="165"/>
    </row>
    <row r="373" spans="1:61" x14ac:dyDescent="0.25">
      <c r="AW373" s="166" t="s">
        <v>344</v>
      </c>
      <c r="AX373" s="165">
        <f>0.33*4*AX372</f>
        <v>47.853044652641948</v>
      </c>
      <c r="AY373" s="165" t="s">
        <v>113</v>
      </c>
      <c r="AZ373" s="165"/>
      <c r="BA373" s="165"/>
      <c r="BB373" s="165"/>
      <c r="BC373" s="165"/>
      <c r="BD373" s="165"/>
      <c r="BE373" s="165"/>
      <c r="BF373" s="166" t="s">
        <v>344</v>
      </c>
      <c r="BG373" s="165">
        <f>0.33*4*BG372</f>
        <v>46.841318536454551</v>
      </c>
      <c r="BH373" s="165" t="s">
        <v>113</v>
      </c>
      <c r="BI373" s="165"/>
    </row>
    <row r="374" spans="1:61" x14ac:dyDescent="0.25">
      <c r="AW374" s="167" t="s">
        <v>132</v>
      </c>
      <c r="AX374" s="165">
        <f>AX373*1.1</f>
        <v>52.638349117906145</v>
      </c>
      <c r="AY374" s="165" t="s">
        <v>113</v>
      </c>
      <c r="AZ374" s="165"/>
      <c r="BA374" s="165"/>
      <c r="BB374" s="165"/>
      <c r="BC374" s="165"/>
      <c r="BD374" s="165"/>
      <c r="BE374" s="165"/>
      <c r="BF374" s="167" t="s">
        <v>132</v>
      </c>
      <c r="BG374" s="165">
        <f>BG373*1.1</f>
        <v>51.525450390100012</v>
      </c>
      <c r="BH374" s="165" t="s">
        <v>113</v>
      </c>
      <c r="BI374" s="165"/>
    </row>
    <row r="375" spans="1:61" s="151" customFormat="1" x14ac:dyDescent="0.25">
      <c r="A375" s="185" t="s">
        <v>41</v>
      </c>
      <c r="B375" s="182"/>
      <c r="C375" s="182"/>
      <c r="D375" s="182"/>
      <c r="E375" s="182"/>
      <c r="AW375" s="170" t="s">
        <v>359</v>
      </c>
      <c r="AX375" s="170">
        <v>1</v>
      </c>
      <c r="AY375" s="170"/>
      <c r="AZ375" s="170"/>
      <c r="BA375" s="170"/>
      <c r="BB375" s="170"/>
      <c r="BC375" s="170"/>
      <c r="BD375" s="170"/>
      <c r="BE375" s="170"/>
      <c r="BF375" s="170" t="s">
        <v>359</v>
      </c>
      <c r="BG375" s="170">
        <v>1</v>
      </c>
      <c r="BH375" s="170"/>
      <c r="BI375" s="170"/>
    </row>
    <row r="376" spans="1:61" x14ac:dyDescent="0.25">
      <c r="A376" s="183"/>
      <c r="B376" s="135"/>
      <c r="C376" s="135"/>
      <c r="D376" s="135"/>
      <c r="E376" s="135"/>
      <c r="AW376" s="165" t="s">
        <v>360</v>
      </c>
      <c r="AX376" s="165">
        <f>AX375*AX374*2</f>
        <v>105.27669823581229</v>
      </c>
      <c r="AY376" s="165"/>
      <c r="AZ376" s="165"/>
      <c r="BA376" s="165"/>
      <c r="BB376" s="165"/>
      <c r="BC376" s="165"/>
      <c r="BD376" s="165"/>
      <c r="BE376" s="165"/>
      <c r="BF376" s="165" t="s">
        <v>360</v>
      </c>
      <c r="BG376" s="165">
        <f>BG375*BG374*2</f>
        <v>103.05090078020002</v>
      </c>
      <c r="BH376" s="165"/>
      <c r="BI376" s="165"/>
    </row>
    <row r="377" spans="1:61" x14ac:dyDescent="0.25">
      <c r="A377" s="184" t="s">
        <v>305</v>
      </c>
      <c r="B377" s="135"/>
      <c r="C377" s="135">
        <v>0</v>
      </c>
      <c r="D377" s="135" t="s">
        <v>278</v>
      </c>
      <c r="E377" s="135"/>
      <c r="AW377" s="165"/>
      <c r="AX377" s="165"/>
      <c r="AY377" s="165"/>
      <c r="AZ377" s="165"/>
      <c r="BA377" s="165"/>
      <c r="BB377" s="165"/>
      <c r="BC377" s="165"/>
      <c r="BD377" s="165"/>
      <c r="BE377" s="165"/>
      <c r="BF377" s="165"/>
      <c r="BG377" s="165"/>
      <c r="BH377" s="165"/>
      <c r="BI377" s="165"/>
    </row>
    <row r="378" spans="1:61" x14ac:dyDescent="0.25">
      <c r="A378" s="183"/>
      <c r="B378" s="135"/>
      <c r="C378" s="135"/>
      <c r="D378" s="135"/>
      <c r="E378" s="135"/>
      <c r="AW378" s="165"/>
      <c r="AX378" s="165"/>
      <c r="AY378" s="165"/>
      <c r="AZ378" s="168"/>
      <c r="BA378" s="165"/>
      <c r="BB378" s="165"/>
      <c r="BC378" s="165"/>
      <c r="BD378" s="165"/>
      <c r="BE378" s="165"/>
      <c r="BF378" s="165"/>
      <c r="BG378" s="165"/>
      <c r="BH378" s="165"/>
      <c r="BI378" s="168"/>
    </row>
    <row r="379" spans="1:61" x14ac:dyDescent="0.25">
      <c r="A379" s="135" t="s">
        <v>175</v>
      </c>
      <c r="B379" s="135"/>
      <c r="C379" s="135"/>
      <c r="D379" s="135"/>
      <c r="E379" s="135"/>
      <c r="AW379" s="165"/>
      <c r="AX379" s="165">
        <f>SQRT((AX384)^2+(AZ381)^2)</f>
        <v>18.12615327751589</v>
      </c>
      <c r="AY379" s="165"/>
      <c r="AZ379" s="168"/>
      <c r="BA379" s="165"/>
      <c r="BB379" s="165"/>
      <c r="BC379" s="165"/>
      <c r="BD379" s="165"/>
      <c r="BE379" s="165"/>
      <c r="BF379" s="165"/>
      <c r="BG379" s="165">
        <f>SQRT((BG384)^2+(BI381)^2)</f>
        <v>17.742923688050965</v>
      </c>
      <c r="BH379" s="165"/>
      <c r="BI379" s="168"/>
    </row>
    <row r="380" spans="1:61" x14ac:dyDescent="0.25">
      <c r="A380" s="135" t="s">
        <v>37</v>
      </c>
      <c r="B380" s="135"/>
      <c r="C380" s="135"/>
      <c r="D380" s="135">
        <v>0</v>
      </c>
      <c r="E380" s="135" t="s">
        <v>2</v>
      </c>
      <c r="AW380" s="165"/>
      <c r="AX380" s="165"/>
      <c r="AY380" s="165"/>
      <c r="AZ380" s="168"/>
      <c r="BA380" s="165"/>
      <c r="BB380" s="165"/>
      <c r="BC380" s="165"/>
      <c r="BD380" s="165"/>
      <c r="BE380" s="165"/>
      <c r="BF380" s="165"/>
      <c r="BG380" s="165"/>
      <c r="BH380" s="165"/>
      <c r="BI380" s="168"/>
    </row>
    <row r="381" spans="1:61" x14ac:dyDescent="0.25">
      <c r="A381" s="135" t="s">
        <v>38</v>
      </c>
      <c r="B381" s="135"/>
      <c r="C381" s="135"/>
      <c r="D381" s="135">
        <v>0</v>
      </c>
      <c r="E381" s="135" t="s">
        <v>2</v>
      </c>
      <c r="AW381" s="165"/>
      <c r="AX381" s="165"/>
      <c r="AY381" s="165"/>
      <c r="AZ381" s="168">
        <f>AX371</f>
        <v>9.83</v>
      </c>
      <c r="BA381" s="165"/>
      <c r="BB381" s="165"/>
      <c r="BC381" s="165"/>
      <c r="BD381" s="165"/>
      <c r="BE381" s="165"/>
      <c r="BF381" s="165"/>
      <c r="BG381" s="165"/>
      <c r="BH381" s="165"/>
      <c r="BI381" s="168">
        <f>BG371</f>
        <v>9.83</v>
      </c>
    </row>
    <row r="382" spans="1:61" x14ac:dyDescent="0.25">
      <c r="A382" s="135" t="s">
        <v>43</v>
      </c>
      <c r="B382" s="135"/>
      <c r="C382" s="135"/>
      <c r="D382" s="135">
        <v>1</v>
      </c>
      <c r="E382" s="135"/>
      <c r="AW382" s="165"/>
      <c r="AX382" s="165"/>
      <c r="AY382" s="165"/>
      <c r="AZ382" s="168"/>
      <c r="BA382" s="165"/>
      <c r="BB382" s="165"/>
      <c r="BC382" s="165"/>
      <c r="BD382" s="165"/>
      <c r="BE382" s="165"/>
      <c r="BF382" s="165"/>
      <c r="BG382" s="165"/>
      <c r="BH382" s="165"/>
      <c r="BI382" s="168"/>
    </row>
    <row r="383" spans="1:61" x14ac:dyDescent="0.25">
      <c r="A383" s="135" t="s">
        <v>42</v>
      </c>
      <c r="B383" s="135"/>
      <c r="C383" s="135">
        <f>D380*D381*D382</f>
        <v>0</v>
      </c>
      <c r="D383" s="135" t="s">
        <v>40</v>
      </c>
      <c r="E383" s="135"/>
      <c r="AW383" s="165"/>
      <c r="AX383" s="165"/>
      <c r="AY383" s="165"/>
      <c r="AZ383" s="168"/>
      <c r="BA383" s="165"/>
      <c r="BB383" s="165"/>
      <c r="BC383" s="165"/>
      <c r="BD383" s="165"/>
      <c r="BE383" s="165"/>
      <c r="BF383" s="165"/>
      <c r="BG383" s="165"/>
      <c r="BH383" s="165"/>
      <c r="BI383" s="168"/>
    </row>
    <row r="384" spans="1:61" x14ac:dyDescent="0.25">
      <c r="A384" s="135"/>
      <c r="B384" s="135"/>
      <c r="C384" s="135"/>
      <c r="D384" s="135"/>
      <c r="E384" s="135"/>
      <c r="AW384" s="169"/>
      <c r="AX384" s="169">
        <f>AX370</f>
        <v>15.229200000000001</v>
      </c>
      <c r="AY384" s="169"/>
      <c r="AZ384" s="165"/>
      <c r="BA384" s="165"/>
      <c r="BB384" s="165"/>
      <c r="BC384" s="165"/>
      <c r="BD384" s="165"/>
      <c r="BE384" s="165"/>
      <c r="BF384" s="169"/>
      <c r="BG384" s="169">
        <f>BG370</f>
        <v>14.771000000000001</v>
      </c>
      <c r="BH384" s="169"/>
      <c r="BI384" s="165"/>
    </row>
    <row r="385" spans="1:61" x14ac:dyDescent="0.25">
      <c r="A385" s="135" t="s">
        <v>179</v>
      </c>
      <c r="B385" s="135"/>
      <c r="C385" s="135"/>
      <c r="D385" s="135"/>
      <c r="E385" s="135"/>
      <c r="AW385" s="165"/>
      <c r="AX385" s="165"/>
      <c r="AY385" s="165"/>
      <c r="AZ385" s="165"/>
      <c r="BA385" s="165"/>
      <c r="BB385" s="165"/>
      <c r="BC385" s="165"/>
      <c r="BD385" s="165"/>
      <c r="BE385" s="165"/>
      <c r="BF385" s="165"/>
      <c r="BG385" s="165"/>
      <c r="BH385" s="165"/>
      <c r="BI385" s="165"/>
    </row>
    <row r="386" spans="1:61" x14ac:dyDescent="0.25">
      <c r="A386" s="135" t="s">
        <v>37</v>
      </c>
      <c r="B386" s="135"/>
      <c r="C386" s="135"/>
      <c r="D386" s="135">
        <v>0</v>
      </c>
      <c r="E386" s="135" t="s">
        <v>2</v>
      </c>
      <c r="AW386" s="165"/>
      <c r="AX386" s="165"/>
      <c r="AY386" s="165"/>
      <c r="AZ386" s="165"/>
      <c r="BA386" s="165"/>
      <c r="BB386" s="165"/>
      <c r="BC386" s="165"/>
      <c r="BD386" s="165"/>
      <c r="BE386" s="165"/>
      <c r="BF386" s="165"/>
      <c r="BG386" s="165"/>
      <c r="BH386" s="165"/>
      <c r="BI386" s="165"/>
    </row>
    <row r="387" spans="1:61" x14ac:dyDescent="0.25">
      <c r="A387" s="135" t="s">
        <v>38</v>
      </c>
      <c r="B387" s="135"/>
      <c r="C387" s="135"/>
      <c r="D387" s="135">
        <v>0</v>
      </c>
      <c r="E387" s="135" t="s">
        <v>2</v>
      </c>
    </row>
    <row r="388" spans="1:61" x14ac:dyDescent="0.25">
      <c r="A388" s="135" t="s">
        <v>43</v>
      </c>
      <c r="B388" s="135"/>
      <c r="C388" s="135"/>
      <c r="D388" s="135">
        <v>1</v>
      </c>
      <c r="E388" s="135"/>
    </row>
    <row r="389" spans="1:61" x14ac:dyDescent="0.25">
      <c r="A389" s="135" t="s">
        <v>42</v>
      </c>
      <c r="B389" s="135"/>
      <c r="C389" s="135">
        <f>D386*D387*D388</f>
        <v>0</v>
      </c>
      <c r="D389" s="135" t="s">
        <v>40</v>
      </c>
      <c r="E389" s="135"/>
    </row>
    <row r="390" spans="1:61" x14ac:dyDescent="0.25">
      <c r="A390" s="135"/>
      <c r="B390" s="135"/>
      <c r="C390" s="135"/>
      <c r="D390" s="135"/>
      <c r="E390" s="135"/>
    </row>
    <row r="391" spans="1:61" x14ac:dyDescent="0.25">
      <c r="A391" s="135" t="s">
        <v>419</v>
      </c>
      <c r="B391" s="135"/>
      <c r="C391" s="135"/>
      <c r="D391" s="135"/>
      <c r="E391" s="135"/>
    </row>
    <row r="392" spans="1:61" x14ac:dyDescent="0.25">
      <c r="A392" s="135" t="s">
        <v>37</v>
      </c>
      <c r="B392" s="135"/>
      <c r="C392" s="135"/>
      <c r="D392" s="135">
        <v>3</v>
      </c>
      <c r="E392" s="135" t="s">
        <v>2</v>
      </c>
    </row>
    <row r="393" spans="1:61" x14ac:dyDescent="0.25">
      <c r="A393" s="135" t="s">
        <v>38</v>
      </c>
      <c r="B393" s="135"/>
      <c r="C393" s="135"/>
      <c r="D393" s="135">
        <v>1.5</v>
      </c>
      <c r="E393" s="135" t="s">
        <v>2</v>
      </c>
    </row>
    <row r="394" spans="1:61" x14ac:dyDescent="0.25">
      <c r="A394" s="135" t="s">
        <v>43</v>
      </c>
      <c r="B394" s="135"/>
      <c r="C394" s="135"/>
      <c r="D394" s="135">
        <v>1</v>
      </c>
      <c r="E394" s="135"/>
    </row>
    <row r="395" spans="1:61" x14ac:dyDescent="0.25">
      <c r="A395" s="135" t="s">
        <v>42</v>
      </c>
      <c r="B395" s="135"/>
      <c r="C395" s="135">
        <f>D392*D393*D394</f>
        <v>4.5</v>
      </c>
      <c r="D395" s="135" t="s">
        <v>40</v>
      </c>
      <c r="E395" s="135"/>
    </row>
    <row r="396" spans="1:61" x14ac:dyDescent="0.25">
      <c r="A396" s="135"/>
      <c r="B396" s="135"/>
      <c r="C396" s="135"/>
      <c r="D396" s="135"/>
      <c r="E396" s="135"/>
    </row>
    <row r="397" spans="1:61" x14ac:dyDescent="0.25">
      <c r="A397" s="135" t="s">
        <v>420</v>
      </c>
      <c r="B397" s="135"/>
      <c r="C397" s="135"/>
      <c r="D397" s="135"/>
      <c r="E397" s="135"/>
    </row>
    <row r="398" spans="1:61" x14ac:dyDescent="0.25">
      <c r="A398" s="135" t="s">
        <v>37</v>
      </c>
      <c r="B398" s="135"/>
      <c r="C398" s="135"/>
      <c r="D398" s="135">
        <v>0</v>
      </c>
      <c r="E398" s="135" t="s">
        <v>2</v>
      </c>
    </row>
    <row r="399" spans="1:61" x14ac:dyDescent="0.25">
      <c r="A399" s="135" t="s">
        <v>38</v>
      </c>
      <c r="B399" s="135"/>
      <c r="C399" s="135"/>
      <c r="D399" s="135">
        <v>0</v>
      </c>
      <c r="E399" s="135" t="s">
        <v>2</v>
      </c>
    </row>
    <row r="400" spans="1:61" x14ac:dyDescent="0.25">
      <c r="A400" s="135" t="s">
        <v>43</v>
      </c>
      <c r="B400" s="135"/>
      <c r="C400" s="135"/>
      <c r="D400" s="135">
        <v>1</v>
      </c>
      <c r="E400" s="135"/>
    </row>
    <row r="401" spans="1:5" x14ac:dyDescent="0.25">
      <c r="A401" s="135" t="s">
        <v>42</v>
      </c>
      <c r="B401" s="135"/>
      <c r="C401" s="135">
        <f>D398*D399*D400</f>
        <v>0</v>
      </c>
      <c r="D401" s="135" t="s">
        <v>40</v>
      </c>
      <c r="E401" s="135"/>
    </row>
    <row r="402" spans="1:5" x14ac:dyDescent="0.25">
      <c r="A402" s="135"/>
      <c r="B402" s="135"/>
      <c r="C402" s="135"/>
      <c r="D402" s="135"/>
      <c r="E402" s="135"/>
    </row>
    <row r="403" spans="1:5" x14ac:dyDescent="0.25">
      <c r="A403" s="7" t="s">
        <v>180</v>
      </c>
      <c r="B403" s="7"/>
      <c r="C403" s="62">
        <f>ROUND(C377+C383+C389+C395+C401,1)</f>
        <v>4.5</v>
      </c>
      <c r="D403" s="7" t="s">
        <v>40</v>
      </c>
      <c r="E403" s="135"/>
    </row>
    <row r="406" spans="1:5" x14ac:dyDescent="0.25">
      <c r="A406" s="111" t="s">
        <v>335</v>
      </c>
      <c r="B406" s="112"/>
      <c r="C406" s="112"/>
      <c r="D406" s="7">
        <v>83</v>
      </c>
      <c r="E406" s="7" t="s">
        <v>116</v>
      </c>
    </row>
    <row r="410" spans="1:5" x14ac:dyDescent="0.25">
      <c r="A410" s="72" t="s">
        <v>421</v>
      </c>
    </row>
    <row r="411" spans="1:5" x14ac:dyDescent="0.25">
      <c r="A411" s="72" t="s">
        <v>406</v>
      </c>
    </row>
    <row r="412" spans="1:5" x14ac:dyDescent="0.25">
      <c r="A412" s="72" t="s">
        <v>413</v>
      </c>
    </row>
    <row r="414" spans="1:5" x14ac:dyDescent="0.25">
      <c r="A414" s="64" t="s">
        <v>405</v>
      </c>
    </row>
    <row r="415" spans="1:5" x14ac:dyDescent="0.25">
      <c r="A415" s="64" t="s">
        <v>401</v>
      </c>
      <c r="C415">
        <f>1026.83</f>
        <v>1026.83</v>
      </c>
      <c r="D415" t="s">
        <v>2</v>
      </c>
    </row>
    <row r="416" spans="1:5" x14ac:dyDescent="0.25">
      <c r="A416" s="64" t="s">
        <v>402</v>
      </c>
      <c r="C416" s="174">
        <v>33.5</v>
      </c>
      <c r="D416" t="s">
        <v>403</v>
      </c>
    </row>
    <row r="417" spans="1:4" x14ac:dyDescent="0.25">
      <c r="A417" s="64"/>
    </row>
    <row r="418" spans="1:4" x14ac:dyDescent="0.25">
      <c r="A418" s="64" t="s">
        <v>202</v>
      </c>
      <c r="C418">
        <f>C415*C416</f>
        <v>34398.805</v>
      </c>
      <c r="D418" t="s">
        <v>40</v>
      </c>
    </row>
    <row r="419" spans="1:4" x14ac:dyDescent="0.25">
      <c r="C419" s="1">
        <f>C418/9</f>
        <v>3822.0894444444443</v>
      </c>
      <c r="D419" t="s">
        <v>24</v>
      </c>
    </row>
    <row r="421" spans="1:4" x14ac:dyDescent="0.25">
      <c r="A421" s="64" t="s">
        <v>404</v>
      </c>
    </row>
    <row r="422" spans="1:4" x14ac:dyDescent="0.25">
      <c r="A422" s="64" t="s">
        <v>401</v>
      </c>
      <c r="C422">
        <v>25</v>
      </c>
      <c r="D422" t="s">
        <v>2</v>
      </c>
    </row>
    <row r="423" spans="1:4" x14ac:dyDescent="0.25">
      <c r="A423" s="64" t="s">
        <v>402</v>
      </c>
      <c r="C423" s="174">
        <v>33.5</v>
      </c>
      <c r="D423" t="s">
        <v>403</v>
      </c>
    </row>
    <row r="424" spans="1:4" x14ac:dyDescent="0.25">
      <c r="A424" s="64"/>
    </row>
    <row r="425" spans="1:4" x14ac:dyDescent="0.25">
      <c r="A425" s="64" t="s">
        <v>202</v>
      </c>
      <c r="C425">
        <f>C422*C423</f>
        <v>837.5</v>
      </c>
      <c r="D425" t="s">
        <v>40</v>
      </c>
    </row>
    <row r="426" spans="1:4" x14ac:dyDescent="0.25">
      <c r="C426" s="1">
        <f>C425/9</f>
        <v>93.055555555555557</v>
      </c>
      <c r="D426" t="s">
        <v>24</v>
      </c>
    </row>
    <row r="428" spans="1:4" x14ac:dyDescent="0.25">
      <c r="A428" t="s">
        <v>28</v>
      </c>
      <c r="C428" s="7">
        <f>ROUNDUP(C419+C426,0)</f>
        <v>3916</v>
      </c>
      <c r="D428" s="7" t="s">
        <v>24</v>
      </c>
    </row>
    <row r="431" spans="1:4" x14ac:dyDescent="0.25">
      <c r="A431" s="72" t="s">
        <v>409</v>
      </c>
    </row>
    <row r="432" spans="1:4" x14ac:dyDescent="0.25">
      <c r="A432" t="s">
        <v>400</v>
      </c>
      <c r="C432">
        <f>C418</f>
        <v>34398.805</v>
      </c>
      <c r="D432" t="s">
        <v>40</v>
      </c>
    </row>
    <row r="433" spans="1:4" x14ac:dyDescent="0.25">
      <c r="A433" t="s">
        <v>3</v>
      </c>
      <c r="C433">
        <v>8.3299999999999999E-2</v>
      </c>
      <c r="D433" t="s">
        <v>2</v>
      </c>
    </row>
    <row r="434" spans="1:4" x14ac:dyDescent="0.25">
      <c r="A434" t="s">
        <v>410</v>
      </c>
      <c r="C434">
        <f>C432*C433</f>
        <v>2865.4204565</v>
      </c>
      <c r="D434" t="s">
        <v>13</v>
      </c>
    </row>
    <row r="435" spans="1:4" x14ac:dyDescent="0.25">
      <c r="C435" s="1">
        <f>C434/27</f>
        <v>106.12668357407408</v>
      </c>
      <c r="D435" t="s">
        <v>8</v>
      </c>
    </row>
    <row r="437" spans="1:4" x14ac:dyDescent="0.25">
      <c r="A437" t="s">
        <v>411</v>
      </c>
      <c r="C437">
        <f>C425</f>
        <v>837.5</v>
      </c>
      <c r="D437" t="s">
        <v>40</v>
      </c>
    </row>
    <row r="438" spans="1:4" x14ac:dyDescent="0.25">
      <c r="A438" t="s">
        <v>3</v>
      </c>
      <c r="C438">
        <v>8.3299999999999999E-2</v>
      </c>
      <c r="D438" t="s">
        <v>2</v>
      </c>
    </row>
    <row r="439" spans="1:4" x14ac:dyDescent="0.25">
      <c r="A439" t="s">
        <v>410</v>
      </c>
      <c r="C439">
        <f>C437*C438</f>
        <v>69.763750000000002</v>
      </c>
      <c r="D439" t="s">
        <v>13</v>
      </c>
    </row>
    <row r="440" spans="1:4" x14ac:dyDescent="0.25">
      <c r="C440" s="1">
        <f>C439/27</f>
        <v>2.5838425925925925</v>
      </c>
      <c r="D440" t="s">
        <v>8</v>
      </c>
    </row>
    <row r="442" spans="1:4" x14ac:dyDescent="0.25">
      <c r="A442" t="s">
        <v>412</v>
      </c>
      <c r="C442" s="7">
        <f>ROUNDUP(C435+C440,0)</f>
        <v>109</v>
      </c>
      <c r="D442" s="7" t="s">
        <v>8</v>
      </c>
    </row>
    <row r="445" spans="1:4" x14ac:dyDescent="0.25">
      <c r="A445" s="72" t="s">
        <v>407</v>
      </c>
    </row>
    <row r="446" spans="1:4" x14ac:dyDescent="0.25">
      <c r="A446" s="64" t="s">
        <v>202</v>
      </c>
      <c r="C446" s="7">
        <f>0.1*C428</f>
        <v>391.6</v>
      </c>
      <c r="D446" s="7" t="s">
        <v>24</v>
      </c>
    </row>
    <row r="448" spans="1:4" x14ac:dyDescent="0.25">
      <c r="A448" s="72" t="s">
        <v>408</v>
      </c>
      <c r="C448" s="7" t="s">
        <v>245</v>
      </c>
    </row>
    <row r="451" spans="1:4" x14ac:dyDescent="0.25">
      <c r="A451" s="72" t="s">
        <v>418</v>
      </c>
      <c r="C451" s="7">
        <v>1</v>
      </c>
      <c r="D451" s="7" t="s">
        <v>8</v>
      </c>
    </row>
  </sheetData>
  <mergeCells count="9">
    <mergeCell ref="AI323:AI324"/>
    <mergeCell ref="AI315:AI317"/>
    <mergeCell ref="AI320:AI321"/>
    <mergeCell ref="A34:B35"/>
    <mergeCell ref="A50:B51"/>
    <mergeCell ref="A286:J288"/>
    <mergeCell ref="AH295:AN295"/>
    <mergeCell ref="A66:B67"/>
    <mergeCell ref="A82:B83"/>
  </mergeCells>
  <pageMargins left="0.7" right="0.7" top="0.75" bottom="0.75" header="0.3" footer="0.3"/>
  <pageSetup paperSize="17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8"/>
  <sheetViews>
    <sheetView topLeftCell="A114" workbookViewId="0">
      <selection activeCell="D109" sqref="D109"/>
    </sheetView>
  </sheetViews>
  <sheetFormatPr defaultRowHeight="15" x14ac:dyDescent="0.25"/>
  <cols>
    <col min="3" max="3" width="12.42578125" customWidth="1"/>
    <col min="4" max="4" width="14.5703125" customWidth="1"/>
  </cols>
  <sheetData>
    <row r="1" spans="1:7" x14ac:dyDescent="0.25">
      <c r="A1" s="2" t="s">
        <v>222</v>
      </c>
    </row>
    <row r="3" spans="1:7" x14ac:dyDescent="0.25">
      <c r="A3" t="s">
        <v>223</v>
      </c>
      <c r="E3">
        <f>39+27</f>
        <v>66</v>
      </c>
      <c r="F3" t="s">
        <v>2</v>
      </c>
      <c r="G3" t="s">
        <v>227</v>
      </c>
    </row>
    <row r="4" spans="1:7" x14ac:dyDescent="0.25">
      <c r="A4" t="s">
        <v>61</v>
      </c>
      <c r="E4" s="3">
        <v>1</v>
      </c>
      <c r="F4" s="3" t="s">
        <v>116</v>
      </c>
    </row>
    <row r="5" spans="1:7" x14ac:dyDescent="0.25">
      <c r="E5">
        <f>E3*E4</f>
        <v>66</v>
      </c>
      <c r="F5" t="s">
        <v>2</v>
      </c>
    </row>
    <row r="7" spans="1:7" x14ac:dyDescent="0.25">
      <c r="A7" t="s">
        <v>224</v>
      </c>
      <c r="E7">
        <f>39+27</f>
        <v>66</v>
      </c>
      <c r="F7" t="s">
        <v>2</v>
      </c>
      <c r="G7" t="s">
        <v>227</v>
      </c>
    </row>
    <row r="8" spans="1:7" x14ac:dyDescent="0.25">
      <c r="A8" t="s">
        <v>61</v>
      </c>
      <c r="E8" s="3">
        <v>2</v>
      </c>
      <c r="F8" s="3" t="s">
        <v>116</v>
      </c>
    </row>
    <row r="9" spans="1:7" x14ac:dyDescent="0.25">
      <c r="E9">
        <f>E7*E8</f>
        <v>132</v>
      </c>
      <c r="F9" t="s">
        <v>2</v>
      </c>
    </row>
    <row r="11" spans="1:7" x14ac:dyDescent="0.25">
      <c r="A11" t="s">
        <v>225</v>
      </c>
      <c r="E11">
        <v>25</v>
      </c>
      <c r="F11" t="s">
        <v>2</v>
      </c>
      <c r="G11" t="s">
        <v>226</v>
      </c>
    </row>
    <row r="12" spans="1:7" x14ac:dyDescent="0.25">
      <c r="A12" t="s">
        <v>61</v>
      </c>
      <c r="E12" s="3">
        <v>2</v>
      </c>
      <c r="F12" s="3" t="s">
        <v>116</v>
      </c>
    </row>
    <row r="13" spans="1:7" x14ac:dyDescent="0.25">
      <c r="E13">
        <f>E11*E12</f>
        <v>50</v>
      </c>
      <c r="F13" t="s">
        <v>2</v>
      </c>
    </row>
    <row r="15" spans="1:7" x14ac:dyDescent="0.25">
      <c r="A15" t="s">
        <v>229</v>
      </c>
      <c r="E15">
        <v>104</v>
      </c>
      <c r="F15" t="s">
        <v>2</v>
      </c>
      <c r="G15" t="s">
        <v>226</v>
      </c>
    </row>
    <row r="16" spans="1:7" x14ac:dyDescent="0.25">
      <c r="A16" t="s">
        <v>61</v>
      </c>
      <c r="E16" s="3">
        <v>2</v>
      </c>
      <c r="F16" s="3" t="s">
        <v>116</v>
      </c>
    </row>
    <row r="17" spans="1:11" x14ac:dyDescent="0.25">
      <c r="E17">
        <f>E15*E16</f>
        <v>208</v>
      </c>
      <c r="F17" t="s">
        <v>2</v>
      </c>
    </row>
    <row r="19" spans="1:11" x14ac:dyDescent="0.25">
      <c r="A19" t="s">
        <v>228</v>
      </c>
      <c r="E19">
        <v>25</v>
      </c>
      <c r="F19" t="s">
        <v>2</v>
      </c>
      <c r="G19" t="s">
        <v>226</v>
      </c>
    </row>
    <row r="20" spans="1:11" x14ac:dyDescent="0.25">
      <c r="A20" t="s">
        <v>61</v>
      </c>
      <c r="E20" s="3">
        <v>2</v>
      </c>
      <c r="F20" s="3" t="s">
        <v>116</v>
      </c>
    </row>
    <row r="21" spans="1:11" x14ac:dyDescent="0.25">
      <c r="E21">
        <f>E19*E20</f>
        <v>50</v>
      </c>
      <c r="F21" t="s">
        <v>2</v>
      </c>
    </row>
    <row r="23" spans="1:11" x14ac:dyDescent="0.25">
      <c r="D23" t="s">
        <v>28</v>
      </c>
      <c r="E23">
        <f>E5+E9+E13+E17+E21</f>
        <v>506</v>
      </c>
      <c r="F23" t="s">
        <v>2</v>
      </c>
    </row>
    <row r="27" spans="1:11" x14ac:dyDescent="0.25">
      <c r="A27" s="2" t="s">
        <v>32</v>
      </c>
      <c r="J27">
        <v>100</v>
      </c>
      <c r="K27" t="s">
        <v>2</v>
      </c>
    </row>
    <row r="28" spans="1:11" x14ac:dyDescent="0.25">
      <c r="A28" t="s">
        <v>61</v>
      </c>
      <c r="J28" s="3">
        <v>2</v>
      </c>
      <c r="K28" s="3"/>
    </row>
    <row r="29" spans="1:11" x14ac:dyDescent="0.25">
      <c r="J29">
        <f>J27*J28</f>
        <v>200</v>
      </c>
    </row>
    <row r="31" spans="1:11" x14ac:dyDescent="0.25">
      <c r="A31" t="s">
        <v>33</v>
      </c>
    </row>
    <row r="33" spans="1:5" x14ac:dyDescent="0.25">
      <c r="A33" t="s">
        <v>34</v>
      </c>
    </row>
    <row r="37" spans="1:5" x14ac:dyDescent="0.25">
      <c r="A37" s="2"/>
    </row>
    <row r="38" spans="1:5" x14ac:dyDescent="0.25">
      <c r="A38" s="2" t="s">
        <v>58</v>
      </c>
    </row>
    <row r="39" spans="1:5" x14ac:dyDescent="0.25">
      <c r="A39" s="2"/>
    </row>
    <row r="40" spans="1:5" x14ac:dyDescent="0.25">
      <c r="A40" s="3" t="s">
        <v>241</v>
      </c>
      <c r="B40" s="3"/>
    </row>
    <row r="41" spans="1:5" x14ac:dyDescent="0.25">
      <c r="A41" t="s">
        <v>60</v>
      </c>
      <c r="D41">
        <v>104</v>
      </c>
      <c r="E41" t="s">
        <v>2</v>
      </c>
    </row>
    <row r="42" spans="1:5" x14ac:dyDescent="0.25">
      <c r="A42" t="s">
        <v>59</v>
      </c>
      <c r="D42">
        <f>0.75+3+1.5+3+3.5+0.5</f>
        <v>12.25</v>
      </c>
      <c r="E42" t="s">
        <v>2</v>
      </c>
    </row>
    <row r="43" spans="1:5" x14ac:dyDescent="0.25">
      <c r="A43" t="s">
        <v>61</v>
      </c>
      <c r="D43">
        <v>2</v>
      </c>
    </row>
    <row r="44" spans="1:5" x14ac:dyDescent="0.25">
      <c r="A44" t="s">
        <v>62</v>
      </c>
      <c r="D44">
        <f>D41*D42*D43</f>
        <v>2548</v>
      </c>
      <c r="E44" t="s">
        <v>40</v>
      </c>
    </row>
    <row r="45" spans="1:5" x14ac:dyDescent="0.25">
      <c r="D45">
        <f>D44/9</f>
        <v>283.11111111111109</v>
      </c>
      <c r="E45" t="s">
        <v>24</v>
      </c>
    </row>
    <row r="49" spans="1:8" x14ac:dyDescent="0.25">
      <c r="A49" s="3" t="s">
        <v>243</v>
      </c>
      <c r="B49" s="3"/>
      <c r="C49" s="3"/>
      <c r="D49" s="3"/>
      <c r="E49" s="3"/>
      <c r="F49" s="3"/>
      <c r="G49" s="3"/>
      <c r="H49" s="3"/>
    </row>
    <row r="51" spans="1:8" x14ac:dyDescent="0.25">
      <c r="A51" t="s">
        <v>81</v>
      </c>
      <c r="D51">
        <v>1.833</v>
      </c>
      <c r="E51" t="s">
        <v>2</v>
      </c>
    </row>
    <row r="52" spans="1:8" x14ac:dyDescent="0.25">
      <c r="A52" t="s">
        <v>82</v>
      </c>
      <c r="D52">
        <v>74</v>
      </c>
      <c r="E52" t="s">
        <v>2</v>
      </c>
    </row>
    <row r="53" spans="1:8" x14ac:dyDescent="0.25">
      <c r="A53" t="s">
        <v>83</v>
      </c>
      <c r="D53">
        <v>3.5</v>
      </c>
      <c r="E53" t="s">
        <v>2</v>
      </c>
    </row>
    <row r="54" spans="1:8" x14ac:dyDescent="0.25">
      <c r="A54" t="s">
        <v>236</v>
      </c>
      <c r="D54">
        <v>20</v>
      </c>
      <c r="E54" t="s">
        <v>2</v>
      </c>
    </row>
    <row r="55" spans="1:8" x14ac:dyDescent="0.25">
      <c r="A55" t="s">
        <v>88</v>
      </c>
      <c r="D55">
        <v>1.75</v>
      </c>
      <c r="E55" t="s">
        <v>2</v>
      </c>
    </row>
    <row r="57" spans="1:8" x14ac:dyDescent="0.25">
      <c r="A57" t="s">
        <v>84</v>
      </c>
      <c r="D57">
        <f>D52*D54</f>
        <v>1480</v>
      </c>
      <c r="E57" t="s">
        <v>40</v>
      </c>
    </row>
    <row r="58" spans="1:8" x14ac:dyDescent="0.25">
      <c r="A58" t="s">
        <v>85</v>
      </c>
      <c r="D58">
        <f>0</f>
        <v>0</v>
      </c>
      <c r="E58" t="s">
        <v>40</v>
      </c>
    </row>
    <row r="59" spans="1:8" x14ac:dyDescent="0.25">
      <c r="A59" t="s">
        <v>86</v>
      </c>
      <c r="D59">
        <f>0</f>
        <v>0</v>
      </c>
      <c r="E59" t="s">
        <v>40</v>
      </c>
    </row>
    <row r="61" spans="1:8" x14ac:dyDescent="0.25">
      <c r="A61" s="66" t="s">
        <v>249</v>
      </c>
      <c r="B61" s="66"/>
      <c r="D61">
        <f>0.5*45*20</f>
        <v>450</v>
      </c>
      <c r="E61" t="s">
        <v>40</v>
      </c>
    </row>
    <row r="62" spans="1:8" x14ac:dyDescent="0.25">
      <c r="A62" s="66" t="s">
        <v>238</v>
      </c>
      <c r="B62" s="4"/>
      <c r="D62" s="3">
        <v>2</v>
      </c>
      <c r="E62" s="3"/>
    </row>
    <row r="63" spans="1:8" x14ac:dyDescent="0.25">
      <c r="A63" s="66"/>
      <c r="B63" s="4"/>
      <c r="D63">
        <f>D61*D62</f>
        <v>900</v>
      </c>
      <c r="E63" t="s">
        <v>40</v>
      </c>
    </row>
    <row r="64" spans="1:8" x14ac:dyDescent="0.25">
      <c r="A64" s="66"/>
      <c r="B64" s="4"/>
    </row>
    <row r="65" spans="1:8" x14ac:dyDescent="0.25">
      <c r="A65" s="66" t="s">
        <v>250</v>
      </c>
      <c r="B65" s="66"/>
      <c r="D65">
        <f>0.5*17.5*7</f>
        <v>61.25</v>
      </c>
      <c r="E65" t="s">
        <v>40</v>
      </c>
    </row>
    <row r="66" spans="1:8" x14ac:dyDescent="0.25">
      <c r="A66" s="66" t="s">
        <v>238</v>
      </c>
      <c r="B66" s="4"/>
      <c r="D66" s="3">
        <v>2</v>
      </c>
      <c r="E66" s="3"/>
    </row>
    <row r="67" spans="1:8" x14ac:dyDescent="0.25">
      <c r="A67" s="66"/>
      <c r="B67" s="4"/>
      <c r="D67">
        <f>D65*D66</f>
        <v>122.5</v>
      </c>
      <c r="E67" t="s">
        <v>40</v>
      </c>
    </row>
    <row r="68" spans="1:8" x14ac:dyDescent="0.25">
      <c r="A68" s="66"/>
      <c r="B68" s="4"/>
    </row>
    <row r="69" spans="1:8" x14ac:dyDescent="0.25">
      <c r="A69" s="66"/>
      <c r="B69" s="4"/>
    </row>
    <row r="70" spans="1:8" x14ac:dyDescent="0.25">
      <c r="A70" s="66" t="s">
        <v>240</v>
      </c>
      <c r="B70" s="66"/>
      <c r="D70">
        <f>0.75+3+1.5+3</f>
        <v>8.25</v>
      </c>
      <c r="E70" t="s">
        <v>2</v>
      </c>
    </row>
    <row r="71" spans="1:8" x14ac:dyDescent="0.25">
      <c r="A71" s="66" t="s">
        <v>239</v>
      </c>
      <c r="B71" s="66"/>
      <c r="D71">
        <v>17.5</v>
      </c>
      <c r="E71" t="s">
        <v>2</v>
      </c>
    </row>
    <row r="72" spans="1:8" x14ac:dyDescent="0.25">
      <c r="A72" s="66" t="s">
        <v>238</v>
      </c>
      <c r="B72" s="4"/>
      <c r="D72" s="3">
        <v>2</v>
      </c>
      <c r="E72" s="3"/>
    </row>
    <row r="73" spans="1:8" x14ac:dyDescent="0.25">
      <c r="A73" s="66"/>
      <c r="B73" s="4"/>
      <c r="D73">
        <f>D70*D71*D72</f>
        <v>288.75</v>
      </c>
      <c r="E73" t="s">
        <v>40</v>
      </c>
    </row>
    <row r="75" spans="1:8" x14ac:dyDescent="0.25">
      <c r="A75" t="s">
        <v>78</v>
      </c>
      <c r="D75">
        <f>D57+D58+D59+D63+D67+D73</f>
        <v>2791.25</v>
      </c>
      <c r="E75" t="s">
        <v>40</v>
      </c>
    </row>
    <row r="76" spans="1:8" x14ac:dyDescent="0.25">
      <c r="D76">
        <f>D75/9</f>
        <v>310.13888888888891</v>
      </c>
      <c r="E76" t="s">
        <v>24</v>
      </c>
    </row>
    <row r="79" spans="1:8" x14ac:dyDescent="0.25">
      <c r="A79" s="3" t="s">
        <v>242</v>
      </c>
      <c r="B79" s="3"/>
      <c r="C79" s="3"/>
      <c r="D79" s="3"/>
      <c r="E79" s="3"/>
      <c r="F79" s="3"/>
      <c r="G79" s="3"/>
      <c r="H79" s="3"/>
    </row>
    <row r="81" spans="1:5" x14ac:dyDescent="0.25">
      <c r="A81" t="s">
        <v>81</v>
      </c>
      <c r="D81">
        <v>1.833</v>
      </c>
      <c r="E81" t="s">
        <v>2</v>
      </c>
    </row>
    <row r="82" spans="1:5" x14ac:dyDescent="0.25">
      <c r="A82" t="s">
        <v>82</v>
      </c>
      <c r="D82">
        <v>74</v>
      </c>
      <c r="E82" t="s">
        <v>2</v>
      </c>
    </row>
    <row r="83" spans="1:5" x14ac:dyDescent="0.25">
      <c r="A83" t="s">
        <v>83</v>
      </c>
      <c r="D83">
        <v>3.5</v>
      </c>
      <c r="E83" t="s">
        <v>2</v>
      </c>
    </row>
    <row r="84" spans="1:5" x14ac:dyDescent="0.25">
      <c r="A84" t="s">
        <v>236</v>
      </c>
      <c r="D84">
        <v>20</v>
      </c>
      <c r="E84" t="s">
        <v>2</v>
      </c>
    </row>
    <row r="85" spans="1:5" x14ac:dyDescent="0.25">
      <c r="A85" t="s">
        <v>88</v>
      </c>
      <c r="D85">
        <v>1.75</v>
      </c>
      <c r="E85" t="s">
        <v>2</v>
      </c>
    </row>
    <row r="87" spans="1:5" x14ac:dyDescent="0.25">
      <c r="A87" t="s">
        <v>84</v>
      </c>
      <c r="D87">
        <f>D82*D84</f>
        <v>1480</v>
      </c>
      <c r="E87" t="s">
        <v>40</v>
      </c>
    </row>
    <row r="88" spans="1:5" x14ac:dyDescent="0.25">
      <c r="A88" t="s">
        <v>85</v>
      </c>
      <c r="D88">
        <f>0</f>
        <v>0</v>
      </c>
      <c r="E88" t="s">
        <v>40</v>
      </c>
    </row>
    <row r="89" spans="1:5" x14ac:dyDescent="0.25">
      <c r="A89" t="s">
        <v>86</v>
      </c>
      <c r="D89">
        <f>0</f>
        <v>0</v>
      </c>
      <c r="E89" t="s">
        <v>40</v>
      </c>
    </row>
    <row r="91" spans="1:5" x14ac:dyDescent="0.25">
      <c r="A91" s="66" t="s">
        <v>249</v>
      </c>
      <c r="B91" s="66"/>
      <c r="D91">
        <f>0.5*45*20</f>
        <v>450</v>
      </c>
      <c r="E91" t="s">
        <v>40</v>
      </c>
    </row>
    <row r="92" spans="1:5" x14ac:dyDescent="0.25">
      <c r="A92" s="66" t="s">
        <v>238</v>
      </c>
      <c r="B92" s="4"/>
      <c r="D92" s="3">
        <v>2</v>
      </c>
      <c r="E92" s="3"/>
    </row>
    <row r="93" spans="1:5" x14ac:dyDescent="0.25">
      <c r="A93" s="66"/>
      <c r="B93" s="4"/>
      <c r="D93">
        <f>D91*D92</f>
        <v>900</v>
      </c>
      <c r="E93" t="s">
        <v>40</v>
      </c>
    </row>
    <row r="94" spans="1:5" x14ac:dyDescent="0.25">
      <c r="A94" s="66"/>
      <c r="B94" s="4"/>
    </row>
    <row r="95" spans="1:5" x14ac:dyDescent="0.25">
      <c r="A95" s="66" t="s">
        <v>250</v>
      </c>
      <c r="B95" s="66"/>
      <c r="D95">
        <f>0.5*17.5*7</f>
        <v>61.25</v>
      </c>
      <c r="E95" t="s">
        <v>40</v>
      </c>
    </row>
    <row r="96" spans="1:5" x14ac:dyDescent="0.25">
      <c r="A96" s="66" t="s">
        <v>238</v>
      </c>
      <c r="B96" s="4"/>
      <c r="D96" s="3">
        <v>2</v>
      </c>
      <c r="E96" s="3"/>
    </row>
    <row r="97" spans="1:5" x14ac:dyDescent="0.25">
      <c r="A97" s="66"/>
      <c r="B97" s="4"/>
      <c r="D97">
        <f>D95*D96</f>
        <v>122.5</v>
      </c>
      <c r="E97" t="s">
        <v>40</v>
      </c>
    </row>
    <row r="98" spans="1:5" x14ac:dyDescent="0.25">
      <c r="A98" s="66"/>
      <c r="B98" s="4"/>
    </row>
    <row r="99" spans="1:5" x14ac:dyDescent="0.25">
      <c r="A99" s="66"/>
      <c r="B99" s="4"/>
    </row>
    <row r="100" spans="1:5" x14ac:dyDescent="0.25">
      <c r="A100" s="66" t="s">
        <v>240</v>
      </c>
      <c r="B100" s="66"/>
      <c r="D100">
        <f>0.75+3+1.5+3</f>
        <v>8.25</v>
      </c>
      <c r="E100" t="s">
        <v>2</v>
      </c>
    </row>
    <row r="101" spans="1:5" x14ac:dyDescent="0.25">
      <c r="A101" s="66" t="s">
        <v>239</v>
      </c>
      <c r="B101" s="66"/>
      <c r="D101">
        <v>17.5</v>
      </c>
      <c r="E101" t="s">
        <v>2</v>
      </c>
    </row>
    <row r="102" spans="1:5" x14ac:dyDescent="0.25">
      <c r="A102" s="66" t="s">
        <v>238</v>
      </c>
      <c r="B102" s="4"/>
      <c r="D102" s="3">
        <v>2</v>
      </c>
      <c r="E102" s="3"/>
    </row>
    <row r="103" spans="1:5" x14ac:dyDescent="0.25">
      <c r="A103" s="66"/>
      <c r="B103" s="4"/>
      <c r="D103">
        <f>D100*D101*D102</f>
        <v>288.75</v>
      </c>
      <c r="E103" t="s">
        <v>40</v>
      </c>
    </row>
    <row r="105" spans="1:5" x14ac:dyDescent="0.25">
      <c r="A105" t="s">
        <v>78</v>
      </c>
      <c r="D105">
        <f>D87+D88+D89+D93+D97+D103</f>
        <v>2791.25</v>
      </c>
      <c r="E105" t="s">
        <v>40</v>
      </c>
    </row>
    <row r="106" spans="1:5" x14ac:dyDescent="0.25">
      <c r="D106">
        <f>D105/9</f>
        <v>310.13888888888891</v>
      </c>
      <c r="E106" t="s">
        <v>24</v>
      </c>
    </row>
    <row r="108" spans="1:5" x14ac:dyDescent="0.25">
      <c r="A108" s="7" t="s">
        <v>90</v>
      </c>
      <c r="B108" s="7"/>
      <c r="C108" s="7"/>
      <c r="D108" s="7">
        <f>D45+D76+D106</f>
        <v>903.38888888888891</v>
      </c>
      <c r="E108" s="7" t="s">
        <v>24</v>
      </c>
    </row>
  </sheetData>
  <pageMargins left="0.7" right="0.7" top="0.75" bottom="0.75" header="0.3" footer="0.3"/>
  <pageSetup paperSiz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69"/>
  <sheetViews>
    <sheetView topLeftCell="A118" workbookViewId="0">
      <selection activeCell="D101" sqref="D101"/>
    </sheetView>
  </sheetViews>
  <sheetFormatPr defaultRowHeight="15" x14ac:dyDescent="0.25"/>
  <cols>
    <col min="3" max="3" width="15.42578125" customWidth="1"/>
  </cols>
  <sheetData>
    <row r="1" spans="1:5" x14ac:dyDescent="0.25">
      <c r="A1" s="2" t="s">
        <v>163</v>
      </c>
    </row>
    <row r="2" spans="1:5" x14ac:dyDescent="0.25">
      <c r="A2" t="s">
        <v>199</v>
      </c>
      <c r="D2">
        <f>4</f>
        <v>4</v>
      </c>
      <c r="E2" t="s">
        <v>125</v>
      </c>
    </row>
    <row r="3" spans="1:5" x14ac:dyDescent="0.25">
      <c r="A3" t="s">
        <v>200</v>
      </c>
      <c r="D3">
        <v>15</v>
      </c>
      <c r="E3" t="s">
        <v>125</v>
      </c>
    </row>
    <row r="4" spans="1:5" x14ac:dyDescent="0.25">
      <c r="A4" s="64" t="s">
        <v>164</v>
      </c>
      <c r="D4">
        <v>2.25</v>
      </c>
      <c r="E4" t="s">
        <v>125</v>
      </c>
    </row>
    <row r="5" spans="1:5" x14ac:dyDescent="0.25">
      <c r="A5" t="s">
        <v>156</v>
      </c>
      <c r="D5">
        <v>2</v>
      </c>
    </row>
    <row r="7" spans="1:5" x14ac:dyDescent="0.25">
      <c r="A7" t="s">
        <v>151</v>
      </c>
      <c r="D7">
        <f>D2*D3*D4*D5</f>
        <v>270</v>
      </c>
      <c r="E7" t="s">
        <v>161</v>
      </c>
    </row>
    <row r="8" spans="1:5" x14ac:dyDescent="0.25">
      <c r="A8" t="s">
        <v>152</v>
      </c>
      <c r="D8" s="3">
        <f>D2*D3*D4*D5</f>
        <v>270</v>
      </c>
      <c r="E8" s="3" t="s">
        <v>161</v>
      </c>
    </row>
    <row r="9" spans="1:5" x14ac:dyDescent="0.25">
      <c r="A9" t="s">
        <v>157</v>
      </c>
      <c r="D9">
        <f>SUM(D7:D8)</f>
        <v>540</v>
      </c>
      <c r="E9" t="s">
        <v>161</v>
      </c>
    </row>
    <row r="10" spans="1:5" x14ac:dyDescent="0.25">
      <c r="A10" t="s">
        <v>157</v>
      </c>
      <c r="D10">
        <f>ROUNDUP(D9/27,0)</f>
        <v>20</v>
      </c>
      <c r="E10" t="s">
        <v>162</v>
      </c>
    </row>
    <row r="12" spans="1:5" x14ac:dyDescent="0.25">
      <c r="A12" s="2" t="s">
        <v>165</v>
      </c>
    </row>
    <row r="13" spans="1:5" x14ac:dyDescent="0.25">
      <c r="A13" s="64" t="s">
        <v>154</v>
      </c>
      <c r="D13">
        <v>1</v>
      </c>
      <c r="E13" t="s">
        <v>125</v>
      </c>
    </row>
    <row r="14" spans="1:5" x14ac:dyDescent="0.25">
      <c r="A14" s="64" t="s">
        <v>155</v>
      </c>
      <c r="D14">
        <v>15</v>
      </c>
      <c r="E14" t="s">
        <v>125</v>
      </c>
    </row>
    <row r="15" spans="1:5" x14ac:dyDescent="0.25">
      <c r="A15" s="64" t="s">
        <v>164</v>
      </c>
      <c r="D15">
        <v>2.25</v>
      </c>
      <c r="E15" t="s">
        <v>125</v>
      </c>
    </row>
    <row r="16" spans="1:5" x14ac:dyDescent="0.25">
      <c r="A16" t="s">
        <v>156</v>
      </c>
      <c r="D16">
        <v>2</v>
      </c>
    </row>
    <row r="18" spans="1:5" x14ac:dyDescent="0.25">
      <c r="A18" t="s">
        <v>151</v>
      </c>
      <c r="D18">
        <f>D13*D14*D15*D16</f>
        <v>67.5</v>
      </c>
      <c r="E18" t="s">
        <v>161</v>
      </c>
    </row>
    <row r="19" spans="1:5" x14ac:dyDescent="0.25">
      <c r="A19" t="s">
        <v>152</v>
      </c>
      <c r="D19" s="3">
        <f>D13*D14*D15*D16</f>
        <v>67.5</v>
      </c>
      <c r="E19" s="3" t="s">
        <v>161</v>
      </c>
    </row>
    <row r="20" spans="1:5" x14ac:dyDescent="0.25">
      <c r="A20" t="s">
        <v>157</v>
      </c>
      <c r="D20">
        <f>SUM(D18:D19)</f>
        <v>135</v>
      </c>
      <c r="E20" t="s">
        <v>161</v>
      </c>
    </row>
    <row r="21" spans="1:5" x14ac:dyDescent="0.25">
      <c r="A21" t="s">
        <v>157</v>
      </c>
      <c r="D21">
        <f>ROUNDUP(D20/27,0)</f>
        <v>5</v>
      </c>
      <c r="E21" t="s">
        <v>162</v>
      </c>
    </row>
    <row r="24" spans="1:5" x14ac:dyDescent="0.25">
      <c r="A24" s="2" t="s">
        <v>153</v>
      </c>
    </row>
    <row r="25" spans="1:5" x14ac:dyDescent="0.25">
      <c r="A25" s="2"/>
    </row>
    <row r="26" spans="1:5" x14ac:dyDescent="0.25">
      <c r="A26" s="64" t="s">
        <v>154</v>
      </c>
      <c r="D26">
        <v>2</v>
      </c>
      <c r="E26" t="s">
        <v>125</v>
      </c>
    </row>
    <row r="27" spans="1:5" x14ac:dyDescent="0.25">
      <c r="A27" s="64" t="s">
        <v>155</v>
      </c>
      <c r="D27">
        <v>15</v>
      </c>
      <c r="E27" t="s">
        <v>125</v>
      </c>
    </row>
    <row r="28" spans="1:5" x14ac:dyDescent="0.25">
      <c r="A28" t="s">
        <v>156</v>
      </c>
      <c r="D28">
        <v>2</v>
      </c>
    </row>
    <row r="30" spans="1:5" x14ac:dyDescent="0.25">
      <c r="A30" t="s">
        <v>151</v>
      </c>
      <c r="D30">
        <f>D26*D27*D28</f>
        <v>60</v>
      </c>
      <c r="E30" t="s">
        <v>126</v>
      </c>
    </row>
    <row r="31" spans="1:5" x14ac:dyDescent="0.25">
      <c r="A31" t="s">
        <v>152</v>
      </c>
      <c r="D31" s="3">
        <f>D26*D27*D28</f>
        <v>60</v>
      </c>
      <c r="E31" s="3" t="s">
        <v>126</v>
      </c>
    </row>
    <row r="32" spans="1:5" x14ac:dyDescent="0.25">
      <c r="A32" t="s">
        <v>157</v>
      </c>
      <c r="D32">
        <f>SUM(D30:D31)</f>
        <v>120</v>
      </c>
      <c r="E32" t="s">
        <v>126</v>
      </c>
    </row>
    <row r="33" spans="1:5" x14ac:dyDescent="0.25">
      <c r="A33" t="s">
        <v>157</v>
      </c>
      <c r="D33">
        <f>ROUNDUP(D32/9,0)</f>
        <v>14</v>
      </c>
      <c r="E33" t="s">
        <v>158</v>
      </c>
    </row>
    <row r="36" spans="1:5" x14ac:dyDescent="0.25">
      <c r="A36" s="2" t="s">
        <v>159</v>
      </c>
    </row>
    <row r="37" spans="1:5" x14ac:dyDescent="0.25">
      <c r="A37" s="64" t="s">
        <v>154</v>
      </c>
      <c r="D37">
        <v>2</v>
      </c>
      <c r="E37" t="s">
        <v>125</v>
      </c>
    </row>
    <row r="38" spans="1:5" x14ac:dyDescent="0.25">
      <c r="A38" s="64" t="s">
        <v>155</v>
      </c>
      <c r="D38">
        <v>15</v>
      </c>
      <c r="E38" t="s">
        <v>125</v>
      </c>
    </row>
    <row r="39" spans="1:5" x14ac:dyDescent="0.25">
      <c r="A39" s="64" t="s">
        <v>160</v>
      </c>
      <c r="D39">
        <v>0.5</v>
      </c>
      <c r="E39" t="s">
        <v>125</v>
      </c>
    </row>
    <row r="40" spans="1:5" x14ac:dyDescent="0.25">
      <c r="A40" t="s">
        <v>156</v>
      </c>
      <c r="D40">
        <v>2</v>
      </c>
    </row>
    <row r="42" spans="1:5" x14ac:dyDescent="0.25">
      <c r="A42" t="s">
        <v>151</v>
      </c>
      <c r="D42">
        <f>D37*D38*D39*D40</f>
        <v>30</v>
      </c>
      <c r="E42" t="s">
        <v>161</v>
      </c>
    </row>
    <row r="43" spans="1:5" x14ac:dyDescent="0.25">
      <c r="A43" t="s">
        <v>152</v>
      </c>
      <c r="D43" s="3">
        <f>D37*D38*D39*D40</f>
        <v>30</v>
      </c>
      <c r="E43" s="3" t="s">
        <v>161</v>
      </c>
    </row>
    <row r="44" spans="1:5" x14ac:dyDescent="0.25">
      <c r="A44" t="s">
        <v>157</v>
      </c>
      <c r="D44">
        <f>SUM(D42:D43)</f>
        <v>60</v>
      </c>
      <c r="E44" t="s">
        <v>161</v>
      </c>
    </row>
    <row r="45" spans="1:5" x14ac:dyDescent="0.25">
      <c r="A45" t="s">
        <v>157</v>
      </c>
      <c r="D45">
        <f>ROUNDUP(D44/27,0)</f>
        <v>3</v>
      </c>
      <c r="E45" t="s">
        <v>162</v>
      </c>
    </row>
    <row r="47" spans="1:5" x14ac:dyDescent="0.25">
      <c r="A47" s="2" t="s">
        <v>44</v>
      </c>
    </row>
    <row r="49" spans="1:5" x14ac:dyDescent="0.25">
      <c r="A49" t="s">
        <v>151</v>
      </c>
      <c r="D49">
        <f>30*2</f>
        <v>60</v>
      </c>
    </row>
    <row r="50" spans="1:5" x14ac:dyDescent="0.25">
      <c r="A50" t="s">
        <v>152</v>
      </c>
      <c r="D50" s="3">
        <f>30*2</f>
        <v>60</v>
      </c>
    </row>
    <row r="51" spans="1:5" x14ac:dyDescent="0.25">
      <c r="D51" s="7">
        <f>SUM(D49:D50)</f>
        <v>120</v>
      </c>
    </row>
    <row r="54" spans="1:5" x14ac:dyDescent="0.25">
      <c r="A54" s="2" t="s">
        <v>47</v>
      </c>
    </row>
    <row r="56" spans="1:5" x14ac:dyDescent="0.25">
      <c r="A56" t="s">
        <v>167</v>
      </c>
    </row>
    <row r="58" spans="1:5" x14ac:dyDescent="0.25">
      <c r="A58" s="64" t="s">
        <v>154</v>
      </c>
      <c r="D58">
        <v>1.5</v>
      </c>
      <c r="E58" t="s">
        <v>125</v>
      </c>
    </row>
    <row r="59" spans="1:5" x14ac:dyDescent="0.25">
      <c r="A59" s="64" t="s">
        <v>155</v>
      </c>
      <c r="D59">
        <v>14</v>
      </c>
      <c r="E59" t="s">
        <v>125</v>
      </c>
    </row>
    <row r="60" spans="1:5" x14ac:dyDescent="0.25">
      <c r="A60" s="64" t="s">
        <v>166</v>
      </c>
      <c r="D60">
        <v>1.25</v>
      </c>
      <c r="E60" t="s">
        <v>125</v>
      </c>
    </row>
    <row r="61" spans="1:5" x14ac:dyDescent="0.25">
      <c r="A61" t="s">
        <v>156</v>
      </c>
      <c r="D61">
        <v>2</v>
      </c>
    </row>
    <row r="63" spans="1:5" x14ac:dyDescent="0.25">
      <c r="A63" t="s">
        <v>151</v>
      </c>
      <c r="D63">
        <f>D58*D59*D60*D61</f>
        <v>52.5</v>
      </c>
      <c r="E63" t="s">
        <v>161</v>
      </c>
    </row>
    <row r="64" spans="1:5" x14ac:dyDescent="0.25">
      <c r="A64" t="s">
        <v>152</v>
      </c>
      <c r="D64" s="3">
        <f>D58*D59*D60*D61</f>
        <v>52.5</v>
      </c>
      <c r="E64" s="3" t="s">
        <v>161</v>
      </c>
    </row>
    <row r="65" spans="1:5" x14ac:dyDescent="0.25">
      <c r="A65" t="s">
        <v>157</v>
      </c>
      <c r="D65">
        <f>SUM(D63:D64)</f>
        <v>105</v>
      </c>
      <c r="E65" t="s">
        <v>161</v>
      </c>
    </row>
    <row r="66" spans="1:5" x14ac:dyDescent="0.25">
      <c r="A66" t="s">
        <v>157</v>
      </c>
      <c r="D66">
        <f>ROUNDUP(D65/27,0)</f>
        <v>4</v>
      </c>
      <c r="E66" t="s">
        <v>162</v>
      </c>
    </row>
    <row r="69" spans="1:5" x14ac:dyDescent="0.25">
      <c r="A69" t="s">
        <v>168</v>
      </c>
    </row>
    <row r="71" spans="1:5" x14ac:dyDescent="0.25">
      <c r="A71" t="s">
        <v>169</v>
      </c>
      <c r="D71">
        <v>3.5</v>
      </c>
      <c r="E71" t="s">
        <v>126</v>
      </c>
    </row>
    <row r="72" spans="1:5" x14ac:dyDescent="0.25">
      <c r="A72" t="s">
        <v>170</v>
      </c>
      <c r="D72">
        <v>14</v>
      </c>
      <c r="E72" t="s">
        <v>125</v>
      </c>
    </row>
    <row r="73" spans="1:5" x14ac:dyDescent="0.25">
      <c r="A73" t="s">
        <v>171</v>
      </c>
      <c r="D73">
        <f>D71*D72</f>
        <v>49</v>
      </c>
      <c r="E73" t="s">
        <v>173</v>
      </c>
    </row>
    <row r="74" spans="1:5" x14ac:dyDescent="0.25">
      <c r="A74" t="s">
        <v>172</v>
      </c>
      <c r="D74">
        <v>2</v>
      </c>
    </row>
    <row r="75" spans="1:5" x14ac:dyDescent="0.25">
      <c r="A75" t="s">
        <v>157</v>
      </c>
      <c r="D75">
        <f>D73*D74</f>
        <v>98</v>
      </c>
      <c r="E75" t="s">
        <v>161</v>
      </c>
    </row>
    <row r="76" spans="1:5" x14ac:dyDescent="0.25">
      <c r="D76">
        <f>ROUNDUP(D75/9,0)</f>
        <v>11</v>
      </c>
      <c r="E76" t="s">
        <v>162</v>
      </c>
    </row>
    <row r="79" spans="1:5" x14ac:dyDescent="0.25">
      <c r="A79" t="s">
        <v>196</v>
      </c>
    </row>
    <row r="81" spans="1:5" x14ac:dyDescent="0.25">
      <c r="A81" s="64" t="s">
        <v>154</v>
      </c>
      <c r="D81">
        <v>1.5</v>
      </c>
      <c r="E81" t="s">
        <v>125</v>
      </c>
    </row>
    <row r="82" spans="1:5" x14ac:dyDescent="0.25">
      <c r="A82" s="64" t="s">
        <v>155</v>
      </c>
      <c r="D82">
        <v>14</v>
      </c>
      <c r="E82" t="s">
        <v>125</v>
      </c>
    </row>
    <row r="83" spans="1:5" x14ac:dyDescent="0.25">
      <c r="A83" s="64" t="s">
        <v>166</v>
      </c>
      <c r="D83">
        <v>1.25</v>
      </c>
      <c r="E83" t="s">
        <v>125</v>
      </c>
    </row>
    <row r="84" spans="1:5" x14ac:dyDescent="0.25">
      <c r="A84" t="s">
        <v>156</v>
      </c>
      <c r="D84">
        <v>2</v>
      </c>
    </row>
    <row r="86" spans="1:5" x14ac:dyDescent="0.25">
      <c r="A86" t="s">
        <v>151</v>
      </c>
      <c r="D86">
        <f>D81*D82*D83*D84</f>
        <v>52.5</v>
      </c>
      <c r="E86" t="s">
        <v>161</v>
      </c>
    </row>
    <row r="87" spans="1:5" x14ac:dyDescent="0.25">
      <c r="A87" t="s">
        <v>152</v>
      </c>
      <c r="D87" s="3">
        <f>D81*D82*D83*D84</f>
        <v>52.5</v>
      </c>
      <c r="E87" s="3" t="s">
        <v>161</v>
      </c>
    </row>
    <row r="88" spans="1:5" x14ac:dyDescent="0.25">
      <c r="A88" t="s">
        <v>157</v>
      </c>
      <c r="D88">
        <f>SUM(D86:D87)</f>
        <v>105</v>
      </c>
      <c r="E88" t="s">
        <v>161</v>
      </c>
    </row>
    <row r="89" spans="1:5" x14ac:dyDescent="0.25">
      <c r="A89" t="s">
        <v>157</v>
      </c>
      <c r="D89">
        <f>ROUNDUP(D88/27,0)</f>
        <v>4</v>
      </c>
      <c r="E89" t="s">
        <v>162</v>
      </c>
    </row>
    <row r="92" spans="1:5" x14ac:dyDescent="0.25">
      <c r="A92" t="s">
        <v>197</v>
      </c>
    </row>
    <row r="94" spans="1:5" x14ac:dyDescent="0.25">
      <c r="A94" t="s">
        <v>169</v>
      </c>
      <c r="D94">
        <v>3.5</v>
      </c>
      <c r="E94" t="s">
        <v>126</v>
      </c>
    </row>
    <row r="95" spans="1:5" x14ac:dyDescent="0.25">
      <c r="A95" t="s">
        <v>170</v>
      </c>
      <c r="D95">
        <v>14</v>
      </c>
      <c r="E95" t="s">
        <v>125</v>
      </c>
    </row>
    <row r="96" spans="1:5" x14ac:dyDescent="0.25">
      <c r="A96" t="s">
        <v>171</v>
      </c>
      <c r="D96">
        <f>D94*D95</f>
        <v>49</v>
      </c>
      <c r="E96" t="s">
        <v>173</v>
      </c>
    </row>
    <row r="97" spans="1:7" x14ac:dyDescent="0.25">
      <c r="A97" t="s">
        <v>172</v>
      </c>
      <c r="D97">
        <v>2</v>
      </c>
    </row>
    <row r="98" spans="1:7" x14ac:dyDescent="0.25">
      <c r="A98" t="s">
        <v>157</v>
      </c>
      <c r="D98">
        <f>D96*D97</f>
        <v>98</v>
      </c>
      <c r="E98" t="s">
        <v>161</v>
      </c>
    </row>
    <row r="99" spans="1:7" x14ac:dyDescent="0.25">
      <c r="D99">
        <f>ROUNDUP(D98/9,0)</f>
        <v>11</v>
      </c>
      <c r="E99" t="s">
        <v>162</v>
      </c>
    </row>
    <row r="101" spans="1:7" x14ac:dyDescent="0.25">
      <c r="A101" t="s">
        <v>90</v>
      </c>
      <c r="D101">
        <f>D66+D76+D89+D99</f>
        <v>30</v>
      </c>
      <c r="E101" t="s">
        <v>162</v>
      </c>
    </row>
    <row r="105" spans="1:7" x14ac:dyDescent="0.25">
      <c r="A105" s="2" t="s">
        <v>20</v>
      </c>
    </row>
    <row r="107" spans="1:7" x14ac:dyDescent="0.25">
      <c r="A107" t="s">
        <v>11</v>
      </c>
      <c r="D107">
        <v>25</v>
      </c>
      <c r="E107" t="s">
        <v>2</v>
      </c>
    </row>
    <row r="108" spans="1:7" x14ac:dyDescent="0.25">
      <c r="A108" t="s">
        <v>10</v>
      </c>
      <c r="D108">
        <v>66.83</v>
      </c>
      <c r="E108" t="s">
        <v>2</v>
      </c>
      <c r="F108" t="s">
        <v>21</v>
      </c>
    </row>
    <row r="109" spans="1:7" x14ac:dyDescent="0.25">
      <c r="A109" t="s">
        <v>12</v>
      </c>
      <c r="D109">
        <v>2</v>
      </c>
    </row>
    <row r="110" spans="1:7" x14ac:dyDescent="0.25">
      <c r="A110" t="s">
        <v>22</v>
      </c>
      <c r="D110">
        <f>D107*D108*D109</f>
        <v>3341.5</v>
      </c>
      <c r="E110" t="s">
        <v>23</v>
      </c>
      <c r="F110">
        <f>D110/9</f>
        <v>371.27777777777777</v>
      </c>
      <c r="G110" t="s">
        <v>24</v>
      </c>
    </row>
    <row r="112" spans="1:7" x14ac:dyDescent="0.25">
      <c r="A112" t="s">
        <v>25</v>
      </c>
      <c r="D112">
        <f>(12104.92-11895.08)</f>
        <v>209.84000000000015</v>
      </c>
      <c r="E112" t="s">
        <v>2</v>
      </c>
      <c r="F112" t="s">
        <v>27</v>
      </c>
    </row>
    <row r="113" spans="1:7" x14ac:dyDescent="0.25">
      <c r="A113" t="s">
        <v>26</v>
      </c>
      <c r="D113">
        <v>66.83</v>
      </c>
      <c r="E113" t="s">
        <v>2</v>
      </c>
      <c r="F113" t="s">
        <v>21</v>
      </c>
    </row>
    <row r="114" spans="1:7" x14ac:dyDescent="0.25">
      <c r="A114" t="s">
        <v>36</v>
      </c>
      <c r="D114">
        <f>D112*D113</f>
        <v>14023.607200000009</v>
      </c>
      <c r="E114" t="s">
        <v>23</v>
      </c>
      <c r="F114">
        <f>D114/9</f>
        <v>1558.1785777777789</v>
      </c>
      <c r="G114" t="s">
        <v>24</v>
      </c>
    </row>
    <row r="116" spans="1:7" x14ac:dyDescent="0.25">
      <c r="A116" t="s">
        <v>28</v>
      </c>
      <c r="B116">
        <f>ROUNDUP(F110+F114,0)</f>
        <v>1930</v>
      </c>
      <c r="C116" t="s">
        <v>24</v>
      </c>
    </row>
    <row r="118" spans="1:7" x14ac:dyDescent="0.25">
      <c r="A118" s="2" t="s">
        <v>0</v>
      </c>
    </row>
    <row r="120" spans="1:7" x14ac:dyDescent="0.25">
      <c r="A120" t="s">
        <v>1</v>
      </c>
      <c r="C120">
        <v>1.83</v>
      </c>
      <c r="D120" t="s">
        <v>2</v>
      </c>
    </row>
    <row r="121" spans="1:7" x14ac:dyDescent="0.25">
      <c r="A121" t="s">
        <v>4</v>
      </c>
      <c r="C121">
        <v>66.83</v>
      </c>
      <c r="D121" t="s">
        <v>2</v>
      </c>
      <c r="E121" t="s">
        <v>35</v>
      </c>
    </row>
    <row r="122" spans="1:7" x14ac:dyDescent="0.25">
      <c r="A122" t="s">
        <v>30</v>
      </c>
      <c r="C122">
        <f>21+(42/60)+(40/3600)</f>
        <v>21.711111111111112</v>
      </c>
      <c r="D122" t="s">
        <v>31</v>
      </c>
    </row>
    <row r="123" spans="1:7" x14ac:dyDescent="0.25">
      <c r="A123" t="s">
        <v>5</v>
      </c>
      <c r="C123" s="1">
        <f>C121/COS(RADIANS(C122))</f>
        <v>71.932855577895936</v>
      </c>
      <c r="D123" t="s">
        <v>2</v>
      </c>
    </row>
    <row r="124" spans="1:7" x14ac:dyDescent="0.25">
      <c r="A124" t="s">
        <v>3</v>
      </c>
      <c r="C124">
        <v>0.25</v>
      </c>
      <c r="D124" t="s">
        <v>2</v>
      </c>
    </row>
    <row r="126" spans="1:7" x14ac:dyDescent="0.25">
      <c r="A126" t="s">
        <v>6</v>
      </c>
      <c r="C126">
        <v>2</v>
      </c>
    </row>
    <row r="128" spans="1:7" x14ac:dyDescent="0.25">
      <c r="A128" t="s">
        <v>7</v>
      </c>
      <c r="C128" s="1">
        <f>C120*C123*C124*C126/27</f>
        <v>2.4377245501398068</v>
      </c>
      <c r="D128" t="s">
        <v>8</v>
      </c>
    </row>
    <row r="131" spans="1:5" x14ac:dyDescent="0.25">
      <c r="A131" s="2" t="s">
        <v>41</v>
      </c>
    </row>
    <row r="132" spans="1:5" x14ac:dyDescent="0.25">
      <c r="A132" t="s">
        <v>198</v>
      </c>
    </row>
    <row r="133" spans="1:5" x14ac:dyDescent="0.25">
      <c r="A133" t="s">
        <v>37</v>
      </c>
      <c r="D133">
        <v>5</v>
      </c>
      <c r="E133" t="s">
        <v>2</v>
      </c>
    </row>
    <row r="134" spans="1:5" x14ac:dyDescent="0.25">
      <c r="A134" t="s">
        <v>38</v>
      </c>
      <c r="D134">
        <v>8</v>
      </c>
      <c r="E134" t="s">
        <v>2</v>
      </c>
    </row>
    <row r="136" spans="1:5" x14ac:dyDescent="0.25">
      <c r="A136" t="s">
        <v>42</v>
      </c>
      <c r="C136">
        <f>D133*D134</f>
        <v>40</v>
      </c>
      <c r="D136" t="s">
        <v>40</v>
      </c>
    </row>
    <row r="138" spans="1:5" x14ac:dyDescent="0.25">
      <c r="A138" t="s">
        <v>174</v>
      </c>
    </row>
    <row r="139" spans="1:5" x14ac:dyDescent="0.25">
      <c r="A139" t="s">
        <v>37</v>
      </c>
      <c r="D139">
        <v>5</v>
      </c>
      <c r="E139" t="s">
        <v>2</v>
      </c>
    </row>
    <row r="140" spans="1:5" x14ac:dyDescent="0.25">
      <c r="A140" t="s">
        <v>38</v>
      </c>
      <c r="D140">
        <v>0.66659999999999997</v>
      </c>
      <c r="E140" t="s">
        <v>2</v>
      </c>
    </row>
    <row r="142" spans="1:5" x14ac:dyDescent="0.25">
      <c r="A142" t="s">
        <v>42</v>
      </c>
      <c r="C142">
        <f>D139*D140</f>
        <v>3.3329999999999997</v>
      </c>
      <c r="D142" t="s">
        <v>40</v>
      </c>
    </row>
    <row r="144" spans="1:5" x14ac:dyDescent="0.25">
      <c r="A144" t="s">
        <v>157</v>
      </c>
      <c r="C144">
        <f>ROUNDUP(C136+C142,0)</f>
        <v>44</v>
      </c>
      <c r="D144" t="s">
        <v>40</v>
      </c>
    </row>
    <row r="147" spans="1:5" x14ac:dyDescent="0.25">
      <c r="A147" s="2" t="s">
        <v>176</v>
      </c>
    </row>
    <row r="149" spans="1:5" x14ac:dyDescent="0.25">
      <c r="A149" t="s">
        <v>177</v>
      </c>
      <c r="D149">
        <f>2.6666+1.5+2.6666</f>
        <v>6.8331999999999997</v>
      </c>
      <c r="E149" t="s">
        <v>125</v>
      </c>
    </row>
    <row r="150" spans="1:5" x14ac:dyDescent="0.25">
      <c r="A150" t="s">
        <v>170</v>
      </c>
      <c r="D150">
        <v>14</v>
      </c>
      <c r="E150" t="s">
        <v>125</v>
      </c>
    </row>
    <row r="152" spans="1:5" x14ac:dyDescent="0.25">
      <c r="A152" t="s">
        <v>39</v>
      </c>
      <c r="D152">
        <f>D149*D150</f>
        <v>95.6648</v>
      </c>
      <c r="E152" t="s">
        <v>126</v>
      </c>
    </row>
    <row r="153" spans="1:5" x14ac:dyDescent="0.25">
      <c r="A153" t="s">
        <v>172</v>
      </c>
      <c r="D153">
        <v>2</v>
      </c>
    </row>
    <row r="154" spans="1:5" x14ac:dyDescent="0.25">
      <c r="A154" t="s">
        <v>178</v>
      </c>
      <c r="D154">
        <v>2</v>
      </c>
    </row>
    <row r="156" spans="1:5" x14ac:dyDescent="0.25">
      <c r="A156" t="s">
        <v>157</v>
      </c>
      <c r="D156">
        <f>D152*D153*D154</f>
        <v>382.6592</v>
      </c>
      <c r="E156" t="s">
        <v>126</v>
      </c>
    </row>
    <row r="157" spans="1:5" x14ac:dyDescent="0.25">
      <c r="D157">
        <f>D156/9</f>
        <v>42.517688888888891</v>
      </c>
      <c r="E157" t="s">
        <v>158</v>
      </c>
    </row>
    <row r="162" spans="1:4" x14ac:dyDescent="0.25">
      <c r="A162" s="2" t="s">
        <v>201</v>
      </c>
    </row>
    <row r="164" spans="1:4" x14ac:dyDescent="0.25">
      <c r="A164" t="s">
        <v>202</v>
      </c>
      <c r="B164">
        <f>4*1*15/9</f>
        <v>6.666666666666667</v>
      </c>
      <c r="C164" t="s">
        <v>24</v>
      </c>
    </row>
    <row r="167" spans="1:4" x14ac:dyDescent="0.25">
      <c r="A167" t="s">
        <v>203</v>
      </c>
    </row>
    <row r="169" spans="1:4" x14ac:dyDescent="0.25">
      <c r="A169" t="s">
        <v>204</v>
      </c>
      <c r="C169">
        <f>4*(2.6666*1.5)</f>
        <v>15.999599999999999</v>
      </c>
      <c r="D169" t="s">
        <v>40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12"/>
  <sheetViews>
    <sheetView workbookViewId="0">
      <selection activeCell="A2" sqref="A2:E12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32</v>
      </c>
      <c r="D5" t="s">
        <v>2</v>
      </c>
    </row>
    <row r="6" spans="1:4" x14ac:dyDescent="0.25">
      <c r="A6" t="s">
        <v>30</v>
      </c>
      <c r="C6">
        <v>25</v>
      </c>
      <c r="D6" t="s">
        <v>31</v>
      </c>
    </row>
    <row r="7" spans="1:4" x14ac:dyDescent="0.25">
      <c r="A7" t="s">
        <v>5</v>
      </c>
      <c r="C7" s="1">
        <f>C5/COS(RADIANS(C6))</f>
        <v>35.308093406799735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2</v>
      </c>
    </row>
    <row r="12" spans="1:4" x14ac:dyDescent="0.25">
      <c r="A12" t="s">
        <v>7</v>
      </c>
      <c r="C12" s="1">
        <f>C4*C7*C8*C10/27</f>
        <v>1.1965520543415467</v>
      </c>
      <c r="D12" t="s">
        <v>8</v>
      </c>
    </row>
  </sheetData>
  <pageMargins left="0.7" right="0.7" top="0.75" bottom="0.75" header="0.3" footer="0.3"/>
  <pageSetup paperSiz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35"/>
  <sheetViews>
    <sheetView workbookViewId="0">
      <selection activeCell="H17" sqref="H17"/>
    </sheetView>
  </sheetViews>
  <sheetFormatPr defaultRowHeight="15" x14ac:dyDescent="0.25"/>
  <cols>
    <col min="2" max="2" width="9.140625" customWidth="1"/>
    <col min="3" max="3" width="11.7109375" customWidth="1"/>
  </cols>
  <sheetData>
    <row r="2" spans="1:7" x14ac:dyDescent="0.25">
      <c r="A2" s="2" t="s">
        <v>20</v>
      </c>
    </row>
    <row r="4" spans="1:7" x14ac:dyDescent="0.25">
      <c r="A4" t="s">
        <v>11</v>
      </c>
      <c r="D4">
        <v>25</v>
      </c>
      <c r="E4" t="s">
        <v>2</v>
      </c>
    </row>
    <row r="5" spans="1:7" x14ac:dyDescent="0.25">
      <c r="A5" t="s">
        <v>10</v>
      </c>
      <c r="D5">
        <v>30</v>
      </c>
      <c r="E5" t="s">
        <v>2</v>
      </c>
      <c r="F5" t="s">
        <v>21</v>
      </c>
    </row>
    <row r="6" spans="1:7" x14ac:dyDescent="0.25">
      <c r="A6" t="s">
        <v>12</v>
      </c>
      <c r="D6">
        <v>2</v>
      </c>
    </row>
    <row r="7" spans="1:7" x14ac:dyDescent="0.25">
      <c r="A7" t="s">
        <v>22</v>
      </c>
      <c r="D7">
        <f>D4*D5*D6</f>
        <v>1500</v>
      </c>
      <c r="E7" t="s">
        <v>23</v>
      </c>
      <c r="F7">
        <f>D7/9</f>
        <v>166.66666666666666</v>
      </c>
      <c r="G7" t="s">
        <v>24</v>
      </c>
    </row>
    <row r="9" spans="1:7" x14ac:dyDescent="0.25">
      <c r="A9" t="s">
        <v>25</v>
      </c>
      <c r="D9">
        <f>(5128.51-4876.49)</f>
        <v>252.02000000000044</v>
      </c>
      <c r="E9" t="s">
        <v>2</v>
      </c>
      <c r="F9" t="s">
        <v>27</v>
      </c>
    </row>
    <row r="10" spans="1:7" x14ac:dyDescent="0.25">
      <c r="A10" t="s">
        <v>26</v>
      </c>
      <c r="D10">
        <v>30</v>
      </c>
      <c r="E10" t="s">
        <v>2</v>
      </c>
      <c r="F10" t="s">
        <v>21</v>
      </c>
    </row>
    <row r="11" spans="1:7" x14ac:dyDescent="0.25">
      <c r="A11" t="s">
        <v>36</v>
      </c>
      <c r="D11">
        <f>D9*D10</f>
        <v>7560.6000000000131</v>
      </c>
      <c r="E11" t="s">
        <v>23</v>
      </c>
      <c r="F11">
        <f>D11/9</f>
        <v>840.06666666666808</v>
      </c>
      <c r="G11" t="s">
        <v>24</v>
      </c>
    </row>
    <row r="13" spans="1:7" x14ac:dyDescent="0.25">
      <c r="A13" t="s">
        <v>28</v>
      </c>
      <c r="B13">
        <f>ROUNDUP(F7+F11,0)</f>
        <v>1007</v>
      </c>
      <c r="C13" t="s">
        <v>24</v>
      </c>
    </row>
    <row r="19" spans="1:5" x14ac:dyDescent="0.25">
      <c r="A19" s="2" t="s">
        <v>9</v>
      </c>
    </row>
    <row r="21" spans="1:5" x14ac:dyDescent="0.25">
      <c r="A21" t="s">
        <v>11</v>
      </c>
      <c r="D21">
        <v>25</v>
      </c>
      <c r="E21" t="s">
        <v>2</v>
      </c>
    </row>
    <row r="22" spans="1:5" x14ac:dyDescent="0.25">
      <c r="A22" t="s">
        <v>10</v>
      </c>
      <c r="D22">
        <v>33</v>
      </c>
      <c r="E22" t="s">
        <v>2</v>
      </c>
    </row>
    <row r="23" spans="1:5" x14ac:dyDescent="0.25">
      <c r="A23" t="s">
        <v>3</v>
      </c>
      <c r="D23">
        <v>1.25</v>
      </c>
      <c r="E23" t="s">
        <v>2</v>
      </c>
    </row>
    <row r="25" spans="1:5" x14ac:dyDescent="0.25">
      <c r="A25" t="s">
        <v>12</v>
      </c>
      <c r="D25">
        <v>2</v>
      </c>
    </row>
    <row r="27" spans="1:5" x14ac:dyDescent="0.25">
      <c r="A27" t="s">
        <v>7</v>
      </c>
      <c r="D27" s="1">
        <f>D21*D22*D23*D25</f>
        <v>2062.5</v>
      </c>
      <c r="E27" t="s">
        <v>13</v>
      </c>
    </row>
    <row r="29" spans="1:5" x14ac:dyDescent="0.25">
      <c r="A29" t="s">
        <v>14</v>
      </c>
      <c r="D29">
        <v>7</v>
      </c>
      <c r="E29" t="s">
        <v>15</v>
      </c>
    </row>
    <row r="31" spans="1:5" x14ac:dyDescent="0.25">
      <c r="A31" t="s">
        <v>16</v>
      </c>
      <c r="D31">
        <v>1.2</v>
      </c>
    </row>
    <row r="33" spans="1:5" x14ac:dyDescent="0.25">
      <c r="A33" t="s">
        <v>17</v>
      </c>
      <c r="D33">
        <f>D27*D29*D31</f>
        <v>17325</v>
      </c>
      <c r="E33" t="s">
        <v>18</v>
      </c>
    </row>
    <row r="35" spans="1:5" x14ac:dyDescent="0.25">
      <c r="A35" t="s">
        <v>19</v>
      </c>
      <c r="D35">
        <f>ROUNDUP(D33,-4)</f>
        <v>20000</v>
      </c>
      <c r="E35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K9"/>
  <sheetViews>
    <sheetView workbookViewId="0">
      <selection activeCell="N37" sqref="N37"/>
    </sheetView>
  </sheetViews>
  <sheetFormatPr defaultRowHeight="15" x14ac:dyDescent="0.25"/>
  <sheetData>
    <row r="3" spans="1:11" x14ac:dyDescent="0.25">
      <c r="A3" s="2" t="s">
        <v>29</v>
      </c>
      <c r="H3">
        <f xml:space="preserve"> (1*5.76)+(22*7.46)</f>
        <v>169.88</v>
      </c>
      <c r="I3" t="s">
        <v>2</v>
      </c>
    </row>
    <row r="4" spans="1:11" x14ac:dyDescent="0.25">
      <c r="A4" s="2"/>
    </row>
    <row r="5" spans="1:11" x14ac:dyDescent="0.25">
      <c r="A5" s="2" t="s">
        <v>32</v>
      </c>
      <c r="J5">
        <f xml:space="preserve"> (1*5.76)+(22*7.46)</f>
        <v>169.88</v>
      </c>
      <c r="K5" t="s">
        <v>2</v>
      </c>
    </row>
    <row r="7" spans="1:11" x14ac:dyDescent="0.25">
      <c r="A7" t="s">
        <v>33</v>
      </c>
    </row>
    <row r="9" spans="1:11" x14ac:dyDescent="0.25">
      <c r="A9" t="s">
        <v>34</v>
      </c>
    </row>
  </sheetData>
  <pageMargins left="0.7" right="0.7" top="0.75" bottom="0.75" header="0.3" footer="0.3"/>
  <pageSetup paperSize="1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12"/>
  <sheetViews>
    <sheetView workbookViewId="0">
      <selection activeCell="A2" sqref="A2:E12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40</v>
      </c>
      <c r="D5" t="s">
        <v>2</v>
      </c>
    </row>
    <row r="6" spans="1:4" x14ac:dyDescent="0.25">
      <c r="A6" t="s">
        <v>30</v>
      </c>
      <c r="C6">
        <v>30</v>
      </c>
      <c r="D6" t="s">
        <v>31</v>
      </c>
    </row>
    <row r="7" spans="1:4" x14ac:dyDescent="0.25">
      <c r="A7" t="s">
        <v>5</v>
      </c>
      <c r="C7" s="1">
        <f>C5/COS(RADIANS(C6))</f>
        <v>46.188021535170058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2</v>
      </c>
    </row>
    <row r="12" spans="1:4" x14ac:dyDescent="0.25">
      <c r="A12" t="s">
        <v>7</v>
      </c>
      <c r="C12" s="1">
        <f>C4*C7*C8*C10/27</f>
        <v>1.5652607298029853</v>
      </c>
      <c r="D12" t="s">
        <v>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12"/>
  <sheetViews>
    <sheetView workbookViewId="0">
      <selection activeCell="A2" sqref="A2:F12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44</v>
      </c>
      <c r="D5" t="s">
        <v>2</v>
      </c>
    </row>
    <row r="6" spans="1:4" x14ac:dyDescent="0.25">
      <c r="A6" t="s">
        <v>30</v>
      </c>
      <c r="C6">
        <v>0.75</v>
      </c>
      <c r="D6" t="s">
        <v>31</v>
      </c>
    </row>
    <row r="7" spans="1:4" x14ac:dyDescent="0.25">
      <c r="A7" t="s">
        <v>5</v>
      </c>
      <c r="C7" s="1">
        <f>C5/COS(RADIANS(C6))</f>
        <v>44.003769909721001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2</v>
      </c>
    </row>
    <row r="12" spans="1:4" x14ac:dyDescent="0.25">
      <c r="A12" t="s">
        <v>7</v>
      </c>
      <c r="C12" s="1">
        <f>C4*C7*C8*C10/27</f>
        <v>1.4912388691627672</v>
      </c>
      <c r="D12" t="s">
        <v>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G35"/>
  <sheetViews>
    <sheetView workbookViewId="0">
      <selection activeCell="I19" sqref="I18:I19"/>
    </sheetView>
  </sheetViews>
  <sheetFormatPr defaultRowHeight="15" x14ac:dyDescent="0.25"/>
  <sheetData>
    <row r="2" spans="1:7" x14ac:dyDescent="0.25">
      <c r="A2" s="2" t="s">
        <v>20</v>
      </c>
    </row>
    <row r="4" spans="1:7" x14ac:dyDescent="0.25">
      <c r="A4" t="s">
        <v>11</v>
      </c>
      <c r="D4">
        <v>25</v>
      </c>
      <c r="E4" t="s">
        <v>2</v>
      </c>
    </row>
    <row r="5" spans="1:7" x14ac:dyDescent="0.25">
      <c r="A5" t="s">
        <v>10</v>
      </c>
      <c r="D5">
        <v>32</v>
      </c>
      <c r="E5" t="s">
        <v>2</v>
      </c>
      <c r="F5" t="s">
        <v>21</v>
      </c>
    </row>
    <row r="6" spans="1:7" x14ac:dyDescent="0.25">
      <c r="A6" t="s">
        <v>12</v>
      </c>
      <c r="D6">
        <v>2</v>
      </c>
    </row>
    <row r="7" spans="1:7" x14ac:dyDescent="0.25">
      <c r="A7" t="s">
        <v>22</v>
      </c>
      <c r="D7">
        <f>D4*D5*D6</f>
        <v>1600</v>
      </c>
      <c r="E7" t="s">
        <v>23</v>
      </c>
      <c r="F7">
        <f>D7/9</f>
        <v>177.77777777777777</v>
      </c>
      <c r="G7" t="s">
        <v>24</v>
      </c>
    </row>
    <row r="9" spans="1:7" x14ac:dyDescent="0.25">
      <c r="A9" t="s">
        <v>25</v>
      </c>
      <c r="D9">
        <f>(24716.62-24644.88)</f>
        <v>71.739999999997963</v>
      </c>
      <c r="E9" t="s">
        <v>2</v>
      </c>
      <c r="F9" t="s">
        <v>27</v>
      </c>
    </row>
    <row r="10" spans="1:7" x14ac:dyDescent="0.25">
      <c r="A10" t="s">
        <v>26</v>
      </c>
      <c r="D10">
        <v>32</v>
      </c>
      <c r="E10" t="s">
        <v>2</v>
      </c>
      <c r="F10" t="s">
        <v>21</v>
      </c>
    </row>
    <row r="11" spans="1:7" x14ac:dyDescent="0.25">
      <c r="A11" t="s">
        <v>36</v>
      </c>
      <c r="D11">
        <f>D9*D10</f>
        <v>2295.6799999999348</v>
      </c>
      <c r="E11" t="s">
        <v>23</v>
      </c>
      <c r="F11">
        <f>D11/9</f>
        <v>255.07555555554831</v>
      </c>
      <c r="G11" t="s">
        <v>24</v>
      </c>
    </row>
    <row r="13" spans="1:7" x14ac:dyDescent="0.25">
      <c r="A13" t="s">
        <v>28</v>
      </c>
      <c r="B13">
        <f>ROUNDUP(F7+F11,0)</f>
        <v>433</v>
      </c>
      <c r="C13" t="s">
        <v>24</v>
      </c>
    </row>
    <row r="19" spans="1:5" x14ac:dyDescent="0.25">
      <c r="A19" s="2" t="s">
        <v>9</v>
      </c>
    </row>
    <row r="21" spans="1:5" x14ac:dyDescent="0.25">
      <c r="A21" t="s">
        <v>11</v>
      </c>
      <c r="D21">
        <v>25</v>
      </c>
      <c r="E21" t="s">
        <v>2</v>
      </c>
    </row>
    <row r="22" spans="1:5" x14ac:dyDescent="0.25">
      <c r="A22" t="s">
        <v>10</v>
      </c>
      <c r="D22">
        <v>32</v>
      </c>
      <c r="E22" t="s">
        <v>2</v>
      </c>
    </row>
    <row r="23" spans="1:5" x14ac:dyDescent="0.25">
      <c r="A23" t="s">
        <v>3</v>
      </c>
      <c r="D23">
        <v>1.25</v>
      </c>
      <c r="E23" t="s">
        <v>2</v>
      </c>
    </row>
    <row r="25" spans="1:5" x14ac:dyDescent="0.25">
      <c r="A25" t="s">
        <v>12</v>
      </c>
      <c r="D25">
        <v>2</v>
      </c>
    </row>
    <row r="27" spans="1:5" x14ac:dyDescent="0.25">
      <c r="A27" t="s">
        <v>7</v>
      </c>
      <c r="D27" s="1">
        <f>D21*D22*D23*D25</f>
        <v>2000</v>
      </c>
      <c r="E27" t="s">
        <v>13</v>
      </c>
    </row>
    <row r="29" spans="1:5" x14ac:dyDescent="0.25">
      <c r="A29" t="s">
        <v>14</v>
      </c>
      <c r="D29">
        <v>7</v>
      </c>
      <c r="E29" t="s">
        <v>15</v>
      </c>
    </row>
    <row r="31" spans="1:5" x14ac:dyDescent="0.25">
      <c r="A31" t="s">
        <v>16</v>
      </c>
      <c r="D31">
        <v>1.2</v>
      </c>
    </row>
    <row r="33" spans="1:5" x14ac:dyDescent="0.25">
      <c r="A33" t="s">
        <v>17</v>
      </c>
      <c r="D33">
        <f>D27*D29*D31</f>
        <v>16800</v>
      </c>
      <c r="E33" t="s">
        <v>18</v>
      </c>
    </row>
    <row r="35" spans="1:5" x14ac:dyDescent="0.25">
      <c r="A35" t="s">
        <v>19</v>
      </c>
      <c r="D35">
        <f>ROUNDUP(D33,-4)</f>
        <v>20000</v>
      </c>
      <c r="E35" t="s">
        <v>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D12"/>
  <sheetViews>
    <sheetView workbookViewId="0">
      <selection activeCell="E11" sqref="E11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64</v>
      </c>
      <c r="D5" t="s">
        <v>2</v>
      </c>
    </row>
    <row r="6" spans="1:4" x14ac:dyDescent="0.25">
      <c r="A6" t="s">
        <v>30</v>
      </c>
      <c r="C6">
        <v>20</v>
      </c>
      <c r="D6" t="s">
        <v>31</v>
      </c>
    </row>
    <row r="7" spans="1:4" x14ac:dyDescent="0.25">
      <c r="A7" t="s">
        <v>5</v>
      </c>
      <c r="C7" s="1">
        <f>C5/COS(RADIANS(C6))</f>
        <v>68.107377438458371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1</v>
      </c>
    </row>
    <row r="12" spans="1:4" x14ac:dyDescent="0.25">
      <c r="A12" t="s">
        <v>7</v>
      </c>
      <c r="C12" s="1">
        <f>C4*C7*C8*C10/27</f>
        <v>1.1540416732627667</v>
      </c>
      <c r="D12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57"/>
  <sheetViews>
    <sheetView topLeftCell="M255" zoomScale="70" zoomScaleNormal="70" workbookViewId="0">
      <selection activeCell="I246" sqref="I246"/>
    </sheetView>
  </sheetViews>
  <sheetFormatPr defaultRowHeight="15" x14ac:dyDescent="0.25"/>
  <cols>
    <col min="3" max="3" width="19.140625" customWidth="1"/>
    <col min="4" max="4" width="22" customWidth="1"/>
    <col min="5" max="5" width="10.7109375" customWidth="1"/>
    <col min="8" max="8" width="12.85546875" customWidth="1"/>
    <col min="9" max="9" width="10.42578125" customWidth="1"/>
    <col min="11" max="14" width="12.85546875" customWidth="1"/>
    <col min="15" max="15" width="12.140625" customWidth="1"/>
    <col min="16" max="16" width="14.42578125" customWidth="1"/>
    <col min="17" max="17" width="14" customWidth="1"/>
    <col min="18" max="23" width="12.85546875" customWidth="1"/>
    <col min="25" max="26" width="13.42578125" customWidth="1"/>
    <col min="27" max="27" width="11" customWidth="1"/>
    <col min="35" max="35" width="14.42578125" customWidth="1"/>
    <col min="46" max="46" width="17.28515625" customWidth="1"/>
    <col min="57" max="57" width="16.5703125" customWidth="1"/>
  </cols>
  <sheetData>
    <row r="1" spans="1:16" x14ac:dyDescent="0.25">
      <c r="A1" s="72" t="s">
        <v>44</v>
      </c>
    </row>
    <row r="3" spans="1:16" x14ac:dyDescent="0.25">
      <c r="A3" t="s">
        <v>303</v>
      </c>
      <c r="C3">
        <f>2*(877*2)</f>
        <v>3508</v>
      </c>
    </row>
    <row r="4" spans="1:16" x14ac:dyDescent="0.25">
      <c r="A4" t="s">
        <v>45</v>
      </c>
      <c r="C4">
        <f>84+2*(2*22)</f>
        <v>172</v>
      </c>
    </row>
    <row r="5" spans="1:16" x14ac:dyDescent="0.25">
      <c r="A5" t="s">
        <v>46</v>
      </c>
      <c r="C5" s="3">
        <f>84+2*(2*22)</f>
        <v>172</v>
      </c>
    </row>
    <row r="6" spans="1:16" x14ac:dyDescent="0.25">
      <c r="C6" s="7">
        <f>SUM(C3:C5)</f>
        <v>3852</v>
      </c>
      <c r="D6" t="s">
        <v>116</v>
      </c>
    </row>
    <row r="9" spans="1:16" x14ac:dyDescent="0.25">
      <c r="A9" s="72" t="s">
        <v>284</v>
      </c>
      <c r="K9" t="s">
        <v>277</v>
      </c>
      <c r="O9">
        <v>4.37</v>
      </c>
      <c r="P9" t="s">
        <v>278</v>
      </c>
    </row>
    <row r="10" spans="1:16" x14ac:dyDescent="0.25">
      <c r="A10" s="2"/>
    </row>
    <row r="11" spans="1:16" x14ac:dyDescent="0.25">
      <c r="A11" s="6" t="s">
        <v>291</v>
      </c>
    </row>
    <row r="12" spans="1:16" x14ac:dyDescent="0.25">
      <c r="A12" s="64" t="s">
        <v>292</v>
      </c>
      <c r="D12">
        <v>4.37</v>
      </c>
      <c r="E12" t="s">
        <v>278</v>
      </c>
    </row>
    <row r="13" spans="1:16" x14ac:dyDescent="0.25">
      <c r="A13" s="64" t="s">
        <v>293</v>
      </c>
      <c r="D13">
        <v>876.2</v>
      </c>
      <c r="E13" t="s">
        <v>2</v>
      </c>
    </row>
    <row r="14" spans="1:16" x14ac:dyDescent="0.25">
      <c r="A14" s="64" t="s">
        <v>294</v>
      </c>
      <c r="D14">
        <v>2</v>
      </c>
      <c r="E14" t="s">
        <v>116</v>
      </c>
    </row>
    <row r="15" spans="1:16" x14ac:dyDescent="0.25">
      <c r="A15" s="64" t="s">
        <v>56</v>
      </c>
      <c r="D15">
        <f>D12*D13*D14</f>
        <v>7657.9880000000003</v>
      </c>
      <c r="E15" t="s">
        <v>295</v>
      </c>
    </row>
    <row r="16" spans="1:16" x14ac:dyDescent="0.25">
      <c r="A16" s="64"/>
      <c r="D16">
        <f>ROUNDUP(D15/27,0)</f>
        <v>284</v>
      </c>
      <c r="E16" t="s">
        <v>8</v>
      </c>
    </row>
    <row r="18" spans="1:16" x14ac:dyDescent="0.25">
      <c r="A18" s="6" t="s">
        <v>289</v>
      </c>
      <c r="K18" t="s">
        <v>279</v>
      </c>
      <c r="O18">
        <v>41.27</v>
      </c>
      <c r="P18" t="s">
        <v>278</v>
      </c>
    </row>
    <row r="20" spans="1:16" x14ac:dyDescent="0.25">
      <c r="A20" t="s">
        <v>142</v>
      </c>
      <c r="D20">
        <v>3</v>
      </c>
      <c r="E20" t="s">
        <v>2</v>
      </c>
    </row>
    <row r="21" spans="1:16" x14ac:dyDescent="0.25">
      <c r="A21" t="s">
        <v>143</v>
      </c>
      <c r="D21">
        <v>41.5</v>
      </c>
      <c r="E21" t="s">
        <v>2</v>
      </c>
    </row>
    <row r="22" spans="1:16" x14ac:dyDescent="0.25">
      <c r="A22" t="s">
        <v>283</v>
      </c>
      <c r="D22">
        <v>9</v>
      </c>
      <c r="E22" t="s">
        <v>49</v>
      </c>
    </row>
    <row r="23" spans="1:16" x14ac:dyDescent="0.25">
      <c r="A23" t="s">
        <v>287</v>
      </c>
      <c r="D23">
        <v>2.5</v>
      </c>
      <c r="E23" t="s">
        <v>49</v>
      </c>
    </row>
    <row r="24" spans="1:16" x14ac:dyDescent="0.25">
      <c r="A24" t="s">
        <v>144</v>
      </c>
      <c r="D24">
        <v>11.55</v>
      </c>
      <c r="E24" t="s">
        <v>49</v>
      </c>
    </row>
    <row r="25" spans="1:16" x14ac:dyDescent="0.25">
      <c r="A25" s="188" t="s">
        <v>50</v>
      </c>
      <c r="B25" s="188"/>
      <c r="K25" t="s">
        <v>280</v>
      </c>
      <c r="O25" t="s">
        <v>281</v>
      </c>
    </row>
    <row r="26" spans="1:16" x14ac:dyDescent="0.25">
      <c r="A26" s="188"/>
      <c r="B26" s="188"/>
      <c r="D26">
        <v>2.5</v>
      </c>
      <c r="E26" t="s">
        <v>49</v>
      </c>
    </row>
    <row r="27" spans="1:16" x14ac:dyDescent="0.25">
      <c r="A27" t="s">
        <v>145</v>
      </c>
      <c r="D27">
        <v>2</v>
      </c>
      <c r="E27" t="s">
        <v>2</v>
      </c>
    </row>
    <row r="28" spans="1:16" x14ac:dyDescent="0.25">
      <c r="A28" t="s">
        <v>286</v>
      </c>
      <c r="D28">
        <v>1.333</v>
      </c>
      <c r="E28" t="s">
        <v>2</v>
      </c>
    </row>
    <row r="29" spans="1:16" x14ac:dyDescent="0.25">
      <c r="K29" t="s">
        <v>282</v>
      </c>
      <c r="O29">
        <v>63.3</v>
      </c>
      <c r="P29" t="s">
        <v>278</v>
      </c>
    </row>
    <row r="30" spans="1:16" x14ac:dyDescent="0.25">
      <c r="A30" t="s">
        <v>51</v>
      </c>
      <c r="D30">
        <f>(D20*D21*(D24/12))+(3*(D22/12+D28)*D23/12)+(2*(D20*(D22/12+D27+(D28/(2*12))*D26)))</f>
        <v>138.46625</v>
      </c>
      <c r="E30" t="s">
        <v>13</v>
      </c>
    </row>
    <row r="31" spans="1:16" x14ac:dyDescent="0.25">
      <c r="D31">
        <f>D30/27</f>
        <v>5.12837962962963</v>
      </c>
      <c r="E31" t="s">
        <v>8</v>
      </c>
    </row>
    <row r="34" spans="1:5" x14ac:dyDescent="0.25">
      <c r="A34" s="6" t="s">
        <v>290</v>
      </c>
    </row>
    <row r="36" spans="1:5" x14ac:dyDescent="0.25">
      <c r="A36" t="s">
        <v>142</v>
      </c>
      <c r="D36">
        <v>3</v>
      </c>
      <c r="E36" t="s">
        <v>2</v>
      </c>
    </row>
    <row r="37" spans="1:5" x14ac:dyDescent="0.25">
      <c r="A37" t="s">
        <v>143</v>
      </c>
      <c r="D37">
        <v>41.5</v>
      </c>
      <c r="E37" t="s">
        <v>2</v>
      </c>
    </row>
    <row r="38" spans="1:5" x14ac:dyDescent="0.25">
      <c r="A38" t="s">
        <v>283</v>
      </c>
      <c r="D38">
        <v>9</v>
      </c>
      <c r="E38" t="s">
        <v>49</v>
      </c>
    </row>
    <row r="39" spans="1:5" ht="15" customHeight="1" x14ac:dyDescent="0.25">
      <c r="A39" t="s">
        <v>287</v>
      </c>
      <c r="D39">
        <v>2.5</v>
      </c>
      <c r="E39" t="s">
        <v>49</v>
      </c>
    </row>
    <row r="40" spans="1:5" x14ac:dyDescent="0.25">
      <c r="A40" t="s">
        <v>144</v>
      </c>
      <c r="D40">
        <v>11.55</v>
      </c>
      <c r="E40" t="s">
        <v>49</v>
      </c>
    </row>
    <row r="41" spans="1:5" x14ac:dyDescent="0.25">
      <c r="A41" s="188" t="s">
        <v>50</v>
      </c>
      <c r="B41" s="188"/>
    </row>
    <row r="42" spans="1:5" x14ac:dyDescent="0.25">
      <c r="A42" s="188"/>
      <c r="B42" s="188"/>
      <c r="D42">
        <v>2.5</v>
      </c>
      <c r="E42" t="s">
        <v>49</v>
      </c>
    </row>
    <row r="43" spans="1:5" x14ac:dyDescent="0.25">
      <c r="A43" t="s">
        <v>145</v>
      </c>
      <c r="D43">
        <v>2</v>
      </c>
      <c r="E43" t="s">
        <v>2</v>
      </c>
    </row>
    <row r="44" spans="1:5" x14ac:dyDescent="0.25">
      <c r="A44" t="s">
        <v>286</v>
      </c>
      <c r="D44">
        <v>1.333</v>
      </c>
      <c r="E44" t="s">
        <v>2</v>
      </c>
    </row>
    <row r="46" spans="1:5" x14ac:dyDescent="0.25">
      <c r="A46" t="s">
        <v>51</v>
      </c>
      <c r="D46">
        <f>(D36*D37*(D40/12))+(3*(D38/12+D44)*D39/12)+(2*(D36*(D38/12+D43+(D44/(2*12))*D42)))</f>
        <v>138.46625</v>
      </c>
      <c r="E46" t="s">
        <v>13</v>
      </c>
    </row>
    <row r="47" spans="1:5" x14ac:dyDescent="0.25">
      <c r="D47">
        <f>D46/27</f>
        <v>5.12837962962963</v>
      </c>
      <c r="E47" t="s">
        <v>8</v>
      </c>
    </row>
    <row r="49" spans="1:5" x14ac:dyDescent="0.25">
      <c r="A49" s="7" t="s">
        <v>28</v>
      </c>
      <c r="B49" s="7"/>
      <c r="C49" s="7"/>
      <c r="D49" s="7">
        <f>ROUNDUP(D16+D31+D47,0)</f>
        <v>295</v>
      </c>
      <c r="E49" s="7" t="s">
        <v>8</v>
      </c>
    </row>
    <row r="51" spans="1:5" x14ac:dyDescent="0.25">
      <c r="A51" s="72" t="s">
        <v>285</v>
      </c>
    </row>
    <row r="53" spans="1:5" x14ac:dyDescent="0.25">
      <c r="A53" s="6" t="s">
        <v>291</v>
      </c>
    </row>
    <row r="54" spans="1:5" x14ac:dyDescent="0.25">
      <c r="A54" s="64" t="s">
        <v>292</v>
      </c>
      <c r="D54">
        <v>4.37</v>
      </c>
      <c r="E54" t="s">
        <v>278</v>
      </c>
    </row>
    <row r="55" spans="1:5" x14ac:dyDescent="0.25">
      <c r="A55" s="64" t="s">
        <v>293</v>
      </c>
      <c r="D55">
        <v>8</v>
      </c>
      <c r="E55" t="s">
        <v>2</v>
      </c>
    </row>
    <row r="56" spans="1:5" x14ac:dyDescent="0.25">
      <c r="A56" s="64" t="s">
        <v>294</v>
      </c>
      <c r="D56">
        <v>4</v>
      </c>
      <c r="E56" t="s">
        <v>116</v>
      </c>
    </row>
    <row r="57" spans="1:5" x14ac:dyDescent="0.25">
      <c r="A57" s="64" t="s">
        <v>296</v>
      </c>
      <c r="D57">
        <v>2</v>
      </c>
      <c r="E57" t="s">
        <v>297</v>
      </c>
    </row>
    <row r="58" spans="1:5" x14ac:dyDescent="0.25">
      <c r="A58" s="64" t="s">
        <v>298</v>
      </c>
      <c r="D58">
        <v>4</v>
      </c>
      <c r="E58" t="s">
        <v>116</v>
      </c>
    </row>
    <row r="59" spans="1:5" x14ac:dyDescent="0.25">
      <c r="A59" s="64"/>
    </row>
    <row r="60" spans="1:5" x14ac:dyDescent="0.25">
      <c r="A60" s="64" t="s">
        <v>56</v>
      </c>
      <c r="D60">
        <f>(D54*D55*D56/27)+(D57*D58)</f>
        <v>13.179259259259259</v>
      </c>
      <c r="E60" t="s">
        <v>8</v>
      </c>
    </row>
    <row r="61" spans="1:5" x14ac:dyDescent="0.25">
      <c r="A61" s="64"/>
    </row>
    <row r="62" spans="1:5" x14ac:dyDescent="0.25">
      <c r="A62" s="64"/>
    </row>
    <row r="63" spans="1:5" x14ac:dyDescent="0.25">
      <c r="A63" s="6" t="s">
        <v>48</v>
      </c>
    </row>
    <row r="65" spans="1:5" x14ac:dyDescent="0.25">
      <c r="A65" t="s">
        <v>54</v>
      </c>
      <c r="D65">
        <v>1.25</v>
      </c>
      <c r="E65" t="s">
        <v>2</v>
      </c>
    </row>
    <row r="66" spans="1:5" x14ac:dyDescent="0.25">
      <c r="A66" t="s">
        <v>55</v>
      </c>
      <c r="D66">
        <v>41.5</v>
      </c>
      <c r="E66" t="s">
        <v>2</v>
      </c>
    </row>
    <row r="67" spans="1:5" x14ac:dyDescent="0.25">
      <c r="A67" t="s">
        <v>288</v>
      </c>
      <c r="D67">
        <v>1.7</v>
      </c>
      <c r="E67" t="s">
        <v>2</v>
      </c>
    </row>
    <row r="69" spans="1:5" x14ac:dyDescent="0.25">
      <c r="A69" t="s">
        <v>56</v>
      </c>
      <c r="D69">
        <f>D65*D66*D67</f>
        <v>88.1875</v>
      </c>
      <c r="E69" t="s">
        <v>13</v>
      </c>
    </row>
    <row r="70" spans="1:5" x14ac:dyDescent="0.25">
      <c r="D70">
        <f>D69/27</f>
        <v>3.2662037037037037</v>
      </c>
      <c r="E70" t="s">
        <v>8</v>
      </c>
    </row>
    <row r="72" spans="1:5" x14ac:dyDescent="0.25">
      <c r="A72" s="6" t="s">
        <v>53</v>
      </c>
    </row>
    <row r="74" spans="1:5" x14ac:dyDescent="0.25">
      <c r="A74" t="s">
        <v>54</v>
      </c>
      <c r="D74">
        <v>1.25</v>
      </c>
      <c r="E74" t="s">
        <v>2</v>
      </c>
    </row>
    <row r="75" spans="1:5" x14ac:dyDescent="0.25">
      <c r="A75" t="s">
        <v>55</v>
      </c>
      <c r="D75">
        <v>41.5</v>
      </c>
      <c r="E75" t="s">
        <v>2</v>
      </c>
    </row>
    <row r="76" spans="1:5" x14ac:dyDescent="0.25">
      <c r="A76" t="s">
        <v>288</v>
      </c>
      <c r="D76">
        <v>1.7</v>
      </c>
      <c r="E76" t="s">
        <v>2</v>
      </c>
    </row>
    <row r="78" spans="1:5" x14ac:dyDescent="0.25">
      <c r="A78" t="s">
        <v>56</v>
      </c>
      <c r="D78">
        <f>D74*D75*D76</f>
        <v>88.1875</v>
      </c>
      <c r="E78" t="s">
        <v>13</v>
      </c>
    </row>
    <row r="79" spans="1:5" x14ac:dyDescent="0.25">
      <c r="D79">
        <f>D78/27</f>
        <v>3.2662037037037037</v>
      </c>
      <c r="E79" t="s">
        <v>8</v>
      </c>
    </row>
    <row r="81" spans="1:5" x14ac:dyDescent="0.25">
      <c r="A81" s="7" t="s">
        <v>57</v>
      </c>
      <c r="B81" s="7"/>
      <c r="C81" s="7"/>
      <c r="D81" s="7">
        <f>ROUNDUP((D60+D70+D79),0)</f>
        <v>20</v>
      </c>
      <c r="E81" s="7" t="s">
        <v>8</v>
      </c>
    </row>
    <row r="85" spans="1:5" x14ac:dyDescent="0.25">
      <c r="B85" s="6"/>
      <c r="C85" s="6"/>
      <c r="D85" s="6"/>
      <c r="E85" s="6"/>
    </row>
    <row r="86" spans="1:5" x14ac:dyDescent="0.25">
      <c r="A86" s="72" t="s">
        <v>58</v>
      </c>
      <c r="B86" s="6"/>
      <c r="C86" s="6"/>
      <c r="D86" s="6"/>
      <c r="E86" s="6"/>
    </row>
    <row r="87" spans="1:5" x14ac:dyDescent="0.25">
      <c r="A87" s="2"/>
    </row>
    <row r="88" spans="1:5" x14ac:dyDescent="0.25">
      <c r="A88" s="3" t="s">
        <v>299</v>
      </c>
      <c r="B88" s="3"/>
    </row>
    <row r="89" spans="1:5" x14ac:dyDescent="0.25">
      <c r="A89" t="s">
        <v>60</v>
      </c>
      <c r="D89">
        <v>876</v>
      </c>
      <c r="E89" t="s">
        <v>2</v>
      </c>
    </row>
    <row r="90" spans="1:5" x14ac:dyDescent="0.25">
      <c r="A90" t="s">
        <v>248</v>
      </c>
      <c r="D90">
        <v>10.5</v>
      </c>
      <c r="E90" t="s">
        <v>2</v>
      </c>
    </row>
    <row r="91" spans="1:5" x14ac:dyDescent="0.25">
      <c r="A91" t="s">
        <v>61</v>
      </c>
      <c r="D91">
        <v>2</v>
      </c>
    </row>
    <row r="92" spans="1:5" x14ac:dyDescent="0.25">
      <c r="A92" t="s">
        <v>62</v>
      </c>
      <c r="D92">
        <f>D89*D90*D91</f>
        <v>18396</v>
      </c>
      <c r="E92" t="s">
        <v>40</v>
      </c>
    </row>
    <row r="93" spans="1:5" x14ac:dyDescent="0.25">
      <c r="D93">
        <f>D92/9</f>
        <v>2044</v>
      </c>
      <c r="E93" t="s">
        <v>24</v>
      </c>
    </row>
    <row r="95" spans="1:5" x14ac:dyDescent="0.25">
      <c r="A95" s="6" t="s">
        <v>63</v>
      </c>
    </row>
    <row r="96" spans="1:5" x14ac:dyDescent="0.25">
      <c r="A96" t="s">
        <v>64</v>
      </c>
      <c r="D96">
        <v>0</v>
      </c>
    </row>
    <row r="97" spans="1:5" x14ac:dyDescent="0.25">
      <c r="A97" t="s">
        <v>76</v>
      </c>
      <c r="D97">
        <v>3</v>
      </c>
      <c r="E97" t="s">
        <v>2</v>
      </c>
    </row>
    <row r="98" spans="1:5" x14ac:dyDescent="0.25">
      <c r="A98" t="s">
        <v>65</v>
      </c>
      <c r="D98">
        <f>D97*4</f>
        <v>12</v>
      </c>
      <c r="E98" t="s">
        <v>40</v>
      </c>
    </row>
    <row r="99" spans="1:5" x14ac:dyDescent="0.25">
      <c r="A99" t="s">
        <v>68</v>
      </c>
      <c r="D99">
        <v>2</v>
      </c>
    </row>
    <row r="101" spans="1:5" x14ac:dyDescent="0.25">
      <c r="A101" t="s">
        <v>66</v>
      </c>
      <c r="D101">
        <f>D97*3</f>
        <v>9</v>
      </c>
      <c r="E101" t="s">
        <v>40</v>
      </c>
    </row>
    <row r="102" spans="1:5" x14ac:dyDescent="0.25">
      <c r="A102" t="s">
        <v>69</v>
      </c>
      <c r="D102">
        <v>2</v>
      </c>
    </row>
    <row r="104" spans="1:5" x14ac:dyDescent="0.25">
      <c r="A104" t="s">
        <v>67</v>
      </c>
      <c r="D104">
        <f>D97*(4+5.5)/2</f>
        <v>14.25</v>
      </c>
      <c r="E104" t="s">
        <v>40</v>
      </c>
    </row>
    <row r="105" spans="1:5" x14ac:dyDescent="0.25">
      <c r="A105" t="s">
        <v>70</v>
      </c>
      <c r="D105">
        <v>4</v>
      </c>
    </row>
    <row r="107" spans="1:5" x14ac:dyDescent="0.25">
      <c r="A107" t="s">
        <v>71</v>
      </c>
    </row>
    <row r="108" spans="1:5" x14ac:dyDescent="0.25">
      <c r="A108" t="s">
        <v>73</v>
      </c>
      <c r="D108">
        <f>ATAN(7.5/15)*180/PI()</f>
        <v>26.56505117707799</v>
      </c>
      <c r="E108" t="s">
        <v>72</v>
      </c>
    </row>
    <row r="109" spans="1:5" x14ac:dyDescent="0.25">
      <c r="A109" t="s">
        <v>74</v>
      </c>
      <c r="D109">
        <f>3/COS(D108*PI()/180)</f>
        <v>3.3541019662496847</v>
      </c>
      <c r="E109" t="s">
        <v>2</v>
      </c>
    </row>
    <row r="110" spans="1:5" x14ac:dyDescent="0.25">
      <c r="A110" t="s">
        <v>75</v>
      </c>
      <c r="D110">
        <f>D97*D109</f>
        <v>10.062305898749054</v>
      </c>
      <c r="E110" t="s">
        <v>40</v>
      </c>
    </row>
    <row r="111" spans="1:5" x14ac:dyDescent="0.25">
      <c r="A111" t="s">
        <v>77</v>
      </c>
      <c r="D111">
        <v>2</v>
      </c>
    </row>
    <row r="113" spans="1:8" x14ac:dyDescent="0.25">
      <c r="A113" t="s">
        <v>78</v>
      </c>
      <c r="D113">
        <f>D96*(D98*D99+D101*D102+D104*D105+D110*D111)</f>
        <v>0</v>
      </c>
      <c r="E113" t="s">
        <v>40</v>
      </c>
    </row>
    <row r="114" spans="1:8" x14ac:dyDescent="0.25">
      <c r="D114">
        <f>D113/9</f>
        <v>0</v>
      </c>
      <c r="E114" t="s">
        <v>24</v>
      </c>
    </row>
    <row r="116" spans="1:8" x14ac:dyDescent="0.25">
      <c r="A116" s="3" t="s">
        <v>80</v>
      </c>
      <c r="B116" s="3"/>
      <c r="C116" s="3"/>
      <c r="D116" s="3"/>
      <c r="E116" s="3"/>
      <c r="F116" s="3"/>
      <c r="G116" s="3"/>
      <c r="H116" s="3"/>
    </row>
    <row r="118" spans="1:8" x14ac:dyDescent="0.25">
      <c r="A118" t="s">
        <v>81</v>
      </c>
      <c r="D118">
        <v>2</v>
      </c>
      <c r="E118" t="s">
        <v>2</v>
      </c>
    </row>
    <row r="119" spans="1:8" x14ac:dyDescent="0.25">
      <c r="A119" t="s">
        <v>82</v>
      </c>
      <c r="D119">
        <v>41.5</v>
      </c>
      <c r="E119" t="s">
        <v>2</v>
      </c>
    </row>
    <row r="120" spans="1:8" x14ac:dyDescent="0.25">
      <c r="A120" t="s">
        <v>276</v>
      </c>
      <c r="D120">
        <v>3</v>
      </c>
      <c r="E120" t="s">
        <v>2</v>
      </c>
    </row>
    <row r="121" spans="1:8" x14ac:dyDescent="0.25">
      <c r="A121" t="s">
        <v>88</v>
      </c>
      <c r="D121">
        <v>1.75</v>
      </c>
      <c r="E121" t="s">
        <v>2</v>
      </c>
    </row>
    <row r="122" spans="1:8" x14ac:dyDescent="0.25">
      <c r="A122" t="s">
        <v>275</v>
      </c>
      <c r="D122">
        <v>7.66</v>
      </c>
      <c r="E122" t="s">
        <v>2</v>
      </c>
    </row>
    <row r="124" spans="1:8" x14ac:dyDescent="0.25">
      <c r="A124" t="s">
        <v>84</v>
      </c>
      <c r="D124">
        <f>D119*D120</f>
        <v>124.5</v>
      </c>
      <c r="E124" t="s">
        <v>40</v>
      </c>
    </row>
    <row r="125" spans="1:8" x14ac:dyDescent="0.25">
      <c r="A125" t="s">
        <v>85</v>
      </c>
      <c r="D125">
        <f>D119*D118</f>
        <v>83</v>
      </c>
      <c r="E125" t="s">
        <v>40</v>
      </c>
    </row>
    <row r="126" spans="1:8" x14ac:dyDescent="0.25">
      <c r="A126" t="s">
        <v>86</v>
      </c>
      <c r="D126">
        <f>2*(D118*D120)</f>
        <v>12</v>
      </c>
      <c r="E126" t="s">
        <v>40</v>
      </c>
    </row>
    <row r="128" spans="1:8" ht="15" customHeight="1" x14ac:dyDescent="0.25">
      <c r="A128" s="31" t="s">
        <v>300</v>
      </c>
      <c r="B128" s="117"/>
      <c r="D128">
        <f>D122*D119</f>
        <v>317.89</v>
      </c>
      <c r="E128" t="s">
        <v>40</v>
      </c>
    </row>
    <row r="129" spans="1:8" x14ac:dyDescent="0.25">
      <c r="A129" s="117"/>
      <c r="B129" s="117"/>
      <c r="H129" s="70"/>
    </row>
    <row r="130" spans="1:8" x14ac:dyDescent="0.25">
      <c r="A130" s="4"/>
      <c r="B130" s="4"/>
    </row>
    <row r="131" spans="1:8" ht="15" customHeight="1" x14ac:dyDescent="0.25">
      <c r="A131" s="31" t="s">
        <v>301</v>
      </c>
      <c r="B131" s="71"/>
      <c r="D131">
        <f>122</f>
        <v>122</v>
      </c>
      <c r="E131" t="s">
        <v>87</v>
      </c>
    </row>
    <row r="132" spans="1:8" x14ac:dyDescent="0.25">
      <c r="A132" s="31" t="s">
        <v>302</v>
      </c>
      <c r="B132" s="71"/>
      <c r="D132">
        <v>2</v>
      </c>
      <c r="E132" t="s">
        <v>116</v>
      </c>
    </row>
    <row r="133" spans="1:8" x14ac:dyDescent="0.25">
      <c r="A133" s="71"/>
      <c r="B133" s="71"/>
    </row>
    <row r="135" spans="1:8" x14ac:dyDescent="0.25">
      <c r="A135" t="s">
        <v>78</v>
      </c>
      <c r="D135">
        <f>D124+D125+D126+D128+(D131*D132)</f>
        <v>781.39</v>
      </c>
      <c r="E135" t="s">
        <v>40</v>
      </c>
    </row>
    <row r="136" spans="1:8" x14ac:dyDescent="0.25">
      <c r="D136">
        <f>D135/9</f>
        <v>86.821111111111108</v>
      </c>
      <c r="E136" t="s">
        <v>24</v>
      </c>
    </row>
    <row r="139" spans="1:8" x14ac:dyDescent="0.25">
      <c r="A139" s="3" t="s">
        <v>89</v>
      </c>
      <c r="B139" s="3"/>
      <c r="C139" s="3"/>
      <c r="D139" s="3"/>
      <c r="E139" s="3"/>
      <c r="F139" s="3"/>
      <c r="G139" s="3"/>
      <c r="H139" s="3"/>
    </row>
    <row r="141" spans="1:8" x14ac:dyDescent="0.25">
      <c r="A141" t="s">
        <v>81</v>
      </c>
      <c r="D141">
        <v>2</v>
      </c>
      <c r="E141" t="s">
        <v>2</v>
      </c>
    </row>
    <row r="142" spans="1:8" x14ac:dyDescent="0.25">
      <c r="A142" t="s">
        <v>82</v>
      </c>
      <c r="D142">
        <v>41.5</v>
      </c>
      <c r="E142" t="s">
        <v>2</v>
      </c>
    </row>
    <row r="143" spans="1:8" x14ac:dyDescent="0.25">
      <c r="A143" t="s">
        <v>276</v>
      </c>
      <c r="D143">
        <v>3</v>
      </c>
      <c r="E143" t="s">
        <v>2</v>
      </c>
    </row>
    <row r="144" spans="1:8" x14ac:dyDescent="0.25">
      <c r="A144" t="s">
        <v>88</v>
      </c>
      <c r="D144">
        <v>1.75</v>
      </c>
      <c r="E144" t="s">
        <v>2</v>
      </c>
    </row>
    <row r="145" spans="1:5" x14ac:dyDescent="0.25">
      <c r="A145" t="s">
        <v>275</v>
      </c>
      <c r="D145">
        <v>7.66</v>
      </c>
      <c r="E145" t="s">
        <v>2</v>
      </c>
    </row>
    <row r="147" spans="1:5" x14ac:dyDescent="0.25">
      <c r="A147" t="s">
        <v>84</v>
      </c>
      <c r="D147">
        <f>D142*D143</f>
        <v>124.5</v>
      </c>
      <c r="E147" t="s">
        <v>40</v>
      </c>
    </row>
    <row r="148" spans="1:5" x14ac:dyDescent="0.25">
      <c r="A148" t="s">
        <v>85</v>
      </c>
      <c r="D148">
        <f>D142*D141</f>
        <v>83</v>
      </c>
      <c r="E148" t="s">
        <v>40</v>
      </c>
    </row>
    <row r="149" spans="1:5" x14ac:dyDescent="0.25">
      <c r="A149" t="s">
        <v>86</v>
      </c>
      <c r="D149">
        <f>2*(D141*D143)</f>
        <v>12</v>
      </c>
      <c r="E149" t="s">
        <v>40</v>
      </c>
    </row>
    <row r="150" spans="1:5" ht="15" customHeight="1" x14ac:dyDescent="0.25"/>
    <row r="151" spans="1:5" x14ac:dyDescent="0.25">
      <c r="A151" s="31" t="s">
        <v>300</v>
      </c>
      <c r="B151" s="117"/>
      <c r="D151">
        <f>D145*D142</f>
        <v>317.89</v>
      </c>
      <c r="E151" t="s">
        <v>40</v>
      </c>
    </row>
    <row r="152" spans="1:5" x14ac:dyDescent="0.25">
      <c r="A152" s="117"/>
      <c r="B152" s="117"/>
    </row>
    <row r="153" spans="1:5" ht="15" customHeight="1" x14ac:dyDescent="0.25">
      <c r="A153" s="4"/>
      <c r="B153" s="4"/>
    </row>
    <row r="154" spans="1:5" x14ac:dyDescent="0.25">
      <c r="A154" s="31" t="s">
        <v>301</v>
      </c>
      <c r="B154" s="71"/>
      <c r="D154">
        <f>122</f>
        <v>122</v>
      </c>
      <c r="E154" t="s">
        <v>87</v>
      </c>
    </row>
    <row r="155" spans="1:5" x14ac:dyDescent="0.25">
      <c r="A155" s="31" t="s">
        <v>302</v>
      </c>
      <c r="B155" s="71"/>
      <c r="D155">
        <v>2</v>
      </c>
      <c r="E155" t="s">
        <v>116</v>
      </c>
    </row>
    <row r="156" spans="1:5" x14ac:dyDescent="0.25">
      <c r="A156" s="71"/>
      <c r="B156" s="71"/>
    </row>
    <row r="158" spans="1:5" x14ac:dyDescent="0.25">
      <c r="A158" t="s">
        <v>78</v>
      </c>
      <c r="D158">
        <f>D147+D148+D149+D151+(D154*D155)</f>
        <v>781.39</v>
      </c>
      <c r="E158" t="s">
        <v>40</v>
      </c>
    </row>
    <row r="159" spans="1:5" x14ac:dyDescent="0.25">
      <c r="D159">
        <f>D158/9</f>
        <v>86.821111111111108</v>
      </c>
      <c r="E159" t="s">
        <v>24</v>
      </c>
    </row>
    <row r="161" spans="1:8" x14ac:dyDescent="0.25">
      <c r="A161" s="7" t="s">
        <v>90</v>
      </c>
      <c r="B161" s="7"/>
      <c r="C161" s="7"/>
      <c r="D161" s="7">
        <f>ROUNDUP(D93+D114+D136+D159,0)</f>
        <v>2218</v>
      </c>
      <c r="E161" s="7" t="s">
        <v>24</v>
      </c>
    </row>
    <row r="164" spans="1:8" x14ac:dyDescent="0.25">
      <c r="A164" s="72" t="s">
        <v>79</v>
      </c>
    </row>
    <row r="166" spans="1:8" x14ac:dyDescent="0.25">
      <c r="A166" s="3" t="s">
        <v>299</v>
      </c>
      <c r="B166" s="3"/>
    </row>
    <row r="167" spans="1:8" x14ac:dyDescent="0.25">
      <c r="A167" t="s">
        <v>60</v>
      </c>
      <c r="D167">
        <v>876</v>
      </c>
      <c r="E167" t="s">
        <v>2</v>
      </c>
    </row>
    <row r="168" spans="1:8" x14ac:dyDescent="0.25">
      <c r="A168" t="s">
        <v>248</v>
      </c>
      <c r="D168">
        <v>3</v>
      </c>
      <c r="E168" t="s">
        <v>2</v>
      </c>
    </row>
    <row r="169" spans="1:8" x14ac:dyDescent="0.25">
      <c r="A169" t="s">
        <v>61</v>
      </c>
      <c r="D169">
        <v>2</v>
      </c>
    </row>
    <row r="170" spans="1:8" x14ac:dyDescent="0.25">
      <c r="A170" t="s">
        <v>62</v>
      </c>
      <c r="D170">
        <f>D167*D168*D169</f>
        <v>5256</v>
      </c>
      <c r="E170" t="s">
        <v>40</v>
      </c>
    </row>
    <row r="171" spans="1:8" x14ac:dyDescent="0.25">
      <c r="D171">
        <f>D170/9</f>
        <v>584</v>
      </c>
      <c r="E171" t="s">
        <v>24</v>
      </c>
    </row>
    <row r="174" spans="1:8" x14ac:dyDescent="0.25">
      <c r="A174" s="3" t="s">
        <v>80</v>
      </c>
      <c r="B174" s="3"/>
      <c r="C174" s="3"/>
      <c r="D174" s="3"/>
      <c r="E174" s="3"/>
      <c r="F174" s="3"/>
      <c r="G174" s="3"/>
      <c r="H174" s="3"/>
    </row>
    <row r="176" spans="1:8" x14ac:dyDescent="0.25">
      <c r="A176" t="s">
        <v>81</v>
      </c>
      <c r="D176">
        <v>2</v>
      </c>
      <c r="E176" t="s">
        <v>2</v>
      </c>
    </row>
    <row r="177" spans="1:8" x14ac:dyDescent="0.25">
      <c r="A177" t="s">
        <v>82</v>
      </c>
      <c r="D177">
        <v>41.5</v>
      </c>
      <c r="E177" t="s">
        <v>2</v>
      </c>
    </row>
    <row r="178" spans="1:8" x14ac:dyDescent="0.25">
      <c r="A178" t="s">
        <v>276</v>
      </c>
      <c r="D178">
        <v>3</v>
      </c>
      <c r="E178" t="s">
        <v>2</v>
      </c>
    </row>
    <row r="179" spans="1:8" x14ac:dyDescent="0.25">
      <c r="A179" t="s">
        <v>88</v>
      </c>
      <c r="D179">
        <v>1.75</v>
      </c>
      <c r="E179" t="s">
        <v>2</v>
      </c>
    </row>
    <row r="180" spans="1:8" x14ac:dyDescent="0.25">
      <c r="A180" t="s">
        <v>275</v>
      </c>
      <c r="D180">
        <v>7.66</v>
      </c>
      <c r="E180" t="s">
        <v>2</v>
      </c>
    </row>
    <row r="182" spans="1:8" x14ac:dyDescent="0.25">
      <c r="A182" t="s">
        <v>84</v>
      </c>
      <c r="D182">
        <f>D177*D178</f>
        <v>124.5</v>
      </c>
      <c r="E182" t="s">
        <v>40</v>
      </c>
    </row>
    <row r="183" spans="1:8" x14ac:dyDescent="0.25">
      <c r="A183" t="s">
        <v>85</v>
      </c>
      <c r="D183">
        <f>D177*D176</f>
        <v>83</v>
      </c>
      <c r="E183" t="s">
        <v>40</v>
      </c>
    </row>
    <row r="184" spans="1:8" x14ac:dyDescent="0.25">
      <c r="A184" t="s">
        <v>86</v>
      </c>
      <c r="D184">
        <f>2*(D176*D178)</f>
        <v>12</v>
      </c>
      <c r="E184" t="s">
        <v>40</v>
      </c>
    </row>
    <row r="186" spans="1:8" x14ac:dyDescent="0.25">
      <c r="A186" s="31" t="s">
        <v>300</v>
      </c>
      <c r="B186" s="117"/>
      <c r="D186">
        <f>D180*D177</f>
        <v>317.89</v>
      </c>
      <c r="E186" t="s">
        <v>40</v>
      </c>
    </row>
    <row r="187" spans="1:8" x14ac:dyDescent="0.25">
      <c r="A187" s="117"/>
      <c r="B187" s="117"/>
      <c r="H187" s="70"/>
    </row>
    <row r="188" spans="1:8" x14ac:dyDescent="0.25">
      <c r="A188" s="4"/>
      <c r="B188" s="4"/>
    </row>
    <row r="189" spans="1:8" x14ac:dyDescent="0.25">
      <c r="A189" s="31" t="s">
        <v>301</v>
      </c>
      <c r="B189" s="71"/>
      <c r="D189">
        <f>122</f>
        <v>122</v>
      </c>
      <c r="E189" t="s">
        <v>87</v>
      </c>
    </row>
    <row r="190" spans="1:8" x14ac:dyDescent="0.25">
      <c r="A190" s="31" t="s">
        <v>302</v>
      </c>
      <c r="B190" s="71"/>
      <c r="D190">
        <v>2</v>
      </c>
      <c r="E190" t="s">
        <v>116</v>
      </c>
    </row>
    <row r="191" spans="1:8" x14ac:dyDescent="0.25">
      <c r="A191" s="71"/>
      <c r="B191" s="71"/>
    </row>
    <row r="193" spans="1:8" x14ac:dyDescent="0.25">
      <c r="A193" t="s">
        <v>78</v>
      </c>
      <c r="D193">
        <f>D182+D183+D184+D186+(D189*D190)</f>
        <v>781.39</v>
      </c>
      <c r="E193" t="s">
        <v>40</v>
      </c>
    </row>
    <row r="194" spans="1:8" x14ac:dyDescent="0.25">
      <c r="D194">
        <f>D193/9</f>
        <v>86.821111111111108</v>
      </c>
      <c r="E194" t="s">
        <v>24</v>
      </c>
    </row>
    <row r="197" spans="1:8" x14ac:dyDescent="0.25">
      <c r="A197" s="3" t="s">
        <v>89</v>
      </c>
      <c r="B197" s="3"/>
      <c r="C197" s="3"/>
      <c r="D197" s="3"/>
      <c r="E197" s="3"/>
      <c r="F197" s="3"/>
      <c r="G197" s="3"/>
      <c r="H197" s="3"/>
    </row>
    <row r="199" spans="1:8" x14ac:dyDescent="0.25">
      <c r="A199" t="s">
        <v>81</v>
      </c>
      <c r="D199">
        <v>2</v>
      </c>
      <c r="E199" t="s">
        <v>2</v>
      </c>
    </row>
    <row r="200" spans="1:8" x14ac:dyDescent="0.25">
      <c r="A200" t="s">
        <v>82</v>
      </c>
      <c r="D200">
        <v>41.5</v>
      </c>
      <c r="E200" t="s">
        <v>2</v>
      </c>
    </row>
    <row r="201" spans="1:8" x14ac:dyDescent="0.25">
      <c r="A201" t="s">
        <v>276</v>
      </c>
      <c r="D201">
        <v>3</v>
      </c>
      <c r="E201" t="s">
        <v>2</v>
      </c>
    </row>
    <row r="202" spans="1:8" x14ac:dyDescent="0.25">
      <c r="A202" t="s">
        <v>88</v>
      </c>
      <c r="D202">
        <v>1.75</v>
      </c>
      <c r="E202" t="s">
        <v>2</v>
      </c>
    </row>
    <row r="203" spans="1:8" x14ac:dyDescent="0.25">
      <c r="A203" t="s">
        <v>275</v>
      </c>
      <c r="D203">
        <v>7.66</v>
      </c>
      <c r="E203" t="s">
        <v>2</v>
      </c>
    </row>
    <row r="205" spans="1:8" x14ac:dyDescent="0.25">
      <c r="A205" t="s">
        <v>84</v>
      </c>
      <c r="D205">
        <f>D200*D201</f>
        <v>124.5</v>
      </c>
      <c r="E205" t="s">
        <v>40</v>
      </c>
    </row>
    <row r="206" spans="1:8" x14ac:dyDescent="0.25">
      <c r="A206" t="s">
        <v>85</v>
      </c>
      <c r="D206">
        <f>D200*D199</f>
        <v>83</v>
      </c>
      <c r="E206" t="s">
        <v>40</v>
      </c>
    </row>
    <row r="207" spans="1:8" x14ac:dyDescent="0.25">
      <c r="A207" t="s">
        <v>86</v>
      </c>
      <c r="D207">
        <f>2*(D199*D201)</f>
        <v>12</v>
      </c>
      <c r="E207" t="s">
        <v>40</v>
      </c>
    </row>
    <row r="209" spans="1:5" x14ac:dyDescent="0.25">
      <c r="A209" s="31" t="s">
        <v>300</v>
      </c>
      <c r="B209" s="117"/>
      <c r="D209">
        <f>D203*D200</f>
        <v>317.89</v>
      </c>
      <c r="E209" t="s">
        <v>40</v>
      </c>
    </row>
    <row r="210" spans="1:5" x14ac:dyDescent="0.25">
      <c r="A210" s="117"/>
      <c r="B210" s="117"/>
    </row>
    <row r="211" spans="1:5" x14ac:dyDescent="0.25">
      <c r="A211" s="4"/>
      <c r="B211" s="4"/>
    </row>
    <row r="212" spans="1:5" x14ac:dyDescent="0.25">
      <c r="A212" s="31" t="s">
        <v>301</v>
      </c>
      <c r="B212" s="71"/>
      <c r="D212">
        <f>122</f>
        <v>122</v>
      </c>
      <c r="E212" t="s">
        <v>87</v>
      </c>
    </row>
    <row r="213" spans="1:5" x14ac:dyDescent="0.25">
      <c r="A213" s="31" t="s">
        <v>302</v>
      </c>
      <c r="B213" s="71"/>
      <c r="D213">
        <v>2</v>
      </c>
      <c r="E213" t="s">
        <v>116</v>
      </c>
    </row>
    <row r="214" spans="1:5" x14ac:dyDescent="0.25">
      <c r="A214" s="71"/>
      <c r="B214" s="71"/>
    </row>
    <row r="216" spans="1:5" x14ac:dyDescent="0.25">
      <c r="A216" t="s">
        <v>78</v>
      </c>
      <c r="D216">
        <f>D205+D206+D207+D209+(D212*D213)</f>
        <v>781.39</v>
      </c>
      <c r="E216" t="s">
        <v>40</v>
      </c>
    </row>
    <row r="217" spans="1:5" x14ac:dyDescent="0.25">
      <c r="D217">
        <f>D216/9</f>
        <v>86.821111111111108</v>
      </c>
      <c r="E217" t="s">
        <v>24</v>
      </c>
    </row>
    <row r="220" spans="1:5" x14ac:dyDescent="0.25">
      <c r="A220" s="7" t="s">
        <v>90</v>
      </c>
      <c r="B220" s="7"/>
      <c r="C220" s="7"/>
      <c r="D220" s="7">
        <f>ROUNDUP(D171+D194+D217,0)</f>
        <v>758</v>
      </c>
      <c r="E220" s="7" t="s">
        <v>24</v>
      </c>
    </row>
    <row r="224" spans="1:5" x14ac:dyDescent="0.25">
      <c r="A224" s="2" t="s">
        <v>274</v>
      </c>
    </row>
    <row r="226" spans="1:7" x14ac:dyDescent="0.25">
      <c r="A226" t="s">
        <v>11</v>
      </c>
      <c r="D226">
        <v>25</v>
      </c>
      <c r="E226" t="s">
        <v>2</v>
      </c>
    </row>
    <row r="227" spans="1:7" x14ac:dyDescent="0.25">
      <c r="A227" t="s">
        <v>10</v>
      </c>
      <c r="D227">
        <v>24</v>
      </c>
      <c r="E227" t="s">
        <v>2</v>
      </c>
      <c r="F227" t="s">
        <v>21</v>
      </c>
    </row>
    <row r="228" spans="1:7" x14ac:dyDescent="0.25">
      <c r="A228" t="s">
        <v>12</v>
      </c>
      <c r="D228">
        <v>0</v>
      </c>
    </row>
    <row r="229" spans="1:7" x14ac:dyDescent="0.25">
      <c r="A229" t="s">
        <v>22</v>
      </c>
      <c r="D229">
        <f>D226*D227*D228</f>
        <v>0</v>
      </c>
      <c r="E229" t="s">
        <v>23</v>
      </c>
      <c r="F229">
        <f>D229/9</f>
        <v>0</v>
      </c>
      <c r="G229" t="s">
        <v>24</v>
      </c>
    </row>
    <row r="231" spans="1:7" x14ac:dyDescent="0.25">
      <c r="A231" t="s">
        <v>25</v>
      </c>
      <c r="D231">
        <v>876</v>
      </c>
      <c r="E231" t="s">
        <v>2</v>
      </c>
      <c r="F231" t="s">
        <v>27</v>
      </c>
    </row>
    <row r="232" spans="1:7" x14ac:dyDescent="0.25">
      <c r="A232" t="s">
        <v>26</v>
      </c>
      <c r="D232">
        <v>38.5</v>
      </c>
      <c r="E232" t="s">
        <v>2</v>
      </c>
      <c r="F232" t="s">
        <v>21</v>
      </c>
    </row>
    <row r="233" spans="1:7" x14ac:dyDescent="0.25">
      <c r="A233" t="s">
        <v>36</v>
      </c>
      <c r="D233">
        <f>D231*D232</f>
        <v>33726</v>
      </c>
      <c r="E233" t="s">
        <v>23</v>
      </c>
      <c r="F233">
        <f>D233/9</f>
        <v>3747.3333333333335</v>
      </c>
      <c r="G233" t="s">
        <v>24</v>
      </c>
    </row>
    <row r="235" spans="1:7" x14ac:dyDescent="0.25">
      <c r="A235" s="7" t="s">
        <v>28</v>
      </c>
      <c r="B235" s="7">
        <f>ROUNDUP(F229+F233,0)</f>
        <v>3748</v>
      </c>
      <c r="C235" s="7" t="s">
        <v>24</v>
      </c>
    </row>
    <row r="241" spans="1:65" x14ac:dyDescent="0.25">
      <c r="A241" s="73"/>
    </row>
    <row r="242" spans="1:65" x14ac:dyDescent="0.25">
      <c r="A242" s="197" t="s">
        <v>309</v>
      </c>
      <c r="B242" s="197"/>
      <c r="C242" s="197"/>
      <c r="D242" s="197"/>
      <c r="E242" s="197"/>
      <c r="F242" s="197"/>
      <c r="G242" s="197"/>
      <c r="H242" s="197"/>
      <c r="I242" s="197"/>
      <c r="J242" s="197"/>
    </row>
    <row r="243" spans="1:65" x14ac:dyDescent="0.25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</row>
    <row r="244" spans="1:65" x14ac:dyDescent="0.25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</row>
    <row r="245" spans="1:65" ht="15.75" x14ac:dyDescent="0.25">
      <c r="AM245" s="8"/>
    </row>
    <row r="246" spans="1:65" ht="36" x14ac:dyDescent="0.25">
      <c r="H246" s="9" t="s">
        <v>91</v>
      </c>
      <c r="I246" s="10">
        <v>197.125</v>
      </c>
      <c r="J246" s="10" t="s">
        <v>92</v>
      </c>
      <c r="K246" s="9" t="s">
        <v>336</v>
      </c>
      <c r="L246" s="9" t="s">
        <v>91</v>
      </c>
      <c r="M246" s="10">
        <v>197.125</v>
      </c>
      <c r="N246" s="10" t="s">
        <v>92</v>
      </c>
      <c r="O246" s="9" t="s">
        <v>93</v>
      </c>
      <c r="P246" s="9" t="s">
        <v>91</v>
      </c>
      <c r="Q246" s="10">
        <f>(2*((56+90)/2+2))+(3*20)-(2*0.375)</f>
        <v>209.25</v>
      </c>
      <c r="R246" s="10" t="s">
        <v>92</v>
      </c>
      <c r="S246" s="9" t="s">
        <v>93</v>
      </c>
      <c r="T246" s="9" t="s">
        <v>91</v>
      </c>
      <c r="U246" s="10">
        <f>(2*((56+90)/2+2))+(3*20)-(2*0.375)</f>
        <v>209.25</v>
      </c>
      <c r="V246" s="10" t="s">
        <v>92</v>
      </c>
      <c r="W246" s="9" t="s">
        <v>93</v>
      </c>
    </row>
    <row r="247" spans="1:65" ht="60" x14ac:dyDescent="0.25">
      <c r="B247">
        <v>514</v>
      </c>
      <c r="C247" s="11" t="s">
        <v>94</v>
      </c>
      <c r="D247" s="4" t="s">
        <v>95</v>
      </c>
      <c r="E247" t="s">
        <v>40</v>
      </c>
      <c r="F247" s="12">
        <v>103435</v>
      </c>
      <c r="H247" s="74" t="s">
        <v>311</v>
      </c>
      <c r="I247" s="10">
        <f>I246/12</f>
        <v>16.427083333333332</v>
      </c>
      <c r="J247" s="10" t="s">
        <v>52</v>
      </c>
      <c r="K247" s="13"/>
      <c r="L247" s="74" t="s">
        <v>311</v>
      </c>
      <c r="M247" s="10">
        <f>M246/12</f>
        <v>16.427083333333332</v>
      </c>
      <c r="N247" s="10" t="s">
        <v>52</v>
      </c>
      <c r="O247" s="13"/>
      <c r="P247" s="74" t="s">
        <v>312</v>
      </c>
      <c r="Q247" s="10">
        <f>Q246/12</f>
        <v>17.4375</v>
      </c>
      <c r="R247" s="10" t="s">
        <v>52</v>
      </c>
      <c r="S247" s="13"/>
      <c r="T247" s="74" t="s">
        <v>312</v>
      </c>
      <c r="U247" s="10">
        <f>U246/12</f>
        <v>17.4375</v>
      </c>
      <c r="V247" s="10" t="s">
        <v>52</v>
      </c>
      <c r="W247" s="13"/>
    </row>
    <row r="248" spans="1:65" ht="45" x14ac:dyDescent="0.25">
      <c r="B248">
        <v>514</v>
      </c>
      <c r="C248" s="11" t="s">
        <v>96</v>
      </c>
      <c r="D248" s="4" t="s">
        <v>97</v>
      </c>
      <c r="E248" t="s">
        <v>40</v>
      </c>
      <c r="F248" s="12">
        <v>103435</v>
      </c>
      <c r="Y248" s="14"/>
      <c r="Z248" s="15" t="s">
        <v>184</v>
      </c>
      <c r="AA248" s="16"/>
      <c r="AB248" s="16"/>
      <c r="AC248" s="16"/>
      <c r="AD248" s="16"/>
      <c r="AE248" s="16"/>
      <c r="AF248" s="17"/>
      <c r="AH248" s="18" t="s">
        <v>185</v>
      </c>
      <c r="AI248" s="16"/>
      <c r="AJ248" s="16"/>
      <c r="AK248" s="16"/>
      <c r="AL248" s="16"/>
      <c r="AM248" s="16"/>
      <c r="AN248" s="16"/>
      <c r="AO248" s="16"/>
      <c r="AP248" s="16"/>
      <c r="AQ248" s="17"/>
      <c r="AS248" s="18" t="s">
        <v>205</v>
      </c>
      <c r="AT248" s="16"/>
      <c r="AU248" s="16"/>
      <c r="AV248" s="16"/>
      <c r="AW248" s="16"/>
      <c r="AX248" s="16"/>
      <c r="AY248" s="16"/>
      <c r="AZ248" s="16"/>
      <c r="BA248" s="16"/>
      <c r="BB248" s="17"/>
      <c r="BD248" s="104" t="s">
        <v>205</v>
      </c>
      <c r="BE248" s="76"/>
      <c r="BF248" s="76"/>
      <c r="BG248" s="76"/>
      <c r="BH248" s="76"/>
      <c r="BI248" s="76"/>
      <c r="BJ248" s="76"/>
      <c r="BK248" s="76"/>
      <c r="BL248" s="76"/>
      <c r="BM248" s="77"/>
    </row>
    <row r="249" spans="1:65" ht="60" x14ac:dyDescent="0.25">
      <c r="B249">
        <v>514</v>
      </c>
      <c r="C249" s="11" t="s">
        <v>98</v>
      </c>
      <c r="D249" s="4" t="s">
        <v>99</v>
      </c>
      <c r="E249" t="s">
        <v>40</v>
      </c>
      <c r="F249" s="12">
        <v>103435</v>
      </c>
      <c r="H249" s="10" t="s">
        <v>100</v>
      </c>
      <c r="I249" s="10">
        <v>35.5</v>
      </c>
      <c r="J249" s="10" t="s">
        <v>52</v>
      </c>
      <c r="K249" s="10"/>
      <c r="L249" s="10" t="s">
        <v>100</v>
      </c>
      <c r="M249" s="10">
        <v>35.5</v>
      </c>
      <c r="N249" s="10" t="s">
        <v>52</v>
      </c>
      <c r="O249" s="10"/>
      <c r="P249" s="10" t="s">
        <v>52</v>
      </c>
      <c r="Q249" s="10" t="s">
        <v>100</v>
      </c>
      <c r="R249" s="10">
        <v>83</v>
      </c>
      <c r="S249" s="10" t="s">
        <v>52</v>
      </c>
      <c r="T249" s="10" t="s">
        <v>52</v>
      </c>
      <c r="U249" s="10" t="s">
        <v>100</v>
      </c>
      <c r="V249" s="10">
        <v>81.5</v>
      </c>
      <c r="W249" s="10" t="s">
        <v>52</v>
      </c>
      <c r="Y249" s="19"/>
      <c r="Z249" s="20"/>
      <c r="AA249" s="20" t="s">
        <v>101</v>
      </c>
      <c r="AB249" s="20"/>
      <c r="AC249" s="20"/>
      <c r="AH249" s="19"/>
      <c r="AI249" s="20"/>
      <c r="AJ249" s="20"/>
      <c r="AK249" s="20"/>
      <c r="AL249" s="20"/>
      <c r="AM249" t="s">
        <v>102</v>
      </c>
      <c r="AO249" s="21">
        <v>8.1999999999999993</v>
      </c>
      <c r="AP249" s="114" t="s">
        <v>103</v>
      </c>
      <c r="AQ249" s="22"/>
      <c r="AS249" s="19"/>
      <c r="AT249" s="20"/>
      <c r="AU249" s="20"/>
      <c r="AV249" s="20"/>
      <c r="AW249" s="20"/>
      <c r="AX249" t="s">
        <v>102</v>
      </c>
      <c r="AZ249" s="21">
        <v>8.1999999999999993</v>
      </c>
      <c r="BA249" s="114" t="s">
        <v>103</v>
      </c>
      <c r="BB249" s="22"/>
      <c r="BD249" s="78"/>
      <c r="BE249" s="79"/>
      <c r="BF249" s="79"/>
      <c r="BG249" s="79"/>
      <c r="BH249" s="79"/>
      <c r="BI249" s="80" t="s">
        <v>102</v>
      </c>
      <c r="BJ249" s="80"/>
      <c r="BK249" s="81">
        <v>8.1999999999999993</v>
      </c>
      <c r="BL249" s="116" t="s">
        <v>103</v>
      </c>
      <c r="BM249" s="83"/>
    </row>
    <row r="250" spans="1:65" ht="45" x14ac:dyDescent="0.25">
      <c r="B250">
        <v>514</v>
      </c>
      <c r="C250" s="11" t="s">
        <v>104</v>
      </c>
      <c r="D250" s="4" t="s">
        <v>105</v>
      </c>
      <c r="E250" t="s">
        <v>40</v>
      </c>
      <c r="F250" s="12">
        <v>103435</v>
      </c>
      <c r="H250" s="23" t="s">
        <v>106</v>
      </c>
      <c r="I250" s="24" t="s">
        <v>107</v>
      </c>
      <c r="J250" s="25"/>
      <c r="K250" s="23"/>
      <c r="L250" s="23" t="s">
        <v>106</v>
      </c>
      <c r="M250" s="24" t="s">
        <v>107</v>
      </c>
      <c r="N250" s="25"/>
      <c r="O250" s="23"/>
      <c r="P250" s="25"/>
      <c r="Q250" s="23" t="s">
        <v>106</v>
      </c>
      <c r="R250" s="24" t="s">
        <v>310</v>
      </c>
      <c r="S250" s="25"/>
      <c r="T250" s="25"/>
      <c r="U250" s="23" t="s">
        <v>106</v>
      </c>
      <c r="V250" s="24" t="s">
        <v>310</v>
      </c>
      <c r="W250" s="25"/>
      <c r="Y250" s="19"/>
      <c r="Z250" s="20"/>
      <c r="AA250" s="20"/>
      <c r="AB250" s="20"/>
      <c r="AC250" s="20"/>
      <c r="AD250" s="26"/>
      <c r="AE250" s="20"/>
      <c r="AF250" s="22"/>
      <c r="AH250" s="19"/>
      <c r="AL250" s="114"/>
      <c r="AM250" s="114"/>
      <c r="AN250" s="114"/>
      <c r="AO250" s="20"/>
      <c r="AP250" s="20"/>
      <c r="AQ250" s="22"/>
      <c r="AS250" s="19"/>
      <c r="AW250" s="114"/>
      <c r="AX250" s="114"/>
      <c r="AY250" s="114"/>
      <c r="AZ250" s="20"/>
      <c r="BA250" s="20"/>
      <c r="BB250" s="22"/>
      <c r="BD250" s="78"/>
      <c r="BE250" s="80"/>
      <c r="BF250" s="80"/>
      <c r="BG250" s="80"/>
      <c r="BH250" s="116"/>
      <c r="BI250" s="116"/>
      <c r="BJ250" s="116"/>
      <c r="BK250" s="79"/>
      <c r="BL250" s="79"/>
      <c r="BM250" s="83"/>
    </row>
    <row r="251" spans="1:65" ht="45" x14ac:dyDescent="0.25">
      <c r="B251">
        <v>514</v>
      </c>
      <c r="C251" s="11" t="s">
        <v>109</v>
      </c>
      <c r="D251" s="117" t="s">
        <v>110</v>
      </c>
      <c r="E251" t="s">
        <v>111</v>
      </c>
      <c r="F251" s="27">
        <f>ROUNDUP(J253*J255/60,0)</f>
        <v>41</v>
      </c>
      <c r="H251" s="10" t="s">
        <v>112</v>
      </c>
      <c r="I251" s="28">
        <f>I249*I247</f>
        <v>583.16145833333326</v>
      </c>
      <c r="J251" s="10" t="s">
        <v>113</v>
      </c>
      <c r="K251" s="10"/>
      <c r="L251" s="10" t="s">
        <v>112</v>
      </c>
      <c r="M251" s="28">
        <f>M249*M247</f>
        <v>583.16145833333326</v>
      </c>
      <c r="N251" s="10" t="s">
        <v>113</v>
      </c>
      <c r="O251" s="10"/>
      <c r="P251" s="10" t="s">
        <v>113</v>
      </c>
      <c r="Q251" s="10" t="s">
        <v>112</v>
      </c>
      <c r="R251" s="28">
        <f>R249*Q247</f>
        <v>1447.3125</v>
      </c>
      <c r="S251" s="10" t="s">
        <v>113</v>
      </c>
      <c r="T251" s="10" t="s">
        <v>113</v>
      </c>
      <c r="U251" s="10" t="s">
        <v>112</v>
      </c>
      <c r="V251" s="28">
        <f>V249*U247</f>
        <v>1421.15625</v>
      </c>
      <c r="W251" s="10" t="s">
        <v>113</v>
      </c>
      <c r="Y251" s="19"/>
      <c r="Z251" s="20" t="s">
        <v>114</v>
      </c>
      <c r="AA251" s="29">
        <v>9.5</v>
      </c>
      <c r="AB251" s="29" t="s">
        <v>52</v>
      </c>
      <c r="AC251" s="29"/>
      <c r="AD251" s="20"/>
      <c r="AE251" s="20"/>
      <c r="AF251" s="22"/>
      <c r="AH251" s="190" t="s">
        <v>183</v>
      </c>
      <c r="AI251" s="191"/>
      <c r="AJ251" s="191"/>
      <c r="AK251" s="191"/>
      <c r="AL251" s="191"/>
      <c r="AM251" s="191"/>
      <c r="AN251" s="191"/>
      <c r="AO251" s="20"/>
      <c r="AP251" s="20"/>
      <c r="AQ251" s="22"/>
      <c r="AS251" s="190" t="s">
        <v>192</v>
      </c>
      <c r="AT251" s="191"/>
      <c r="AU251" s="191"/>
      <c r="AV251" s="191"/>
      <c r="AW251" s="191"/>
      <c r="AX251" s="191"/>
      <c r="AY251" s="191"/>
      <c r="AZ251" s="20"/>
      <c r="BA251" s="20"/>
      <c r="BB251" s="22"/>
      <c r="BD251" s="198" t="s">
        <v>191</v>
      </c>
      <c r="BE251" s="199"/>
      <c r="BF251" s="199"/>
      <c r="BG251" s="199"/>
      <c r="BH251" s="199"/>
      <c r="BI251" s="199"/>
      <c r="BJ251" s="199"/>
      <c r="BK251" s="79"/>
      <c r="BL251" s="79"/>
      <c r="BM251" s="83"/>
    </row>
    <row r="252" spans="1:65" ht="32.25" thickBot="1" x14ac:dyDescent="0.4">
      <c r="B252">
        <v>514</v>
      </c>
      <c r="C252" s="31">
        <v>10000</v>
      </c>
      <c r="D252" s="117" t="s">
        <v>115</v>
      </c>
      <c r="E252" t="s">
        <v>116</v>
      </c>
      <c r="F252" s="32">
        <f>ROUNDUP(MAX(F247/1200,(J253*J255/150)),0)</f>
        <v>87</v>
      </c>
      <c r="H252" s="118" t="s">
        <v>117</v>
      </c>
      <c r="I252" s="119">
        <f>I251*1.1</f>
        <v>641.47760416666665</v>
      </c>
      <c r="J252" s="118" t="s">
        <v>113</v>
      </c>
      <c r="K252" s="118"/>
      <c r="L252" s="118" t="s">
        <v>117</v>
      </c>
      <c r="M252" s="119">
        <f>M251*1.1</f>
        <v>641.47760416666665</v>
      </c>
      <c r="N252" s="118" t="s">
        <v>113</v>
      </c>
      <c r="O252" s="118"/>
      <c r="P252" s="28" t="s">
        <v>113</v>
      </c>
      <c r="Q252" s="28" t="s">
        <v>117</v>
      </c>
      <c r="R252" s="33">
        <f>R251*1.1</f>
        <v>1592.04375</v>
      </c>
      <c r="S252" s="28" t="s">
        <v>113</v>
      </c>
      <c r="T252" s="28" t="s">
        <v>113</v>
      </c>
      <c r="U252" s="28" t="s">
        <v>117</v>
      </c>
      <c r="V252" s="33">
        <f>V251*1.1</f>
        <v>1563.2718750000001</v>
      </c>
      <c r="W252" s="28" t="s">
        <v>113</v>
      </c>
      <c r="Y252" s="19" t="s">
        <v>313</v>
      </c>
      <c r="Z252" s="114" t="s">
        <v>317</v>
      </c>
      <c r="AA252" s="20">
        <v>60</v>
      </c>
      <c r="AB252" s="20" t="s">
        <v>92</v>
      </c>
      <c r="AC252" s="20"/>
      <c r="AD252" s="26" t="s">
        <v>118</v>
      </c>
      <c r="AE252" s="20">
        <v>2</v>
      </c>
      <c r="AF252" s="22" t="s">
        <v>92</v>
      </c>
      <c r="AH252" s="113"/>
      <c r="AI252" s="114"/>
      <c r="AJ252" s="114" t="s">
        <v>101</v>
      </c>
      <c r="AK252" s="114" t="s">
        <v>119</v>
      </c>
      <c r="AL252" s="114" t="s">
        <v>120</v>
      </c>
      <c r="AM252" s="114"/>
      <c r="AN252" s="114"/>
      <c r="AO252" s="26" t="s">
        <v>118</v>
      </c>
      <c r="AP252" s="20">
        <v>2</v>
      </c>
      <c r="AQ252" s="22" t="s">
        <v>92</v>
      </c>
      <c r="AS252" s="113"/>
      <c r="AT252" s="114"/>
      <c r="AU252" s="114" t="s">
        <v>101</v>
      </c>
      <c r="AV252" s="114" t="s">
        <v>119</v>
      </c>
      <c r="AW252" s="114" t="s">
        <v>120</v>
      </c>
      <c r="AX252" s="114"/>
      <c r="AY252" s="114"/>
      <c r="AZ252" s="26" t="s">
        <v>118</v>
      </c>
      <c r="BA252" s="20">
        <v>2</v>
      </c>
      <c r="BB252" s="22" t="s">
        <v>92</v>
      </c>
      <c r="BD252" s="115"/>
      <c r="BE252" s="116"/>
      <c r="BF252" s="116" t="s">
        <v>101</v>
      </c>
      <c r="BG252" s="116" t="s">
        <v>119</v>
      </c>
      <c r="BH252" s="116" t="s">
        <v>120</v>
      </c>
      <c r="BI252" s="116"/>
      <c r="BJ252" s="116"/>
      <c r="BK252" s="85" t="s">
        <v>118</v>
      </c>
      <c r="BL252" s="79">
        <v>2</v>
      </c>
      <c r="BM252" s="83" t="s">
        <v>92</v>
      </c>
    </row>
    <row r="253" spans="1:65" x14ac:dyDescent="0.25">
      <c r="H253" s="120" t="s">
        <v>121</v>
      </c>
      <c r="I253" s="121"/>
      <c r="J253" s="122">
        <f>2*I249+4*O249+3*R249+2*V249</f>
        <v>483</v>
      </c>
      <c r="K253" s="123" t="s">
        <v>52</v>
      </c>
      <c r="L253" s="120" t="s">
        <v>121</v>
      </c>
      <c r="M253" s="121"/>
      <c r="N253" s="122" t="e">
        <f>2*M249+4*S249+3*V249+2*Z249</f>
        <v>#VALUE!</v>
      </c>
      <c r="O253" s="123" t="s">
        <v>52</v>
      </c>
      <c r="Y253" s="19"/>
      <c r="Z253" s="20"/>
      <c r="AA253" s="20">
        <f>AA252/12</f>
        <v>5</v>
      </c>
      <c r="AB253" s="20" t="s">
        <v>52</v>
      </c>
      <c r="AC253" s="20"/>
      <c r="AD253" s="26"/>
      <c r="AE253" s="20"/>
      <c r="AF253" s="22"/>
      <c r="AH253" s="113"/>
      <c r="AI253" s="114" t="s">
        <v>114</v>
      </c>
      <c r="AJ253" s="114">
        <v>9.5</v>
      </c>
      <c r="AK253" s="114">
        <f>AJ253/3</f>
        <v>3.1666666666666665</v>
      </c>
      <c r="AL253" s="114">
        <f>AJ253/6</f>
        <v>1.5833333333333333</v>
      </c>
      <c r="AM253" s="114"/>
      <c r="AN253" s="114"/>
      <c r="AO253" s="20" t="s">
        <v>92</v>
      </c>
      <c r="AP253" s="20"/>
      <c r="AQ253" s="22"/>
      <c r="AS253" s="113"/>
      <c r="AT253" s="114" t="s">
        <v>114</v>
      </c>
      <c r="AU253" s="114">
        <v>9.5</v>
      </c>
      <c r="AV253" s="114">
        <f>AU253/3</f>
        <v>3.1666666666666665</v>
      </c>
      <c r="AW253" s="114">
        <f>AU253/6</f>
        <v>1.5833333333333333</v>
      </c>
      <c r="AX253" s="114"/>
      <c r="AY253" s="114"/>
      <c r="AZ253" s="20" t="s">
        <v>92</v>
      </c>
      <c r="BA253" s="20"/>
      <c r="BB253" s="22"/>
      <c r="BD253" s="115"/>
      <c r="BE253" s="116" t="s">
        <v>114</v>
      </c>
      <c r="BF253" s="116">
        <v>17.666599999999999</v>
      </c>
      <c r="BG253" s="116">
        <f>BF253/3</f>
        <v>5.888866666666666</v>
      </c>
      <c r="BH253" s="116">
        <f>BF253/6</f>
        <v>2.944433333333333</v>
      </c>
      <c r="BI253" s="116"/>
      <c r="BJ253" s="116"/>
      <c r="BK253" s="79" t="s">
        <v>92</v>
      </c>
      <c r="BL253" s="79"/>
      <c r="BM253" s="83"/>
    </row>
    <row r="254" spans="1:65" x14ac:dyDescent="0.25">
      <c r="H254" s="124" t="s">
        <v>122</v>
      </c>
      <c r="I254" s="37"/>
      <c r="J254" s="10">
        <f>2*I252+4*O252+3*R252+2*V252</f>
        <v>9185.6302083333339</v>
      </c>
      <c r="K254" s="125" t="s">
        <v>113</v>
      </c>
      <c r="L254" s="124" t="s">
        <v>122</v>
      </c>
      <c r="M254" s="37"/>
      <c r="N254" s="10" t="e">
        <f>2*M252+4*S252+3*V252+2*Z252</f>
        <v>#VALUE!</v>
      </c>
      <c r="O254" s="125" t="s">
        <v>113</v>
      </c>
      <c r="Y254" s="19"/>
      <c r="Z254" s="20"/>
      <c r="AA254" s="20"/>
      <c r="AB254" s="20"/>
      <c r="AC254" s="20"/>
      <c r="AD254" s="20"/>
      <c r="AE254" s="20"/>
      <c r="AF254" s="22"/>
      <c r="AH254" s="113"/>
      <c r="AI254" s="114" t="s">
        <v>321</v>
      </c>
      <c r="AJ254" s="114">
        <v>60</v>
      </c>
      <c r="AK254" s="38" t="s">
        <v>92</v>
      </c>
      <c r="AL254" s="114"/>
      <c r="AM254" s="114"/>
      <c r="AN254" s="114"/>
      <c r="AO254" s="20" t="s">
        <v>92</v>
      </c>
      <c r="AP254" s="20"/>
      <c r="AQ254" s="22"/>
      <c r="AS254" s="113"/>
      <c r="AT254" s="114" t="s">
        <v>321</v>
      </c>
      <c r="AU254" s="114">
        <v>60</v>
      </c>
      <c r="AV254" s="38" t="s">
        <v>92</v>
      </c>
      <c r="AW254" s="114"/>
      <c r="AX254" s="114"/>
      <c r="AY254" s="114"/>
      <c r="AZ254" s="20" t="s">
        <v>92</v>
      </c>
      <c r="BA254" s="20"/>
      <c r="BB254" s="22"/>
      <c r="BD254" s="115"/>
      <c r="BE254" s="116" t="s">
        <v>321</v>
      </c>
      <c r="BF254" s="116">
        <f>AA252-AE252-AE252-1</f>
        <v>55</v>
      </c>
      <c r="BG254" s="86" t="s">
        <v>92</v>
      </c>
      <c r="BH254" s="116"/>
      <c r="BI254" s="116"/>
      <c r="BJ254" s="116"/>
      <c r="BK254" s="79" t="s">
        <v>92</v>
      </c>
      <c r="BL254" s="79"/>
      <c r="BM254" s="83"/>
    </row>
    <row r="255" spans="1:65" x14ac:dyDescent="0.25">
      <c r="H255" s="124" t="s">
        <v>123</v>
      </c>
      <c r="I255" s="37"/>
      <c r="J255" s="10">
        <v>5</v>
      </c>
      <c r="K255" s="126"/>
      <c r="L255" s="124" t="s">
        <v>123</v>
      </c>
      <c r="M255" s="37"/>
      <c r="N255" s="10">
        <v>5</v>
      </c>
      <c r="O255" s="126"/>
      <c r="Y255" s="19"/>
      <c r="Z255" s="20"/>
      <c r="AA255" s="20"/>
      <c r="AB255" s="20"/>
      <c r="AC255" s="20"/>
      <c r="AD255" s="20"/>
      <c r="AE255" s="20"/>
      <c r="AF255" s="22"/>
      <c r="AH255" s="113"/>
      <c r="AI255" s="114"/>
      <c r="AJ255" s="114">
        <f>AJ254/12</f>
        <v>5</v>
      </c>
      <c r="AK255" s="38" t="s">
        <v>52</v>
      </c>
      <c r="AL255" s="114">
        <f>AI259^2+AI262^2</f>
        <v>30.283778222222217</v>
      </c>
      <c r="AM255" s="114"/>
      <c r="AN255" s="39">
        <f>AI259^2+AJ262^2</f>
        <v>22.762944888888885</v>
      </c>
      <c r="AO255" s="20" t="s">
        <v>92</v>
      </c>
      <c r="AP255" s="20"/>
      <c r="AQ255" s="22"/>
      <c r="AS255" s="113"/>
      <c r="AT255" s="114"/>
      <c r="AU255" s="114">
        <f>AU254/12</f>
        <v>5</v>
      </c>
      <c r="AV255" s="38" t="s">
        <v>52</v>
      </c>
      <c r="AW255" s="114">
        <f>AT259^2+AT262^2</f>
        <v>30.283778222222217</v>
      </c>
      <c r="AX255" s="114"/>
      <c r="AY255" s="39">
        <f>AT259^2+AU262^2</f>
        <v>22.762944888888885</v>
      </c>
      <c r="AZ255" s="20" t="s">
        <v>92</v>
      </c>
      <c r="BA255" s="20"/>
      <c r="BB255" s="22"/>
      <c r="BD255" s="115"/>
      <c r="BE255" s="116"/>
      <c r="BF255" s="116">
        <f>BF254/12</f>
        <v>4.583333333333333</v>
      </c>
      <c r="BG255" s="86" t="s">
        <v>52</v>
      </c>
      <c r="BH255" s="116">
        <f>BE259^2+BE262^2</f>
        <v>55.685695062222216</v>
      </c>
      <c r="BI255" s="116"/>
      <c r="BJ255" s="87">
        <f>BE259^2+BF262^2</f>
        <v>29.676632098888888</v>
      </c>
      <c r="BK255" s="79" t="s">
        <v>92</v>
      </c>
      <c r="BL255" s="79"/>
      <c r="BM255" s="83"/>
    </row>
    <row r="256" spans="1:65" ht="45.75" thickBot="1" x14ac:dyDescent="0.3">
      <c r="H256" s="127" t="s">
        <v>124</v>
      </c>
      <c r="I256" s="128"/>
      <c r="J256" s="129">
        <f>J254*J255</f>
        <v>45928.151041666672</v>
      </c>
      <c r="K256" s="130" t="s">
        <v>113</v>
      </c>
      <c r="L256" s="127" t="s">
        <v>124</v>
      </c>
      <c r="M256" s="128"/>
      <c r="N256" s="129" t="e">
        <f>N254*N255</f>
        <v>#VALUE!</v>
      </c>
      <c r="O256" s="130" t="s">
        <v>113</v>
      </c>
      <c r="P256" s="40" t="s">
        <v>331</v>
      </c>
      <c r="Q256" s="58">
        <f>35*(18*(24*4))/144</f>
        <v>420</v>
      </c>
      <c r="R256" s="37" t="s">
        <v>126</v>
      </c>
      <c r="Y256" s="19"/>
      <c r="Z256" s="20"/>
      <c r="AA256" s="20"/>
      <c r="AB256" s="20">
        <f>SQRT((AB261)^2+(Z257)^2)</f>
        <v>10.512183428976325</v>
      </c>
      <c r="AC256" s="20" t="s">
        <v>2</v>
      </c>
      <c r="AD256" s="20"/>
      <c r="AE256" s="20"/>
      <c r="AF256" s="22"/>
      <c r="AH256" s="113"/>
      <c r="AI256" s="114"/>
      <c r="AJ256" s="114"/>
      <c r="AK256" s="38"/>
      <c r="AL256" s="114"/>
      <c r="AM256" s="114"/>
      <c r="AN256" s="114"/>
      <c r="AO256" s="20"/>
      <c r="AP256" s="20"/>
      <c r="AQ256" s="22"/>
      <c r="AS256" s="113"/>
      <c r="AT256" s="114"/>
      <c r="AU256" s="114"/>
      <c r="AV256" s="38"/>
      <c r="AW256" s="114"/>
      <c r="AX256" s="114"/>
      <c r="AY256" s="114"/>
      <c r="AZ256" s="20"/>
      <c r="BA256" s="20"/>
      <c r="BB256" s="22"/>
      <c r="BD256" s="115"/>
      <c r="BE256" s="116"/>
      <c r="BF256" s="116"/>
      <c r="BG256" s="86"/>
      <c r="BH256" s="116"/>
      <c r="BI256" s="116"/>
      <c r="BJ256" s="116"/>
      <c r="BK256" s="79"/>
      <c r="BL256" s="79"/>
      <c r="BM256" s="83"/>
    </row>
    <row r="257" spans="8:65" x14ac:dyDescent="0.25">
      <c r="H257" s="4"/>
      <c r="L257" s="4"/>
      <c r="Y257" s="19"/>
      <c r="Z257" s="20">
        <f>AA253-2*(AE252/12+0.083)</f>
        <v>4.5006666666666666</v>
      </c>
      <c r="AA257" s="20" t="s">
        <v>2</v>
      </c>
      <c r="AB257" s="20"/>
      <c r="AC257" s="20"/>
      <c r="AD257" s="20"/>
      <c r="AE257" s="20"/>
      <c r="AF257" s="22"/>
      <c r="AH257" s="113"/>
      <c r="AI257" s="114"/>
      <c r="AJ257" s="114"/>
      <c r="AK257" s="114"/>
      <c r="AL257" s="114"/>
      <c r="AM257" s="114"/>
      <c r="AN257" s="114"/>
      <c r="AO257" s="20"/>
      <c r="AP257" s="20">
        <v>1.1659999999999999</v>
      </c>
      <c r="AQ257" s="22" t="s">
        <v>125</v>
      </c>
      <c r="AS257" s="113"/>
      <c r="AT257" s="114"/>
      <c r="AU257" s="114"/>
      <c r="AV257" s="114"/>
      <c r="AW257" s="114"/>
      <c r="AX257" s="114"/>
      <c r="AY257" s="114"/>
      <c r="AZ257" s="20"/>
      <c r="BA257" s="20">
        <v>1.1659999999999999</v>
      </c>
      <c r="BB257" s="22" t="s">
        <v>125</v>
      </c>
      <c r="BD257" s="115"/>
      <c r="BE257" s="116"/>
      <c r="BF257" s="116"/>
      <c r="BG257" s="116"/>
      <c r="BH257" s="116"/>
      <c r="BI257" s="116"/>
      <c r="BJ257" s="116"/>
      <c r="BK257" s="79"/>
      <c r="BL257" s="79">
        <v>1.1659999999999999</v>
      </c>
      <c r="BM257" s="83" t="s">
        <v>125</v>
      </c>
    </row>
    <row r="258" spans="8:65" x14ac:dyDescent="0.25">
      <c r="H258" s="105" t="s">
        <v>325</v>
      </c>
      <c r="I258" s="16"/>
      <c r="J258" s="16">
        <f>(5+5)*56/144</f>
        <v>3.8888888888888888</v>
      </c>
      <c r="K258" s="17" t="s">
        <v>126</v>
      </c>
      <c r="L258" s="105" t="s">
        <v>325</v>
      </c>
      <c r="M258" s="16"/>
      <c r="N258" s="16">
        <f>(5+5)*56/144</f>
        <v>3.8888888888888888</v>
      </c>
      <c r="O258" s="17" t="s">
        <v>126</v>
      </c>
      <c r="P258" s="16"/>
      <c r="Q258" s="16"/>
      <c r="R258" s="17"/>
      <c r="S258" s="14" t="s">
        <v>334</v>
      </c>
      <c r="T258" s="16"/>
      <c r="U258" s="16"/>
      <c r="V258" s="17"/>
      <c r="Y258" s="19"/>
      <c r="Z258" s="20">
        <f>Z257*12</f>
        <v>54.007999999999996</v>
      </c>
      <c r="AA258" s="20"/>
      <c r="AB258" s="20"/>
      <c r="AC258" s="20"/>
      <c r="AD258" s="20"/>
      <c r="AE258" s="20"/>
      <c r="AF258" s="22"/>
      <c r="AH258" s="113"/>
      <c r="AI258" s="114"/>
      <c r="AJ258" s="39">
        <f>SQRT(AN255)</f>
        <v>4.771052807178819</v>
      </c>
      <c r="AK258" s="39"/>
      <c r="AL258" s="114"/>
      <c r="AM258" s="39">
        <f>AH259</f>
        <v>5.5030698907266498</v>
      </c>
      <c r="AN258" s="114"/>
      <c r="AO258" s="20"/>
      <c r="AP258" s="41">
        <f>0.33*AP257*2</f>
        <v>0.76956000000000002</v>
      </c>
      <c r="AQ258" s="22" t="s">
        <v>126</v>
      </c>
      <c r="AS258" s="113"/>
      <c r="AT258" s="114"/>
      <c r="AU258" s="39">
        <f>SQRT(AY255)</f>
        <v>4.771052807178819</v>
      </c>
      <c r="AV258" s="39"/>
      <c r="AW258" s="114"/>
      <c r="AX258" s="39">
        <f>AS259</f>
        <v>5.5030698907266498</v>
      </c>
      <c r="AY258" s="114"/>
      <c r="AZ258" s="20"/>
      <c r="BA258" s="41">
        <f>0.33*BA257*2</f>
        <v>0.76956000000000002</v>
      </c>
      <c r="BB258" s="22" t="s">
        <v>126</v>
      </c>
      <c r="BD258" s="115"/>
      <c r="BE258" s="116"/>
      <c r="BF258" s="87">
        <f>SQRT(BJ255)</f>
        <v>5.44762628113281</v>
      </c>
      <c r="BG258" s="87"/>
      <c r="BH258" s="116"/>
      <c r="BI258" s="87">
        <f>BD259</f>
        <v>7.4622848419383061</v>
      </c>
      <c r="BJ258" s="116"/>
      <c r="BK258" s="79"/>
      <c r="BL258" s="88">
        <f>0.33*BL257*2</f>
        <v>0.76956000000000002</v>
      </c>
      <c r="BM258" s="83" t="s">
        <v>126</v>
      </c>
    </row>
    <row r="259" spans="8:65" x14ac:dyDescent="0.25">
      <c r="H259" s="106" t="s">
        <v>187</v>
      </c>
      <c r="I259" s="20"/>
      <c r="J259" s="20">
        <f>ROUNDUP((42+44+42)*2*J255,0)</f>
        <v>1280</v>
      </c>
      <c r="K259" s="22" t="s">
        <v>329</v>
      </c>
      <c r="L259" s="106" t="s">
        <v>187</v>
      </c>
      <c r="M259" s="20"/>
      <c r="N259" s="20">
        <f>ROUNDUP((42+44+42)*2*N255,0)</f>
        <v>1280</v>
      </c>
      <c r="O259" s="22" t="s">
        <v>329</v>
      </c>
      <c r="P259" s="20"/>
      <c r="Q259" s="20">
        <f>((5+5)*(56+90)/2)/144</f>
        <v>5.0694444444444446</v>
      </c>
      <c r="R259" s="22" t="s">
        <v>126</v>
      </c>
      <c r="S259" s="106" t="s">
        <v>186</v>
      </c>
      <c r="T259" s="20"/>
      <c r="U259" s="20">
        <f>((5+5)*(55)/144)</f>
        <v>3.8194444444444446</v>
      </c>
      <c r="V259" s="22" t="s">
        <v>126</v>
      </c>
      <c r="Y259" s="19"/>
      <c r="Z259" s="20"/>
      <c r="AA259" s="20"/>
      <c r="AB259" s="20"/>
      <c r="AC259" s="20"/>
      <c r="AD259" s="20"/>
      <c r="AE259" s="20"/>
      <c r="AF259" s="22"/>
      <c r="AH259" s="42">
        <f>SQRT(AL255)</f>
        <v>5.5030698907266498</v>
      </c>
      <c r="AI259" s="43">
        <f>AJ255-2*(AP252/12+0.083)</f>
        <v>4.5006666666666666</v>
      </c>
      <c r="AJ259" s="114"/>
      <c r="AK259" s="114"/>
      <c r="AL259" s="114"/>
      <c r="AM259" s="114"/>
      <c r="AN259" s="114"/>
      <c r="AO259" s="20"/>
      <c r="AP259" s="20">
        <v>7</v>
      </c>
      <c r="AQ259" s="22" t="s">
        <v>125</v>
      </c>
      <c r="AS259" s="42">
        <f>SQRT(AW255)</f>
        <v>5.5030698907266498</v>
      </c>
      <c r="AT259" s="43">
        <f>AU255-2*(BA252/12+0.083)</f>
        <v>4.5006666666666666</v>
      </c>
      <c r="AU259" s="114"/>
      <c r="AV259" s="114"/>
      <c r="AW259" s="114"/>
      <c r="AX259" s="114"/>
      <c r="AY259" s="114"/>
      <c r="AZ259" s="20"/>
      <c r="BA259" s="20">
        <v>7</v>
      </c>
      <c r="BB259" s="22" t="s">
        <v>125</v>
      </c>
      <c r="BD259" s="89">
        <f>SQRT(BH255)</f>
        <v>7.4622848419383061</v>
      </c>
      <c r="BE259" s="90">
        <f>BF255</f>
        <v>4.583333333333333</v>
      </c>
      <c r="BF259" s="116"/>
      <c r="BG259" s="116"/>
      <c r="BH259" s="116"/>
      <c r="BI259" s="116"/>
      <c r="BJ259" s="116"/>
      <c r="BK259" s="79"/>
      <c r="BL259" s="79">
        <v>7</v>
      </c>
      <c r="BM259" s="83" t="s">
        <v>125</v>
      </c>
    </row>
    <row r="260" spans="8:65" x14ac:dyDescent="0.25">
      <c r="H260" s="106" t="s">
        <v>188</v>
      </c>
      <c r="I260" s="20"/>
      <c r="J260" s="63">
        <f>J258*J259</f>
        <v>4977.7777777777774</v>
      </c>
      <c r="K260" s="22" t="s">
        <v>126</v>
      </c>
      <c r="L260" s="106" t="s">
        <v>188</v>
      </c>
      <c r="M260" s="20"/>
      <c r="N260" s="63">
        <f>N258*N259</f>
        <v>4977.7777777777774</v>
      </c>
      <c r="O260" s="22" t="s">
        <v>126</v>
      </c>
      <c r="P260" s="20"/>
      <c r="Q260" s="20">
        <f>ROUNDUP(23*2*5*J255,0)</f>
        <v>1150</v>
      </c>
      <c r="R260" s="22" t="s">
        <v>329</v>
      </c>
      <c r="S260" s="106" t="s">
        <v>187</v>
      </c>
      <c r="T260" s="20"/>
      <c r="U260" s="20">
        <f>ROUNDUP(5*5,0)</f>
        <v>25</v>
      </c>
      <c r="V260" s="22" t="s">
        <v>329</v>
      </c>
      <c r="Y260" s="19"/>
      <c r="Z260" s="20"/>
      <c r="AA260" s="20"/>
      <c r="AB260" s="20"/>
      <c r="AC260" s="20"/>
      <c r="AD260" s="20"/>
      <c r="AE260" s="20"/>
      <c r="AF260" s="22"/>
      <c r="AH260" s="113"/>
      <c r="AI260" s="114"/>
      <c r="AJ260" s="114"/>
      <c r="AK260" s="114"/>
      <c r="AL260" s="114"/>
      <c r="AM260" s="114"/>
      <c r="AN260" s="114"/>
      <c r="AO260" s="20"/>
      <c r="AP260" s="41">
        <f>0.33*AP259*2</f>
        <v>4.62</v>
      </c>
      <c r="AQ260" s="22" t="s">
        <v>126</v>
      </c>
      <c r="AS260" s="113"/>
      <c r="AT260" s="114"/>
      <c r="AU260" s="114"/>
      <c r="AV260" s="114"/>
      <c r="AW260" s="114"/>
      <c r="AX260" s="114"/>
      <c r="AY260" s="114"/>
      <c r="AZ260" s="20"/>
      <c r="BA260" s="41">
        <f>0.33*BA259*2</f>
        <v>4.62</v>
      </c>
      <c r="BB260" s="22" t="s">
        <v>126</v>
      </c>
      <c r="BD260" s="115"/>
      <c r="BE260" s="116"/>
      <c r="BF260" s="116"/>
      <c r="BG260" s="116"/>
      <c r="BH260" s="116"/>
      <c r="BI260" s="116"/>
      <c r="BJ260" s="116"/>
      <c r="BK260" s="79"/>
      <c r="BL260" s="88">
        <f>0.33*BL259*2</f>
        <v>4.62</v>
      </c>
      <c r="BM260" s="83" t="s">
        <v>126</v>
      </c>
    </row>
    <row r="261" spans="8:65" x14ac:dyDescent="0.25">
      <c r="H261" s="55" t="s">
        <v>189</v>
      </c>
      <c r="I261" s="3"/>
      <c r="J261" s="3"/>
      <c r="K261" s="50"/>
      <c r="L261" s="55" t="s">
        <v>189</v>
      </c>
      <c r="M261" s="3"/>
      <c r="N261" s="3"/>
      <c r="O261" s="50"/>
      <c r="P261" s="3"/>
      <c r="Q261" s="75">
        <f>Q259*Q260</f>
        <v>5829.8611111111113</v>
      </c>
      <c r="R261" s="50" t="s">
        <v>126</v>
      </c>
      <c r="S261" s="107" t="s">
        <v>188</v>
      </c>
      <c r="T261" s="3"/>
      <c r="U261" s="75">
        <f>U259*U260</f>
        <v>95.486111111111114</v>
      </c>
      <c r="V261" s="50" t="s">
        <v>126</v>
      </c>
      <c r="Y261" s="19"/>
      <c r="Z261" s="20"/>
      <c r="AA261" s="20"/>
      <c r="AB261" s="29">
        <f>AA251</f>
        <v>9.5</v>
      </c>
      <c r="AC261" s="20"/>
      <c r="AD261" s="20"/>
      <c r="AE261" s="20"/>
      <c r="AF261" s="22"/>
      <c r="AH261" s="113"/>
      <c r="AI261" s="114"/>
      <c r="AJ261" s="114"/>
      <c r="AK261" s="114"/>
      <c r="AL261" s="114"/>
      <c r="AM261" s="114"/>
      <c r="AN261" s="114"/>
      <c r="AO261" s="20"/>
      <c r="AP261" s="20"/>
      <c r="AQ261" s="22"/>
      <c r="AS261" s="113"/>
      <c r="AT261" s="114"/>
      <c r="AU261" s="114"/>
      <c r="AV261" s="114"/>
      <c r="AW261" s="114"/>
      <c r="AX261" s="114"/>
      <c r="AY261" s="114"/>
      <c r="AZ261" s="20"/>
      <c r="BA261" s="20"/>
      <c r="BB261" s="22"/>
      <c r="BD261" s="115"/>
      <c r="BE261" s="116"/>
      <c r="BF261" s="116"/>
      <c r="BG261" s="116"/>
      <c r="BH261" s="116"/>
      <c r="BI261" s="116"/>
      <c r="BJ261" s="116"/>
      <c r="BK261" s="79"/>
      <c r="BL261" s="79"/>
      <c r="BM261" s="83"/>
    </row>
    <row r="262" spans="8:65" x14ac:dyDescent="0.25">
      <c r="Y262" s="19"/>
      <c r="Z262" s="20"/>
      <c r="AA262" s="20"/>
      <c r="AB262" s="20"/>
      <c r="AC262" s="20"/>
      <c r="AD262" s="20"/>
      <c r="AE262" s="20"/>
      <c r="AF262" s="22"/>
      <c r="AH262" s="113"/>
      <c r="AI262" s="39">
        <f>AJ253/3</f>
        <v>3.1666666666666665</v>
      </c>
      <c r="AJ262" s="39">
        <f>AI262/2</f>
        <v>1.5833333333333333</v>
      </c>
      <c r="AK262" s="114"/>
      <c r="AL262" s="114"/>
      <c r="AM262" s="114"/>
      <c r="AN262" s="114"/>
      <c r="AO262" s="20"/>
      <c r="AP262" s="20"/>
      <c r="AQ262" s="22"/>
      <c r="AS262" s="113"/>
      <c r="AT262" s="39">
        <f>AU253/3</f>
        <v>3.1666666666666665</v>
      </c>
      <c r="AU262" s="39">
        <f>AT262/2</f>
        <v>1.5833333333333333</v>
      </c>
      <c r="AV262" s="114"/>
      <c r="AW262" s="114"/>
      <c r="AX262" s="114"/>
      <c r="AY262" s="114"/>
      <c r="AZ262" s="20"/>
      <c r="BA262" s="20"/>
      <c r="BB262" s="22"/>
      <c r="BD262" s="115"/>
      <c r="BE262" s="87">
        <f>BF253/3</f>
        <v>5.888866666666666</v>
      </c>
      <c r="BF262" s="87">
        <f>BE262/2</f>
        <v>2.944433333333333</v>
      </c>
      <c r="BG262" s="116"/>
      <c r="BH262" s="116"/>
      <c r="BI262" s="116"/>
      <c r="BJ262" s="116"/>
      <c r="BK262" s="79"/>
      <c r="BL262" s="79"/>
      <c r="BM262" s="83"/>
    </row>
    <row r="263" spans="8:65" x14ac:dyDescent="0.25">
      <c r="H263" s="105" t="s">
        <v>326</v>
      </c>
      <c r="I263" s="16"/>
      <c r="J263" s="108">
        <f>(7+7)*56/144</f>
        <v>5.4444444444444446</v>
      </c>
      <c r="K263" s="17" t="s">
        <v>126</v>
      </c>
      <c r="L263" s="105" t="s">
        <v>326</v>
      </c>
      <c r="M263" s="16"/>
      <c r="N263" s="108">
        <f>(7+7)*56/144</f>
        <v>5.4444444444444446</v>
      </c>
      <c r="O263" s="17" t="s">
        <v>126</v>
      </c>
      <c r="P263" s="16"/>
      <c r="Q263" s="16">
        <f>(9+9)*90/144</f>
        <v>11.25</v>
      </c>
      <c r="R263" s="17" t="s">
        <v>126</v>
      </c>
      <c r="S263" s="14" t="s">
        <v>330</v>
      </c>
      <c r="T263" s="16"/>
      <c r="U263" s="109">
        <f>PI()*(0.67)*8</f>
        <v>16.838936623241292</v>
      </c>
      <c r="V263" s="17" t="s">
        <v>126</v>
      </c>
      <c r="Y263" s="47" t="s">
        <v>129</v>
      </c>
      <c r="Z263" s="20"/>
      <c r="AB263" s="29">
        <f>(1*AB261)+(2*AB256)</f>
        <v>30.52436685795265</v>
      </c>
      <c r="AC263" s="20" t="s">
        <v>125</v>
      </c>
      <c r="AD263" s="20"/>
      <c r="AE263" s="20"/>
      <c r="AF263" s="22"/>
      <c r="AH263" s="48"/>
      <c r="AI263" s="49"/>
      <c r="AJ263" s="49"/>
      <c r="AK263" s="49"/>
      <c r="AL263" s="49"/>
      <c r="AM263" s="49"/>
      <c r="AN263" s="49"/>
      <c r="AO263" s="3"/>
      <c r="AP263" s="3"/>
      <c r="AQ263" s="50"/>
      <c r="AS263" s="48"/>
      <c r="AT263" s="49"/>
      <c r="AU263" s="49"/>
      <c r="AV263" s="49"/>
      <c r="AW263" s="49"/>
      <c r="AX263" s="49"/>
      <c r="AY263" s="49"/>
      <c r="AZ263" s="3"/>
      <c r="BA263" s="3"/>
      <c r="BB263" s="50"/>
      <c r="BD263" s="91"/>
      <c r="BE263" s="92"/>
      <c r="BF263" s="92"/>
      <c r="BG263" s="92"/>
      <c r="BH263" s="92"/>
      <c r="BI263" s="92"/>
      <c r="BJ263" s="92"/>
      <c r="BK263" s="93"/>
      <c r="BL263" s="93"/>
      <c r="BM263" s="94"/>
    </row>
    <row r="264" spans="8:65" x14ac:dyDescent="0.25">
      <c r="H264" s="106" t="s">
        <v>187</v>
      </c>
      <c r="I264" s="20"/>
      <c r="J264" s="20">
        <f>(2*5)*2</f>
        <v>20</v>
      </c>
      <c r="K264" s="22" t="s">
        <v>329</v>
      </c>
      <c r="L264" s="106" t="s">
        <v>187</v>
      </c>
      <c r="M264" s="20"/>
      <c r="N264" s="20">
        <f>(2*5)*2</f>
        <v>20</v>
      </c>
      <c r="O264" s="22" t="s">
        <v>329</v>
      </c>
      <c r="P264" s="20"/>
      <c r="Q264" s="20">
        <f>(2*5)*5</f>
        <v>50</v>
      </c>
      <c r="R264" s="22" t="s">
        <v>329</v>
      </c>
      <c r="S264" s="19" t="s">
        <v>328</v>
      </c>
      <c r="T264" s="20"/>
      <c r="U264" s="20">
        <v>38</v>
      </c>
      <c r="V264" s="22" t="s">
        <v>329</v>
      </c>
      <c r="Y264" s="19"/>
      <c r="Z264" s="20"/>
      <c r="AA264" s="20"/>
      <c r="AB264" s="20"/>
      <c r="AC264" s="20"/>
      <c r="AD264" s="20"/>
      <c r="AE264" s="20"/>
      <c r="AF264" s="22"/>
      <c r="AH264" s="51"/>
      <c r="AI264" s="52"/>
      <c r="AJ264" s="52" t="s">
        <v>130</v>
      </c>
      <c r="AK264" s="53" t="s">
        <v>318</v>
      </c>
      <c r="AL264" s="52"/>
      <c r="AM264" s="52"/>
      <c r="AN264" s="52"/>
      <c r="AO264" s="16"/>
      <c r="AP264" s="16"/>
      <c r="AQ264" s="17"/>
      <c r="AS264" s="51"/>
      <c r="AT264" s="52"/>
      <c r="AU264" s="52" t="s">
        <v>130</v>
      </c>
      <c r="AV264" s="53" t="s">
        <v>318</v>
      </c>
      <c r="AW264" s="52"/>
      <c r="AX264" s="52"/>
      <c r="AY264" s="52"/>
      <c r="AZ264" s="16"/>
      <c r="BA264" s="16"/>
      <c r="BB264" s="17"/>
      <c r="BD264" s="95"/>
      <c r="BE264" s="96"/>
      <c r="BF264" s="96" t="s">
        <v>130</v>
      </c>
      <c r="BG264" s="97" t="s">
        <v>190</v>
      </c>
      <c r="BH264" s="96"/>
      <c r="BI264" s="96"/>
      <c r="BJ264" s="96"/>
      <c r="BK264" s="76"/>
      <c r="BL264" s="76"/>
      <c r="BM264" s="77"/>
    </row>
    <row r="265" spans="8:65" x14ac:dyDescent="0.25">
      <c r="H265" s="106" t="s">
        <v>188</v>
      </c>
      <c r="I265" s="20"/>
      <c r="J265" s="63">
        <f>J263*J264</f>
        <v>108.88888888888889</v>
      </c>
      <c r="K265" s="22" t="s">
        <v>126</v>
      </c>
      <c r="L265" s="106" t="s">
        <v>188</v>
      </c>
      <c r="M265" s="20"/>
      <c r="N265" s="63">
        <f>N263*N264</f>
        <v>108.88888888888889</v>
      </c>
      <c r="O265" s="22" t="s">
        <v>126</v>
      </c>
      <c r="P265" s="20"/>
      <c r="Q265" s="63">
        <f>Q263*Q264</f>
        <v>562.5</v>
      </c>
      <c r="R265" s="22" t="s">
        <v>126</v>
      </c>
      <c r="S265" s="106" t="s">
        <v>188</v>
      </c>
      <c r="T265" s="20"/>
      <c r="U265" s="63">
        <f>U263*U264</f>
        <v>639.87959168316911</v>
      </c>
      <c r="V265" s="22" t="s">
        <v>126</v>
      </c>
      <c r="Y265" s="54" t="s">
        <v>131</v>
      </c>
      <c r="Z265" s="20"/>
      <c r="AA265" s="20"/>
      <c r="AB265" s="41">
        <f>0.25*4*AB263</f>
        <v>30.52436685795265</v>
      </c>
      <c r="AC265" s="20" t="s">
        <v>126</v>
      </c>
      <c r="AD265" s="20"/>
      <c r="AE265" s="20"/>
      <c r="AF265" s="22"/>
      <c r="AH265" s="48"/>
      <c r="AI265" s="49"/>
      <c r="AJ265" s="49"/>
      <c r="AK265" s="49">
        <f>AJ253+(2*AH259)+(2*AJ258)</f>
        <v>30.048245395810937</v>
      </c>
      <c r="AL265" s="49" t="s">
        <v>52</v>
      </c>
      <c r="AM265" s="49"/>
      <c r="AN265" s="49"/>
      <c r="AO265" s="3"/>
      <c r="AP265" s="3"/>
      <c r="AQ265" s="50"/>
      <c r="AS265" s="48"/>
      <c r="AT265" s="49"/>
      <c r="AU265" s="49"/>
      <c r="AV265" s="49">
        <f>AU253+(2*AS259)+(2*AU258)</f>
        <v>30.048245395810937</v>
      </c>
      <c r="AW265" s="49" t="s">
        <v>52</v>
      </c>
      <c r="AX265" s="49"/>
      <c r="AY265" s="49"/>
      <c r="AZ265" s="3"/>
      <c r="BA265" s="3"/>
      <c r="BB265" s="50"/>
      <c r="BD265" s="91"/>
      <c r="BE265" s="92"/>
      <c r="BF265" s="92"/>
      <c r="BG265" s="92">
        <f>BF253+(2*BD259)+(2*BF258)+BE259</f>
        <v>48.069755579475569</v>
      </c>
      <c r="BH265" s="92" t="s">
        <v>52</v>
      </c>
      <c r="BI265" s="92"/>
      <c r="BJ265" s="92"/>
      <c r="BK265" s="93"/>
      <c r="BL265" s="93"/>
      <c r="BM265" s="94"/>
    </row>
    <row r="266" spans="8:65" x14ac:dyDescent="0.25">
      <c r="H266" s="55" t="s">
        <v>189</v>
      </c>
      <c r="I266" s="3"/>
      <c r="J266" s="3"/>
      <c r="K266" s="50"/>
      <c r="L266" s="55" t="s">
        <v>189</v>
      </c>
      <c r="M266" s="3"/>
      <c r="N266" s="3"/>
      <c r="O266" s="50"/>
      <c r="P266" s="3"/>
      <c r="Q266" s="3"/>
      <c r="R266" s="50"/>
      <c r="S266" s="55"/>
      <c r="T266" s="3"/>
      <c r="U266" s="3"/>
      <c r="V266" s="50"/>
      <c r="Y266" s="19" t="s">
        <v>132</v>
      </c>
      <c r="Z266" s="20"/>
      <c r="AA266" s="20" t="s">
        <v>133</v>
      </c>
      <c r="AB266" s="29">
        <f>AB265*1.1</f>
        <v>33.576803543747914</v>
      </c>
      <c r="AC266" s="20" t="s">
        <v>126</v>
      </c>
      <c r="AD266" s="20"/>
      <c r="AE266" s="20"/>
      <c r="AF266" s="22"/>
      <c r="AH266" s="51"/>
      <c r="AI266" s="52"/>
      <c r="AJ266" s="52"/>
      <c r="AK266" s="52"/>
      <c r="AL266" s="52"/>
      <c r="AM266" s="52"/>
      <c r="AN266" s="52"/>
      <c r="AO266" s="16"/>
      <c r="AP266" s="16"/>
      <c r="AQ266" s="17"/>
      <c r="AS266" s="51"/>
      <c r="AT266" s="52"/>
      <c r="AU266" s="52"/>
      <c r="AV266" s="52"/>
      <c r="AW266" s="52"/>
      <c r="AX266" s="52"/>
      <c r="AY266" s="52"/>
      <c r="AZ266" s="16"/>
      <c r="BA266" s="16"/>
      <c r="BB266" s="17"/>
      <c r="BD266" s="95"/>
      <c r="BE266" s="96"/>
      <c r="BF266" s="96"/>
      <c r="BG266" s="96"/>
      <c r="BH266" s="96"/>
      <c r="BI266" s="96"/>
      <c r="BJ266" s="96"/>
      <c r="BK266" s="76"/>
      <c r="BL266" s="76"/>
      <c r="BM266" s="77"/>
    </row>
    <row r="267" spans="8:65" x14ac:dyDescent="0.25">
      <c r="Y267" s="55"/>
      <c r="Z267" s="3"/>
      <c r="AA267" s="3"/>
      <c r="AB267" s="3"/>
      <c r="AC267" s="3"/>
      <c r="AD267" s="3"/>
      <c r="AE267" s="3"/>
      <c r="AF267" s="50"/>
      <c r="AH267" s="113"/>
      <c r="AI267" s="114" t="s">
        <v>134</v>
      </c>
      <c r="AJ267" s="114"/>
      <c r="AK267" s="114">
        <f>AK265*(0.3333*4)</f>
        <v>40.060320761695138</v>
      </c>
      <c r="AL267" s="114" t="s">
        <v>126</v>
      </c>
      <c r="AM267" s="114"/>
      <c r="AN267" s="114"/>
      <c r="AO267" s="20"/>
      <c r="AP267" s="20"/>
      <c r="AQ267" s="22"/>
      <c r="AS267" s="113"/>
      <c r="AT267" s="114" t="s">
        <v>134</v>
      </c>
      <c r="AU267" s="114"/>
      <c r="AV267" s="114">
        <f>AV265*(0.3333*4)</f>
        <v>40.060320761695138</v>
      </c>
      <c r="AW267" s="114" t="s">
        <v>126</v>
      </c>
      <c r="AX267" s="114"/>
      <c r="AY267" s="114"/>
      <c r="AZ267" s="20"/>
      <c r="BA267" s="20"/>
      <c r="BB267" s="22"/>
      <c r="BD267" s="115"/>
      <c r="BE267" s="116" t="s">
        <v>134</v>
      </c>
      <c r="BF267" s="116"/>
      <c r="BG267" s="116">
        <f>BG265*(0.3333*4)</f>
        <v>64.086598138556823</v>
      </c>
      <c r="BH267" s="116" t="s">
        <v>126</v>
      </c>
      <c r="BI267" s="116"/>
      <c r="BJ267" s="116"/>
      <c r="BK267" s="79"/>
      <c r="BL267" s="79"/>
      <c r="BM267" s="83"/>
    </row>
    <row r="268" spans="8:65" ht="15" customHeight="1" x14ac:dyDescent="0.25">
      <c r="H268" s="10" t="s">
        <v>91</v>
      </c>
      <c r="I268" s="10">
        <v>1</v>
      </c>
      <c r="J268" s="10" t="s">
        <v>52</v>
      </c>
      <c r="K268" s="10" t="s">
        <v>91</v>
      </c>
      <c r="L268" s="10" t="s">
        <v>91</v>
      </c>
      <c r="M268" s="10">
        <v>1</v>
      </c>
      <c r="N268" s="10" t="s">
        <v>52</v>
      </c>
      <c r="O268" s="10" t="s">
        <v>91</v>
      </c>
      <c r="P268" s="10" t="s">
        <v>52</v>
      </c>
      <c r="Q268" s="10" t="s">
        <v>91</v>
      </c>
      <c r="R268" s="10">
        <f>16/12</f>
        <v>1.3333333333333333</v>
      </c>
      <c r="S268" s="10" t="s">
        <v>52</v>
      </c>
      <c r="T268" s="10" t="s">
        <v>91</v>
      </c>
      <c r="U268" s="10">
        <f>16/12</f>
        <v>1.3333333333333333</v>
      </c>
      <c r="V268" s="10" t="s">
        <v>52</v>
      </c>
      <c r="AH268" s="48"/>
      <c r="AI268" s="49" t="s">
        <v>135</v>
      </c>
      <c r="AJ268" s="49"/>
      <c r="AK268" s="49"/>
      <c r="AL268" s="49"/>
      <c r="AM268" s="49"/>
      <c r="AN268" s="49"/>
      <c r="AO268" s="3"/>
      <c r="AP268" s="3"/>
      <c r="AQ268" s="50"/>
      <c r="AS268" s="48"/>
      <c r="AT268" s="49" t="s">
        <v>135</v>
      </c>
      <c r="AU268" s="49"/>
      <c r="AV268" s="49"/>
      <c r="AW268" s="49"/>
      <c r="AX268" s="49"/>
      <c r="AY268" s="49"/>
      <c r="AZ268" s="3"/>
      <c r="BA268" s="3"/>
      <c r="BB268" s="50"/>
      <c r="BD268" s="91"/>
      <c r="BE268" s="92" t="s">
        <v>135</v>
      </c>
      <c r="BF268" s="92"/>
      <c r="BG268" s="92"/>
      <c r="BH268" s="92"/>
      <c r="BI268" s="92"/>
      <c r="BJ268" s="92"/>
      <c r="BK268" s="93"/>
      <c r="BL268" s="93"/>
      <c r="BM268" s="94"/>
    </row>
    <row r="269" spans="8:65" x14ac:dyDescent="0.25">
      <c r="H269" s="10" t="s">
        <v>100</v>
      </c>
      <c r="I269" s="44">
        <f>AB263</f>
        <v>30.52436685795265</v>
      </c>
      <c r="J269" s="10" t="s">
        <v>52</v>
      </c>
      <c r="K269" s="10" t="s">
        <v>100</v>
      </c>
      <c r="L269" s="10" t="s">
        <v>100</v>
      </c>
      <c r="M269" s="44">
        <f>AF263</f>
        <v>0</v>
      </c>
      <c r="N269" s="10" t="s">
        <v>52</v>
      </c>
      <c r="O269" s="10" t="s">
        <v>100</v>
      </c>
      <c r="P269" s="10" t="s">
        <v>52</v>
      </c>
      <c r="Q269" s="10" t="s">
        <v>100</v>
      </c>
      <c r="R269" s="10">
        <f>AV265</f>
        <v>30.048245395810937</v>
      </c>
      <c r="S269" s="10" t="s">
        <v>52</v>
      </c>
      <c r="T269" s="10" t="s">
        <v>100</v>
      </c>
      <c r="U269" s="10">
        <f>BG265</f>
        <v>48.069755579475569</v>
      </c>
      <c r="V269" s="10" t="s">
        <v>52</v>
      </c>
      <c r="AH269" s="14"/>
      <c r="AI269" s="16"/>
      <c r="AJ269" s="16"/>
      <c r="AK269" s="16"/>
      <c r="AL269" s="16"/>
      <c r="AM269" s="16"/>
      <c r="AN269" s="16"/>
      <c r="AO269" s="16"/>
      <c r="AP269" s="16"/>
      <c r="AQ269" s="17"/>
      <c r="AS269" s="14"/>
      <c r="AT269" s="16"/>
      <c r="AU269" s="16"/>
      <c r="AV269" s="16"/>
      <c r="AW269" s="16"/>
      <c r="AX269" s="16"/>
      <c r="AY269" s="16"/>
      <c r="AZ269" s="16"/>
      <c r="BA269" s="16"/>
      <c r="BB269" s="17"/>
      <c r="BD269" s="98"/>
      <c r="BE269" s="76"/>
      <c r="BF269" s="76"/>
      <c r="BG269" s="76"/>
      <c r="BH269" s="76"/>
      <c r="BI269" s="76"/>
      <c r="BJ269" s="76"/>
      <c r="BK269" s="76"/>
      <c r="BL269" s="76"/>
      <c r="BM269" s="77"/>
    </row>
    <row r="270" spans="8:65" x14ac:dyDescent="0.25">
      <c r="H270" s="28" t="s">
        <v>106</v>
      </c>
      <c r="I270" s="45" t="s">
        <v>193</v>
      </c>
      <c r="J270" s="46"/>
      <c r="K270" s="28" t="s">
        <v>106</v>
      </c>
      <c r="L270" s="28" t="s">
        <v>106</v>
      </c>
      <c r="M270" s="45" t="s">
        <v>193</v>
      </c>
      <c r="N270" s="46"/>
      <c r="O270" s="28" t="s">
        <v>106</v>
      </c>
      <c r="P270" s="46"/>
      <c r="Q270" s="28" t="s">
        <v>106</v>
      </c>
      <c r="R270" s="45" t="s">
        <v>320</v>
      </c>
      <c r="S270" s="46"/>
      <c r="T270" s="28" t="s">
        <v>106</v>
      </c>
      <c r="U270" s="45" t="s">
        <v>127</v>
      </c>
      <c r="V270" s="46"/>
      <c r="Y270" s="14"/>
      <c r="Z270" s="15" t="s">
        <v>314</v>
      </c>
      <c r="AA270" s="16"/>
      <c r="AB270" s="16"/>
      <c r="AC270" s="16"/>
      <c r="AD270" s="16"/>
      <c r="AE270" s="16"/>
      <c r="AF270" s="17"/>
      <c r="AH270" s="19"/>
      <c r="AI270" s="193" t="s">
        <v>136</v>
      </c>
      <c r="AJ270" s="20"/>
      <c r="AK270" s="20"/>
      <c r="AL270" s="20"/>
      <c r="AM270" s="20"/>
      <c r="AN270" s="20"/>
      <c r="AO270" s="20"/>
      <c r="AP270" s="20"/>
      <c r="AQ270" s="22"/>
      <c r="AS270" s="19"/>
      <c r="AT270" s="193" t="s">
        <v>136</v>
      </c>
      <c r="AU270" s="20"/>
      <c r="AV270" s="20"/>
      <c r="AW270" s="20"/>
      <c r="AX270" s="20"/>
      <c r="AY270" s="20"/>
      <c r="AZ270" s="20"/>
      <c r="BA270" s="20"/>
      <c r="BB270" s="22"/>
      <c r="BD270" s="78"/>
      <c r="BE270" s="195" t="s">
        <v>136</v>
      </c>
      <c r="BF270" s="79"/>
      <c r="BG270" s="79"/>
      <c r="BH270" s="79"/>
      <c r="BI270" s="79"/>
      <c r="BJ270" s="79"/>
      <c r="BK270" s="79"/>
      <c r="BL270" s="79"/>
      <c r="BM270" s="83"/>
    </row>
    <row r="271" spans="8:65" x14ac:dyDescent="0.25">
      <c r="H271" s="10" t="s">
        <v>128</v>
      </c>
      <c r="I271" s="45">
        <f>34*4</f>
        <v>136</v>
      </c>
      <c r="J271" s="46"/>
      <c r="K271" s="10" t="s">
        <v>128</v>
      </c>
      <c r="L271" s="10" t="s">
        <v>128</v>
      </c>
      <c r="M271" s="45">
        <f>34*4</f>
        <v>136</v>
      </c>
      <c r="N271" s="46"/>
      <c r="O271" s="10" t="s">
        <v>128</v>
      </c>
      <c r="P271" s="46"/>
      <c r="Q271" s="10" t="s">
        <v>128</v>
      </c>
      <c r="R271" s="45">
        <v>4</v>
      </c>
      <c r="S271" s="46"/>
      <c r="T271" s="10" t="s">
        <v>128</v>
      </c>
      <c r="U271" s="45">
        <v>0</v>
      </c>
      <c r="V271" s="46"/>
      <c r="Y271" s="19"/>
      <c r="Z271" s="20"/>
      <c r="AA271" s="20" t="s">
        <v>101</v>
      </c>
      <c r="AB271" s="20"/>
      <c r="AC271" s="20"/>
      <c r="AH271" s="19"/>
      <c r="AI271" s="193"/>
      <c r="AJ271" s="20"/>
      <c r="AK271" s="57">
        <f>AO249*AK265</f>
        <v>246.39561224564966</v>
      </c>
      <c r="AL271" s="20" t="s">
        <v>137</v>
      </c>
      <c r="AM271" s="20"/>
      <c r="AN271" s="20"/>
      <c r="AO271" s="20"/>
      <c r="AP271" s="20"/>
      <c r="AQ271" s="22"/>
      <c r="AS271" s="19"/>
      <c r="AT271" s="193"/>
      <c r="AU271" s="20"/>
      <c r="AV271" s="57">
        <f>AZ249*AV265</f>
        <v>246.39561224564966</v>
      </c>
      <c r="AW271" s="20" t="s">
        <v>137</v>
      </c>
      <c r="AX271" s="20"/>
      <c r="AY271" s="20"/>
      <c r="AZ271" s="20"/>
      <c r="BA271" s="20"/>
      <c r="BB271" s="22"/>
      <c r="BD271" s="78"/>
      <c r="BE271" s="195"/>
      <c r="BF271" s="79"/>
      <c r="BG271" s="79">
        <f>BK249*BG265</f>
        <v>394.17199575169963</v>
      </c>
      <c r="BH271" s="79" t="s">
        <v>137</v>
      </c>
      <c r="BI271" s="79"/>
      <c r="BJ271" s="79"/>
      <c r="BK271" s="79"/>
      <c r="BL271" s="79"/>
      <c r="BM271" s="83"/>
    </row>
    <row r="272" spans="8:65" x14ac:dyDescent="0.25">
      <c r="H272" s="10" t="s">
        <v>112</v>
      </c>
      <c r="I272" s="28">
        <f>I269*I268*I271</f>
        <v>4151.31389268156</v>
      </c>
      <c r="J272" s="10" t="s">
        <v>113</v>
      </c>
      <c r="K272" s="10" t="s">
        <v>112</v>
      </c>
      <c r="L272" s="10" t="s">
        <v>112</v>
      </c>
      <c r="M272" s="28">
        <f>M269*M268*M271</f>
        <v>0</v>
      </c>
      <c r="N272" s="10" t="s">
        <v>113</v>
      </c>
      <c r="O272" s="10" t="s">
        <v>112</v>
      </c>
      <c r="P272" s="10" t="s">
        <v>113</v>
      </c>
      <c r="Q272" s="10" t="s">
        <v>112</v>
      </c>
      <c r="R272" s="28">
        <f>R269*R268*R271</f>
        <v>160.25730877765832</v>
      </c>
      <c r="S272" s="10" t="s">
        <v>113</v>
      </c>
      <c r="T272" s="10" t="s">
        <v>112</v>
      </c>
      <c r="U272" s="28">
        <f>U269*U268*U271</f>
        <v>0</v>
      </c>
      <c r="V272" s="10" t="s">
        <v>113</v>
      </c>
      <c r="Y272" s="19"/>
      <c r="Z272" s="20"/>
      <c r="AA272" s="20"/>
      <c r="AB272" s="20"/>
      <c r="AC272" s="20"/>
      <c r="AD272" s="26"/>
      <c r="AE272" s="20"/>
      <c r="AF272" s="22"/>
      <c r="AH272" s="55"/>
      <c r="AI272" s="194"/>
      <c r="AJ272" s="3"/>
      <c r="AK272" s="3"/>
      <c r="AL272" s="3"/>
      <c r="AM272" s="3"/>
      <c r="AN272" s="3"/>
      <c r="AO272" s="3"/>
      <c r="AP272" s="3"/>
      <c r="AQ272" s="50"/>
      <c r="AS272" s="55"/>
      <c r="AT272" s="194"/>
      <c r="AU272" s="3"/>
      <c r="AV272" s="3"/>
      <c r="AW272" s="3"/>
      <c r="AX272" s="3"/>
      <c r="AY272" s="3"/>
      <c r="AZ272" s="3"/>
      <c r="BA272" s="3"/>
      <c r="BB272" s="50"/>
      <c r="BD272" s="99"/>
      <c r="BE272" s="196"/>
      <c r="BF272" s="93"/>
      <c r="BG272" s="93"/>
      <c r="BH272" s="93"/>
      <c r="BI272" s="93"/>
      <c r="BJ272" s="93"/>
      <c r="BK272" s="93"/>
      <c r="BL272" s="93"/>
      <c r="BM272" s="94"/>
    </row>
    <row r="273" spans="8:65" x14ac:dyDescent="0.25">
      <c r="H273" s="28" t="s">
        <v>117</v>
      </c>
      <c r="I273" s="33">
        <f>I272*1.1</f>
        <v>4566.4452819497164</v>
      </c>
      <c r="J273" s="28" t="s">
        <v>113</v>
      </c>
      <c r="K273" s="28" t="s">
        <v>117</v>
      </c>
      <c r="L273" s="28" t="s">
        <v>117</v>
      </c>
      <c r="M273" s="33">
        <f>M272*1.1</f>
        <v>0</v>
      </c>
      <c r="N273" s="28" t="s">
        <v>113</v>
      </c>
      <c r="O273" s="28" t="s">
        <v>117</v>
      </c>
      <c r="P273" s="28" t="s">
        <v>113</v>
      </c>
      <c r="Q273" s="28" t="s">
        <v>117</v>
      </c>
      <c r="R273" s="33">
        <f>R272*1.1</f>
        <v>176.28303965542418</v>
      </c>
      <c r="S273" s="28" t="s">
        <v>113</v>
      </c>
      <c r="T273" s="28" t="s">
        <v>117</v>
      </c>
      <c r="U273" s="33">
        <f>U272*1.1</f>
        <v>0</v>
      </c>
      <c r="V273" s="28" t="s">
        <v>113</v>
      </c>
      <c r="Y273" s="19"/>
      <c r="Z273" s="20" t="s">
        <v>114</v>
      </c>
      <c r="AA273" s="29">
        <v>9.5</v>
      </c>
      <c r="AB273" s="29" t="s">
        <v>52</v>
      </c>
      <c r="AC273" s="29"/>
      <c r="AD273" s="20"/>
      <c r="AE273" s="20"/>
      <c r="AF273" s="22"/>
      <c r="AH273" s="14"/>
      <c r="AI273" s="16"/>
      <c r="AJ273" s="16"/>
      <c r="AK273" s="16"/>
      <c r="AL273" s="16"/>
      <c r="AM273" s="16"/>
      <c r="AN273" s="16"/>
      <c r="AO273" s="16"/>
      <c r="AP273" s="16"/>
      <c r="AQ273" s="17"/>
      <c r="AS273" s="14"/>
      <c r="AT273" s="16"/>
      <c r="AU273" s="16"/>
      <c r="AV273" s="16"/>
      <c r="AW273" s="16"/>
      <c r="AX273" s="16"/>
      <c r="AY273" s="16"/>
      <c r="AZ273" s="16"/>
      <c r="BA273" s="16"/>
      <c r="BB273" s="17"/>
      <c r="BD273" s="98"/>
      <c r="BE273" s="76"/>
      <c r="BF273" s="76"/>
      <c r="BG273" s="76"/>
      <c r="BH273" s="76"/>
      <c r="BI273" s="76"/>
      <c r="BJ273" s="76"/>
      <c r="BK273" s="76"/>
      <c r="BL273" s="76"/>
      <c r="BM273" s="77"/>
    </row>
    <row r="274" spans="8:65" ht="18" x14ac:dyDescent="0.35">
      <c r="Y274" s="192" t="s">
        <v>315</v>
      </c>
      <c r="Z274" s="114" t="s">
        <v>317</v>
      </c>
      <c r="AA274" s="20">
        <f>(60+94)/2</f>
        <v>77</v>
      </c>
      <c r="AB274" s="20" t="s">
        <v>92</v>
      </c>
      <c r="AC274" s="20"/>
      <c r="AD274" s="26" t="s">
        <v>118</v>
      </c>
      <c r="AE274" s="20">
        <v>2</v>
      </c>
      <c r="AF274" s="22" t="s">
        <v>92</v>
      </c>
      <c r="AH274" s="19"/>
      <c r="AI274" s="193" t="s">
        <v>138</v>
      </c>
      <c r="AJ274" s="20"/>
      <c r="AK274" s="20">
        <f>1.1*AK271</f>
        <v>271.03517347021466</v>
      </c>
      <c r="AL274" s="20" t="s">
        <v>137</v>
      </c>
      <c r="AM274" s="20"/>
      <c r="AN274" s="20"/>
      <c r="AO274" s="20"/>
      <c r="AP274" s="20"/>
      <c r="AQ274" s="22"/>
      <c r="AS274" s="19"/>
      <c r="AT274" s="193" t="s">
        <v>138</v>
      </c>
      <c r="AU274" s="20"/>
      <c r="AV274" s="20">
        <f>1.1*AV271</f>
        <v>271.03517347021466</v>
      </c>
      <c r="AW274" s="20" t="s">
        <v>137</v>
      </c>
      <c r="AX274" s="20"/>
      <c r="AY274" s="20"/>
      <c r="AZ274" s="20"/>
      <c r="BA274" s="20"/>
      <c r="BB274" s="22"/>
      <c r="BD274" s="78"/>
      <c r="BE274" s="195" t="s">
        <v>138</v>
      </c>
      <c r="BF274" s="79"/>
      <c r="BG274" s="79">
        <f>1.1*BG271</f>
        <v>433.58919532686963</v>
      </c>
      <c r="BH274" s="79" t="s">
        <v>137</v>
      </c>
      <c r="BI274" s="79"/>
      <c r="BJ274" s="79"/>
      <c r="BK274" s="79"/>
      <c r="BL274" s="79"/>
      <c r="BM274" s="83"/>
    </row>
    <row r="275" spans="8:65" x14ac:dyDescent="0.25">
      <c r="H275" s="10" t="s">
        <v>91</v>
      </c>
      <c r="I275" s="10">
        <v>1</v>
      </c>
      <c r="J275" s="10" t="s">
        <v>52</v>
      </c>
      <c r="K275" s="10" t="s">
        <v>91</v>
      </c>
      <c r="L275" s="10" t="s">
        <v>91</v>
      </c>
      <c r="M275" s="10">
        <v>1</v>
      </c>
      <c r="N275" s="10" t="s">
        <v>52</v>
      </c>
      <c r="O275" s="10" t="s">
        <v>91</v>
      </c>
      <c r="P275" s="10" t="s">
        <v>52</v>
      </c>
      <c r="Q275" s="10" t="s">
        <v>91</v>
      </c>
      <c r="R275" s="10">
        <f>(13.14+8)*2/12</f>
        <v>3.5233333333333334</v>
      </c>
      <c r="S275" s="10" t="s">
        <v>52</v>
      </c>
      <c r="T275" s="10" t="s">
        <v>91</v>
      </c>
      <c r="U275" s="10">
        <f>(13.14+8)*2/12</f>
        <v>3.5233333333333334</v>
      </c>
      <c r="V275" s="10" t="s">
        <v>52</v>
      </c>
      <c r="Y275" s="192"/>
      <c r="Z275" s="20"/>
      <c r="AA275" s="20">
        <f>AA274/12</f>
        <v>6.416666666666667</v>
      </c>
      <c r="AB275" s="20" t="s">
        <v>52</v>
      </c>
      <c r="AC275" s="20"/>
      <c r="AD275" s="26"/>
      <c r="AE275" s="20"/>
      <c r="AF275" s="22"/>
      <c r="AH275" s="55"/>
      <c r="AI275" s="194"/>
      <c r="AJ275" s="3"/>
      <c r="AK275" s="3"/>
      <c r="AL275" s="3"/>
      <c r="AM275" s="3"/>
      <c r="AN275" s="3"/>
      <c r="AO275" s="3"/>
      <c r="AP275" s="3"/>
      <c r="AQ275" s="50"/>
      <c r="AS275" s="55"/>
      <c r="AT275" s="194"/>
      <c r="AU275" s="3"/>
      <c r="AV275" s="3"/>
      <c r="AW275" s="3"/>
      <c r="AX275" s="3"/>
      <c r="AY275" s="3"/>
      <c r="AZ275" s="3"/>
      <c r="BA275" s="3"/>
      <c r="BB275" s="50"/>
      <c r="BD275" s="99"/>
      <c r="BE275" s="196"/>
      <c r="BF275" s="93"/>
      <c r="BG275" s="93"/>
      <c r="BH275" s="93"/>
      <c r="BI275" s="93"/>
      <c r="BJ275" s="93"/>
      <c r="BK275" s="93"/>
      <c r="BL275" s="93"/>
      <c r="BM275" s="94"/>
    </row>
    <row r="276" spans="8:65" x14ac:dyDescent="0.25">
      <c r="H276" s="10" t="s">
        <v>100</v>
      </c>
      <c r="I276" s="44">
        <v>9.5</v>
      </c>
      <c r="J276" s="10" t="s">
        <v>52</v>
      </c>
      <c r="K276" s="10" t="s">
        <v>100</v>
      </c>
      <c r="L276" s="10" t="s">
        <v>100</v>
      </c>
      <c r="M276" s="44">
        <v>9.5</v>
      </c>
      <c r="N276" s="10" t="s">
        <v>52</v>
      </c>
      <c r="O276" s="10" t="s">
        <v>100</v>
      </c>
      <c r="P276" s="10" t="s">
        <v>52</v>
      </c>
      <c r="Q276" s="10" t="s">
        <v>100</v>
      </c>
      <c r="R276" s="44">
        <v>17.920000000000002</v>
      </c>
      <c r="S276" s="10" t="s">
        <v>52</v>
      </c>
      <c r="T276" s="10" t="s">
        <v>100</v>
      </c>
      <c r="U276" s="44">
        <v>17.25</v>
      </c>
      <c r="V276" s="10" t="s">
        <v>52</v>
      </c>
      <c r="Y276" s="19"/>
      <c r="Z276" s="20"/>
      <c r="AA276" s="20"/>
      <c r="AB276" s="20"/>
      <c r="AC276" s="20"/>
      <c r="AD276" s="20"/>
      <c r="AE276" s="20"/>
      <c r="AF276" s="22"/>
      <c r="AH276" s="14"/>
      <c r="AI276" s="16"/>
      <c r="AJ276" s="16"/>
      <c r="AK276" s="16"/>
      <c r="AL276" s="16"/>
      <c r="AM276" s="16"/>
      <c r="AN276" s="16"/>
      <c r="AO276" s="16"/>
      <c r="AP276" s="16"/>
      <c r="AQ276" s="17"/>
      <c r="AS276" s="14"/>
      <c r="AT276" s="16"/>
      <c r="AU276" s="16"/>
      <c r="AV276" s="16"/>
      <c r="AW276" s="16"/>
      <c r="AX276" s="16"/>
      <c r="AY276" s="16"/>
      <c r="AZ276" s="16"/>
      <c r="BA276" s="16"/>
      <c r="BB276" s="17"/>
      <c r="BD276" s="98"/>
      <c r="BE276" s="76"/>
      <c r="BF276" s="76"/>
      <c r="BG276" s="76"/>
      <c r="BH276" s="76"/>
      <c r="BI276" s="76"/>
      <c r="BJ276" s="76"/>
      <c r="BK276" s="76"/>
      <c r="BL276" s="76"/>
      <c r="BM276" s="77"/>
    </row>
    <row r="277" spans="8:65" x14ac:dyDescent="0.25">
      <c r="H277" s="28" t="s">
        <v>106</v>
      </c>
      <c r="I277" s="45" t="s">
        <v>322</v>
      </c>
      <c r="J277" s="46"/>
      <c r="K277" s="28" t="s">
        <v>106</v>
      </c>
      <c r="L277" s="28" t="s">
        <v>106</v>
      </c>
      <c r="M277" s="45" t="s">
        <v>322</v>
      </c>
      <c r="N277" s="46"/>
      <c r="O277" s="28" t="s">
        <v>106</v>
      </c>
      <c r="P277" s="46"/>
      <c r="Q277" s="28" t="s">
        <v>106</v>
      </c>
      <c r="R277" s="45" t="s">
        <v>323</v>
      </c>
      <c r="S277" s="46"/>
      <c r="T277" s="28" t="s">
        <v>106</v>
      </c>
      <c r="U277" s="45" t="s">
        <v>323</v>
      </c>
      <c r="V277" s="46"/>
      <c r="Y277" s="19"/>
      <c r="Z277" s="20"/>
      <c r="AA277" s="20"/>
      <c r="AB277" s="20"/>
      <c r="AC277" s="20"/>
      <c r="AD277" s="20"/>
      <c r="AE277" s="20"/>
      <c r="AF277" s="22"/>
      <c r="AH277" s="19"/>
      <c r="AI277" s="193" t="s">
        <v>139</v>
      </c>
      <c r="AJ277" s="20"/>
      <c r="AK277" s="20">
        <v>4</v>
      </c>
      <c r="AL277" s="20"/>
      <c r="AM277" s="20"/>
      <c r="AN277" s="20"/>
      <c r="AO277" s="20"/>
      <c r="AP277" s="20"/>
      <c r="AQ277" s="22"/>
      <c r="AS277" s="19"/>
      <c r="AT277" s="193" t="s">
        <v>139</v>
      </c>
      <c r="AU277" s="20"/>
      <c r="AV277" s="20">
        <v>4</v>
      </c>
      <c r="AW277" s="20"/>
      <c r="AX277" s="20"/>
      <c r="AY277" s="20"/>
      <c r="AZ277" s="20"/>
      <c r="BA277" s="20"/>
      <c r="BB277" s="22"/>
      <c r="BD277" s="78"/>
      <c r="BE277" s="195" t="s">
        <v>139</v>
      </c>
      <c r="BF277" s="79"/>
      <c r="BG277" s="79">
        <v>2</v>
      </c>
      <c r="BH277" s="79"/>
      <c r="BI277" s="79"/>
      <c r="BJ277" s="79"/>
      <c r="BK277" s="79"/>
      <c r="BL277" s="79"/>
      <c r="BM277" s="83"/>
    </row>
    <row r="278" spans="8:65" x14ac:dyDescent="0.25">
      <c r="H278" s="10" t="s">
        <v>128</v>
      </c>
      <c r="I278" s="45">
        <v>61</v>
      </c>
      <c r="J278" s="46"/>
      <c r="K278" s="10" t="s">
        <v>128</v>
      </c>
      <c r="L278" s="10" t="s">
        <v>128</v>
      </c>
      <c r="M278" s="45">
        <v>61</v>
      </c>
      <c r="N278" s="46"/>
      <c r="O278" s="10" t="s">
        <v>128</v>
      </c>
      <c r="P278" s="46"/>
      <c r="Q278" s="10" t="s">
        <v>128</v>
      </c>
      <c r="R278" s="45">
        <v>32</v>
      </c>
      <c r="S278" s="46"/>
      <c r="T278" s="10" t="s">
        <v>128</v>
      </c>
      <c r="U278" s="45">
        <v>88</v>
      </c>
      <c r="V278" s="46"/>
      <c r="Y278" s="19"/>
      <c r="Z278" s="20"/>
      <c r="AA278" s="20"/>
      <c r="AD278" s="20"/>
      <c r="AE278" s="20"/>
      <c r="AF278" s="22"/>
      <c r="AH278" s="19"/>
      <c r="AI278" s="193"/>
      <c r="AJ278" s="20"/>
      <c r="AK278" s="20"/>
      <c r="AL278" s="20"/>
      <c r="AM278" s="20"/>
      <c r="AN278" s="20"/>
      <c r="AO278" s="20"/>
      <c r="AP278" s="20"/>
      <c r="AQ278" s="22"/>
      <c r="AS278" s="19"/>
      <c r="AT278" s="193"/>
      <c r="AU278" s="20"/>
      <c r="AV278" s="20"/>
      <c r="AW278" s="20"/>
      <c r="AX278" s="20"/>
      <c r="AY278" s="20"/>
      <c r="AZ278" s="20"/>
      <c r="BA278" s="20"/>
      <c r="BB278" s="22"/>
      <c r="BD278" s="78"/>
      <c r="BE278" s="195"/>
      <c r="BF278" s="79"/>
      <c r="BG278" s="79"/>
      <c r="BH278" s="79"/>
      <c r="BI278" s="79"/>
      <c r="BJ278" s="79"/>
      <c r="BK278" s="79"/>
      <c r="BL278" s="79"/>
      <c r="BM278" s="83"/>
    </row>
    <row r="279" spans="8:65" x14ac:dyDescent="0.25">
      <c r="H279" s="10" t="s">
        <v>112</v>
      </c>
      <c r="I279" s="28">
        <f>I276*I275*I278</f>
        <v>579.5</v>
      </c>
      <c r="J279" s="10" t="s">
        <v>113</v>
      </c>
      <c r="K279" s="10" t="s">
        <v>112</v>
      </c>
      <c r="L279" s="10" t="s">
        <v>112</v>
      </c>
      <c r="M279" s="28">
        <f>M276*M275*M278</f>
        <v>579.5</v>
      </c>
      <c r="N279" s="10" t="s">
        <v>113</v>
      </c>
      <c r="O279" s="10" t="s">
        <v>112</v>
      </c>
      <c r="P279" s="10" t="s">
        <v>113</v>
      </c>
      <c r="Q279" s="10" t="s">
        <v>112</v>
      </c>
      <c r="R279" s="28">
        <f>R276*R275*R278</f>
        <v>2020.420266666667</v>
      </c>
      <c r="S279" s="10" t="s">
        <v>113</v>
      </c>
      <c r="T279" s="10" t="s">
        <v>112</v>
      </c>
      <c r="U279" s="28">
        <f>U276*U275*U278</f>
        <v>5348.42</v>
      </c>
      <c r="V279" s="10" t="s">
        <v>113</v>
      </c>
      <c r="Y279" s="19"/>
      <c r="Z279" s="20">
        <f>AA275-2*(AE274/12+0.083)</f>
        <v>5.9173333333333336</v>
      </c>
      <c r="AA279" s="20" t="s">
        <v>2</v>
      </c>
      <c r="AB279" s="20"/>
      <c r="AC279" s="20">
        <f>SQRT((AB283)^2+(Z279)^2)</f>
        <v>11.192177347494891</v>
      </c>
      <c r="AD279" s="20" t="s">
        <v>2</v>
      </c>
      <c r="AE279" s="20"/>
      <c r="AF279" s="22"/>
      <c r="AH279" s="55"/>
      <c r="AI279" s="3"/>
      <c r="AJ279" s="3"/>
      <c r="AK279" s="3"/>
      <c r="AL279" s="3"/>
      <c r="AM279" s="3"/>
      <c r="AN279" s="3"/>
      <c r="AO279" s="3"/>
      <c r="AP279" s="3"/>
      <c r="AQ279" s="50"/>
      <c r="AS279" s="55"/>
      <c r="AT279" s="3"/>
      <c r="AU279" s="3"/>
      <c r="AV279" s="3"/>
      <c r="AW279" s="3"/>
      <c r="AX279" s="3"/>
      <c r="AY279" s="3"/>
      <c r="AZ279" s="3"/>
      <c r="BA279" s="3"/>
      <c r="BB279" s="50"/>
      <c r="BD279" s="99"/>
      <c r="BE279" s="93"/>
      <c r="BF279" s="93"/>
      <c r="BG279" s="93"/>
      <c r="BH279" s="93"/>
      <c r="BI279" s="93"/>
      <c r="BJ279" s="93"/>
      <c r="BK279" s="93"/>
      <c r="BL279" s="93"/>
      <c r="BM279" s="94"/>
    </row>
    <row r="280" spans="8:65" ht="18" customHeight="1" x14ac:dyDescent="0.25">
      <c r="H280" s="28" t="s">
        <v>117</v>
      </c>
      <c r="I280" s="33">
        <f>I279*1.1</f>
        <v>637.45000000000005</v>
      </c>
      <c r="J280" s="28" t="s">
        <v>113</v>
      </c>
      <c r="K280" s="28" t="s">
        <v>117</v>
      </c>
      <c r="L280" s="28" t="s">
        <v>117</v>
      </c>
      <c r="M280" s="33">
        <f>M279*1.1</f>
        <v>637.45000000000005</v>
      </c>
      <c r="N280" s="28" t="s">
        <v>113</v>
      </c>
      <c r="O280" s="28" t="s">
        <v>117</v>
      </c>
      <c r="P280" s="28" t="s">
        <v>113</v>
      </c>
      <c r="Q280" s="28" t="s">
        <v>117</v>
      </c>
      <c r="R280" s="33">
        <f>R279*1.1</f>
        <v>2222.4622933333339</v>
      </c>
      <c r="S280" s="28" t="s">
        <v>113</v>
      </c>
      <c r="T280" s="28" t="s">
        <v>117</v>
      </c>
      <c r="U280" s="33">
        <f>U279*1.1</f>
        <v>5883.2620000000006</v>
      </c>
      <c r="V280" s="28" t="s">
        <v>113</v>
      </c>
      <c r="Y280" s="19"/>
      <c r="Z280" s="20">
        <f>Z279*12</f>
        <v>71.00800000000001</v>
      </c>
      <c r="AA280" s="20"/>
      <c r="AB280" s="20"/>
      <c r="AC280" s="20"/>
      <c r="AD280" s="20"/>
      <c r="AE280" s="20"/>
      <c r="AF280" s="22"/>
      <c r="AH280" s="35"/>
      <c r="AI280" s="65" t="s">
        <v>140</v>
      </c>
      <c r="AJ280" s="36"/>
      <c r="AK280" s="58">
        <f>AK274*AK277</f>
        <v>1084.1406938808586</v>
      </c>
      <c r="AL280" s="36" t="s">
        <v>137</v>
      </c>
      <c r="AM280" s="36"/>
      <c r="AN280" s="36"/>
      <c r="AO280" s="36"/>
      <c r="AP280" s="36"/>
      <c r="AQ280" s="37"/>
      <c r="AS280" s="35"/>
      <c r="AT280" s="65" t="s">
        <v>140</v>
      </c>
      <c r="AU280" s="36"/>
      <c r="AV280" s="58">
        <f>AV274*AV277</f>
        <v>1084.1406938808586</v>
      </c>
      <c r="AW280" s="36" t="s">
        <v>137</v>
      </c>
      <c r="AX280" s="36"/>
      <c r="AY280" s="36"/>
      <c r="AZ280" s="36"/>
      <c r="BA280" s="36"/>
      <c r="BB280" s="37"/>
      <c r="BD280" s="100"/>
      <c r="BE280" s="101" t="s">
        <v>140</v>
      </c>
      <c r="BF280" s="102"/>
      <c r="BG280" s="102">
        <f>BG274*BG277</f>
        <v>867.17839065373926</v>
      </c>
      <c r="BH280" s="102" t="s">
        <v>137</v>
      </c>
      <c r="BI280" s="102"/>
      <c r="BJ280" s="102"/>
      <c r="BK280" s="102"/>
      <c r="BL280" s="102"/>
      <c r="BM280" s="103"/>
    </row>
    <row r="281" spans="8:65" x14ac:dyDescent="0.25">
      <c r="Y281" s="19"/>
      <c r="Z281" s="20"/>
      <c r="AA281" s="20"/>
      <c r="AB281" s="20"/>
      <c r="AC281" s="20"/>
      <c r="AD281" s="20"/>
      <c r="AE281" s="20"/>
      <c r="AF281" s="22"/>
    </row>
    <row r="282" spans="8:65" x14ac:dyDescent="0.25">
      <c r="Y282" s="19"/>
      <c r="Z282" s="20"/>
      <c r="AA282" s="20"/>
      <c r="AB282" s="20"/>
      <c r="AC282" s="20"/>
      <c r="AD282" s="20"/>
      <c r="AE282" s="20"/>
      <c r="AF282" s="22"/>
    </row>
    <row r="283" spans="8:65" ht="45" x14ac:dyDescent="0.25">
      <c r="O283" s="117" t="s">
        <v>150</v>
      </c>
      <c r="P283" s="56" t="e">
        <f>J256+Q256+J260+Q261+U261+J265+Q265+U265+I273+O273+R273+U273+O280+R280+U280</f>
        <v>#VALUE!</v>
      </c>
      <c r="Q283" t="s">
        <v>113</v>
      </c>
      <c r="Y283" s="19"/>
      <c r="Z283" s="20"/>
      <c r="AA283" s="20"/>
      <c r="AB283" s="29">
        <f>AA273</f>
        <v>9.5</v>
      </c>
      <c r="AC283" s="20"/>
      <c r="AD283" s="20"/>
      <c r="AE283" s="20"/>
      <c r="AF283" s="22"/>
    </row>
    <row r="284" spans="8:65" x14ac:dyDescent="0.25">
      <c r="Y284" s="19"/>
      <c r="Z284" s="20"/>
      <c r="AA284" s="20"/>
      <c r="AB284" s="20"/>
      <c r="AC284" s="20"/>
      <c r="AD284" s="20"/>
      <c r="AE284" s="20"/>
      <c r="AF284" s="22"/>
    </row>
    <row r="285" spans="8:65" x14ac:dyDescent="0.25">
      <c r="Y285" s="47" t="s">
        <v>129</v>
      </c>
      <c r="Z285" s="20"/>
      <c r="AB285" s="29">
        <f>(1*AB283)+(2*AC279)</f>
        <v>31.884354694989781</v>
      </c>
      <c r="AC285" s="20" t="s">
        <v>125</v>
      </c>
      <c r="AD285" s="20"/>
      <c r="AE285" s="20"/>
      <c r="AF285" s="22"/>
    </row>
    <row r="286" spans="8:65" x14ac:dyDescent="0.25">
      <c r="Y286" s="19"/>
      <c r="Z286" s="20"/>
      <c r="AA286" s="20"/>
      <c r="AB286" s="20"/>
      <c r="AC286" s="20"/>
      <c r="AD286" s="20"/>
      <c r="AE286" s="20"/>
      <c r="AF286" s="22"/>
    </row>
    <row r="287" spans="8:65" x14ac:dyDescent="0.25">
      <c r="Y287" s="54" t="s">
        <v>131</v>
      </c>
      <c r="Z287" s="20"/>
      <c r="AA287" s="20"/>
      <c r="AB287" s="41">
        <f>0.25*4*AB285</f>
        <v>31.884354694989781</v>
      </c>
      <c r="AC287" s="20" t="s">
        <v>126</v>
      </c>
      <c r="AD287" s="20"/>
      <c r="AE287" s="20"/>
      <c r="AF287" s="22"/>
    </row>
    <row r="288" spans="8:65" x14ac:dyDescent="0.25">
      <c r="Y288" s="19" t="s">
        <v>132</v>
      </c>
      <c r="Z288" s="20"/>
      <c r="AA288" s="20" t="s">
        <v>133</v>
      </c>
      <c r="AB288" s="29">
        <f>AB287*1.1</f>
        <v>35.072790164488765</v>
      </c>
      <c r="AC288" s="20" t="s">
        <v>126</v>
      </c>
      <c r="AD288" s="20"/>
      <c r="AE288" s="20"/>
      <c r="AF288" s="22"/>
    </row>
    <row r="289" spans="1:32" x14ac:dyDescent="0.25">
      <c r="Y289" s="55"/>
      <c r="Z289" s="3"/>
      <c r="AA289" s="3"/>
      <c r="AB289" s="3"/>
      <c r="AC289" s="3"/>
      <c r="AD289" s="3"/>
      <c r="AE289" s="3"/>
      <c r="AF289" s="50"/>
    </row>
    <row r="301" spans="1:32" x14ac:dyDescent="0.25">
      <c r="A301" s="2" t="s">
        <v>141</v>
      </c>
    </row>
    <row r="303" spans="1:32" x14ac:dyDescent="0.25">
      <c r="A303" t="s">
        <v>143</v>
      </c>
      <c r="D303">
        <v>41.5</v>
      </c>
      <c r="E303" t="s">
        <v>2</v>
      </c>
    </row>
    <row r="304" spans="1:32" x14ac:dyDescent="0.25">
      <c r="A304" t="s">
        <v>146</v>
      </c>
      <c r="D304">
        <v>0</v>
      </c>
      <c r="E304" t="s">
        <v>72</v>
      </c>
    </row>
    <row r="306" spans="1:5" x14ac:dyDescent="0.25">
      <c r="A306" t="s">
        <v>194</v>
      </c>
      <c r="D306" s="1">
        <f>41.5</f>
        <v>41.5</v>
      </c>
      <c r="E306" t="s">
        <v>2</v>
      </c>
    </row>
    <row r="307" spans="1:5" x14ac:dyDescent="0.25">
      <c r="A307" t="s">
        <v>195</v>
      </c>
      <c r="D307" s="3">
        <v>41.5</v>
      </c>
      <c r="E307" s="3" t="s">
        <v>2</v>
      </c>
    </row>
    <row r="308" spans="1:5" x14ac:dyDescent="0.25">
      <c r="A308" t="s">
        <v>147</v>
      </c>
      <c r="D308" s="62">
        <f>SUM(D306:D307)</f>
        <v>83</v>
      </c>
      <c r="E308" s="7" t="s">
        <v>2</v>
      </c>
    </row>
    <row r="312" spans="1:5" x14ac:dyDescent="0.25">
      <c r="A312" s="72" t="s">
        <v>306</v>
      </c>
    </row>
    <row r="314" spans="1:5" x14ac:dyDescent="0.25">
      <c r="A314" t="s">
        <v>307</v>
      </c>
      <c r="B314" t="s">
        <v>308</v>
      </c>
      <c r="C314">
        <v>1</v>
      </c>
      <c r="D314" t="s">
        <v>116</v>
      </c>
    </row>
    <row r="317" spans="1:5" x14ac:dyDescent="0.25">
      <c r="A317" s="72" t="s">
        <v>304</v>
      </c>
    </row>
    <row r="318" spans="1:5" x14ac:dyDescent="0.25">
      <c r="A318" s="72" t="s">
        <v>332</v>
      </c>
    </row>
    <row r="319" spans="1:5" x14ac:dyDescent="0.25">
      <c r="A319" t="s">
        <v>148</v>
      </c>
      <c r="C319">
        <v>5</v>
      </c>
      <c r="D319" t="s">
        <v>116</v>
      </c>
    </row>
    <row r="321" spans="1:5" x14ac:dyDescent="0.25">
      <c r="A321" t="s">
        <v>149</v>
      </c>
      <c r="C321" s="3">
        <v>5</v>
      </c>
      <c r="D321" s="3" t="s">
        <v>116</v>
      </c>
    </row>
    <row r="322" spans="1:5" x14ac:dyDescent="0.25">
      <c r="C322" s="7">
        <f>SUM(C319:C321)</f>
        <v>10</v>
      </c>
      <c r="D322" s="63" t="s">
        <v>116</v>
      </c>
    </row>
    <row r="326" spans="1:5" x14ac:dyDescent="0.25">
      <c r="A326" s="2" t="s">
        <v>41</v>
      </c>
    </row>
    <row r="327" spans="1:5" x14ac:dyDescent="0.25">
      <c r="A327" s="2"/>
    </row>
    <row r="328" spans="1:5" x14ac:dyDescent="0.25">
      <c r="A328" s="64" t="s">
        <v>305</v>
      </c>
      <c r="C328">
        <v>0</v>
      </c>
      <c r="D328" t="s">
        <v>278</v>
      </c>
    </row>
    <row r="329" spans="1:5" x14ac:dyDescent="0.25">
      <c r="A329" s="2"/>
    </row>
    <row r="330" spans="1:5" x14ac:dyDescent="0.25">
      <c r="A330" t="s">
        <v>175</v>
      </c>
    </row>
    <row r="331" spans="1:5" x14ac:dyDescent="0.25">
      <c r="A331" t="s">
        <v>37</v>
      </c>
      <c r="D331">
        <v>0</v>
      </c>
      <c r="E331" t="s">
        <v>2</v>
      </c>
    </row>
    <row r="332" spans="1:5" x14ac:dyDescent="0.25">
      <c r="A332" t="s">
        <v>38</v>
      </c>
      <c r="D332">
        <v>0</v>
      </c>
      <c r="E332" t="s">
        <v>2</v>
      </c>
    </row>
    <row r="333" spans="1:5" x14ac:dyDescent="0.25">
      <c r="A333" t="s">
        <v>43</v>
      </c>
      <c r="D333">
        <v>1</v>
      </c>
    </row>
    <row r="334" spans="1:5" x14ac:dyDescent="0.25">
      <c r="A334" t="s">
        <v>42</v>
      </c>
      <c r="C334">
        <f>D331*D332*D333</f>
        <v>0</v>
      </c>
      <c r="D334" t="s">
        <v>40</v>
      </c>
    </row>
    <row r="336" spans="1:5" x14ac:dyDescent="0.25">
      <c r="A336" t="s">
        <v>179</v>
      </c>
    </row>
    <row r="337" spans="1:5" x14ac:dyDescent="0.25">
      <c r="A337" t="s">
        <v>37</v>
      </c>
      <c r="D337">
        <v>0</v>
      </c>
      <c r="E337" t="s">
        <v>2</v>
      </c>
    </row>
    <row r="338" spans="1:5" x14ac:dyDescent="0.25">
      <c r="A338" t="s">
        <v>38</v>
      </c>
      <c r="D338">
        <v>0</v>
      </c>
      <c r="E338" t="s">
        <v>2</v>
      </c>
    </row>
    <row r="339" spans="1:5" x14ac:dyDescent="0.25">
      <c r="A339" t="s">
        <v>43</v>
      </c>
      <c r="D339">
        <v>1</v>
      </c>
    </row>
    <row r="340" spans="1:5" x14ac:dyDescent="0.25">
      <c r="A340" t="s">
        <v>42</v>
      </c>
      <c r="C340">
        <f>D337*D338*D339</f>
        <v>0</v>
      </c>
      <c r="D340" t="s">
        <v>40</v>
      </c>
    </row>
    <row r="342" spans="1:5" x14ac:dyDescent="0.25">
      <c r="A342" t="s">
        <v>182</v>
      </c>
    </row>
    <row r="343" spans="1:5" x14ac:dyDescent="0.25">
      <c r="A343" t="s">
        <v>37</v>
      </c>
      <c r="D343">
        <v>0</v>
      </c>
      <c r="E343" t="s">
        <v>2</v>
      </c>
    </row>
    <row r="344" spans="1:5" x14ac:dyDescent="0.25">
      <c r="A344" t="s">
        <v>38</v>
      </c>
      <c r="D344">
        <v>0</v>
      </c>
      <c r="E344" t="s">
        <v>2</v>
      </c>
    </row>
    <row r="345" spans="1:5" x14ac:dyDescent="0.25">
      <c r="A345" t="s">
        <v>43</v>
      </c>
      <c r="D345">
        <v>1</v>
      </c>
    </row>
    <row r="346" spans="1:5" x14ac:dyDescent="0.25">
      <c r="A346" t="s">
        <v>42</v>
      </c>
      <c r="C346">
        <f>D343*D344*D345</f>
        <v>0</v>
      </c>
      <c r="D346" t="s">
        <v>40</v>
      </c>
    </row>
    <row r="348" spans="1:5" x14ac:dyDescent="0.25">
      <c r="A348" t="s">
        <v>181</v>
      </c>
    </row>
    <row r="349" spans="1:5" x14ac:dyDescent="0.25">
      <c r="A349" t="s">
        <v>37</v>
      </c>
      <c r="D349">
        <v>0</v>
      </c>
      <c r="E349" t="s">
        <v>2</v>
      </c>
    </row>
    <row r="350" spans="1:5" x14ac:dyDescent="0.25">
      <c r="A350" t="s">
        <v>38</v>
      </c>
      <c r="D350">
        <v>0</v>
      </c>
      <c r="E350" t="s">
        <v>2</v>
      </c>
    </row>
    <row r="351" spans="1:5" x14ac:dyDescent="0.25">
      <c r="A351" t="s">
        <v>43</v>
      </c>
      <c r="D351">
        <v>1</v>
      </c>
    </row>
    <row r="352" spans="1:5" x14ac:dyDescent="0.25">
      <c r="A352" t="s">
        <v>42</v>
      </c>
      <c r="C352">
        <f>D349*D350*D351</f>
        <v>0</v>
      </c>
      <c r="D352" t="s">
        <v>40</v>
      </c>
    </row>
    <row r="354" spans="1:5" x14ac:dyDescent="0.25">
      <c r="A354" t="s">
        <v>180</v>
      </c>
      <c r="C354" s="7">
        <f>ROUNDUP(C328+C334+C340+C346+C352,0)</f>
        <v>0</v>
      </c>
      <c r="D354" s="7" t="s">
        <v>40</v>
      </c>
    </row>
    <row r="357" spans="1:5" x14ac:dyDescent="0.25">
      <c r="A357" s="111" t="s">
        <v>335</v>
      </c>
      <c r="B357" s="112"/>
      <c r="C357" s="112"/>
      <c r="D357">
        <v>38</v>
      </c>
      <c r="E357" t="s">
        <v>116</v>
      </c>
    </row>
  </sheetData>
  <mergeCells count="16">
    <mergeCell ref="AI277:AI278"/>
    <mergeCell ref="AT277:AT278"/>
    <mergeCell ref="BE277:BE278"/>
    <mergeCell ref="AI270:AI272"/>
    <mergeCell ref="AT270:AT272"/>
    <mergeCell ref="BE270:BE272"/>
    <mergeCell ref="Y274:Y275"/>
    <mergeCell ref="AI274:AI275"/>
    <mergeCell ref="AT274:AT275"/>
    <mergeCell ref="BE274:BE275"/>
    <mergeCell ref="A25:B26"/>
    <mergeCell ref="A41:B42"/>
    <mergeCell ref="A242:J244"/>
    <mergeCell ref="AH251:AN251"/>
    <mergeCell ref="AS251:AY251"/>
    <mergeCell ref="BD251:BJ251"/>
  </mergeCells>
  <pageMargins left="0.7" right="0.7" top="0.75" bottom="0.75" header="0.3" footer="0.3"/>
  <pageSetup paperSize="1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359"/>
  <sheetViews>
    <sheetView topLeftCell="A366" workbookViewId="0">
      <selection activeCell="J255" sqref="J255"/>
    </sheetView>
  </sheetViews>
  <sheetFormatPr defaultRowHeight="15" x14ac:dyDescent="0.25"/>
  <cols>
    <col min="3" max="3" width="20.28515625" customWidth="1"/>
    <col min="4" max="4" width="22" customWidth="1"/>
    <col min="5" max="5" width="10.7109375" customWidth="1"/>
    <col min="8" max="8" width="12.85546875" customWidth="1"/>
    <col min="9" max="9" width="10.42578125" customWidth="1"/>
    <col min="11" max="11" width="12.85546875" customWidth="1"/>
    <col min="12" max="12" width="12.140625" customWidth="1"/>
    <col min="13" max="13" width="14.42578125" customWidth="1"/>
    <col min="14" max="14" width="14" customWidth="1"/>
    <col min="15" max="20" width="12.85546875" customWidth="1"/>
    <col min="22" max="23" width="13.42578125" customWidth="1"/>
    <col min="24" max="24" width="11" customWidth="1"/>
    <col min="32" max="32" width="14.42578125" customWidth="1"/>
    <col min="43" max="43" width="17.28515625" customWidth="1"/>
    <col min="54" max="54" width="16.5703125" customWidth="1"/>
  </cols>
  <sheetData>
    <row r="1" spans="1:13" x14ac:dyDescent="0.25">
      <c r="A1" s="72" t="s">
        <v>44</v>
      </c>
    </row>
    <row r="3" spans="1:13" x14ac:dyDescent="0.25">
      <c r="A3" t="s">
        <v>303</v>
      </c>
      <c r="C3">
        <f>2*(877*2)</f>
        <v>3508</v>
      </c>
    </row>
    <row r="4" spans="1:13" x14ac:dyDescent="0.25">
      <c r="A4" t="s">
        <v>45</v>
      </c>
      <c r="C4">
        <f>84+2*(2*22)</f>
        <v>172</v>
      </c>
    </row>
    <row r="5" spans="1:13" x14ac:dyDescent="0.25">
      <c r="A5" t="s">
        <v>46</v>
      </c>
      <c r="C5" s="3">
        <f>84+2*(2*22)</f>
        <v>172</v>
      </c>
    </row>
    <row r="6" spans="1:13" x14ac:dyDescent="0.25">
      <c r="C6" s="7">
        <f>SUM(C3:C5)</f>
        <v>3852</v>
      </c>
      <c r="D6" t="s">
        <v>116</v>
      </c>
    </row>
    <row r="9" spans="1:13" x14ac:dyDescent="0.25">
      <c r="A9" s="72" t="s">
        <v>284</v>
      </c>
      <c r="K9" t="s">
        <v>277</v>
      </c>
      <c r="L9">
        <v>4.37</v>
      </c>
      <c r="M9" t="s">
        <v>278</v>
      </c>
    </row>
    <row r="10" spans="1:13" x14ac:dyDescent="0.25">
      <c r="A10" s="2"/>
    </row>
    <row r="11" spans="1:13" x14ac:dyDescent="0.25">
      <c r="A11" s="6" t="s">
        <v>291</v>
      </c>
    </row>
    <row r="12" spans="1:13" x14ac:dyDescent="0.25">
      <c r="A12" s="64" t="s">
        <v>292</v>
      </c>
      <c r="D12">
        <v>4.37</v>
      </c>
      <c r="E12" t="s">
        <v>278</v>
      </c>
    </row>
    <row r="13" spans="1:13" x14ac:dyDescent="0.25">
      <c r="A13" s="64" t="s">
        <v>293</v>
      </c>
      <c r="D13">
        <v>876.2</v>
      </c>
      <c r="E13" t="s">
        <v>2</v>
      </c>
    </row>
    <row r="14" spans="1:13" x14ac:dyDescent="0.25">
      <c r="A14" s="64" t="s">
        <v>294</v>
      </c>
      <c r="D14">
        <v>2</v>
      </c>
      <c r="E14" t="s">
        <v>116</v>
      </c>
    </row>
    <row r="15" spans="1:13" x14ac:dyDescent="0.25">
      <c r="A15" s="64" t="s">
        <v>56</v>
      </c>
      <c r="D15">
        <f>D12*D13*D14</f>
        <v>7657.9880000000003</v>
      </c>
      <c r="E15" t="s">
        <v>295</v>
      </c>
    </row>
    <row r="16" spans="1:13" x14ac:dyDescent="0.25">
      <c r="A16" s="64"/>
      <c r="D16">
        <f>ROUNDUP(D15/27,0)</f>
        <v>284</v>
      </c>
      <c r="E16" t="s">
        <v>8</v>
      </c>
    </row>
    <row r="18" spans="1:13" x14ac:dyDescent="0.25">
      <c r="A18" s="6" t="s">
        <v>289</v>
      </c>
      <c r="K18" t="s">
        <v>279</v>
      </c>
      <c r="L18">
        <v>41.27</v>
      </c>
      <c r="M18" t="s">
        <v>278</v>
      </c>
    </row>
    <row r="20" spans="1:13" x14ac:dyDescent="0.25">
      <c r="A20" t="s">
        <v>142</v>
      </c>
      <c r="D20">
        <v>3</v>
      </c>
      <c r="E20" t="s">
        <v>2</v>
      </c>
    </row>
    <row r="21" spans="1:13" x14ac:dyDescent="0.25">
      <c r="A21" t="s">
        <v>143</v>
      </c>
      <c r="D21">
        <v>41.5</v>
      </c>
      <c r="E21" t="s">
        <v>2</v>
      </c>
    </row>
    <row r="22" spans="1:13" x14ac:dyDescent="0.25">
      <c r="A22" t="s">
        <v>283</v>
      </c>
      <c r="D22">
        <v>9</v>
      </c>
      <c r="E22" t="s">
        <v>49</v>
      </c>
    </row>
    <row r="23" spans="1:13" x14ac:dyDescent="0.25">
      <c r="A23" t="s">
        <v>287</v>
      </c>
      <c r="D23">
        <v>2.5</v>
      </c>
      <c r="E23" t="s">
        <v>49</v>
      </c>
    </row>
    <row r="24" spans="1:13" x14ac:dyDescent="0.25">
      <c r="A24" t="s">
        <v>144</v>
      </c>
      <c r="D24">
        <v>11.55</v>
      </c>
      <c r="E24" t="s">
        <v>49</v>
      </c>
    </row>
    <row r="25" spans="1:13" x14ac:dyDescent="0.25">
      <c r="A25" s="188" t="s">
        <v>50</v>
      </c>
      <c r="B25" s="188"/>
      <c r="K25" t="s">
        <v>280</v>
      </c>
      <c r="L25" t="s">
        <v>281</v>
      </c>
    </row>
    <row r="26" spans="1:13" x14ac:dyDescent="0.25">
      <c r="A26" s="188"/>
      <c r="B26" s="188"/>
      <c r="D26">
        <v>2.5</v>
      </c>
      <c r="E26" t="s">
        <v>49</v>
      </c>
    </row>
    <row r="27" spans="1:13" x14ac:dyDescent="0.25">
      <c r="A27" t="s">
        <v>145</v>
      </c>
      <c r="D27">
        <v>2</v>
      </c>
      <c r="E27" t="s">
        <v>2</v>
      </c>
    </row>
    <row r="28" spans="1:13" x14ac:dyDescent="0.25">
      <c r="A28" t="s">
        <v>286</v>
      </c>
      <c r="D28">
        <v>1.333</v>
      </c>
      <c r="E28" t="s">
        <v>2</v>
      </c>
    </row>
    <row r="29" spans="1:13" x14ac:dyDescent="0.25">
      <c r="K29" t="s">
        <v>282</v>
      </c>
      <c r="L29">
        <v>63.3</v>
      </c>
      <c r="M29" t="s">
        <v>278</v>
      </c>
    </row>
    <row r="30" spans="1:13" x14ac:dyDescent="0.25">
      <c r="A30" t="s">
        <v>51</v>
      </c>
      <c r="D30">
        <f>(D20*D21*(D24/12))+(3*(D22/12+D28)*D23/12)+(2*(D20*(D22/12+D27+(D28/(2*12))*D26)))</f>
        <v>138.46625</v>
      </c>
      <c r="E30" t="s">
        <v>13</v>
      </c>
    </row>
    <row r="31" spans="1:13" x14ac:dyDescent="0.25">
      <c r="D31">
        <f>D30/27</f>
        <v>5.12837962962963</v>
      </c>
      <c r="E31" t="s">
        <v>8</v>
      </c>
    </row>
    <row r="34" spans="1:5" x14ac:dyDescent="0.25">
      <c r="A34" s="6" t="s">
        <v>290</v>
      </c>
    </row>
    <row r="36" spans="1:5" x14ac:dyDescent="0.25">
      <c r="A36" t="s">
        <v>142</v>
      </c>
      <c r="D36">
        <v>3</v>
      </c>
      <c r="E36" t="s">
        <v>2</v>
      </c>
    </row>
    <row r="37" spans="1:5" x14ac:dyDescent="0.25">
      <c r="A37" t="s">
        <v>143</v>
      </c>
      <c r="D37">
        <v>41.5</v>
      </c>
      <c r="E37" t="s">
        <v>2</v>
      </c>
    </row>
    <row r="38" spans="1:5" x14ac:dyDescent="0.25">
      <c r="A38" t="s">
        <v>283</v>
      </c>
      <c r="D38">
        <v>9</v>
      </c>
      <c r="E38" t="s">
        <v>49</v>
      </c>
    </row>
    <row r="39" spans="1:5" ht="15" customHeight="1" x14ac:dyDescent="0.25">
      <c r="A39" t="s">
        <v>287</v>
      </c>
      <c r="D39">
        <v>2.5</v>
      </c>
      <c r="E39" t="s">
        <v>49</v>
      </c>
    </row>
    <row r="40" spans="1:5" x14ac:dyDescent="0.25">
      <c r="A40" t="s">
        <v>144</v>
      </c>
      <c r="D40">
        <v>11.55</v>
      </c>
      <c r="E40" t="s">
        <v>49</v>
      </c>
    </row>
    <row r="41" spans="1:5" x14ac:dyDescent="0.25">
      <c r="A41" s="188" t="s">
        <v>50</v>
      </c>
      <c r="B41" s="188"/>
    </row>
    <row r="42" spans="1:5" x14ac:dyDescent="0.25">
      <c r="A42" s="188"/>
      <c r="B42" s="188"/>
      <c r="D42">
        <v>2.5</v>
      </c>
      <c r="E42" t="s">
        <v>49</v>
      </c>
    </row>
    <row r="43" spans="1:5" x14ac:dyDescent="0.25">
      <c r="A43" t="s">
        <v>145</v>
      </c>
      <c r="D43">
        <v>2</v>
      </c>
      <c r="E43" t="s">
        <v>2</v>
      </c>
    </row>
    <row r="44" spans="1:5" x14ac:dyDescent="0.25">
      <c r="A44" t="s">
        <v>286</v>
      </c>
      <c r="D44">
        <v>1.333</v>
      </c>
      <c r="E44" t="s">
        <v>2</v>
      </c>
    </row>
    <row r="46" spans="1:5" x14ac:dyDescent="0.25">
      <c r="A46" t="s">
        <v>51</v>
      </c>
      <c r="D46">
        <f>(D36*D37*(D40/12))+(3*(D38/12+D44)*D39/12)+(2*(D36*(D38/12+D43+(D44/(2*12))*D42)))</f>
        <v>138.46625</v>
      </c>
      <c r="E46" t="s">
        <v>13</v>
      </c>
    </row>
    <row r="47" spans="1:5" x14ac:dyDescent="0.25">
      <c r="D47">
        <f>D46/27</f>
        <v>5.12837962962963</v>
      </c>
      <c r="E47" t="s">
        <v>8</v>
      </c>
    </row>
    <row r="49" spans="1:5" x14ac:dyDescent="0.25">
      <c r="A49" s="7" t="s">
        <v>28</v>
      </c>
      <c r="B49" s="7"/>
      <c r="C49" s="7"/>
      <c r="D49" s="7">
        <f>ROUNDUP(D16+D31+D47,0)</f>
        <v>295</v>
      </c>
      <c r="E49" s="7" t="s">
        <v>8</v>
      </c>
    </row>
    <row r="51" spans="1:5" x14ac:dyDescent="0.25">
      <c r="A51" s="72" t="s">
        <v>285</v>
      </c>
    </row>
    <row r="53" spans="1:5" x14ac:dyDescent="0.25">
      <c r="A53" s="6" t="s">
        <v>291</v>
      </c>
    </row>
    <row r="54" spans="1:5" x14ac:dyDescent="0.25">
      <c r="A54" s="64" t="s">
        <v>292</v>
      </c>
      <c r="D54">
        <v>4.37</v>
      </c>
      <c r="E54" t="s">
        <v>278</v>
      </c>
    </row>
    <row r="55" spans="1:5" x14ac:dyDescent="0.25">
      <c r="A55" s="64" t="s">
        <v>293</v>
      </c>
      <c r="D55">
        <v>8</v>
      </c>
      <c r="E55" t="s">
        <v>2</v>
      </c>
    </row>
    <row r="56" spans="1:5" x14ac:dyDescent="0.25">
      <c r="A56" s="64" t="s">
        <v>294</v>
      </c>
      <c r="D56">
        <v>4</v>
      </c>
      <c r="E56" t="s">
        <v>116</v>
      </c>
    </row>
    <row r="57" spans="1:5" x14ac:dyDescent="0.25">
      <c r="A57" s="64" t="s">
        <v>296</v>
      </c>
      <c r="D57">
        <v>2</v>
      </c>
      <c r="E57" t="s">
        <v>297</v>
      </c>
    </row>
    <row r="58" spans="1:5" x14ac:dyDescent="0.25">
      <c r="A58" s="64" t="s">
        <v>298</v>
      </c>
      <c r="D58">
        <v>4</v>
      </c>
      <c r="E58" t="s">
        <v>116</v>
      </c>
    </row>
    <row r="59" spans="1:5" x14ac:dyDescent="0.25">
      <c r="A59" s="64"/>
    </row>
    <row r="60" spans="1:5" x14ac:dyDescent="0.25">
      <c r="A60" s="64" t="s">
        <v>56</v>
      </c>
      <c r="D60">
        <f>(D54*D55*D56/27)+(D57*D58)</f>
        <v>13.179259259259259</v>
      </c>
      <c r="E60" t="s">
        <v>8</v>
      </c>
    </row>
    <row r="61" spans="1:5" x14ac:dyDescent="0.25">
      <c r="A61" s="64"/>
    </row>
    <row r="62" spans="1:5" x14ac:dyDescent="0.25">
      <c r="A62" s="64"/>
    </row>
    <row r="63" spans="1:5" x14ac:dyDescent="0.25">
      <c r="A63" s="6" t="s">
        <v>48</v>
      </c>
    </row>
    <row r="65" spans="1:5" x14ac:dyDescent="0.25">
      <c r="A65" t="s">
        <v>54</v>
      </c>
      <c r="D65">
        <v>1.25</v>
      </c>
      <c r="E65" t="s">
        <v>2</v>
      </c>
    </row>
    <row r="66" spans="1:5" x14ac:dyDescent="0.25">
      <c r="A66" t="s">
        <v>55</v>
      </c>
      <c r="D66">
        <v>41.5</v>
      </c>
      <c r="E66" t="s">
        <v>2</v>
      </c>
    </row>
    <row r="67" spans="1:5" x14ac:dyDescent="0.25">
      <c r="A67" t="s">
        <v>288</v>
      </c>
      <c r="D67">
        <v>1.7</v>
      </c>
      <c r="E67" t="s">
        <v>2</v>
      </c>
    </row>
    <row r="69" spans="1:5" x14ac:dyDescent="0.25">
      <c r="A69" t="s">
        <v>56</v>
      </c>
      <c r="D69">
        <f>D65*D66*D67</f>
        <v>88.1875</v>
      </c>
      <c r="E69" t="s">
        <v>13</v>
      </c>
    </row>
    <row r="70" spans="1:5" x14ac:dyDescent="0.25">
      <c r="D70">
        <f>D69/27</f>
        <v>3.2662037037037037</v>
      </c>
      <c r="E70" t="s">
        <v>8</v>
      </c>
    </row>
    <row r="72" spans="1:5" x14ac:dyDescent="0.25">
      <c r="A72" s="6" t="s">
        <v>53</v>
      </c>
    </row>
    <row r="74" spans="1:5" x14ac:dyDescent="0.25">
      <c r="A74" t="s">
        <v>54</v>
      </c>
      <c r="D74">
        <v>1.25</v>
      </c>
      <c r="E74" t="s">
        <v>2</v>
      </c>
    </row>
    <row r="75" spans="1:5" x14ac:dyDescent="0.25">
      <c r="A75" t="s">
        <v>55</v>
      </c>
      <c r="D75">
        <v>41.5</v>
      </c>
      <c r="E75" t="s">
        <v>2</v>
      </c>
    </row>
    <row r="76" spans="1:5" x14ac:dyDescent="0.25">
      <c r="A76" t="s">
        <v>288</v>
      </c>
      <c r="D76">
        <v>1.7</v>
      </c>
      <c r="E76" t="s">
        <v>2</v>
      </c>
    </row>
    <row r="78" spans="1:5" x14ac:dyDescent="0.25">
      <c r="A78" t="s">
        <v>56</v>
      </c>
      <c r="D78">
        <f>D74*D75*D76</f>
        <v>88.1875</v>
      </c>
      <c r="E78" t="s">
        <v>13</v>
      </c>
    </row>
    <row r="79" spans="1:5" x14ac:dyDescent="0.25">
      <c r="D79">
        <f>D78/27</f>
        <v>3.2662037037037037</v>
      </c>
      <c r="E79" t="s">
        <v>8</v>
      </c>
    </row>
    <row r="81" spans="1:5" x14ac:dyDescent="0.25">
      <c r="A81" s="7" t="s">
        <v>57</v>
      </c>
      <c r="B81" s="7"/>
      <c r="C81" s="7"/>
      <c r="D81" s="7">
        <f>ROUNDUP((D60+D70+D79),0)</f>
        <v>20</v>
      </c>
      <c r="E81" s="7" t="s">
        <v>8</v>
      </c>
    </row>
    <row r="85" spans="1:5" x14ac:dyDescent="0.25">
      <c r="B85" s="6"/>
      <c r="C85" s="6"/>
      <c r="D85" s="6"/>
      <c r="E85" s="6"/>
    </row>
    <row r="86" spans="1:5" x14ac:dyDescent="0.25">
      <c r="A86" s="72" t="s">
        <v>58</v>
      </c>
      <c r="B86" s="6"/>
      <c r="C86" s="6"/>
      <c r="D86" s="6"/>
      <c r="E86" s="6"/>
    </row>
    <row r="87" spans="1:5" x14ac:dyDescent="0.25">
      <c r="A87" s="2"/>
    </row>
    <row r="88" spans="1:5" x14ac:dyDescent="0.25">
      <c r="A88" s="3" t="s">
        <v>299</v>
      </c>
      <c r="B88" s="3"/>
    </row>
    <row r="89" spans="1:5" x14ac:dyDescent="0.25">
      <c r="A89" t="s">
        <v>60</v>
      </c>
      <c r="D89">
        <v>876</v>
      </c>
      <c r="E89" t="s">
        <v>2</v>
      </c>
    </row>
    <row r="90" spans="1:5" x14ac:dyDescent="0.25">
      <c r="A90" t="s">
        <v>248</v>
      </c>
      <c r="D90">
        <v>10.5</v>
      </c>
      <c r="E90" t="s">
        <v>2</v>
      </c>
    </row>
    <row r="91" spans="1:5" x14ac:dyDescent="0.25">
      <c r="A91" t="s">
        <v>61</v>
      </c>
      <c r="D91">
        <v>2</v>
      </c>
    </row>
    <row r="92" spans="1:5" x14ac:dyDescent="0.25">
      <c r="A92" t="s">
        <v>62</v>
      </c>
      <c r="D92">
        <f>D89*D90*D91</f>
        <v>18396</v>
      </c>
      <c r="E92" t="s">
        <v>40</v>
      </c>
    </row>
    <row r="93" spans="1:5" x14ac:dyDescent="0.25">
      <c r="D93">
        <f>D92/9</f>
        <v>2044</v>
      </c>
      <c r="E93" t="s">
        <v>24</v>
      </c>
    </row>
    <row r="95" spans="1:5" x14ac:dyDescent="0.25">
      <c r="A95" s="6" t="s">
        <v>63</v>
      </c>
    </row>
    <row r="96" spans="1:5" x14ac:dyDescent="0.25">
      <c r="A96" t="s">
        <v>64</v>
      </c>
      <c r="D96">
        <v>0</v>
      </c>
    </row>
    <row r="97" spans="1:5" x14ac:dyDescent="0.25">
      <c r="A97" t="s">
        <v>76</v>
      </c>
      <c r="D97">
        <v>3</v>
      </c>
      <c r="E97" t="s">
        <v>2</v>
      </c>
    </row>
    <row r="98" spans="1:5" x14ac:dyDescent="0.25">
      <c r="A98" t="s">
        <v>65</v>
      </c>
      <c r="D98">
        <f>D97*4</f>
        <v>12</v>
      </c>
      <c r="E98" t="s">
        <v>40</v>
      </c>
    </row>
    <row r="99" spans="1:5" x14ac:dyDescent="0.25">
      <c r="A99" t="s">
        <v>68</v>
      </c>
      <c r="D99">
        <v>2</v>
      </c>
    </row>
    <row r="101" spans="1:5" x14ac:dyDescent="0.25">
      <c r="A101" t="s">
        <v>66</v>
      </c>
      <c r="D101">
        <f>D97*3</f>
        <v>9</v>
      </c>
      <c r="E101" t="s">
        <v>40</v>
      </c>
    </row>
    <row r="102" spans="1:5" x14ac:dyDescent="0.25">
      <c r="A102" t="s">
        <v>69</v>
      </c>
      <c r="D102">
        <v>2</v>
      </c>
    </row>
    <row r="104" spans="1:5" x14ac:dyDescent="0.25">
      <c r="A104" t="s">
        <v>67</v>
      </c>
      <c r="D104">
        <f>D97*(4+5.5)/2</f>
        <v>14.25</v>
      </c>
      <c r="E104" t="s">
        <v>40</v>
      </c>
    </row>
    <row r="105" spans="1:5" x14ac:dyDescent="0.25">
      <c r="A105" t="s">
        <v>70</v>
      </c>
      <c r="D105">
        <v>4</v>
      </c>
    </row>
    <row r="107" spans="1:5" x14ac:dyDescent="0.25">
      <c r="A107" t="s">
        <v>71</v>
      </c>
    </row>
    <row r="108" spans="1:5" x14ac:dyDescent="0.25">
      <c r="A108" t="s">
        <v>73</v>
      </c>
      <c r="D108">
        <f>ATAN(7.5/15)*180/PI()</f>
        <v>26.56505117707799</v>
      </c>
      <c r="E108" t="s">
        <v>72</v>
      </c>
    </row>
    <row r="109" spans="1:5" x14ac:dyDescent="0.25">
      <c r="A109" t="s">
        <v>74</v>
      </c>
      <c r="D109">
        <f>3/COS(D108*PI()/180)</f>
        <v>3.3541019662496847</v>
      </c>
      <c r="E109" t="s">
        <v>2</v>
      </c>
    </row>
    <row r="110" spans="1:5" x14ac:dyDescent="0.25">
      <c r="A110" t="s">
        <v>75</v>
      </c>
      <c r="D110">
        <f>D97*D109</f>
        <v>10.062305898749054</v>
      </c>
      <c r="E110" t="s">
        <v>40</v>
      </c>
    </row>
    <row r="111" spans="1:5" x14ac:dyDescent="0.25">
      <c r="A111" t="s">
        <v>77</v>
      </c>
      <c r="D111">
        <v>2</v>
      </c>
    </row>
    <row r="113" spans="1:8" x14ac:dyDescent="0.25">
      <c r="A113" t="s">
        <v>78</v>
      </c>
      <c r="D113">
        <f>D96*(D98*D99+D101*D102+D104*D105+D110*D111)</f>
        <v>0</v>
      </c>
      <c r="E113" t="s">
        <v>40</v>
      </c>
    </row>
    <row r="114" spans="1:8" x14ac:dyDescent="0.25">
      <c r="D114">
        <f>D113/9</f>
        <v>0</v>
      </c>
      <c r="E114" t="s">
        <v>24</v>
      </c>
    </row>
    <row r="116" spans="1:8" x14ac:dyDescent="0.25">
      <c r="A116" s="3" t="s">
        <v>80</v>
      </c>
      <c r="B116" s="3"/>
      <c r="C116" s="3"/>
      <c r="D116" s="3"/>
      <c r="E116" s="3"/>
      <c r="F116" s="3"/>
      <c r="G116" s="3"/>
      <c r="H116" s="3"/>
    </row>
    <row r="118" spans="1:8" x14ac:dyDescent="0.25">
      <c r="A118" t="s">
        <v>81</v>
      </c>
      <c r="D118">
        <v>2</v>
      </c>
      <c r="E118" t="s">
        <v>2</v>
      </c>
    </row>
    <row r="119" spans="1:8" x14ac:dyDescent="0.25">
      <c r="A119" t="s">
        <v>82</v>
      </c>
      <c r="D119">
        <v>41.5</v>
      </c>
      <c r="E119" t="s">
        <v>2</v>
      </c>
    </row>
    <row r="120" spans="1:8" x14ac:dyDescent="0.25">
      <c r="A120" t="s">
        <v>276</v>
      </c>
      <c r="D120">
        <v>3</v>
      </c>
      <c r="E120" t="s">
        <v>2</v>
      </c>
    </row>
    <row r="121" spans="1:8" x14ac:dyDescent="0.25">
      <c r="A121" t="s">
        <v>88</v>
      </c>
      <c r="D121">
        <v>1.75</v>
      </c>
      <c r="E121" t="s">
        <v>2</v>
      </c>
    </row>
    <row r="122" spans="1:8" x14ac:dyDescent="0.25">
      <c r="A122" t="s">
        <v>275</v>
      </c>
      <c r="D122">
        <v>7.66</v>
      </c>
      <c r="E122" t="s">
        <v>2</v>
      </c>
    </row>
    <row r="124" spans="1:8" x14ac:dyDescent="0.25">
      <c r="A124" t="s">
        <v>84</v>
      </c>
      <c r="D124">
        <f>D119*D120</f>
        <v>124.5</v>
      </c>
      <c r="E124" t="s">
        <v>40</v>
      </c>
    </row>
    <row r="125" spans="1:8" x14ac:dyDescent="0.25">
      <c r="A125" t="s">
        <v>85</v>
      </c>
      <c r="D125">
        <f>D119*D118</f>
        <v>83</v>
      </c>
      <c r="E125" t="s">
        <v>40</v>
      </c>
    </row>
    <row r="126" spans="1:8" x14ac:dyDescent="0.25">
      <c r="A126" t="s">
        <v>86</v>
      </c>
      <c r="D126">
        <f>2*(D118*D120)</f>
        <v>12</v>
      </c>
      <c r="E126" t="s">
        <v>40</v>
      </c>
    </row>
    <row r="128" spans="1:8" ht="15" customHeight="1" x14ac:dyDescent="0.25">
      <c r="A128" s="31" t="s">
        <v>300</v>
      </c>
      <c r="B128" s="69"/>
      <c r="D128">
        <f>D122*D119</f>
        <v>317.89</v>
      </c>
      <c r="E128" t="s">
        <v>40</v>
      </c>
    </row>
    <row r="129" spans="1:8" x14ac:dyDescent="0.25">
      <c r="A129" s="69"/>
      <c r="B129" s="69"/>
      <c r="H129" s="70"/>
    </row>
    <row r="130" spans="1:8" x14ac:dyDescent="0.25">
      <c r="A130" s="4"/>
      <c r="B130" s="4"/>
    </row>
    <row r="131" spans="1:8" ht="15" customHeight="1" x14ac:dyDescent="0.25">
      <c r="A131" s="31" t="s">
        <v>301</v>
      </c>
      <c r="B131" s="71"/>
      <c r="D131">
        <f>122</f>
        <v>122</v>
      </c>
      <c r="E131" t="s">
        <v>87</v>
      </c>
    </row>
    <row r="132" spans="1:8" x14ac:dyDescent="0.25">
      <c r="A132" s="31" t="s">
        <v>302</v>
      </c>
      <c r="B132" s="71"/>
      <c r="D132">
        <v>2</v>
      </c>
      <c r="E132" t="s">
        <v>116</v>
      </c>
    </row>
    <row r="133" spans="1:8" x14ac:dyDescent="0.25">
      <c r="A133" s="71"/>
      <c r="B133" s="71"/>
    </row>
    <row r="135" spans="1:8" x14ac:dyDescent="0.25">
      <c r="A135" t="s">
        <v>78</v>
      </c>
      <c r="D135">
        <f>D124+D125+D126+D128+(D131*D132)</f>
        <v>781.39</v>
      </c>
      <c r="E135" t="s">
        <v>40</v>
      </c>
    </row>
    <row r="136" spans="1:8" x14ac:dyDescent="0.25">
      <c r="D136">
        <f>D135/9</f>
        <v>86.821111111111108</v>
      </c>
      <c r="E136" t="s">
        <v>24</v>
      </c>
    </row>
    <row r="139" spans="1:8" x14ac:dyDescent="0.25">
      <c r="A139" s="3" t="s">
        <v>89</v>
      </c>
      <c r="B139" s="3"/>
      <c r="C139" s="3"/>
      <c r="D139" s="3"/>
      <c r="E139" s="3"/>
      <c r="F139" s="3"/>
      <c r="G139" s="3"/>
      <c r="H139" s="3"/>
    </row>
    <row r="141" spans="1:8" x14ac:dyDescent="0.25">
      <c r="A141" t="s">
        <v>81</v>
      </c>
      <c r="D141">
        <v>2</v>
      </c>
      <c r="E141" t="s">
        <v>2</v>
      </c>
    </row>
    <row r="142" spans="1:8" x14ac:dyDescent="0.25">
      <c r="A142" t="s">
        <v>82</v>
      </c>
      <c r="D142">
        <v>41.5</v>
      </c>
      <c r="E142" t="s">
        <v>2</v>
      </c>
    </row>
    <row r="143" spans="1:8" x14ac:dyDescent="0.25">
      <c r="A143" t="s">
        <v>276</v>
      </c>
      <c r="D143">
        <v>3</v>
      </c>
      <c r="E143" t="s">
        <v>2</v>
      </c>
    </row>
    <row r="144" spans="1:8" x14ac:dyDescent="0.25">
      <c r="A144" t="s">
        <v>88</v>
      </c>
      <c r="D144">
        <v>1.75</v>
      </c>
      <c r="E144" t="s">
        <v>2</v>
      </c>
    </row>
    <row r="145" spans="1:5" x14ac:dyDescent="0.25">
      <c r="A145" t="s">
        <v>275</v>
      </c>
      <c r="D145">
        <v>7.66</v>
      </c>
      <c r="E145" t="s">
        <v>2</v>
      </c>
    </row>
    <row r="147" spans="1:5" x14ac:dyDescent="0.25">
      <c r="A147" t="s">
        <v>84</v>
      </c>
      <c r="D147">
        <f>D142*D143</f>
        <v>124.5</v>
      </c>
      <c r="E147" t="s">
        <v>40</v>
      </c>
    </row>
    <row r="148" spans="1:5" x14ac:dyDescent="0.25">
      <c r="A148" t="s">
        <v>85</v>
      </c>
      <c r="D148">
        <f>D142*D141</f>
        <v>83</v>
      </c>
      <c r="E148" t="s">
        <v>40</v>
      </c>
    </row>
    <row r="149" spans="1:5" x14ac:dyDescent="0.25">
      <c r="A149" t="s">
        <v>86</v>
      </c>
      <c r="D149">
        <f>2*(D141*D143)</f>
        <v>12</v>
      </c>
      <c r="E149" t="s">
        <v>40</v>
      </c>
    </row>
    <row r="150" spans="1:5" ht="15" customHeight="1" x14ac:dyDescent="0.25"/>
    <row r="151" spans="1:5" x14ac:dyDescent="0.25">
      <c r="A151" s="31" t="s">
        <v>300</v>
      </c>
      <c r="B151" s="69"/>
      <c r="D151">
        <f>D145*D142</f>
        <v>317.89</v>
      </c>
      <c r="E151" t="s">
        <v>40</v>
      </c>
    </row>
    <row r="152" spans="1:5" x14ac:dyDescent="0.25">
      <c r="A152" s="69"/>
      <c r="B152" s="69"/>
    </row>
    <row r="153" spans="1:5" ht="15" customHeight="1" x14ac:dyDescent="0.25">
      <c r="A153" s="4"/>
      <c r="B153" s="4"/>
    </row>
    <row r="154" spans="1:5" x14ac:dyDescent="0.25">
      <c r="A154" s="31" t="s">
        <v>301</v>
      </c>
      <c r="B154" s="71"/>
      <c r="D154">
        <f>122</f>
        <v>122</v>
      </c>
      <c r="E154" t="s">
        <v>87</v>
      </c>
    </row>
    <row r="155" spans="1:5" x14ac:dyDescent="0.25">
      <c r="A155" s="31" t="s">
        <v>302</v>
      </c>
      <c r="B155" s="71"/>
      <c r="D155">
        <v>2</v>
      </c>
      <c r="E155" t="s">
        <v>116</v>
      </c>
    </row>
    <row r="156" spans="1:5" x14ac:dyDescent="0.25">
      <c r="A156" s="71"/>
      <c r="B156" s="71"/>
    </row>
    <row r="158" spans="1:5" x14ac:dyDescent="0.25">
      <c r="A158" t="s">
        <v>78</v>
      </c>
      <c r="D158">
        <f>D147+D148+D149+D151+(D154*D155)</f>
        <v>781.39</v>
      </c>
      <c r="E158" t="s">
        <v>40</v>
      </c>
    </row>
    <row r="159" spans="1:5" x14ac:dyDescent="0.25">
      <c r="D159">
        <f>D158/9</f>
        <v>86.821111111111108</v>
      </c>
      <c r="E159" t="s">
        <v>24</v>
      </c>
    </row>
    <row r="161" spans="1:8" x14ac:dyDescent="0.25">
      <c r="A161" s="7" t="s">
        <v>90</v>
      </c>
      <c r="B161" s="7"/>
      <c r="C161" s="7"/>
      <c r="D161" s="7">
        <f>ROUNDUP(D93+D114+D136+D159,0)</f>
        <v>2218</v>
      </c>
      <c r="E161" s="7" t="s">
        <v>24</v>
      </c>
    </row>
    <row r="164" spans="1:8" x14ac:dyDescent="0.25">
      <c r="A164" s="72" t="s">
        <v>79</v>
      </c>
    </row>
    <row r="166" spans="1:8" x14ac:dyDescent="0.25">
      <c r="A166" s="3" t="s">
        <v>299</v>
      </c>
      <c r="B166" s="3"/>
    </row>
    <row r="167" spans="1:8" x14ac:dyDescent="0.25">
      <c r="A167" t="s">
        <v>60</v>
      </c>
      <c r="D167">
        <v>876</v>
      </c>
      <c r="E167" t="s">
        <v>2</v>
      </c>
    </row>
    <row r="168" spans="1:8" x14ac:dyDescent="0.25">
      <c r="A168" t="s">
        <v>248</v>
      </c>
      <c r="D168">
        <v>3</v>
      </c>
      <c r="E168" t="s">
        <v>2</v>
      </c>
    </row>
    <row r="169" spans="1:8" x14ac:dyDescent="0.25">
      <c r="A169" t="s">
        <v>61</v>
      </c>
      <c r="D169">
        <v>2</v>
      </c>
    </row>
    <row r="170" spans="1:8" x14ac:dyDescent="0.25">
      <c r="A170" t="s">
        <v>62</v>
      </c>
      <c r="D170">
        <f>D167*D168*D169</f>
        <v>5256</v>
      </c>
      <c r="E170" t="s">
        <v>40</v>
      </c>
    </row>
    <row r="171" spans="1:8" x14ac:dyDescent="0.25">
      <c r="D171">
        <f>D170/9</f>
        <v>584</v>
      </c>
      <c r="E171" t="s">
        <v>24</v>
      </c>
    </row>
    <row r="174" spans="1:8" x14ac:dyDescent="0.25">
      <c r="A174" s="3" t="s">
        <v>80</v>
      </c>
      <c r="B174" s="3"/>
      <c r="C174" s="3"/>
      <c r="D174" s="3"/>
      <c r="E174" s="3"/>
      <c r="F174" s="3"/>
      <c r="G174" s="3"/>
      <c r="H174" s="3"/>
    </row>
    <row r="176" spans="1:8" x14ac:dyDescent="0.25">
      <c r="A176" t="s">
        <v>81</v>
      </c>
      <c r="D176">
        <v>2</v>
      </c>
      <c r="E176" t="s">
        <v>2</v>
      </c>
    </row>
    <row r="177" spans="1:8" x14ac:dyDescent="0.25">
      <c r="A177" t="s">
        <v>82</v>
      </c>
      <c r="D177">
        <v>41.5</v>
      </c>
      <c r="E177" t="s">
        <v>2</v>
      </c>
    </row>
    <row r="178" spans="1:8" x14ac:dyDescent="0.25">
      <c r="A178" t="s">
        <v>276</v>
      </c>
      <c r="D178">
        <v>3</v>
      </c>
      <c r="E178" t="s">
        <v>2</v>
      </c>
    </row>
    <row r="179" spans="1:8" x14ac:dyDescent="0.25">
      <c r="A179" t="s">
        <v>88</v>
      </c>
      <c r="D179">
        <v>1.75</v>
      </c>
      <c r="E179" t="s">
        <v>2</v>
      </c>
    </row>
    <row r="180" spans="1:8" x14ac:dyDescent="0.25">
      <c r="A180" t="s">
        <v>275</v>
      </c>
      <c r="D180">
        <v>7.66</v>
      </c>
      <c r="E180" t="s">
        <v>2</v>
      </c>
    </row>
    <row r="182" spans="1:8" x14ac:dyDescent="0.25">
      <c r="A182" t="s">
        <v>84</v>
      </c>
      <c r="D182">
        <f>D177*D178</f>
        <v>124.5</v>
      </c>
      <c r="E182" t="s">
        <v>40</v>
      </c>
    </row>
    <row r="183" spans="1:8" x14ac:dyDescent="0.25">
      <c r="A183" t="s">
        <v>85</v>
      </c>
      <c r="D183">
        <f>D177*D176</f>
        <v>83</v>
      </c>
      <c r="E183" t="s">
        <v>40</v>
      </c>
    </row>
    <row r="184" spans="1:8" x14ac:dyDescent="0.25">
      <c r="A184" t="s">
        <v>86</v>
      </c>
      <c r="D184">
        <f>2*(D176*D178)</f>
        <v>12</v>
      </c>
      <c r="E184" t="s">
        <v>40</v>
      </c>
    </row>
    <row r="186" spans="1:8" x14ac:dyDescent="0.25">
      <c r="A186" s="31" t="s">
        <v>300</v>
      </c>
      <c r="B186" s="69"/>
      <c r="D186">
        <f>D180*D177</f>
        <v>317.89</v>
      </c>
      <c r="E186" t="s">
        <v>40</v>
      </c>
    </row>
    <row r="187" spans="1:8" x14ac:dyDescent="0.25">
      <c r="A187" s="69"/>
      <c r="B187" s="69"/>
      <c r="H187" s="70"/>
    </row>
    <row r="188" spans="1:8" x14ac:dyDescent="0.25">
      <c r="A188" s="4"/>
      <c r="B188" s="4"/>
    </row>
    <row r="189" spans="1:8" x14ac:dyDescent="0.25">
      <c r="A189" s="31" t="s">
        <v>301</v>
      </c>
      <c r="B189" s="71"/>
      <c r="D189">
        <f>122</f>
        <v>122</v>
      </c>
      <c r="E189" t="s">
        <v>87</v>
      </c>
    </row>
    <row r="190" spans="1:8" x14ac:dyDescent="0.25">
      <c r="A190" s="31" t="s">
        <v>302</v>
      </c>
      <c r="B190" s="71"/>
      <c r="D190">
        <v>2</v>
      </c>
      <c r="E190" t="s">
        <v>116</v>
      </c>
    </row>
    <row r="191" spans="1:8" x14ac:dyDescent="0.25">
      <c r="A191" s="71"/>
      <c r="B191" s="71"/>
    </row>
    <row r="193" spans="1:8" x14ac:dyDescent="0.25">
      <c r="A193" t="s">
        <v>78</v>
      </c>
      <c r="D193">
        <f>D182+D183+D184+D186+(D189*D190)</f>
        <v>781.39</v>
      </c>
      <c r="E193" t="s">
        <v>40</v>
      </c>
    </row>
    <row r="194" spans="1:8" x14ac:dyDescent="0.25">
      <c r="D194">
        <f>D193/9</f>
        <v>86.821111111111108</v>
      </c>
      <c r="E194" t="s">
        <v>24</v>
      </c>
    </row>
    <row r="197" spans="1:8" x14ac:dyDescent="0.25">
      <c r="A197" s="3" t="s">
        <v>89</v>
      </c>
      <c r="B197" s="3"/>
      <c r="C197" s="3"/>
      <c r="D197" s="3"/>
      <c r="E197" s="3"/>
      <c r="F197" s="3"/>
      <c r="G197" s="3"/>
      <c r="H197" s="3"/>
    </row>
    <row r="199" spans="1:8" x14ac:dyDescent="0.25">
      <c r="A199" t="s">
        <v>81</v>
      </c>
      <c r="D199">
        <v>2</v>
      </c>
      <c r="E199" t="s">
        <v>2</v>
      </c>
    </row>
    <row r="200" spans="1:8" x14ac:dyDescent="0.25">
      <c r="A200" t="s">
        <v>82</v>
      </c>
      <c r="D200">
        <v>41.5</v>
      </c>
      <c r="E200" t="s">
        <v>2</v>
      </c>
    </row>
    <row r="201" spans="1:8" x14ac:dyDescent="0.25">
      <c r="A201" t="s">
        <v>276</v>
      </c>
      <c r="D201">
        <v>3</v>
      </c>
      <c r="E201" t="s">
        <v>2</v>
      </c>
    </row>
    <row r="202" spans="1:8" x14ac:dyDescent="0.25">
      <c r="A202" t="s">
        <v>88</v>
      </c>
      <c r="D202">
        <v>1.75</v>
      </c>
      <c r="E202" t="s">
        <v>2</v>
      </c>
    </row>
    <row r="203" spans="1:8" x14ac:dyDescent="0.25">
      <c r="A203" t="s">
        <v>275</v>
      </c>
      <c r="D203">
        <v>7.66</v>
      </c>
      <c r="E203" t="s">
        <v>2</v>
      </c>
    </row>
    <row r="205" spans="1:8" x14ac:dyDescent="0.25">
      <c r="A205" t="s">
        <v>84</v>
      </c>
      <c r="D205">
        <f>D200*D201</f>
        <v>124.5</v>
      </c>
      <c r="E205" t="s">
        <v>40</v>
      </c>
    </row>
    <row r="206" spans="1:8" x14ac:dyDescent="0.25">
      <c r="A206" t="s">
        <v>85</v>
      </c>
      <c r="D206">
        <f>D200*D199</f>
        <v>83</v>
      </c>
      <c r="E206" t="s">
        <v>40</v>
      </c>
    </row>
    <row r="207" spans="1:8" x14ac:dyDescent="0.25">
      <c r="A207" t="s">
        <v>86</v>
      </c>
      <c r="D207">
        <f>2*(D199*D201)</f>
        <v>12</v>
      </c>
      <c r="E207" t="s">
        <v>40</v>
      </c>
    </row>
    <row r="209" spans="1:5" x14ac:dyDescent="0.25">
      <c r="A209" s="31" t="s">
        <v>300</v>
      </c>
      <c r="B209" s="69"/>
      <c r="D209">
        <f>D203*D200</f>
        <v>317.89</v>
      </c>
      <c r="E209" t="s">
        <v>40</v>
      </c>
    </row>
    <row r="210" spans="1:5" x14ac:dyDescent="0.25">
      <c r="A210" s="69"/>
      <c r="B210" s="69"/>
    </row>
    <row r="211" spans="1:5" x14ac:dyDescent="0.25">
      <c r="A211" s="4"/>
      <c r="B211" s="4"/>
    </row>
    <row r="212" spans="1:5" x14ac:dyDescent="0.25">
      <c r="A212" s="31" t="s">
        <v>301</v>
      </c>
      <c r="B212" s="71"/>
      <c r="D212">
        <f>122</f>
        <v>122</v>
      </c>
      <c r="E212" t="s">
        <v>87</v>
      </c>
    </row>
    <row r="213" spans="1:5" x14ac:dyDescent="0.25">
      <c r="A213" s="31" t="s">
        <v>302</v>
      </c>
      <c r="B213" s="71"/>
      <c r="D213">
        <v>2</v>
      </c>
      <c r="E213" t="s">
        <v>116</v>
      </c>
    </row>
    <row r="214" spans="1:5" x14ac:dyDescent="0.25">
      <c r="A214" s="71"/>
      <c r="B214" s="71"/>
    </row>
    <row r="216" spans="1:5" x14ac:dyDescent="0.25">
      <c r="A216" t="s">
        <v>78</v>
      </c>
      <c r="D216">
        <f>D205+D206+D207+D209+(D212*D213)</f>
        <v>781.39</v>
      </c>
      <c r="E216" t="s">
        <v>40</v>
      </c>
    </row>
    <row r="217" spans="1:5" x14ac:dyDescent="0.25">
      <c r="D217">
        <f>D216/9</f>
        <v>86.821111111111108</v>
      </c>
      <c r="E217" t="s">
        <v>24</v>
      </c>
    </row>
    <row r="220" spans="1:5" x14ac:dyDescent="0.25">
      <c r="A220" s="7" t="s">
        <v>90</v>
      </c>
      <c r="B220" s="7"/>
      <c r="C220" s="7"/>
      <c r="D220" s="7">
        <f>ROUNDUP(D171+D194+D217,0)</f>
        <v>758</v>
      </c>
      <c r="E220" s="7" t="s">
        <v>24</v>
      </c>
    </row>
    <row r="225" spans="1:7" x14ac:dyDescent="0.25">
      <c r="A225" s="2" t="s">
        <v>274</v>
      </c>
    </row>
    <row r="227" spans="1:7" x14ac:dyDescent="0.25">
      <c r="A227" t="s">
        <v>11</v>
      </c>
      <c r="D227">
        <v>25</v>
      </c>
      <c r="E227" t="s">
        <v>2</v>
      </c>
    </row>
    <row r="228" spans="1:7" x14ac:dyDescent="0.25">
      <c r="A228" t="s">
        <v>10</v>
      </c>
      <c r="D228">
        <v>24</v>
      </c>
      <c r="E228" t="s">
        <v>2</v>
      </c>
      <c r="F228" t="s">
        <v>21</v>
      </c>
    </row>
    <row r="229" spans="1:7" x14ac:dyDescent="0.25">
      <c r="A229" t="s">
        <v>12</v>
      </c>
      <c r="D229">
        <v>0</v>
      </c>
    </row>
    <row r="230" spans="1:7" x14ac:dyDescent="0.25">
      <c r="A230" t="s">
        <v>22</v>
      </c>
      <c r="D230">
        <f>D227*D228*D229</f>
        <v>0</v>
      </c>
      <c r="E230" t="s">
        <v>23</v>
      </c>
      <c r="F230">
        <f>D230/9</f>
        <v>0</v>
      </c>
      <c r="G230" t="s">
        <v>24</v>
      </c>
    </row>
    <row r="232" spans="1:7" x14ac:dyDescent="0.25">
      <c r="A232" t="s">
        <v>25</v>
      </c>
      <c r="D232">
        <v>876</v>
      </c>
      <c r="E232" t="s">
        <v>2</v>
      </c>
      <c r="F232" t="s">
        <v>27</v>
      </c>
    </row>
    <row r="233" spans="1:7" x14ac:dyDescent="0.25">
      <c r="A233" t="s">
        <v>26</v>
      </c>
      <c r="D233">
        <v>38.5</v>
      </c>
      <c r="E233" t="s">
        <v>2</v>
      </c>
      <c r="F233" t="s">
        <v>21</v>
      </c>
    </row>
    <row r="234" spans="1:7" x14ac:dyDescent="0.25">
      <c r="A234" t="s">
        <v>36</v>
      </c>
      <c r="D234">
        <f>D232*D233</f>
        <v>33726</v>
      </c>
      <c r="E234" t="s">
        <v>23</v>
      </c>
      <c r="F234">
        <f>D234/9</f>
        <v>3747.3333333333335</v>
      </c>
      <c r="G234" t="s">
        <v>24</v>
      </c>
    </row>
    <row r="236" spans="1:7" x14ac:dyDescent="0.25">
      <c r="A236" s="7" t="s">
        <v>28</v>
      </c>
      <c r="B236" s="7">
        <f>ROUNDUP(F230+F234,0)</f>
        <v>3748</v>
      </c>
      <c r="C236" s="7" t="s">
        <v>24</v>
      </c>
    </row>
    <row r="242" spans="1:62" x14ac:dyDescent="0.25">
      <c r="A242" s="73"/>
    </row>
    <row r="243" spans="1:62" x14ac:dyDescent="0.25">
      <c r="A243" s="197" t="s">
        <v>309</v>
      </c>
      <c r="B243" s="197"/>
      <c r="C243" s="197"/>
      <c r="D243" s="197"/>
      <c r="E243" s="197"/>
      <c r="F243" s="197"/>
      <c r="G243" s="197"/>
      <c r="H243" s="197"/>
      <c r="I243" s="197"/>
      <c r="J243" s="197"/>
    </row>
    <row r="244" spans="1:62" x14ac:dyDescent="0.25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</row>
    <row r="245" spans="1:62" x14ac:dyDescent="0.25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</row>
    <row r="246" spans="1:62" ht="15.75" x14ac:dyDescent="0.25">
      <c r="AJ246" s="8"/>
    </row>
    <row r="247" spans="1:62" ht="18" x14ac:dyDescent="0.25">
      <c r="H247" s="9" t="s">
        <v>91</v>
      </c>
      <c r="I247" s="10">
        <f>(2*(56+2))+(3*16)-(2*0.375)</f>
        <v>163.25</v>
      </c>
      <c r="J247" s="10" t="s">
        <v>92</v>
      </c>
      <c r="K247" s="9" t="s">
        <v>93</v>
      </c>
      <c r="M247" s="9" t="s">
        <v>91</v>
      </c>
      <c r="N247" s="10">
        <f>(2*((56+90)/2+2))+(3*20)-(2*0.375)</f>
        <v>209.25</v>
      </c>
      <c r="O247" s="10" t="s">
        <v>92</v>
      </c>
      <c r="P247" s="9" t="s">
        <v>93</v>
      </c>
      <c r="Q247" s="9" t="s">
        <v>91</v>
      </c>
      <c r="R247" s="10">
        <f>(2*((56+90)/2+2))+(3*20)-(2*0.375)</f>
        <v>209.25</v>
      </c>
      <c r="S247" s="10" t="s">
        <v>92</v>
      </c>
      <c r="T247" s="9" t="s">
        <v>93</v>
      </c>
    </row>
    <row r="248" spans="1:62" ht="60" x14ac:dyDescent="0.25">
      <c r="B248">
        <v>514</v>
      </c>
      <c r="C248" s="11" t="s">
        <v>94</v>
      </c>
      <c r="D248" s="4" t="s">
        <v>95</v>
      </c>
      <c r="E248" t="s">
        <v>40</v>
      </c>
      <c r="F248" s="12">
        <v>103435</v>
      </c>
      <c r="H248" s="74" t="s">
        <v>311</v>
      </c>
      <c r="I248" s="10">
        <f>I247/12</f>
        <v>13.604166666666666</v>
      </c>
      <c r="J248" s="10" t="s">
        <v>52</v>
      </c>
      <c r="K248" s="13"/>
      <c r="M248" s="74" t="s">
        <v>312</v>
      </c>
      <c r="N248" s="10">
        <f>N247/12</f>
        <v>17.4375</v>
      </c>
      <c r="O248" s="10" t="s">
        <v>52</v>
      </c>
      <c r="P248" s="13"/>
      <c r="Q248" s="74" t="s">
        <v>312</v>
      </c>
      <c r="R248" s="10">
        <f>R247/12</f>
        <v>17.4375</v>
      </c>
      <c r="S248" s="10" t="s">
        <v>52</v>
      </c>
      <c r="T248" s="13"/>
    </row>
    <row r="249" spans="1:62" ht="45" x14ac:dyDescent="0.25">
      <c r="B249">
        <v>514</v>
      </c>
      <c r="C249" s="11" t="s">
        <v>96</v>
      </c>
      <c r="D249" s="4" t="s">
        <v>97</v>
      </c>
      <c r="E249" t="s">
        <v>40</v>
      </c>
      <c r="F249" s="12">
        <v>103435</v>
      </c>
      <c r="V249" s="14"/>
      <c r="W249" s="15" t="s">
        <v>184</v>
      </c>
      <c r="X249" s="16"/>
      <c r="Y249" s="16"/>
      <c r="Z249" s="16"/>
      <c r="AA249" s="16"/>
      <c r="AB249" s="16"/>
      <c r="AC249" s="17"/>
      <c r="AE249" s="18" t="s">
        <v>185</v>
      </c>
      <c r="AF249" s="16"/>
      <c r="AG249" s="16"/>
      <c r="AH249" s="16"/>
      <c r="AI249" s="16"/>
      <c r="AJ249" s="16"/>
      <c r="AK249" s="16"/>
      <c r="AL249" s="16"/>
      <c r="AM249" s="16"/>
      <c r="AN249" s="17"/>
      <c r="AP249" s="18" t="s">
        <v>205</v>
      </c>
      <c r="AQ249" s="16"/>
      <c r="AR249" s="16"/>
      <c r="AS249" s="16"/>
      <c r="AT249" s="16"/>
      <c r="AU249" s="16"/>
      <c r="AV249" s="16"/>
      <c r="AW249" s="16"/>
      <c r="AX249" s="16"/>
      <c r="AY249" s="17"/>
      <c r="BA249" s="104" t="s">
        <v>205</v>
      </c>
      <c r="BB249" s="76"/>
      <c r="BC249" s="76"/>
      <c r="BD249" s="76"/>
      <c r="BE249" s="76"/>
      <c r="BF249" s="76"/>
      <c r="BG249" s="76"/>
      <c r="BH249" s="76"/>
      <c r="BI249" s="76"/>
      <c r="BJ249" s="77"/>
    </row>
    <row r="250" spans="1:62" ht="60" x14ac:dyDescent="0.25">
      <c r="B250">
        <v>514</v>
      </c>
      <c r="C250" s="11" t="s">
        <v>98</v>
      </c>
      <c r="D250" s="4" t="s">
        <v>99</v>
      </c>
      <c r="E250" t="s">
        <v>40</v>
      </c>
      <c r="F250" s="12">
        <v>103435</v>
      </c>
      <c r="H250" s="10" t="s">
        <v>100</v>
      </c>
      <c r="I250" s="10">
        <f>0.75+81.5</f>
        <v>82.25</v>
      </c>
      <c r="J250" s="10" t="s">
        <v>52</v>
      </c>
      <c r="K250" s="10" t="s">
        <v>100</v>
      </c>
      <c r="L250" s="10">
        <v>75</v>
      </c>
      <c r="M250" s="10" t="s">
        <v>52</v>
      </c>
      <c r="N250" s="10" t="s">
        <v>100</v>
      </c>
      <c r="O250" s="10">
        <v>83</v>
      </c>
      <c r="P250" s="10" t="s">
        <v>52</v>
      </c>
      <c r="Q250" s="10" t="s">
        <v>52</v>
      </c>
      <c r="R250" s="10" t="s">
        <v>100</v>
      </c>
      <c r="S250" s="10">
        <v>81.5</v>
      </c>
      <c r="T250" s="10" t="s">
        <v>52</v>
      </c>
      <c r="V250" s="19"/>
      <c r="W250" s="20"/>
      <c r="X250" s="20" t="s">
        <v>101</v>
      </c>
      <c r="Y250" s="20"/>
      <c r="Z250" s="20"/>
      <c r="AE250" s="19"/>
      <c r="AF250" s="20"/>
      <c r="AG250" s="20"/>
      <c r="AH250" s="20"/>
      <c r="AI250" s="20"/>
      <c r="AJ250" t="s">
        <v>102</v>
      </c>
      <c r="AL250" s="21">
        <v>8.1999999999999993</v>
      </c>
      <c r="AM250" s="30" t="s">
        <v>103</v>
      </c>
      <c r="AN250" s="22"/>
      <c r="AP250" s="19"/>
      <c r="AQ250" s="20"/>
      <c r="AR250" s="20"/>
      <c r="AS250" s="20"/>
      <c r="AT250" s="20"/>
      <c r="AU250" t="s">
        <v>102</v>
      </c>
      <c r="AW250" s="21">
        <v>8.1999999999999993</v>
      </c>
      <c r="AX250" s="61" t="s">
        <v>103</v>
      </c>
      <c r="AY250" s="22"/>
      <c r="BA250" s="78"/>
      <c r="BB250" s="79"/>
      <c r="BC250" s="79"/>
      <c r="BD250" s="79"/>
      <c r="BE250" s="79"/>
      <c r="BF250" s="80" t="s">
        <v>102</v>
      </c>
      <c r="BG250" s="80"/>
      <c r="BH250" s="81">
        <v>8.1999999999999993</v>
      </c>
      <c r="BI250" s="82" t="s">
        <v>103</v>
      </c>
      <c r="BJ250" s="83"/>
    </row>
    <row r="251" spans="1:62" ht="45" x14ac:dyDescent="0.25">
      <c r="B251">
        <v>514</v>
      </c>
      <c r="C251" s="11" t="s">
        <v>104</v>
      </c>
      <c r="D251" s="4" t="s">
        <v>105</v>
      </c>
      <c r="E251" t="s">
        <v>40</v>
      </c>
      <c r="F251" s="12">
        <v>103435</v>
      </c>
      <c r="H251" s="23" t="s">
        <v>106</v>
      </c>
      <c r="I251" s="24" t="s">
        <v>107</v>
      </c>
      <c r="J251" s="25"/>
      <c r="K251" s="23" t="s">
        <v>106</v>
      </c>
      <c r="L251" s="24" t="s">
        <v>108</v>
      </c>
      <c r="M251" s="25"/>
      <c r="N251" s="23" t="s">
        <v>106</v>
      </c>
      <c r="O251" s="24" t="s">
        <v>310</v>
      </c>
      <c r="P251" s="25"/>
      <c r="Q251" s="25"/>
      <c r="R251" s="23" t="s">
        <v>106</v>
      </c>
      <c r="S251" s="24" t="s">
        <v>310</v>
      </c>
      <c r="T251" s="25"/>
      <c r="V251" s="19"/>
      <c r="W251" s="20"/>
      <c r="X251" s="20"/>
      <c r="Y251" s="20"/>
      <c r="Z251" s="20"/>
      <c r="AA251" s="26"/>
      <c r="AB251" s="20"/>
      <c r="AC251" s="22"/>
      <c r="AE251" s="19"/>
      <c r="AI251" s="30"/>
      <c r="AJ251" s="30"/>
      <c r="AK251" s="30"/>
      <c r="AL251" s="20"/>
      <c r="AM251" s="20"/>
      <c r="AN251" s="22"/>
      <c r="AP251" s="19"/>
      <c r="AT251" s="61"/>
      <c r="AU251" s="61"/>
      <c r="AV251" s="61"/>
      <c r="AW251" s="20"/>
      <c r="AX251" s="20"/>
      <c r="AY251" s="22"/>
      <c r="BA251" s="78"/>
      <c r="BB251" s="80"/>
      <c r="BC251" s="80"/>
      <c r="BD251" s="80"/>
      <c r="BE251" s="82"/>
      <c r="BF251" s="82"/>
      <c r="BG251" s="82"/>
      <c r="BH251" s="79"/>
      <c r="BI251" s="79"/>
      <c r="BJ251" s="83"/>
    </row>
    <row r="252" spans="1:62" ht="45" x14ac:dyDescent="0.25">
      <c r="B252">
        <v>514</v>
      </c>
      <c r="C252" s="11" t="s">
        <v>109</v>
      </c>
      <c r="D252" s="5" t="s">
        <v>110</v>
      </c>
      <c r="E252" t="s">
        <v>111</v>
      </c>
      <c r="F252" s="27">
        <f>ROUNDUP(J254*J256/60,0)</f>
        <v>74</v>
      </c>
      <c r="H252" s="10" t="s">
        <v>112</v>
      </c>
      <c r="I252" s="28">
        <f>I250*I248</f>
        <v>1118.9427083333333</v>
      </c>
      <c r="J252" s="10" t="s">
        <v>113</v>
      </c>
      <c r="K252" s="10" t="s">
        <v>112</v>
      </c>
      <c r="L252" s="28">
        <f>L250*I248</f>
        <v>1020.3125</v>
      </c>
      <c r="M252" s="10" t="s">
        <v>113</v>
      </c>
      <c r="N252" s="10" t="s">
        <v>112</v>
      </c>
      <c r="O252" s="28">
        <f>O250*N248</f>
        <v>1447.3125</v>
      </c>
      <c r="P252" s="10" t="s">
        <v>113</v>
      </c>
      <c r="Q252" s="10" t="s">
        <v>113</v>
      </c>
      <c r="R252" s="10" t="s">
        <v>112</v>
      </c>
      <c r="S252" s="28">
        <f>S250*R248</f>
        <v>1421.15625</v>
      </c>
      <c r="T252" s="10" t="s">
        <v>113</v>
      </c>
      <c r="V252" s="19"/>
      <c r="W252" s="20" t="s">
        <v>114</v>
      </c>
      <c r="X252" s="29">
        <v>9.5</v>
      </c>
      <c r="Y252" s="29" t="s">
        <v>52</v>
      </c>
      <c r="Z252" s="29"/>
      <c r="AA252" s="20"/>
      <c r="AB252" s="20"/>
      <c r="AC252" s="22"/>
      <c r="AE252" s="190" t="s">
        <v>183</v>
      </c>
      <c r="AF252" s="191"/>
      <c r="AG252" s="191"/>
      <c r="AH252" s="191"/>
      <c r="AI252" s="191"/>
      <c r="AJ252" s="191"/>
      <c r="AK252" s="191"/>
      <c r="AL252" s="20"/>
      <c r="AM252" s="20"/>
      <c r="AN252" s="22"/>
      <c r="AP252" s="190" t="s">
        <v>192</v>
      </c>
      <c r="AQ252" s="191"/>
      <c r="AR252" s="191"/>
      <c r="AS252" s="191"/>
      <c r="AT252" s="191"/>
      <c r="AU252" s="191"/>
      <c r="AV252" s="191"/>
      <c r="AW252" s="20"/>
      <c r="AX252" s="20"/>
      <c r="AY252" s="22"/>
      <c r="BA252" s="198" t="s">
        <v>191</v>
      </c>
      <c r="BB252" s="199"/>
      <c r="BC252" s="199"/>
      <c r="BD252" s="199"/>
      <c r="BE252" s="199"/>
      <c r="BF252" s="199"/>
      <c r="BG252" s="199"/>
      <c r="BH252" s="79"/>
      <c r="BI252" s="79"/>
      <c r="BJ252" s="83"/>
    </row>
    <row r="253" spans="1:62" ht="31.5" x14ac:dyDescent="0.35">
      <c r="B253">
        <v>514</v>
      </c>
      <c r="C253" s="31">
        <v>10000</v>
      </c>
      <c r="D253" s="5" t="s">
        <v>115</v>
      </c>
      <c r="E253" t="s">
        <v>116</v>
      </c>
      <c r="F253" s="32">
        <f>ROUNDUP(MAX(F248/1200,(J254*J256/150)),0)</f>
        <v>87</v>
      </c>
      <c r="H253" s="28" t="s">
        <v>117</v>
      </c>
      <c r="I253" s="33">
        <f>I252*1.1</f>
        <v>1230.8369791666667</v>
      </c>
      <c r="J253" s="28" t="s">
        <v>113</v>
      </c>
      <c r="K253" s="28" t="s">
        <v>117</v>
      </c>
      <c r="L253" s="33">
        <f>L252*1.1</f>
        <v>1122.34375</v>
      </c>
      <c r="M253" s="28" t="s">
        <v>113</v>
      </c>
      <c r="N253" s="28" t="s">
        <v>117</v>
      </c>
      <c r="O253" s="33">
        <f>O252*1.1</f>
        <v>1592.04375</v>
      </c>
      <c r="P253" s="28" t="s">
        <v>113</v>
      </c>
      <c r="Q253" s="28" t="s">
        <v>113</v>
      </c>
      <c r="R253" s="28" t="s">
        <v>117</v>
      </c>
      <c r="S253" s="33">
        <f>S252*1.1</f>
        <v>1563.2718750000001</v>
      </c>
      <c r="T253" s="28" t="s">
        <v>113</v>
      </c>
      <c r="V253" s="19" t="s">
        <v>313</v>
      </c>
      <c r="W253" s="68" t="s">
        <v>317</v>
      </c>
      <c r="X253" s="20">
        <v>60</v>
      </c>
      <c r="Y253" s="20" t="s">
        <v>92</v>
      </c>
      <c r="Z253" s="20"/>
      <c r="AA253" s="26" t="s">
        <v>118</v>
      </c>
      <c r="AB253" s="20">
        <v>2</v>
      </c>
      <c r="AC253" s="22" t="s">
        <v>92</v>
      </c>
      <c r="AE253" s="34"/>
      <c r="AF253" s="30"/>
      <c r="AG253" s="30" t="s">
        <v>101</v>
      </c>
      <c r="AH253" s="30" t="s">
        <v>119</v>
      </c>
      <c r="AI253" s="30" t="s">
        <v>120</v>
      </c>
      <c r="AJ253" s="30"/>
      <c r="AK253" s="30"/>
      <c r="AL253" s="26" t="s">
        <v>118</v>
      </c>
      <c r="AM253" s="20">
        <v>2</v>
      </c>
      <c r="AN253" s="22" t="s">
        <v>92</v>
      </c>
      <c r="AP253" s="60"/>
      <c r="AQ253" s="61"/>
      <c r="AR253" s="61" t="s">
        <v>101</v>
      </c>
      <c r="AS253" s="61" t="s">
        <v>119</v>
      </c>
      <c r="AT253" s="61" t="s">
        <v>120</v>
      </c>
      <c r="AU253" s="61"/>
      <c r="AV253" s="61"/>
      <c r="AW253" s="26" t="s">
        <v>118</v>
      </c>
      <c r="AX253" s="20">
        <v>2</v>
      </c>
      <c r="AY253" s="22" t="s">
        <v>92</v>
      </c>
      <c r="BA253" s="84"/>
      <c r="BB253" s="82"/>
      <c r="BC253" s="82" t="s">
        <v>101</v>
      </c>
      <c r="BD253" s="82" t="s">
        <v>119</v>
      </c>
      <c r="BE253" s="82" t="s">
        <v>120</v>
      </c>
      <c r="BF253" s="82"/>
      <c r="BG253" s="82"/>
      <c r="BH253" s="85" t="s">
        <v>118</v>
      </c>
      <c r="BI253" s="79">
        <v>2</v>
      </c>
      <c r="BJ253" s="83" t="s">
        <v>92</v>
      </c>
    </row>
    <row r="254" spans="1:62" x14ac:dyDescent="0.25">
      <c r="H254" s="35" t="s">
        <v>121</v>
      </c>
      <c r="I254" s="36"/>
      <c r="J254" s="10">
        <f>2*I250+4*L250+3*O250+2*S250</f>
        <v>876.5</v>
      </c>
      <c r="K254" s="10" t="s">
        <v>52</v>
      </c>
      <c r="V254" s="19"/>
      <c r="W254" s="20"/>
      <c r="X254" s="20">
        <f>X253/12</f>
        <v>5</v>
      </c>
      <c r="Y254" s="20" t="s">
        <v>52</v>
      </c>
      <c r="Z254" s="20"/>
      <c r="AA254" s="26"/>
      <c r="AB254" s="20"/>
      <c r="AC254" s="22"/>
      <c r="AE254" s="34"/>
      <c r="AF254" s="30" t="s">
        <v>114</v>
      </c>
      <c r="AG254" s="30">
        <v>9.5</v>
      </c>
      <c r="AH254" s="30">
        <f>AG254/3</f>
        <v>3.1666666666666665</v>
      </c>
      <c r="AI254" s="30">
        <f>AG254/6</f>
        <v>1.5833333333333333</v>
      </c>
      <c r="AJ254" s="30"/>
      <c r="AK254" s="30"/>
      <c r="AL254" s="20" t="s">
        <v>92</v>
      </c>
      <c r="AM254" s="20"/>
      <c r="AN254" s="22"/>
      <c r="AP254" s="60"/>
      <c r="AQ254" s="61" t="s">
        <v>114</v>
      </c>
      <c r="AR254" s="61">
        <v>9.5</v>
      </c>
      <c r="AS254" s="61">
        <f>AR254/3</f>
        <v>3.1666666666666665</v>
      </c>
      <c r="AT254" s="61">
        <f>AR254/6</f>
        <v>1.5833333333333333</v>
      </c>
      <c r="AU254" s="61"/>
      <c r="AV254" s="61"/>
      <c r="AW254" s="20" t="s">
        <v>92</v>
      </c>
      <c r="AX254" s="20"/>
      <c r="AY254" s="22"/>
      <c r="BA254" s="84"/>
      <c r="BB254" s="82" t="s">
        <v>114</v>
      </c>
      <c r="BC254" s="82">
        <v>17.666599999999999</v>
      </c>
      <c r="BD254" s="82">
        <f>BC254/3</f>
        <v>5.888866666666666</v>
      </c>
      <c r="BE254" s="82">
        <f>BC254/6</f>
        <v>2.944433333333333</v>
      </c>
      <c r="BF254" s="82"/>
      <c r="BG254" s="82"/>
      <c r="BH254" s="79" t="s">
        <v>92</v>
      </c>
      <c r="BI254" s="79"/>
      <c r="BJ254" s="83"/>
    </row>
    <row r="255" spans="1:62" x14ac:dyDescent="0.25">
      <c r="H255" s="35" t="s">
        <v>122</v>
      </c>
      <c r="I255" s="37"/>
      <c r="J255" s="10">
        <f>2*I253+4*L253+3*O253+2*S253</f>
        <v>14853.723958333334</v>
      </c>
      <c r="K255" s="28" t="s">
        <v>113</v>
      </c>
      <c r="V255" s="19"/>
      <c r="W255" s="20"/>
      <c r="X255" s="20"/>
      <c r="Y255" s="20"/>
      <c r="Z255" s="20"/>
      <c r="AA255" s="20"/>
      <c r="AB255" s="20"/>
      <c r="AC255" s="22"/>
      <c r="AE255" s="34"/>
      <c r="AF255" s="30" t="s">
        <v>321</v>
      </c>
      <c r="AG255" s="30">
        <v>60</v>
      </c>
      <c r="AH255" s="38" t="s">
        <v>92</v>
      </c>
      <c r="AI255" s="30"/>
      <c r="AJ255" s="30"/>
      <c r="AK255" s="30"/>
      <c r="AL255" s="20" t="s">
        <v>92</v>
      </c>
      <c r="AM255" s="20"/>
      <c r="AN255" s="22"/>
      <c r="AP255" s="60"/>
      <c r="AQ255" s="68" t="s">
        <v>321</v>
      </c>
      <c r="AR255" s="61">
        <v>60</v>
      </c>
      <c r="AS255" s="38" t="s">
        <v>92</v>
      </c>
      <c r="AT255" s="61"/>
      <c r="AU255" s="61"/>
      <c r="AV255" s="61"/>
      <c r="AW255" s="20" t="s">
        <v>92</v>
      </c>
      <c r="AX255" s="20"/>
      <c r="AY255" s="22"/>
      <c r="BA255" s="84"/>
      <c r="BB255" s="82" t="s">
        <v>321</v>
      </c>
      <c r="BC255" s="82">
        <f>X253-AB253-AB253-1</f>
        <v>55</v>
      </c>
      <c r="BD255" s="86" t="s">
        <v>92</v>
      </c>
      <c r="BE255" s="82"/>
      <c r="BF255" s="82"/>
      <c r="BG255" s="82"/>
      <c r="BH255" s="79" t="s">
        <v>92</v>
      </c>
      <c r="BI255" s="79"/>
      <c r="BJ255" s="83"/>
    </row>
    <row r="256" spans="1:62" x14ac:dyDescent="0.25">
      <c r="H256" s="35" t="s">
        <v>123</v>
      </c>
      <c r="I256" s="37"/>
      <c r="J256" s="10">
        <v>5</v>
      </c>
      <c r="K256" s="10"/>
      <c r="V256" s="19"/>
      <c r="W256" s="20"/>
      <c r="X256" s="20"/>
      <c r="Y256" s="20"/>
      <c r="Z256" s="20"/>
      <c r="AA256" s="20"/>
      <c r="AB256" s="20"/>
      <c r="AC256" s="22"/>
      <c r="AE256" s="34"/>
      <c r="AF256" s="30"/>
      <c r="AG256" s="30">
        <f>AG255/12</f>
        <v>5</v>
      </c>
      <c r="AH256" s="38" t="s">
        <v>52</v>
      </c>
      <c r="AI256" s="30">
        <f>AF260^2+AF263^2</f>
        <v>30.283778222222217</v>
      </c>
      <c r="AJ256" s="30"/>
      <c r="AK256" s="39">
        <f>AF260^2+AG263^2</f>
        <v>22.762944888888885</v>
      </c>
      <c r="AL256" s="20" t="s">
        <v>92</v>
      </c>
      <c r="AM256" s="20"/>
      <c r="AN256" s="22"/>
      <c r="AP256" s="60"/>
      <c r="AQ256" s="61"/>
      <c r="AR256" s="61">
        <f>AR255/12</f>
        <v>5</v>
      </c>
      <c r="AS256" s="38" t="s">
        <v>52</v>
      </c>
      <c r="AT256" s="61">
        <f>AQ260^2+AQ263^2</f>
        <v>30.283778222222217</v>
      </c>
      <c r="AU256" s="61"/>
      <c r="AV256" s="39">
        <f>AQ260^2+AR263^2</f>
        <v>22.762944888888885</v>
      </c>
      <c r="AW256" s="20" t="s">
        <v>92</v>
      </c>
      <c r="AX256" s="20"/>
      <c r="AY256" s="22"/>
      <c r="BA256" s="84"/>
      <c r="BB256" s="82"/>
      <c r="BC256" s="82">
        <f>BC255/12</f>
        <v>4.583333333333333</v>
      </c>
      <c r="BD256" s="86" t="s">
        <v>52</v>
      </c>
      <c r="BE256" s="82">
        <f>BB260^2+BB263^2</f>
        <v>55.685695062222216</v>
      </c>
      <c r="BF256" s="82"/>
      <c r="BG256" s="87">
        <f>BB260^2+BC263^2</f>
        <v>29.676632098888888</v>
      </c>
      <c r="BH256" s="79" t="s">
        <v>92</v>
      </c>
      <c r="BI256" s="79"/>
      <c r="BJ256" s="83"/>
    </row>
    <row r="257" spans="8:62" ht="45" x14ac:dyDescent="0.25">
      <c r="H257" s="40" t="s">
        <v>124</v>
      </c>
      <c r="I257" s="37"/>
      <c r="J257" s="110">
        <f>J255*J256</f>
        <v>74268.619791666672</v>
      </c>
      <c r="K257" s="28" t="s">
        <v>113</v>
      </c>
      <c r="M257" s="40" t="s">
        <v>331</v>
      </c>
      <c r="N257" s="58">
        <f>35*(18*(24*4))/144</f>
        <v>420</v>
      </c>
      <c r="O257" s="37" t="s">
        <v>126</v>
      </c>
      <c r="V257" s="19"/>
      <c r="W257" s="20"/>
      <c r="X257" s="20"/>
      <c r="Y257" s="20">
        <f>SQRT((Y262)^2+(W258)^2)</f>
        <v>10.512183428976325</v>
      </c>
      <c r="Z257" s="20" t="s">
        <v>2</v>
      </c>
      <c r="AA257" s="20"/>
      <c r="AB257" s="20"/>
      <c r="AC257" s="22"/>
      <c r="AE257" s="34"/>
      <c r="AF257" s="30"/>
      <c r="AG257" s="30"/>
      <c r="AH257" s="38"/>
      <c r="AI257" s="30"/>
      <c r="AJ257" s="30"/>
      <c r="AK257" s="30"/>
      <c r="AL257" s="20"/>
      <c r="AM257" s="20"/>
      <c r="AN257" s="22"/>
      <c r="AP257" s="60"/>
      <c r="AQ257" s="61"/>
      <c r="AR257" s="61"/>
      <c r="AS257" s="38"/>
      <c r="AT257" s="61"/>
      <c r="AU257" s="61"/>
      <c r="AV257" s="61"/>
      <c r="AW257" s="20"/>
      <c r="AX257" s="20"/>
      <c r="AY257" s="22"/>
      <c r="BA257" s="84"/>
      <c r="BB257" s="82"/>
      <c r="BC257" s="82"/>
      <c r="BD257" s="86"/>
      <c r="BE257" s="82"/>
      <c r="BF257" s="82"/>
      <c r="BG257" s="82"/>
      <c r="BH257" s="79"/>
      <c r="BI257" s="79"/>
      <c r="BJ257" s="83"/>
    </row>
    <row r="258" spans="8:62" x14ac:dyDescent="0.25">
      <c r="H258" s="4"/>
      <c r="V258" s="19"/>
      <c r="W258" s="20">
        <f>X254-2*(AB253/12+0.083)</f>
        <v>4.5006666666666666</v>
      </c>
      <c r="X258" s="20" t="s">
        <v>2</v>
      </c>
      <c r="Y258" s="20"/>
      <c r="Z258" s="20"/>
      <c r="AA258" s="20"/>
      <c r="AB258" s="20"/>
      <c r="AC258" s="22"/>
      <c r="AE258" s="34"/>
      <c r="AF258" s="30"/>
      <c r="AG258" s="30"/>
      <c r="AH258" s="30"/>
      <c r="AI258" s="30"/>
      <c r="AJ258" s="30"/>
      <c r="AK258" s="30"/>
      <c r="AL258" s="20"/>
      <c r="AM258" s="20">
        <v>1.1659999999999999</v>
      </c>
      <c r="AN258" s="22" t="s">
        <v>125</v>
      </c>
      <c r="AP258" s="60"/>
      <c r="AQ258" s="61"/>
      <c r="AR258" s="61"/>
      <c r="AS258" s="61"/>
      <c r="AT258" s="61"/>
      <c r="AU258" s="61"/>
      <c r="AV258" s="61"/>
      <c r="AW258" s="20"/>
      <c r="AX258" s="20">
        <v>1.1659999999999999</v>
      </c>
      <c r="AY258" s="22" t="s">
        <v>125</v>
      </c>
      <c r="BA258" s="84"/>
      <c r="BB258" s="82"/>
      <c r="BC258" s="82"/>
      <c r="BD258" s="82"/>
      <c r="BE258" s="82"/>
      <c r="BF258" s="82"/>
      <c r="BG258" s="82"/>
      <c r="BH258" s="79"/>
      <c r="BI258" s="79">
        <v>1.1659999999999999</v>
      </c>
      <c r="BJ258" s="83" t="s">
        <v>125</v>
      </c>
    </row>
    <row r="259" spans="8:62" x14ac:dyDescent="0.25">
      <c r="H259" s="105" t="s">
        <v>325</v>
      </c>
      <c r="I259" s="16"/>
      <c r="J259" s="16">
        <f>(5+5)*56/144</f>
        <v>3.8888888888888888</v>
      </c>
      <c r="K259" s="17" t="s">
        <v>126</v>
      </c>
      <c r="L259" s="14" t="s">
        <v>324</v>
      </c>
      <c r="M259" s="16"/>
      <c r="N259" s="16"/>
      <c r="O259" s="17"/>
      <c r="P259" s="14" t="s">
        <v>334</v>
      </c>
      <c r="Q259" s="16"/>
      <c r="R259" s="16"/>
      <c r="S259" s="17"/>
      <c r="V259" s="19"/>
      <c r="W259" s="20">
        <f>W258*12</f>
        <v>54.007999999999996</v>
      </c>
      <c r="X259" s="20"/>
      <c r="Y259" s="20"/>
      <c r="Z259" s="20"/>
      <c r="AA259" s="20"/>
      <c r="AB259" s="20"/>
      <c r="AC259" s="22"/>
      <c r="AE259" s="34"/>
      <c r="AF259" s="30"/>
      <c r="AG259" s="39">
        <f>SQRT(AK256)</f>
        <v>4.771052807178819</v>
      </c>
      <c r="AH259" s="39"/>
      <c r="AI259" s="30"/>
      <c r="AJ259" s="39">
        <f>AE260</f>
        <v>5.5030698907266498</v>
      </c>
      <c r="AK259" s="30"/>
      <c r="AL259" s="20"/>
      <c r="AM259" s="41">
        <f>0.33*AM258*2</f>
        <v>0.76956000000000002</v>
      </c>
      <c r="AN259" s="22" t="s">
        <v>126</v>
      </c>
      <c r="AP259" s="60"/>
      <c r="AQ259" s="61"/>
      <c r="AR259" s="39">
        <f>SQRT(AV256)</f>
        <v>4.771052807178819</v>
      </c>
      <c r="AS259" s="39"/>
      <c r="AT259" s="61"/>
      <c r="AU259" s="39">
        <f>AP260</f>
        <v>5.5030698907266498</v>
      </c>
      <c r="AV259" s="61"/>
      <c r="AW259" s="20"/>
      <c r="AX259" s="41">
        <f>0.33*AX258*2</f>
        <v>0.76956000000000002</v>
      </c>
      <c r="AY259" s="22" t="s">
        <v>126</v>
      </c>
      <c r="BA259" s="84"/>
      <c r="BB259" s="82"/>
      <c r="BC259" s="87">
        <f>SQRT(BG256)</f>
        <v>5.44762628113281</v>
      </c>
      <c r="BD259" s="87"/>
      <c r="BE259" s="82"/>
      <c r="BF259" s="87">
        <f>BA260</f>
        <v>7.4622848419383061</v>
      </c>
      <c r="BG259" s="82"/>
      <c r="BH259" s="79"/>
      <c r="BI259" s="88">
        <f>0.33*BI258*2</f>
        <v>0.76956000000000002</v>
      </c>
      <c r="BJ259" s="83" t="s">
        <v>126</v>
      </c>
    </row>
    <row r="260" spans="8:62" x14ac:dyDescent="0.25">
      <c r="H260" s="106" t="s">
        <v>187</v>
      </c>
      <c r="I260" s="20"/>
      <c r="J260" s="20">
        <f>ROUNDUP((42+44+42)*2*J256,0)</f>
        <v>1280</v>
      </c>
      <c r="K260" s="22" t="s">
        <v>329</v>
      </c>
      <c r="L260" s="106" t="s">
        <v>186</v>
      </c>
      <c r="M260" s="20"/>
      <c r="N260" s="20">
        <f>((5+5)*(56+90)/2)/144</f>
        <v>5.0694444444444446</v>
      </c>
      <c r="O260" s="22" t="s">
        <v>126</v>
      </c>
      <c r="P260" s="106" t="s">
        <v>186</v>
      </c>
      <c r="Q260" s="20"/>
      <c r="R260" s="20">
        <f>((5+5)*(55)/144)</f>
        <v>3.8194444444444446</v>
      </c>
      <c r="S260" s="22" t="s">
        <v>126</v>
      </c>
      <c r="V260" s="19"/>
      <c r="W260" s="20"/>
      <c r="X260" s="20"/>
      <c r="Y260" s="20"/>
      <c r="Z260" s="20"/>
      <c r="AA260" s="20"/>
      <c r="AB260" s="20"/>
      <c r="AC260" s="22"/>
      <c r="AE260" s="42">
        <f>SQRT(AI256)</f>
        <v>5.5030698907266498</v>
      </c>
      <c r="AF260" s="43">
        <f>AG256-2*(AM253/12+0.083)</f>
        <v>4.5006666666666666</v>
      </c>
      <c r="AG260" s="30"/>
      <c r="AH260" s="30"/>
      <c r="AI260" s="30"/>
      <c r="AJ260" s="30"/>
      <c r="AK260" s="30"/>
      <c r="AL260" s="20"/>
      <c r="AM260" s="20">
        <v>7</v>
      </c>
      <c r="AN260" s="22" t="s">
        <v>125</v>
      </c>
      <c r="AP260" s="42">
        <f>SQRT(AT256)</f>
        <v>5.5030698907266498</v>
      </c>
      <c r="AQ260" s="43">
        <f>AR256-2*(AX253/12+0.083)</f>
        <v>4.5006666666666666</v>
      </c>
      <c r="AR260" s="61"/>
      <c r="AS260" s="61"/>
      <c r="AT260" s="61"/>
      <c r="AU260" s="61"/>
      <c r="AV260" s="61"/>
      <c r="AW260" s="20"/>
      <c r="AX260" s="20">
        <v>7</v>
      </c>
      <c r="AY260" s="22" t="s">
        <v>125</v>
      </c>
      <c r="BA260" s="89">
        <f>SQRT(BE256)</f>
        <v>7.4622848419383061</v>
      </c>
      <c r="BB260" s="90">
        <f>BC256</f>
        <v>4.583333333333333</v>
      </c>
      <c r="BC260" s="82"/>
      <c r="BD260" s="82"/>
      <c r="BE260" s="82"/>
      <c r="BF260" s="82"/>
      <c r="BG260" s="82"/>
      <c r="BH260" s="79"/>
      <c r="BI260" s="79">
        <v>7</v>
      </c>
      <c r="BJ260" s="83" t="s">
        <v>125</v>
      </c>
    </row>
    <row r="261" spans="8:62" x14ac:dyDescent="0.25">
      <c r="H261" s="106" t="s">
        <v>188</v>
      </c>
      <c r="I261" s="20"/>
      <c r="J261" s="63">
        <f>J259*J260</f>
        <v>4977.7777777777774</v>
      </c>
      <c r="K261" s="22" t="s">
        <v>126</v>
      </c>
      <c r="L261" s="106" t="s">
        <v>187</v>
      </c>
      <c r="M261" s="20"/>
      <c r="N261" s="20">
        <f>ROUNDUP(23*2*5*J256,0)</f>
        <v>1150</v>
      </c>
      <c r="O261" s="22" t="s">
        <v>329</v>
      </c>
      <c r="P261" s="106" t="s">
        <v>187</v>
      </c>
      <c r="Q261" s="20"/>
      <c r="R261" s="20">
        <f>ROUNDUP(5*5,0)</f>
        <v>25</v>
      </c>
      <c r="S261" s="22" t="s">
        <v>329</v>
      </c>
      <c r="V261" s="19"/>
      <c r="W261" s="20"/>
      <c r="X261" s="20"/>
      <c r="Y261" s="20"/>
      <c r="Z261" s="20"/>
      <c r="AA261" s="20"/>
      <c r="AB261" s="20"/>
      <c r="AC261" s="22"/>
      <c r="AE261" s="34"/>
      <c r="AF261" s="30"/>
      <c r="AG261" s="30"/>
      <c r="AH261" s="30"/>
      <c r="AI261" s="30"/>
      <c r="AJ261" s="30"/>
      <c r="AK261" s="30"/>
      <c r="AL261" s="20"/>
      <c r="AM261" s="41">
        <f>0.33*AM260*2</f>
        <v>4.62</v>
      </c>
      <c r="AN261" s="22" t="s">
        <v>126</v>
      </c>
      <c r="AP261" s="60"/>
      <c r="AQ261" s="61"/>
      <c r="AR261" s="61"/>
      <c r="AS261" s="61"/>
      <c r="AT261" s="61"/>
      <c r="AU261" s="61"/>
      <c r="AV261" s="61"/>
      <c r="AW261" s="20"/>
      <c r="AX261" s="41">
        <f>0.33*AX260*2</f>
        <v>4.62</v>
      </c>
      <c r="AY261" s="22" t="s">
        <v>126</v>
      </c>
      <c r="BA261" s="84"/>
      <c r="BB261" s="82"/>
      <c r="BC261" s="82"/>
      <c r="BD261" s="82"/>
      <c r="BE261" s="82"/>
      <c r="BF261" s="82"/>
      <c r="BG261" s="82"/>
      <c r="BH261" s="79"/>
      <c r="BI261" s="88">
        <f>0.33*BI260*2</f>
        <v>4.62</v>
      </c>
      <c r="BJ261" s="83" t="s">
        <v>126</v>
      </c>
    </row>
    <row r="262" spans="8:62" x14ac:dyDescent="0.25">
      <c r="H262" s="55" t="s">
        <v>189</v>
      </c>
      <c r="I262" s="3"/>
      <c r="J262" s="3"/>
      <c r="K262" s="50"/>
      <c r="L262" s="107" t="s">
        <v>188</v>
      </c>
      <c r="M262" s="3"/>
      <c r="N262" s="75">
        <f>N260*N261</f>
        <v>5829.8611111111113</v>
      </c>
      <c r="O262" s="50" t="s">
        <v>126</v>
      </c>
      <c r="P262" s="107" t="s">
        <v>188</v>
      </c>
      <c r="Q262" s="3"/>
      <c r="R262" s="75">
        <f>R260*R261</f>
        <v>95.486111111111114</v>
      </c>
      <c r="S262" s="50" t="s">
        <v>126</v>
      </c>
      <c r="V262" s="19"/>
      <c r="W262" s="20"/>
      <c r="X262" s="20"/>
      <c r="Y262" s="29">
        <f>X252</f>
        <v>9.5</v>
      </c>
      <c r="Z262" s="20"/>
      <c r="AA262" s="20"/>
      <c r="AB262" s="20"/>
      <c r="AC262" s="22"/>
      <c r="AE262" s="34"/>
      <c r="AF262" s="30"/>
      <c r="AG262" s="30"/>
      <c r="AH262" s="30"/>
      <c r="AI262" s="30"/>
      <c r="AJ262" s="30"/>
      <c r="AK262" s="30"/>
      <c r="AL262" s="20"/>
      <c r="AM262" s="20"/>
      <c r="AN262" s="22"/>
      <c r="AP262" s="60"/>
      <c r="AQ262" s="61"/>
      <c r="AR262" s="61"/>
      <c r="AS262" s="61"/>
      <c r="AT262" s="61"/>
      <c r="AU262" s="61"/>
      <c r="AV262" s="61"/>
      <c r="AW262" s="20"/>
      <c r="AX262" s="20"/>
      <c r="AY262" s="22"/>
      <c r="BA262" s="84"/>
      <c r="BB262" s="82"/>
      <c r="BC262" s="82"/>
      <c r="BD262" s="82"/>
      <c r="BE262" s="82"/>
      <c r="BF262" s="82"/>
      <c r="BG262" s="82"/>
      <c r="BH262" s="79"/>
      <c r="BI262" s="79"/>
      <c r="BJ262" s="83"/>
    </row>
    <row r="263" spans="8:62" x14ac:dyDescent="0.25">
      <c r="V263" s="19"/>
      <c r="W263" s="20"/>
      <c r="X263" s="20"/>
      <c r="Y263" s="20"/>
      <c r="Z263" s="20"/>
      <c r="AA263" s="20"/>
      <c r="AB263" s="20"/>
      <c r="AC263" s="22"/>
      <c r="AE263" s="34"/>
      <c r="AF263" s="39">
        <f>AG254/3</f>
        <v>3.1666666666666665</v>
      </c>
      <c r="AG263" s="39">
        <f>AF263/2</f>
        <v>1.5833333333333333</v>
      </c>
      <c r="AH263" s="30"/>
      <c r="AI263" s="30"/>
      <c r="AJ263" s="30"/>
      <c r="AK263" s="30"/>
      <c r="AL263" s="20"/>
      <c r="AM263" s="20"/>
      <c r="AN263" s="22"/>
      <c r="AP263" s="60"/>
      <c r="AQ263" s="39">
        <f>AR254/3</f>
        <v>3.1666666666666665</v>
      </c>
      <c r="AR263" s="39">
        <f>AQ263/2</f>
        <v>1.5833333333333333</v>
      </c>
      <c r="AS263" s="61"/>
      <c r="AT263" s="61"/>
      <c r="AU263" s="61"/>
      <c r="AV263" s="61"/>
      <c r="AW263" s="20"/>
      <c r="AX263" s="20"/>
      <c r="AY263" s="22"/>
      <c r="BA263" s="84"/>
      <c r="BB263" s="87">
        <f>BC254/3</f>
        <v>5.888866666666666</v>
      </c>
      <c r="BC263" s="87">
        <f>BB263/2</f>
        <v>2.944433333333333</v>
      </c>
      <c r="BD263" s="82"/>
      <c r="BE263" s="82"/>
      <c r="BF263" s="82"/>
      <c r="BG263" s="82"/>
      <c r="BH263" s="79"/>
      <c r="BI263" s="79"/>
      <c r="BJ263" s="83"/>
    </row>
    <row r="264" spans="8:62" x14ac:dyDescent="0.25">
      <c r="H264" s="105" t="s">
        <v>326</v>
      </c>
      <c r="I264" s="16"/>
      <c r="J264" s="108">
        <f>(7+7)*56/144</f>
        <v>5.4444444444444446</v>
      </c>
      <c r="K264" s="17" t="s">
        <v>126</v>
      </c>
      <c r="L264" s="105" t="s">
        <v>327</v>
      </c>
      <c r="M264" s="16"/>
      <c r="N264" s="16">
        <f>(9+9)*90/144</f>
        <v>11.25</v>
      </c>
      <c r="O264" s="17" t="s">
        <v>126</v>
      </c>
      <c r="P264" s="14" t="s">
        <v>330</v>
      </c>
      <c r="Q264" s="16"/>
      <c r="R264" s="109">
        <f>PI()*(0.67)*8</f>
        <v>16.838936623241292</v>
      </c>
      <c r="S264" s="17" t="s">
        <v>126</v>
      </c>
      <c r="V264" s="47" t="s">
        <v>129</v>
      </c>
      <c r="W264" s="20"/>
      <c r="Y264" s="29">
        <f>(1*Y262)+(2*Y257)</f>
        <v>30.52436685795265</v>
      </c>
      <c r="Z264" s="20" t="s">
        <v>125</v>
      </c>
      <c r="AA264" s="20"/>
      <c r="AB264" s="20"/>
      <c r="AC264" s="22"/>
      <c r="AE264" s="48"/>
      <c r="AF264" s="49"/>
      <c r="AG264" s="49"/>
      <c r="AH264" s="49"/>
      <c r="AI264" s="49"/>
      <c r="AJ264" s="49"/>
      <c r="AK264" s="49"/>
      <c r="AL264" s="3"/>
      <c r="AM264" s="3"/>
      <c r="AN264" s="50"/>
      <c r="AP264" s="48"/>
      <c r="AQ264" s="49"/>
      <c r="AR264" s="49"/>
      <c r="AS264" s="49"/>
      <c r="AT264" s="49"/>
      <c r="AU264" s="49"/>
      <c r="AV264" s="49"/>
      <c r="AW264" s="3"/>
      <c r="AX264" s="3"/>
      <c r="AY264" s="50"/>
      <c r="BA264" s="91"/>
      <c r="BB264" s="92"/>
      <c r="BC264" s="92"/>
      <c r="BD264" s="92"/>
      <c r="BE264" s="92"/>
      <c r="BF264" s="92"/>
      <c r="BG264" s="92"/>
      <c r="BH264" s="93"/>
      <c r="BI264" s="93"/>
      <c r="BJ264" s="94"/>
    </row>
    <row r="265" spans="8:62" x14ac:dyDescent="0.25">
      <c r="H265" s="106" t="s">
        <v>187</v>
      </c>
      <c r="I265" s="20"/>
      <c r="J265" s="20">
        <f>(2*5)*2</f>
        <v>20</v>
      </c>
      <c r="K265" s="22" t="s">
        <v>329</v>
      </c>
      <c r="L265" s="106" t="s">
        <v>187</v>
      </c>
      <c r="M265" s="20"/>
      <c r="N265" s="20">
        <f>(2*5)*5</f>
        <v>50</v>
      </c>
      <c r="O265" s="22" t="s">
        <v>329</v>
      </c>
      <c r="P265" s="19" t="s">
        <v>328</v>
      </c>
      <c r="Q265" s="20"/>
      <c r="R265" s="20">
        <v>38</v>
      </c>
      <c r="S265" s="22" t="s">
        <v>329</v>
      </c>
      <c r="V265" s="19"/>
      <c r="W265" s="20"/>
      <c r="X265" s="20"/>
      <c r="Y265" s="20"/>
      <c r="Z265" s="20"/>
      <c r="AA265" s="20"/>
      <c r="AB265" s="20"/>
      <c r="AC265" s="22"/>
      <c r="AE265" s="51"/>
      <c r="AF265" s="52"/>
      <c r="AG265" s="52" t="s">
        <v>130</v>
      </c>
      <c r="AH265" s="53" t="s">
        <v>318</v>
      </c>
      <c r="AI265" s="52"/>
      <c r="AJ265" s="52"/>
      <c r="AK265" s="52"/>
      <c r="AL265" s="16"/>
      <c r="AM265" s="16"/>
      <c r="AN265" s="17"/>
      <c r="AP265" s="51"/>
      <c r="AQ265" s="52"/>
      <c r="AR265" s="52" t="s">
        <v>130</v>
      </c>
      <c r="AS265" s="53" t="s">
        <v>318</v>
      </c>
      <c r="AT265" s="52"/>
      <c r="AU265" s="52"/>
      <c r="AV265" s="52"/>
      <c r="AW265" s="16"/>
      <c r="AX265" s="16"/>
      <c r="AY265" s="17"/>
      <c r="BA265" s="95"/>
      <c r="BB265" s="96"/>
      <c r="BC265" s="96" t="s">
        <v>130</v>
      </c>
      <c r="BD265" s="97" t="s">
        <v>190</v>
      </c>
      <c r="BE265" s="96"/>
      <c r="BF265" s="96"/>
      <c r="BG265" s="96"/>
      <c r="BH265" s="76"/>
      <c r="BI265" s="76"/>
      <c r="BJ265" s="77"/>
    </row>
    <row r="266" spans="8:62" x14ac:dyDescent="0.25">
      <c r="H266" s="106" t="s">
        <v>188</v>
      </c>
      <c r="I266" s="20"/>
      <c r="J266" s="63">
        <f>J264*J265</f>
        <v>108.88888888888889</v>
      </c>
      <c r="K266" s="22" t="s">
        <v>126</v>
      </c>
      <c r="L266" s="106" t="s">
        <v>188</v>
      </c>
      <c r="M266" s="20"/>
      <c r="N266" s="63">
        <f>N264*N265</f>
        <v>562.5</v>
      </c>
      <c r="O266" s="22" t="s">
        <v>126</v>
      </c>
      <c r="P266" s="106" t="s">
        <v>188</v>
      </c>
      <c r="Q266" s="20"/>
      <c r="R266" s="63">
        <f>R264*R265</f>
        <v>639.87959168316911</v>
      </c>
      <c r="S266" s="22" t="s">
        <v>126</v>
      </c>
      <c r="V266" s="54" t="s">
        <v>131</v>
      </c>
      <c r="W266" s="20"/>
      <c r="X266" s="20"/>
      <c r="Y266" s="41">
        <f>0.25*4*Y264</f>
        <v>30.52436685795265</v>
      </c>
      <c r="Z266" s="20" t="s">
        <v>126</v>
      </c>
      <c r="AA266" s="20"/>
      <c r="AB266" s="20"/>
      <c r="AC266" s="22"/>
      <c r="AE266" s="48"/>
      <c r="AF266" s="49"/>
      <c r="AG266" s="49"/>
      <c r="AH266" s="49">
        <f>AG254+(2*AE260)+(2*AG259)</f>
        <v>30.048245395810937</v>
      </c>
      <c r="AI266" s="49" t="s">
        <v>52</v>
      </c>
      <c r="AJ266" s="49"/>
      <c r="AK266" s="49"/>
      <c r="AL266" s="3"/>
      <c r="AM266" s="3"/>
      <c r="AN266" s="50"/>
      <c r="AP266" s="48"/>
      <c r="AQ266" s="49"/>
      <c r="AR266" s="49"/>
      <c r="AS266" s="49">
        <f>AR254+(2*AP260)+(2*AR259)</f>
        <v>30.048245395810937</v>
      </c>
      <c r="AT266" s="49" t="s">
        <v>52</v>
      </c>
      <c r="AU266" s="49"/>
      <c r="AV266" s="49"/>
      <c r="AW266" s="3"/>
      <c r="AX266" s="3"/>
      <c r="AY266" s="50"/>
      <c r="BA266" s="91"/>
      <c r="BB266" s="92"/>
      <c r="BC266" s="92"/>
      <c r="BD266" s="92">
        <f>BC254+(2*BA260)+(2*BC259)+BB260</f>
        <v>48.069755579475569</v>
      </c>
      <c r="BE266" s="92" t="s">
        <v>52</v>
      </c>
      <c r="BF266" s="92"/>
      <c r="BG266" s="92"/>
      <c r="BH266" s="93"/>
      <c r="BI266" s="93"/>
      <c r="BJ266" s="94"/>
    </row>
    <row r="267" spans="8:62" x14ac:dyDescent="0.25">
      <c r="H267" s="55" t="s">
        <v>189</v>
      </c>
      <c r="I267" s="3"/>
      <c r="J267" s="3"/>
      <c r="K267" s="50"/>
      <c r="L267" s="55"/>
      <c r="M267" s="3"/>
      <c r="N267" s="3"/>
      <c r="O267" s="50"/>
      <c r="P267" s="55"/>
      <c r="Q267" s="3"/>
      <c r="R267" s="3"/>
      <c r="S267" s="50"/>
      <c r="V267" s="19" t="s">
        <v>132</v>
      </c>
      <c r="W267" s="20"/>
      <c r="X267" s="20" t="s">
        <v>133</v>
      </c>
      <c r="Y267" s="29">
        <f>Y266*1.1</f>
        <v>33.576803543747914</v>
      </c>
      <c r="Z267" s="20" t="s">
        <v>126</v>
      </c>
      <c r="AA267" s="20"/>
      <c r="AB267" s="20"/>
      <c r="AC267" s="22"/>
      <c r="AE267" s="51"/>
      <c r="AF267" s="52"/>
      <c r="AG267" s="52"/>
      <c r="AH267" s="52"/>
      <c r="AI267" s="52"/>
      <c r="AJ267" s="52"/>
      <c r="AK267" s="52"/>
      <c r="AL267" s="16"/>
      <c r="AM267" s="16"/>
      <c r="AN267" s="17"/>
      <c r="AP267" s="51"/>
      <c r="AQ267" s="52"/>
      <c r="AR267" s="52"/>
      <c r="AS267" s="52"/>
      <c r="AT267" s="52"/>
      <c r="AU267" s="52"/>
      <c r="AV267" s="52"/>
      <c r="AW267" s="16"/>
      <c r="AX267" s="16"/>
      <c r="AY267" s="17"/>
      <c r="BA267" s="95"/>
      <c r="BB267" s="96"/>
      <c r="BC267" s="96"/>
      <c r="BD267" s="96"/>
      <c r="BE267" s="96"/>
      <c r="BF267" s="96"/>
      <c r="BG267" s="96"/>
      <c r="BH267" s="76"/>
      <c r="BI267" s="76"/>
      <c r="BJ267" s="77"/>
    </row>
    <row r="268" spans="8:62" x14ac:dyDescent="0.25">
      <c r="V268" s="55"/>
      <c r="W268" s="3"/>
      <c r="X268" s="3"/>
      <c r="Y268" s="3"/>
      <c r="Z268" s="3"/>
      <c r="AA268" s="3"/>
      <c r="AB268" s="3"/>
      <c r="AC268" s="50"/>
      <c r="AE268" s="34"/>
      <c r="AF268" s="30" t="s">
        <v>134</v>
      </c>
      <c r="AG268" s="30"/>
      <c r="AH268" s="30">
        <f>AH266*(0.3333*4)</f>
        <v>40.060320761695138</v>
      </c>
      <c r="AI268" s="30" t="s">
        <v>126</v>
      </c>
      <c r="AJ268" s="30"/>
      <c r="AK268" s="30"/>
      <c r="AL268" s="20"/>
      <c r="AM268" s="20"/>
      <c r="AN268" s="22"/>
      <c r="AP268" s="60"/>
      <c r="AQ268" s="61" t="s">
        <v>134</v>
      </c>
      <c r="AR268" s="61"/>
      <c r="AS268" s="61">
        <f>AS266*(0.3333*4)</f>
        <v>40.060320761695138</v>
      </c>
      <c r="AT268" s="61" t="s">
        <v>126</v>
      </c>
      <c r="AU268" s="61"/>
      <c r="AV268" s="61"/>
      <c r="AW268" s="20"/>
      <c r="AX268" s="20"/>
      <c r="AY268" s="22"/>
      <c r="BA268" s="84"/>
      <c r="BB268" s="82" t="s">
        <v>134</v>
      </c>
      <c r="BC268" s="82"/>
      <c r="BD268" s="82">
        <f>BD266*(0.3333*4)</f>
        <v>64.086598138556823</v>
      </c>
      <c r="BE268" s="82" t="s">
        <v>126</v>
      </c>
      <c r="BF268" s="82"/>
      <c r="BG268" s="82"/>
      <c r="BH268" s="79"/>
      <c r="BI268" s="79"/>
      <c r="BJ268" s="83"/>
    </row>
    <row r="269" spans="8:62" ht="15" customHeight="1" x14ac:dyDescent="0.25">
      <c r="H269" s="10" t="s">
        <v>91</v>
      </c>
      <c r="I269" s="10">
        <v>1</v>
      </c>
      <c r="J269" s="10" t="s">
        <v>52</v>
      </c>
      <c r="K269" s="10" t="s">
        <v>91</v>
      </c>
      <c r="L269" s="10">
        <f>16/12</f>
        <v>1.3333333333333333</v>
      </c>
      <c r="M269" s="10" t="s">
        <v>52</v>
      </c>
      <c r="N269" s="10" t="s">
        <v>91</v>
      </c>
      <c r="O269" s="10">
        <f>16/12</f>
        <v>1.3333333333333333</v>
      </c>
      <c r="P269" s="10" t="s">
        <v>52</v>
      </c>
      <c r="Q269" s="10" t="s">
        <v>91</v>
      </c>
      <c r="R269" s="10">
        <f>16/12</f>
        <v>1.3333333333333333</v>
      </c>
      <c r="S269" s="10" t="s">
        <v>52</v>
      </c>
      <c r="AE269" s="48"/>
      <c r="AF269" s="49" t="s">
        <v>135</v>
      </c>
      <c r="AG269" s="49"/>
      <c r="AH269" s="49"/>
      <c r="AI269" s="49"/>
      <c r="AJ269" s="49"/>
      <c r="AK269" s="49"/>
      <c r="AL269" s="3"/>
      <c r="AM269" s="3"/>
      <c r="AN269" s="50"/>
      <c r="AP269" s="48"/>
      <c r="AQ269" s="49" t="s">
        <v>135</v>
      </c>
      <c r="AR269" s="49"/>
      <c r="AS269" s="49"/>
      <c r="AT269" s="49"/>
      <c r="AU269" s="49"/>
      <c r="AV269" s="49"/>
      <c r="AW269" s="3"/>
      <c r="AX269" s="3"/>
      <c r="AY269" s="50"/>
      <c r="BA269" s="91"/>
      <c r="BB269" s="92" t="s">
        <v>135</v>
      </c>
      <c r="BC269" s="92"/>
      <c r="BD269" s="92"/>
      <c r="BE269" s="92"/>
      <c r="BF269" s="92"/>
      <c r="BG269" s="92"/>
      <c r="BH269" s="93"/>
      <c r="BI269" s="93"/>
      <c r="BJ269" s="94"/>
    </row>
    <row r="270" spans="8:62" x14ac:dyDescent="0.25">
      <c r="H270" s="10" t="s">
        <v>100</v>
      </c>
      <c r="I270" s="44">
        <f>Y264</f>
        <v>30.52436685795265</v>
      </c>
      <c r="J270" s="10" t="s">
        <v>52</v>
      </c>
      <c r="K270" s="10" t="s">
        <v>100</v>
      </c>
      <c r="L270" s="10">
        <f>AH266</f>
        <v>30.048245395810937</v>
      </c>
      <c r="M270" s="10" t="s">
        <v>52</v>
      </c>
      <c r="N270" s="10" t="s">
        <v>100</v>
      </c>
      <c r="O270" s="10">
        <f>AS266</f>
        <v>30.048245395810937</v>
      </c>
      <c r="P270" s="10" t="s">
        <v>52</v>
      </c>
      <c r="Q270" s="10" t="s">
        <v>100</v>
      </c>
      <c r="R270" s="10">
        <f>BD266</f>
        <v>48.069755579475569</v>
      </c>
      <c r="S270" s="10" t="s">
        <v>52</v>
      </c>
      <c r="AE270" s="14"/>
      <c r="AF270" s="16"/>
      <c r="AG270" s="16"/>
      <c r="AH270" s="16"/>
      <c r="AI270" s="16"/>
      <c r="AJ270" s="16"/>
      <c r="AK270" s="16"/>
      <c r="AL270" s="16"/>
      <c r="AM270" s="16"/>
      <c r="AN270" s="17"/>
      <c r="AP270" s="14"/>
      <c r="AQ270" s="16"/>
      <c r="AR270" s="16"/>
      <c r="AS270" s="16"/>
      <c r="AT270" s="16"/>
      <c r="AU270" s="16"/>
      <c r="AV270" s="16"/>
      <c r="AW270" s="16"/>
      <c r="AX270" s="16"/>
      <c r="AY270" s="17"/>
      <c r="BA270" s="98"/>
      <c r="BB270" s="76"/>
      <c r="BC270" s="76"/>
      <c r="BD270" s="76"/>
      <c r="BE270" s="76"/>
      <c r="BF270" s="76"/>
      <c r="BG270" s="76"/>
      <c r="BH270" s="76"/>
      <c r="BI270" s="76"/>
      <c r="BJ270" s="77"/>
    </row>
    <row r="271" spans="8:62" x14ac:dyDescent="0.25">
      <c r="H271" s="28" t="s">
        <v>106</v>
      </c>
      <c r="I271" s="45" t="s">
        <v>193</v>
      </c>
      <c r="J271" s="46"/>
      <c r="K271" s="28" t="s">
        <v>106</v>
      </c>
      <c r="L271" s="45" t="s">
        <v>319</v>
      </c>
      <c r="M271" s="46"/>
      <c r="N271" s="28" t="s">
        <v>106</v>
      </c>
      <c r="O271" s="45" t="s">
        <v>320</v>
      </c>
      <c r="P271" s="46"/>
      <c r="Q271" s="28" t="s">
        <v>106</v>
      </c>
      <c r="R271" s="45" t="s">
        <v>127</v>
      </c>
      <c r="S271" s="46"/>
      <c r="V271" s="14"/>
      <c r="W271" s="15" t="s">
        <v>314</v>
      </c>
      <c r="X271" s="16"/>
      <c r="Y271" s="16"/>
      <c r="Z271" s="16"/>
      <c r="AA271" s="16"/>
      <c r="AB271" s="16"/>
      <c r="AC271" s="17"/>
      <c r="AE271" s="19"/>
      <c r="AF271" s="193" t="s">
        <v>136</v>
      </c>
      <c r="AG271" s="20"/>
      <c r="AH271" s="20"/>
      <c r="AI271" s="20"/>
      <c r="AJ271" s="20"/>
      <c r="AK271" s="20"/>
      <c r="AL271" s="20"/>
      <c r="AM271" s="20"/>
      <c r="AN271" s="22"/>
      <c r="AP271" s="19"/>
      <c r="AQ271" s="193" t="s">
        <v>136</v>
      </c>
      <c r="AR271" s="20"/>
      <c r="AS271" s="20"/>
      <c r="AT271" s="20"/>
      <c r="AU271" s="20"/>
      <c r="AV271" s="20"/>
      <c r="AW271" s="20"/>
      <c r="AX271" s="20"/>
      <c r="AY271" s="22"/>
      <c r="BA271" s="78"/>
      <c r="BB271" s="195" t="s">
        <v>136</v>
      </c>
      <c r="BC271" s="79"/>
      <c r="BD271" s="79"/>
      <c r="BE271" s="79"/>
      <c r="BF271" s="79"/>
      <c r="BG271" s="79"/>
      <c r="BH271" s="79"/>
      <c r="BI271" s="79"/>
      <c r="BJ271" s="83"/>
    </row>
    <row r="272" spans="8:62" x14ac:dyDescent="0.25">
      <c r="H272" s="10" t="s">
        <v>128</v>
      </c>
      <c r="I272" s="45">
        <f>34*4</f>
        <v>136</v>
      </c>
      <c r="J272" s="46"/>
      <c r="K272" s="10" t="s">
        <v>128</v>
      </c>
      <c r="L272" s="45">
        <v>4</v>
      </c>
      <c r="M272" s="46"/>
      <c r="N272" s="10" t="s">
        <v>128</v>
      </c>
      <c r="O272" s="45">
        <v>4</v>
      </c>
      <c r="P272" s="46"/>
      <c r="Q272" s="10" t="s">
        <v>128</v>
      </c>
      <c r="R272" s="45">
        <v>0</v>
      </c>
      <c r="S272" s="46"/>
      <c r="V272" s="19"/>
      <c r="W272" s="20"/>
      <c r="X272" s="20" t="s">
        <v>101</v>
      </c>
      <c r="Y272" s="20"/>
      <c r="Z272" s="20"/>
      <c r="AE272" s="19"/>
      <c r="AF272" s="193"/>
      <c r="AG272" s="20"/>
      <c r="AH272" s="57">
        <f>AL250*AH266</f>
        <v>246.39561224564966</v>
      </c>
      <c r="AI272" s="20" t="s">
        <v>137</v>
      </c>
      <c r="AJ272" s="20"/>
      <c r="AK272" s="20"/>
      <c r="AL272" s="20"/>
      <c r="AM272" s="20"/>
      <c r="AN272" s="22"/>
      <c r="AP272" s="19"/>
      <c r="AQ272" s="193"/>
      <c r="AR272" s="20"/>
      <c r="AS272" s="57">
        <f>AW250*AS266</f>
        <v>246.39561224564966</v>
      </c>
      <c r="AT272" s="20" t="s">
        <v>137</v>
      </c>
      <c r="AU272" s="20"/>
      <c r="AV272" s="20"/>
      <c r="AW272" s="20"/>
      <c r="AX272" s="20"/>
      <c r="AY272" s="22"/>
      <c r="BA272" s="78"/>
      <c r="BB272" s="195"/>
      <c r="BC272" s="79"/>
      <c r="BD272" s="79">
        <f>BH250*BD266</f>
        <v>394.17199575169963</v>
      </c>
      <c r="BE272" s="79" t="s">
        <v>137</v>
      </c>
      <c r="BF272" s="79"/>
      <c r="BG272" s="79"/>
      <c r="BH272" s="79"/>
      <c r="BI272" s="79"/>
      <c r="BJ272" s="83"/>
    </row>
    <row r="273" spans="8:62" x14ac:dyDescent="0.25">
      <c r="H273" s="10" t="s">
        <v>112</v>
      </c>
      <c r="I273" s="28">
        <f>I270*I269*I272</f>
        <v>4151.31389268156</v>
      </c>
      <c r="J273" s="10" t="s">
        <v>113</v>
      </c>
      <c r="K273" s="10" t="s">
        <v>112</v>
      </c>
      <c r="L273" s="28">
        <f>L270*L269*L272</f>
        <v>160.25730877765832</v>
      </c>
      <c r="M273" s="10" t="s">
        <v>113</v>
      </c>
      <c r="N273" s="10" t="s">
        <v>112</v>
      </c>
      <c r="O273" s="28">
        <f>O270*O269*O272</f>
        <v>160.25730877765832</v>
      </c>
      <c r="P273" s="10" t="s">
        <v>113</v>
      </c>
      <c r="Q273" s="10" t="s">
        <v>112</v>
      </c>
      <c r="R273" s="28">
        <f>R270*R269*R272</f>
        <v>0</v>
      </c>
      <c r="S273" s="10" t="s">
        <v>113</v>
      </c>
      <c r="V273" s="19"/>
      <c r="W273" s="20"/>
      <c r="X273" s="20"/>
      <c r="Y273" s="20"/>
      <c r="Z273" s="20"/>
      <c r="AA273" s="26"/>
      <c r="AB273" s="20"/>
      <c r="AC273" s="22"/>
      <c r="AE273" s="55"/>
      <c r="AF273" s="194"/>
      <c r="AG273" s="3"/>
      <c r="AH273" s="3"/>
      <c r="AI273" s="3"/>
      <c r="AJ273" s="3"/>
      <c r="AK273" s="3"/>
      <c r="AL273" s="3"/>
      <c r="AM273" s="3"/>
      <c r="AN273" s="50"/>
      <c r="AP273" s="55"/>
      <c r="AQ273" s="194"/>
      <c r="AR273" s="3"/>
      <c r="AS273" s="3"/>
      <c r="AT273" s="3"/>
      <c r="AU273" s="3"/>
      <c r="AV273" s="3"/>
      <c r="AW273" s="3"/>
      <c r="AX273" s="3"/>
      <c r="AY273" s="50"/>
      <c r="BA273" s="99"/>
      <c r="BB273" s="196"/>
      <c r="BC273" s="93"/>
      <c r="BD273" s="93"/>
      <c r="BE273" s="93"/>
      <c r="BF273" s="93"/>
      <c r="BG273" s="93"/>
      <c r="BH273" s="93"/>
      <c r="BI273" s="93"/>
      <c r="BJ273" s="94"/>
    </row>
    <row r="274" spans="8:62" x14ac:dyDescent="0.25">
      <c r="H274" s="28" t="s">
        <v>117</v>
      </c>
      <c r="I274" s="33">
        <f>I273*1.1</f>
        <v>4566.4452819497164</v>
      </c>
      <c r="J274" s="28" t="s">
        <v>113</v>
      </c>
      <c r="K274" s="28" t="s">
        <v>117</v>
      </c>
      <c r="L274" s="33">
        <f>L273*1.1</f>
        <v>176.28303965542418</v>
      </c>
      <c r="M274" s="28" t="s">
        <v>113</v>
      </c>
      <c r="N274" s="28" t="s">
        <v>117</v>
      </c>
      <c r="O274" s="33">
        <f>O273*1.1</f>
        <v>176.28303965542418</v>
      </c>
      <c r="P274" s="28" t="s">
        <v>113</v>
      </c>
      <c r="Q274" s="28" t="s">
        <v>117</v>
      </c>
      <c r="R274" s="33">
        <f>R273*1.1</f>
        <v>0</v>
      </c>
      <c r="S274" s="28" t="s">
        <v>113</v>
      </c>
      <c r="V274" s="19"/>
      <c r="W274" s="20" t="s">
        <v>114</v>
      </c>
      <c r="X274" s="29">
        <v>9.5</v>
      </c>
      <c r="Y274" s="29" t="s">
        <v>52</v>
      </c>
      <c r="Z274" s="29"/>
      <c r="AA274" s="20"/>
      <c r="AB274" s="20"/>
      <c r="AC274" s="22"/>
      <c r="AE274" s="14"/>
      <c r="AF274" s="16"/>
      <c r="AG274" s="16"/>
      <c r="AH274" s="16"/>
      <c r="AI274" s="16"/>
      <c r="AJ274" s="16"/>
      <c r="AK274" s="16"/>
      <c r="AL274" s="16"/>
      <c r="AM274" s="16"/>
      <c r="AN274" s="17"/>
      <c r="AP274" s="14"/>
      <c r="AQ274" s="16"/>
      <c r="AR274" s="16"/>
      <c r="AS274" s="16"/>
      <c r="AT274" s="16"/>
      <c r="AU274" s="16"/>
      <c r="AV274" s="16"/>
      <c r="AW274" s="16"/>
      <c r="AX274" s="16"/>
      <c r="AY274" s="17"/>
      <c r="BA274" s="98"/>
      <c r="BB274" s="76"/>
      <c r="BC274" s="76"/>
      <c r="BD274" s="76"/>
      <c r="BE274" s="76"/>
      <c r="BF274" s="76"/>
      <c r="BG274" s="76"/>
      <c r="BH274" s="76"/>
      <c r="BI274" s="76"/>
      <c r="BJ274" s="77"/>
    </row>
    <row r="275" spans="8:62" ht="18" x14ac:dyDescent="0.35">
      <c r="V275" s="192" t="s">
        <v>315</v>
      </c>
      <c r="W275" s="68" t="s">
        <v>317</v>
      </c>
      <c r="X275" s="20">
        <f>(60+94)/2</f>
        <v>77</v>
      </c>
      <c r="Y275" s="20" t="s">
        <v>92</v>
      </c>
      <c r="Z275" s="20"/>
      <c r="AA275" s="26" t="s">
        <v>118</v>
      </c>
      <c r="AB275" s="20">
        <v>2</v>
      </c>
      <c r="AC275" s="22" t="s">
        <v>92</v>
      </c>
      <c r="AE275" s="19"/>
      <c r="AF275" s="193" t="s">
        <v>138</v>
      </c>
      <c r="AG275" s="20"/>
      <c r="AH275" s="20">
        <f>1.1*AH272</f>
        <v>271.03517347021466</v>
      </c>
      <c r="AI275" s="20" t="s">
        <v>137</v>
      </c>
      <c r="AJ275" s="20"/>
      <c r="AK275" s="20"/>
      <c r="AL275" s="20"/>
      <c r="AM275" s="20"/>
      <c r="AN275" s="22"/>
      <c r="AP275" s="19"/>
      <c r="AQ275" s="193" t="s">
        <v>138</v>
      </c>
      <c r="AR275" s="20"/>
      <c r="AS275" s="20">
        <f>1.1*AS272</f>
        <v>271.03517347021466</v>
      </c>
      <c r="AT275" s="20" t="s">
        <v>137</v>
      </c>
      <c r="AU275" s="20"/>
      <c r="AV275" s="20"/>
      <c r="AW275" s="20"/>
      <c r="AX275" s="20"/>
      <c r="AY275" s="22"/>
      <c r="BA275" s="78"/>
      <c r="BB275" s="195" t="s">
        <v>138</v>
      </c>
      <c r="BC275" s="79"/>
      <c r="BD275" s="79">
        <f>1.1*BD272</f>
        <v>433.58919532686963</v>
      </c>
      <c r="BE275" s="79" t="s">
        <v>137</v>
      </c>
      <c r="BF275" s="79"/>
      <c r="BG275" s="79"/>
      <c r="BH275" s="79"/>
      <c r="BI275" s="79"/>
      <c r="BJ275" s="83"/>
    </row>
    <row r="276" spans="8:62" x14ac:dyDescent="0.25">
      <c r="H276" s="10" t="s">
        <v>91</v>
      </c>
      <c r="I276" s="10">
        <v>1</v>
      </c>
      <c r="J276" s="10" t="s">
        <v>52</v>
      </c>
      <c r="K276" s="10" t="s">
        <v>91</v>
      </c>
      <c r="L276" s="10">
        <v>1</v>
      </c>
      <c r="M276" s="10" t="s">
        <v>52</v>
      </c>
      <c r="N276" s="10" t="s">
        <v>91</v>
      </c>
      <c r="O276" s="10">
        <f>(13.14+8)*2/12</f>
        <v>3.5233333333333334</v>
      </c>
      <c r="P276" s="10" t="s">
        <v>52</v>
      </c>
      <c r="Q276" s="10" t="s">
        <v>91</v>
      </c>
      <c r="R276" s="10">
        <f>(13.14+8)*2/12</f>
        <v>3.5233333333333334</v>
      </c>
      <c r="S276" s="10" t="s">
        <v>52</v>
      </c>
      <c r="V276" s="192"/>
      <c r="W276" s="20"/>
      <c r="X276" s="20">
        <f>X275/12</f>
        <v>6.416666666666667</v>
      </c>
      <c r="Y276" s="20" t="s">
        <v>52</v>
      </c>
      <c r="Z276" s="20"/>
      <c r="AA276" s="26"/>
      <c r="AB276" s="20"/>
      <c r="AC276" s="22"/>
      <c r="AE276" s="55"/>
      <c r="AF276" s="194"/>
      <c r="AG276" s="3"/>
      <c r="AH276" s="3"/>
      <c r="AI276" s="3"/>
      <c r="AJ276" s="3"/>
      <c r="AK276" s="3"/>
      <c r="AL276" s="3"/>
      <c r="AM276" s="3"/>
      <c r="AN276" s="50"/>
      <c r="AP276" s="55"/>
      <c r="AQ276" s="194"/>
      <c r="AR276" s="3"/>
      <c r="AS276" s="3"/>
      <c r="AT276" s="3"/>
      <c r="AU276" s="3"/>
      <c r="AV276" s="3"/>
      <c r="AW276" s="3"/>
      <c r="AX276" s="3"/>
      <c r="AY276" s="50"/>
      <c r="BA276" s="99"/>
      <c r="BB276" s="196"/>
      <c r="BC276" s="93"/>
      <c r="BD276" s="93"/>
      <c r="BE276" s="93"/>
      <c r="BF276" s="93"/>
      <c r="BG276" s="93"/>
      <c r="BH276" s="93"/>
      <c r="BI276" s="93"/>
      <c r="BJ276" s="94"/>
    </row>
    <row r="277" spans="8:62" x14ac:dyDescent="0.25">
      <c r="H277" s="10" t="s">
        <v>100</v>
      </c>
      <c r="I277" s="44">
        <v>9.5</v>
      </c>
      <c r="J277" s="10" t="s">
        <v>52</v>
      </c>
      <c r="K277" s="10" t="s">
        <v>100</v>
      </c>
      <c r="L277" s="44">
        <f>Y286</f>
        <v>31.884354694989781</v>
      </c>
      <c r="M277" s="10" t="s">
        <v>52</v>
      </c>
      <c r="N277" s="10" t="s">
        <v>100</v>
      </c>
      <c r="O277" s="44">
        <v>17.920000000000002</v>
      </c>
      <c r="P277" s="10" t="s">
        <v>52</v>
      </c>
      <c r="Q277" s="10" t="s">
        <v>100</v>
      </c>
      <c r="R277" s="44">
        <v>17.25</v>
      </c>
      <c r="S277" s="10" t="s">
        <v>52</v>
      </c>
      <c r="V277" s="19"/>
      <c r="W277" s="20"/>
      <c r="X277" s="20"/>
      <c r="Y277" s="20"/>
      <c r="Z277" s="20"/>
      <c r="AA277" s="20"/>
      <c r="AB277" s="20"/>
      <c r="AC277" s="22"/>
      <c r="AE277" s="14"/>
      <c r="AF277" s="16"/>
      <c r="AG277" s="16"/>
      <c r="AH277" s="16"/>
      <c r="AI277" s="16"/>
      <c r="AJ277" s="16"/>
      <c r="AK277" s="16"/>
      <c r="AL277" s="16"/>
      <c r="AM277" s="16"/>
      <c r="AN277" s="17"/>
      <c r="AP277" s="14"/>
      <c r="AQ277" s="16"/>
      <c r="AR277" s="16"/>
      <c r="AS277" s="16"/>
      <c r="AT277" s="16"/>
      <c r="AU277" s="16"/>
      <c r="AV277" s="16"/>
      <c r="AW277" s="16"/>
      <c r="AX277" s="16"/>
      <c r="AY277" s="17"/>
      <c r="BA277" s="98"/>
      <c r="BB277" s="76"/>
      <c r="BC277" s="76"/>
      <c r="BD277" s="76"/>
      <c r="BE277" s="76"/>
      <c r="BF277" s="76"/>
      <c r="BG277" s="76"/>
      <c r="BH277" s="76"/>
      <c r="BI277" s="76"/>
      <c r="BJ277" s="77"/>
    </row>
    <row r="278" spans="8:62" x14ac:dyDescent="0.25">
      <c r="H278" s="28" t="s">
        <v>106</v>
      </c>
      <c r="I278" s="45" t="s">
        <v>322</v>
      </c>
      <c r="J278" s="46"/>
      <c r="K278" s="28" t="s">
        <v>106</v>
      </c>
      <c r="L278" s="45" t="s">
        <v>316</v>
      </c>
      <c r="M278" s="46"/>
      <c r="N278" s="28" t="s">
        <v>106</v>
      </c>
      <c r="O278" s="45" t="s">
        <v>323</v>
      </c>
      <c r="P278" s="46"/>
      <c r="Q278" s="28" t="s">
        <v>106</v>
      </c>
      <c r="R278" s="45" t="s">
        <v>323</v>
      </c>
      <c r="S278" s="46"/>
      <c r="V278" s="19"/>
      <c r="W278" s="20"/>
      <c r="X278" s="20"/>
      <c r="Y278" s="20"/>
      <c r="Z278" s="20"/>
      <c r="AA278" s="20"/>
      <c r="AB278" s="20"/>
      <c r="AC278" s="22"/>
      <c r="AE278" s="19"/>
      <c r="AF278" s="193" t="s">
        <v>139</v>
      </c>
      <c r="AG278" s="20"/>
      <c r="AH278" s="20">
        <v>4</v>
      </c>
      <c r="AI278" s="20"/>
      <c r="AJ278" s="20"/>
      <c r="AK278" s="20"/>
      <c r="AL278" s="20"/>
      <c r="AM278" s="20"/>
      <c r="AN278" s="22"/>
      <c r="AP278" s="19"/>
      <c r="AQ278" s="193" t="s">
        <v>139</v>
      </c>
      <c r="AR278" s="20"/>
      <c r="AS278" s="20">
        <v>4</v>
      </c>
      <c r="AT278" s="20"/>
      <c r="AU278" s="20"/>
      <c r="AV278" s="20"/>
      <c r="AW278" s="20"/>
      <c r="AX278" s="20"/>
      <c r="AY278" s="22"/>
      <c r="BA278" s="78"/>
      <c r="BB278" s="195" t="s">
        <v>139</v>
      </c>
      <c r="BC278" s="79"/>
      <c r="BD278" s="79">
        <v>2</v>
      </c>
      <c r="BE278" s="79"/>
      <c r="BF278" s="79"/>
      <c r="BG278" s="79"/>
      <c r="BH278" s="79"/>
      <c r="BI278" s="79"/>
      <c r="BJ278" s="83"/>
    </row>
    <row r="279" spans="8:62" x14ac:dyDescent="0.25">
      <c r="H279" s="10" t="s">
        <v>128</v>
      </c>
      <c r="I279" s="45">
        <v>61</v>
      </c>
      <c r="J279" s="46"/>
      <c r="K279" s="10" t="s">
        <v>128</v>
      </c>
      <c r="L279" s="45">
        <f>25*4</f>
        <v>100</v>
      </c>
      <c r="M279" s="46"/>
      <c r="N279" s="10" t="s">
        <v>128</v>
      </c>
      <c r="O279" s="45">
        <v>32</v>
      </c>
      <c r="P279" s="46"/>
      <c r="Q279" s="10" t="s">
        <v>128</v>
      </c>
      <c r="R279" s="45">
        <v>88</v>
      </c>
      <c r="S279" s="46"/>
      <c r="V279" s="19"/>
      <c r="W279" s="20"/>
      <c r="X279" s="20"/>
      <c r="AA279" s="20"/>
      <c r="AB279" s="20"/>
      <c r="AC279" s="22"/>
      <c r="AE279" s="19"/>
      <c r="AF279" s="193"/>
      <c r="AG279" s="20"/>
      <c r="AH279" s="20"/>
      <c r="AI279" s="20"/>
      <c r="AJ279" s="20"/>
      <c r="AK279" s="20"/>
      <c r="AL279" s="20"/>
      <c r="AM279" s="20"/>
      <c r="AN279" s="22"/>
      <c r="AP279" s="19"/>
      <c r="AQ279" s="193"/>
      <c r="AR279" s="20"/>
      <c r="AS279" s="20"/>
      <c r="AT279" s="20"/>
      <c r="AU279" s="20"/>
      <c r="AV279" s="20"/>
      <c r="AW279" s="20"/>
      <c r="AX279" s="20"/>
      <c r="AY279" s="22"/>
      <c r="BA279" s="78"/>
      <c r="BB279" s="195"/>
      <c r="BC279" s="79"/>
      <c r="BD279" s="79"/>
      <c r="BE279" s="79"/>
      <c r="BF279" s="79"/>
      <c r="BG279" s="79"/>
      <c r="BH279" s="79"/>
      <c r="BI279" s="79"/>
      <c r="BJ279" s="83"/>
    </row>
    <row r="280" spans="8:62" x14ac:dyDescent="0.25">
      <c r="H280" s="10" t="s">
        <v>112</v>
      </c>
      <c r="I280" s="28">
        <f>I277*I276*I279</f>
        <v>579.5</v>
      </c>
      <c r="J280" s="10" t="s">
        <v>113</v>
      </c>
      <c r="K280" s="10" t="s">
        <v>112</v>
      </c>
      <c r="L280" s="28">
        <f>L277*L276*L279</f>
        <v>3188.4354694989779</v>
      </c>
      <c r="M280" s="10" t="s">
        <v>113</v>
      </c>
      <c r="N280" s="10" t="s">
        <v>112</v>
      </c>
      <c r="O280" s="28">
        <f>O277*O276*O279</f>
        <v>2020.420266666667</v>
      </c>
      <c r="P280" s="10" t="s">
        <v>113</v>
      </c>
      <c r="Q280" s="10" t="s">
        <v>112</v>
      </c>
      <c r="R280" s="28">
        <f>R277*R276*R279</f>
        <v>5348.42</v>
      </c>
      <c r="S280" s="10" t="s">
        <v>113</v>
      </c>
      <c r="V280" s="19"/>
      <c r="W280" s="20">
        <f>X276-2*(AB275/12+0.083)</f>
        <v>5.9173333333333336</v>
      </c>
      <c r="X280" s="20" t="s">
        <v>2</v>
      </c>
      <c r="Y280" s="20"/>
      <c r="Z280" s="20">
        <f>SQRT((Y284)^2+(W280)^2)</f>
        <v>11.192177347494891</v>
      </c>
      <c r="AA280" s="20" t="s">
        <v>2</v>
      </c>
      <c r="AB280" s="20"/>
      <c r="AC280" s="22"/>
      <c r="AE280" s="55"/>
      <c r="AF280" s="3"/>
      <c r="AG280" s="3"/>
      <c r="AH280" s="3"/>
      <c r="AI280" s="3"/>
      <c r="AJ280" s="3"/>
      <c r="AK280" s="3"/>
      <c r="AL280" s="3"/>
      <c r="AM280" s="3"/>
      <c r="AN280" s="50"/>
      <c r="AP280" s="55"/>
      <c r="AQ280" s="3"/>
      <c r="AR280" s="3"/>
      <c r="AS280" s="3"/>
      <c r="AT280" s="3"/>
      <c r="AU280" s="3"/>
      <c r="AV280" s="3"/>
      <c r="AW280" s="3"/>
      <c r="AX280" s="3"/>
      <c r="AY280" s="50"/>
      <c r="BA280" s="99"/>
      <c r="BB280" s="93"/>
      <c r="BC280" s="93"/>
      <c r="BD280" s="93"/>
      <c r="BE280" s="93"/>
      <c r="BF280" s="93"/>
      <c r="BG280" s="93"/>
      <c r="BH280" s="93"/>
      <c r="BI280" s="93"/>
      <c r="BJ280" s="94"/>
    </row>
    <row r="281" spans="8:62" ht="18" customHeight="1" x14ac:dyDescent="0.25">
      <c r="H281" s="28" t="s">
        <v>117</v>
      </c>
      <c r="I281" s="33">
        <f>I280*1.1</f>
        <v>637.45000000000005</v>
      </c>
      <c r="J281" s="28" t="s">
        <v>113</v>
      </c>
      <c r="K281" s="28" t="s">
        <v>117</v>
      </c>
      <c r="L281" s="33">
        <f>L280*1.1</f>
        <v>3507.2790164488761</v>
      </c>
      <c r="M281" s="28" t="s">
        <v>113</v>
      </c>
      <c r="N281" s="28" t="s">
        <v>117</v>
      </c>
      <c r="O281" s="33">
        <f>O280*1.1</f>
        <v>2222.4622933333339</v>
      </c>
      <c r="P281" s="28" t="s">
        <v>113</v>
      </c>
      <c r="Q281" s="28" t="s">
        <v>117</v>
      </c>
      <c r="R281" s="33">
        <f>R280*1.1</f>
        <v>5883.2620000000006</v>
      </c>
      <c r="S281" s="28" t="s">
        <v>113</v>
      </c>
      <c r="V281" s="19"/>
      <c r="W281" s="20">
        <f>W280*12</f>
        <v>71.00800000000001</v>
      </c>
      <c r="X281" s="20"/>
      <c r="Y281" s="20"/>
      <c r="Z281" s="20"/>
      <c r="AA281" s="20"/>
      <c r="AB281" s="20"/>
      <c r="AC281" s="22"/>
      <c r="AE281" s="35"/>
      <c r="AF281" s="65" t="s">
        <v>140</v>
      </c>
      <c r="AG281" s="36"/>
      <c r="AH281" s="58">
        <f>AH275*AH278</f>
        <v>1084.1406938808586</v>
      </c>
      <c r="AI281" s="36" t="s">
        <v>137</v>
      </c>
      <c r="AJ281" s="36"/>
      <c r="AK281" s="36"/>
      <c r="AL281" s="36"/>
      <c r="AM281" s="36"/>
      <c r="AN281" s="37"/>
      <c r="AP281" s="35"/>
      <c r="AQ281" s="65" t="s">
        <v>140</v>
      </c>
      <c r="AR281" s="36"/>
      <c r="AS281" s="58">
        <f>AS275*AS278</f>
        <v>1084.1406938808586</v>
      </c>
      <c r="AT281" s="36" t="s">
        <v>137</v>
      </c>
      <c r="AU281" s="36"/>
      <c r="AV281" s="36"/>
      <c r="AW281" s="36"/>
      <c r="AX281" s="36"/>
      <c r="AY281" s="37"/>
      <c r="BA281" s="100"/>
      <c r="BB281" s="101" t="s">
        <v>140</v>
      </c>
      <c r="BC281" s="102"/>
      <c r="BD281" s="102">
        <f>BD275*BD278</f>
        <v>867.17839065373926</v>
      </c>
      <c r="BE281" s="102" t="s">
        <v>137</v>
      </c>
      <c r="BF281" s="102"/>
      <c r="BG281" s="102"/>
      <c r="BH281" s="102"/>
      <c r="BI281" s="102"/>
      <c r="BJ281" s="103"/>
    </row>
    <row r="282" spans="8:62" x14ac:dyDescent="0.25">
      <c r="V282" s="19"/>
      <c r="W282" s="20"/>
      <c r="X282" s="20"/>
      <c r="Y282" s="20"/>
      <c r="Z282" s="20"/>
      <c r="AA282" s="20"/>
      <c r="AB282" s="20"/>
      <c r="AC282" s="22"/>
    </row>
    <row r="283" spans="8:62" x14ac:dyDescent="0.25">
      <c r="V283" s="19"/>
      <c r="W283" s="20"/>
      <c r="X283" s="20"/>
      <c r="Y283" s="20"/>
      <c r="Z283" s="20"/>
      <c r="AA283" s="20"/>
      <c r="AB283" s="20"/>
      <c r="AC283" s="22"/>
    </row>
    <row r="284" spans="8:62" ht="45" x14ac:dyDescent="0.25">
      <c r="L284" s="59" t="s">
        <v>150</v>
      </c>
      <c r="M284" s="56">
        <f>J257+N257+J261+N262+R262+J266+N266+R266+I274+L274+O274+R274+L281+O281+R281</f>
        <v>103435.02794328152</v>
      </c>
      <c r="N284" t="s">
        <v>113</v>
      </c>
      <c r="V284" s="19"/>
      <c r="W284" s="20"/>
      <c r="X284" s="20"/>
      <c r="Y284" s="29">
        <f>X274</f>
        <v>9.5</v>
      </c>
      <c r="Z284" s="20"/>
      <c r="AA284" s="20"/>
      <c r="AB284" s="20"/>
      <c r="AC284" s="22"/>
    </row>
    <row r="285" spans="8:62" x14ac:dyDescent="0.25">
      <c r="V285" s="19"/>
      <c r="W285" s="20"/>
      <c r="X285" s="20"/>
      <c r="Y285" s="20"/>
      <c r="Z285" s="20"/>
      <c r="AA285" s="20"/>
      <c r="AB285" s="20"/>
      <c r="AC285" s="22"/>
    </row>
    <row r="286" spans="8:62" x14ac:dyDescent="0.25">
      <c r="V286" s="47" t="s">
        <v>129</v>
      </c>
      <c r="W286" s="20"/>
      <c r="Y286" s="29">
        <f>(1*Y284)+(2*Z280)</f>
        <v>31.884354694989781</v>
      </c>
      <c r="Z286" s="20" t="s">
        <v>125</v>
      </c>
      <c r="AA286" s="20"/>
      <c r="AB286" s="20"/>
      <c r="AC286" s="22"/>
    </row>
    <row r="287" spans="8:62" x14ac:dyDescent="0.25">
      <c r="V287" s="19"/>
      <c r="W287" s="20"/>
      <c r="X287" s="20"/>
      <c r="Y287" s="20"/>
      <c r="Z287" s="20"/>
      <c r="AA287" s="20"/>
      <c r="AB287" s="20"/>
      <c r="AC287" s="22"/>
    </row>
    <row r="288" spans="8:62" x14ac:dyDescent="0.25">
      <c r="V288" s="54" t="s">
        <v>131</v>
      </c>
      <c r="W288" s="20"/>
      <c r="X288" s="20"/>
      <c r="Y288" s="41">
        <f>0.25*4*Y286</f>
        <v>31.884354694989781</v>
      </c>
      <c r="Z288" s="20" t="s">
        <v>126</v>
      </c>
      <c r="AA288" s="20"/>
      <c r="AB288" s="20"/>
      <c r="AC288" s="22"/>
    </row>
    <row r="289" spans="1:29" x14ac:dyDescent="0.25">
      <c r="V289" s="19" t="s">
        <v>132</v>
      </c>
      <c r="W289" s="20"/>
      <c r="X289" s="20" t="s">
        <v>133</v>
      </c>
      <c r="Y289" s="29">
        <f>Y288*1.1</f>
        <v>35.072790164488765</v>
      </c>
      <c r="Z289" s="20" t="s">
        <v>126</v>
      </c>
      <c r="AA289" s="20"/>
      <c r="AB289" s="20"/>
      <c r="AC289" s="22"/>
    </row>
    <row r="290" spans="1:29" x14ac:dyDescent="0.25">
      <c r="V290" s="55"/>
      <c r="W290" s="3"/>
      <c r="X290" s="3"/>
      <c r="Y290" s="3"/>
      <c r="Z290" s="3"/>
      <c r="AA290" s="3"/>
      <c r="AB290" s="3"/>
      <c r="AC290" s="50"/>
    </row>
    <row r="302" spans="1:29" x14ac:dyDescent="0.25">
      <c r="A302" s="2" t="s">
        <v>141</v>
      </c>
    </row>
    <row r="304" spans="1:29" x14ac:dyDescent="0.25">
      <c r="A304" t="s">
        <v>143</v>
      </c>
      <c r="D304">
        <v>41.5</v>
      </c>
      <c r="E304" t="s">
        <v>2</v>
      </c>
    </row>
    <row r="305" spans="1:5" x14ac:dyDescent="0.25">
      <c r="A305" t="s">
        <v>146</v>
      </c>
      <c r="D305">
        <v>0</v>
      </c>
      <c r="E305" t="s">
        <v>72</v>
      </c>
    </row>
    <row r="307" spans="1:5" x14ac:dyDescent="0.25">
      <c r="A307" t="s">
        <v>194</v>
      </c>
      <c r="D307" s="1">
        <f>41.5</f>
        <v>41.5</v>
      </c>
      <c r="E307" t="s">
        <v>2</v>
      </c>
    </row>
    <row r="308" spans="1:5" x14ac:dyDescent="0.25">
      <c r="A308" t="s">
        <v>195</v>
      </c>
      <c r="D308" s="3">
        <v>41.5</v>
      </c>
      <c r="E308" s="3" t="s">
        <v>2</v>
      </c>
    </row>
    <row r="309" spans="1:5" x14ac:dyDescent="0.25">
      <c r="A309" t="s">
        <v>147</v>
      </c>
      <c r="D309" s="62">
        <f>SUM(D307:D308)</f>
        <v>83</v>
      </c>
      <c r="E309" s="7" t="s">
        <v>2</v>
      </c>
    </row>
    <row r="313" spans="1:5" x14ac:dyDescent="0.25">
      <c r="A313" s="72" t="s">
        <v>306</v>
      </c>
    </row>
    <row r="315" spans="1:5" x14ac:dyDescent="0.25">
      <c r="A315" t="s">
        <v>307</v>
      </c>
      <c r="B315" t="s">
        <v>308</v>
      </c>
      <c r="C315">
        <v>1</v>
      </c>
      <c r="D315" t="s">
        <v>116</v>
      </c>
    </row>
    <row r="318" spans="1:5" x14ac:dyDescent="0.25">
      <c r="A318" s="72" t="s">
        <v>304</v>
      </c>
    </row>
    <row r="319" spans="1:5" x14ac:dyDescent="0.25">
      <c r="A319" s="72" t="s">
        <v>332</v>
      </c>
    </row>
    <row r="320" spans="1:5" x14ac:dyDescent="0.25">
      <c r="A320" t="s">
        <v>148</v>
      </c>
      <c r="C320">
        <v>5</v>
      </c>
      <c r="D320" t="s">
        <v>116</v>
      </c>
    </row>
    <row r="322" spans="1:5" x14ac:dyDescent="0.25">
      <c r="A322" t="s">
        <v>149</v>
      </c>
      <c r="C322" s="3">
        <v>5</v>
      </c>
      <c r="D322" s="3" t="s">
        <v>116</v>
      </c>
    </row>
    <row r="323" spans="1:5" x14ac:dyDescent="0.25">
      <c r="C323" s="7">
        <f>SUM(C320:C322)</f>
        <v>10</v>
      </c>
      <c r="D323" s="63" t="s">
        <v>116</v>
      </c>
    </row>
    <row r="327" spans="1:5" x14ac:dyDescent="0.25">
      <c r="A327" s="2" t="s">
        <v>41</v>
      </c>
    </row>
    <row r="328" spans="1:5" x14ac:dyDescent="0.25">
      <c r="A328" s="2"/>
    </row>
    <row r="329" spans="1:5" x14ac:dyDescent="0.25">
      <c r="A329" s="64" t="s">
        <v>305</v>
      </c>
      <c r="C329">
        <v>5</v>
      </c>
      <c r="D329" t="s">
        <v>278</v>
      </c>
      <c r="E329" t="s">
        <v>333</v>
      </c>
    </row>
    <row r="330" spans="1:5" x14ac:dyDescent="0.25">
      <c r="A330" s="2"/>
    </row>
    <row r="331" spans="1:5" x14ac:dyDescent="0.25">
      <c r="A331" t="s">
        <v>175</v>
      </c>
    </row>
    <row r="332" spans="1:5" x14ac:dyDescent="0.25">
      <c r="A332" t="s">
        <v>37</v>
      </c>
      <c r="D332">
        <v>0</v>
      </c>
      <c r="E332" t="s">
        <v>2</v>
      </c>
    </row>
    <row r="333" spans="1:5" x14ac:dyDescent="0.25">
      <c r="A333" t="s">
        <v>38</v>
      </c>
      <c r="D333">
        <v>0</v>
      </c>
      <c r="E333" t="s">
        <v>2</v>
      </c>
    </row>
    <row r="334" spans="1:5" x14ac:dyDescent="0.25">
      <c r="A334" t="s">
        <v>43</v>
      </c>
      <c r="D334">
        <v>1</v>
      </c>
    </row>
    <row r="335" spans="1:5" x14ac:dyDescent="0.25">
      <c r="A335" t="s">
        <v>42</v>
      </c>
      <c r="C335">
        <f>D332*D333*D334</f>
        <v>0</v>
      </c>
      <c r="D335" t="s">
        <v>40</v>
      </c>
    </row>
    <row r="337" spans="1:5" x14ac:dyDescent="0.25">
      <c r="A337" t="s">
        <v>179</v>
      </c>
    </row>
    <row r="338" spans="1:5" x14ac:dyDescent="0.25">
      <c r="A338" t="s">
        <v>37</v>
      </c>
      <c r="D338">
        <v>0</v>
      </c>
      <c r="E338" t="s">
        <v>2</v>
      </c>
    </row>
    <row r="339" spans="1:5" x14ac:dyDescent="0.25">
      <c r="A339" t="s">
        <v>38</v>
      </c>
      <c r="D339">
        <v>0</v>
      </c>
      <c r="E339" t="s">
        <v>2</v>
      </c>
    </row>
    <row r="340" spans="1:5" x14ac:dyDescent="0.25">
      <c r="A340" t="s">
        <v>43</v>
      </c>
      <c r="D340">
        <v>1</v>
      </c>
    </row>
    <row r="341" spans="1:5" x14ac:dyDescent="0.25">
      <c r="A341" t="s">
        <v>42</v>
      </c>
      <c r="C341">
        <f>D338*D339*D340</f>
        <v>0</v>
      </c>
      <c r="D341" t="s">
        <v>40</v>
      </c>
    </row>
    <row r="343" spans="1:5" x14ac:dyDescent="0.25">
      <c r="A343" t="s">
        <v>182</v>
      </c>
    </row>
    <row r="344" spans="1:5" x14ac:dyDescent="0.25">
      <c r="A344" t="s">
        <v>37</v>
      </c>
      <c r="D344">
        <v>0</v>
      </c>
      <c r="E344" t="s">
        <v>2</v>
      </c>
    </row>
    <row r="345" spans="1:5" x14ac:dyDescent="0.25">
      <c r="A345" t="s">
        <v>38</v>
      </c>
      <c r="D345">
        <v>0</v>
      </c>
      <c r="E345" t="s">
        <v>2</v>
      </c>
    </row>
    <row r="346" spans="1:5" x14ac:dyDescent="0.25">
      <c r="A346" t="s">
        <v>43</v>
      </c>
      <c r="D346">
        <v>1</v>
      </c>
    </row>
    <row r="347" spans="1:5" x14ac:dyDescent="0.25">
      <c r="A347" t="s">
        <v>42</v>
      </c>
      <c r="C347">
        <f>D344*D345*D346</f>
        <v>0</v>
      </c>
      <c r="D347" t="s">
        <v>40</v>
      </c>
    </row>
    <row r="349" spans="1:5" x14ac:dyDescent="0.25">
      <c r="A349" t="s">
        <v>181</v>
      </c>
    </row>
    <row r="350" spans="1:5" x14ac:dyDescent="0.25">
      <c r="A350" t="s">
        <v>37</v>
      </c>
      <c r="D350">
        <v>0</v>
      </c>
      <c r="E350" t="s">
        <v>2</v>
      </c>
    </row>
    <row r="351" spans="1:5" x14ac:dyDescent="0.25">
      <c r="A351" t="s">
        <v>38</v>
      </c>
      <c r="D351">
        <v>0</v>
      </c>
      <c r="E351" t="s">
        <v>2</v>
      </c>
    </row>
    <row r="352" spans="1:5" x14ac:dyDescent="0.25">
      <c r="A352" t="s">
        <v>43</v>
      </c>
      <c r="D352">
        <v>1</v>
      </c>
    </row>
    <row r="353" spans="1:5" x14ac:dyDescent="0.25">
      <c r="A353" t="s">
        <v>42</v>
      </c>
      <c r="C353">
        <f>D350*D351*D352</f>
        <v>0</v>
      </c>
      <c r="D353" t="s">
        <v>40</v>
      </c>
    </row>
    <row r="355" spans="1:5" x14ac:dyDescent="0.25">
      <c r="A355" t="s">
        <v>180</v>
      </c>
      <c r="C355" s="7">
        <f>ROUNDUP(C329+C335+C341+C347+C353,0)</f>
        <v>5</v>
      </c>
      <c r="D355" s="7" t="s">
        <v>40</v>
      </c>
    </row>
    <row r="359" spans="1:5" x14ac:dyDescent="0.25">
      <c r="A359" s="111" t="s">
        <v>335</v>
      </c>
      <c r="B359" s="112"/>
      <c r="C359" s="112"/>
      <c r="D359">
        <v>38</v>
      </c>
      <c r="E359" t="s">
        <v>116</v>
      </c>
    </row>
  </sheetData>
  <mergeCells count="16">
    <mergeCell ref="AP252:AV252"/>
    <mergeCell ref="AQ271:AQ273"/>
    <mergeCell ref="AQ275:AQ276"/>
    <mergeCell ref="AQ278:AQ279"/>
    <mergeCell ref="BA252:BG252"/>
    <mergeCell ref="BB271:BB273"/>
    <mergeCell ref="BB275:BB276"/>
    <mergeCell ref="BB278:BB279"/>
    <mergeCell ref="AF278:AF279"/>
    <mergeCell ref="A25:B26"/>
    <mergeCell ref="A243:J245"/>
    <mergeCell ref="AE252:AK252"/>
    <mergeCell ref="AF271:AF273"/>
    <mergeCell ref="AF275:AF276"/>
    <mergeCell ref="A41:B42"/>
    <mergeCell ref="V275:V276"/>
  </mergeCells>
  <pageMargins left="0.7" right="0.7" top="0.75" bottom="0.75" header="0.3" footer="0.3"/>
  <pageSetup paperSize="1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4"/>
  <sheetViews>
    <sheetView topLeftCell="A286" workbookViewId="0">
      <selection activeCell="C143" sqref="C143"/>
    </sheetView>
  </sheetViews>
  <sheetFormatPr defaultRowHeight="15" x14ac:dyDescent="0.25"/>
  <cols>
    <col min="1" max="1" width="9.28515625" customWidth="1"/>
    <col min="3" max="3" width="14.28515625" customWidth="1"/>
    <col min="4" max="4" width="13" customWidth="1"/>
    <col min="8" max="8" width="10.85546875" customWidth="1"/>
    <col min="11" max="11" width="10.85546875" customWidth="1"/>
    <col min="16" max="16" width="11.28515625" customWidth="1"/>
    <col min="24" max="24" width="10.85546875" customWidth="1"/>
    <col min="25" max="25" width="11.28515625" customWidth="1"/>
    <col min="26" max="26" width="10.42578125" customWidth="1"/>
    <col min="32" max="32" width="12.140625" customWidth="1"/>
  </cols>
  <sheetData>
    <row r="1" spans="1:7" x14ac:dyDescent="0.25">
      <c r="A1" s="2" t="s">
        <v>206</v>
      </c>
    </row>
    <row r="3" spans="1:7" x14ac:dyDescent="0.25">
      <c r="A3" t="s">
        <v>263</v>
      </c>
      <c r="D3">
        <f>30</f>
        <v>30</v>
      </c>
      <c r="E3" t="s">
        <v>2</v>
      </c>
    </row>
    <row r="4" spans="1:7" x14ac:dyDescent="0.25">
      <c r="A4" t="s">
        <v>210</v>
      </c>
      <c r="D4">
        <v>28.25</v>
      </c>
      <c r="E4" t="s">
        <v>2</v>
      </c>
      <c r="F4" t="s">
        <v>208</v>
      </c>
    </row>
    <row r="5" spans="1:7" x14ac:dyDescent="0.25">
      <c r="A5" t="s">
        <v>211</v>
      </c>
      <c r="D5">
        <v>1</v>
      </c>
      <c r="E5" t="s">
        <v>2</v>
      </c>
    </row>
    <row r="6" spans="1:7" x14ac:dyDescent="0.25">
      <c r="A6" t="s">
        <v>212</v>
      </c>
      <c r="D6">
        <f>D3*D4*D5</f>
        <v>847.5</v>
      </c>
      <c r="E6" t="s">
        <v>23</v>
      </c>
      <c r="F6">
        <f>D6/9</f>
        <v>94.166666666666671</v>
      </c>
      <c r="G6" t="s">
        <v>24</v>
      </c>
    </row>
    <row r="8" spans="1:7" x14ac:dyDescent="0.25">
      <c r="A8" t="s">
        <v>264</v>
      </c>
      <c r="D8">
        <v>50</v>
      </c>
      <c r="E8" t="s">
        <v>2</v>
      </c>
    </row>
    <row r="9" spans="1:7" x14ac:dyDescent="0.25">
      <c r="A9" t="s">
        <v>210</v>
      </c>
      <c r="D9">
        <v>28.25</v>
      </c>
      <c r="E9" t="s">
        <v>2</v>
      </c>
      <c r="F9" t="s">
        <v>208</v>
      </c>
    </row>
    <row r="10" spans="1:7" x14ac:dyDescent="0.25">
      <c r="A10" t="s">
        <v>211</v>
      </c>
      <c r="D10">
        <v>1</v>
      </c>
      <c r="E10" t="s">
        <v>2</v>
      </c>
    </row>
    <row r="11" spans="1:7" x14ac:dyDescent="0.25">
      <c r="A11" t="s">
        <v>212</v>
      </c>
      <c r="D11">
        <f>D8*D9*D10</f>
        <v>1412.5</v>
      </c>
      <c r="E11" t="s">
        <v>23</v>
      </c>
      <c r="F11">
        <f>D11/9</f>
        <v>156.94444444444446</v>
      </c>
      <c r="G11" t="s">
        <v>24</v>
      </c>
    </row>
    <row r="13" spans="1:7" x14ac:dyDescent="0.25">
      <c r="A13" t="s">
        <v>11</v>
      </c>
      <c r="D13">
        <v>20</v>
      </c>
      <c r="E13" t="s">
        <v>2</v>
      </c>
    </row>
    <row r="14" spans="1:7" x14ac:dyDescent="0.25">
      <c r="A14" t="s">
        <v>10</v>
      </c>
      <c r="D14">
        <v>28.25</v>
      </c>
      <c r="E14" t="s">
        <v>2</v>
      </c>
      <c r="F14" t="s">
        <v>208</v>
      </c>
    </row>
    <row r="15" spans="1:7" x14ac:dyDescent="0.25">
      <c r="A15" t="s">
        <v>12</v>
      </c>
      <c r="D15">
        <v>2</v>
      </c>
      <c r="E15" t="s">
        <v>2</v>
      </c>
    </row>
    <row r="16" spans="1:7" x14ac:dyDescent="0.25">
      <c r="A16" t="s">
        <v>212</v>
      </c>
      <c r="D16">
        <f>D13*D14*D15</f>
        <v>1130</v>
      </c>
      <c r="E16" t="s">
        <v>23</v>
      </c>
      <c r="F16">
        <f>D16/9</f>
        <v>125.55555555555556</v>
      </c>
      <c r="G16" t="s">
        <v>24</v>
      </c>
    </row>
    <row r="19" spans="1:7" x14ac:dyDescent="0.25">
      <c r="A19" t="s">
        <v>25</v>
      </c>
      <c r="D19">
        <v>124</v>
      </c>
      <c r="E19" t="s">
        <v>2</v>
      </c>
      <c r="F19" t="s">
        <v>27</v>
      </c>
    </row>
    <row r="20" spans="1:7" x14ac:dyDescent="0.25">
      <c r="A20" t="s">
        <v>26</v>
      </c>
      <c r="D20">
        <v>28.25</v>
      </c>
      <c r="E20" t="s">
        <v>2</v>
      </c>
      <c r="F20" t="s">
        <v>208</v>
      </c>
    </row>
    <row r="21" spans="1:7" x14ac:dyDescent="0.25">
      <c r="A21" t="s">
        <v>213</v>
      </c>
      <c r="D21">
        <f>D19*D20</f>
        <v>3503</v>
      </c>
      <c r="E21" t="s">
        <v>23</v>
      </c>
      <c r="F21">
        <f>D21/9</f>
        <v>389.22222222222223</v>
      </c>
      <c r="G21" t="s">
        <v>24</v>
      </c>
    </row>
    <row r="23" spans="1:7" x14ac:dyDescent="0.25">
      <c r="A23" s="7" t="s">
        <v>28</v>
      </c>
      <c r="B23" s="7">
        <f>ROUNDUP(F6+F11+F16+F21,0)</f>
        <v>766</v>
      </c>
      <c r="C23" s="7" t="s">
        <v>24</v>
      </c>
    </row>
    <row r="26" spans="1:7" x14ac:dyDescent="0.25">
      <c r="A26" s="2" t="s">
        <v>214</v>
      </c>
    </row>
    <row r="28" spans="1:7" x14ac:dyDescent="0.25">
      <c r="A28" t="s">
        <v>207</v>
      </c>
      <c r="C28">
        <f>6+6+5</f>
        <v>17</v>
      </c>
      <c r="D28" t="s">
        <v>2</v>
      </c>
    </row>
    <row r="29" spans="1:7" x14ac:dyDescent="0.25">
      <c r="A29" t="s">
        <v>1</v>
      </c>
      <c r="C29">
        <v>4</v>
      </c>
      <c r="D29" t="s">
        <v>2</v>
      </c>
    </row>
    <row r="30" spans="1:7" x14ac:dyDescent="0.25">
      <c r="A30" t="s">
        <v>217</v>
      </c>
      <c r="C30">
        <f>C28*C29</f>
        <v>68</v>
      </c>
      <c r="D30" t="s">
        <v>40</v>
      </c>
    </row>
    <row r="33" spans="1:6" x14ac:dyDescent="0.25">
      <c r="A33" s="2" t="s">
        <v>215</v>
      </c>
      <c r="D33">
        <f>6+6+5</f>
        <v>17</v>
      </c>
      <c r="E33" t="s">
        <v>2</v>
      </c>
    </row>
    <row r="35" spans="1:6" x14ac:dyDescent="0.25">
      <c r="A35" s="2" t="s">
        <v>216</v>
      </c>
    </row>
    <row r="37" spans="1:6" x14ac:dyDescent="0.25">
      <c r="A37" t="s">
        <v>207</v>
      </c>
      <c r="C37">
        <f>6+6+5</f>
        <v>17</v>
      </c>
      <c r="D37" t="s">
        <v>2</v>
      </c>
    </row>
    <row r="38" spans="1:6" x14ac:dyDescent="0.25">
      <c r="A38" t="s">
        <v>1</v>
      </c>
      <c r="C38">
        <v>4</v>
      </c>
      <c r="D38" t="s">
        <v>2</v>
      </c>
    </row>
    <row r="39" spans="1:6" x14ac:dyDescent="0.25">
      <c r="A39" t="s">
        <v>217</v>
      </c>
      <c r="C39">
        <f>C37*C38</f>
        <v>68</v>
      </c>
      <c r="D39" t="s">
        <v>40</v>
      </c>
    </row>
    <row r="41" spans="1:6" x14ac:dyDescent="0.25">
      <c r="A41" s="2" t="s">
        <v>218</v>
      </c>
      <c r="D41">
        <f>6+6+5</f>
        <v>17</v>
      </c>
      <c r="E41" t="s">
        <v>2</v>
      </c>
    </row>
    <row r="44" spans="1:6" x14ac:dyDescent="0.25">
      <c r="A44" s="2" t="s">
        <v>219</v>
      </c>
    </row>
    <row r="46" spans="1:6" x14ac:dyDescent="0.25">
      <c r="A46" t="s">
        <v>263</v>
      </c>
      <c r="D46">
        <v>30</v>
      </c>
      <c r="E46" t="s">
        <v>2</v>
      </c>
    </row>
    <row r="47" spans="1:6" x14ac:dyDescent="0.25">
      <c r="A47" t="s">
        <v>210</v>
      </c>
      <c r="D47">
        <v>28.5</v>
      </c>
      <c r="E47" t="s">
        <v>2</v>
      </c>
      <c r="F47" t="s">
        <v>208</v>
      </c>
    </row>
    <row r="48" spans="1:6" x14ac:dyDescent="0.25">
      <c r="A48" t="s">
        <v>220</v>
      </c>
      <c r="D48">
        <f>1.25/12</f>
        <v>0.10416666666666667</v>
      </c>
      <c r="E48" t="s">
        <v>2</v>
      </c>
    </row>
    <row r="49" spans="1:7" x14ac:dyDescent="0.25">
      <c r="A49" t="s">
        <v>211</v>
      </c>
      <c r="D49">
        <v>1</v>
      </c>
    </row>
    <row r="50" spans="1:7" x14ac:dyDescent="0.25">
      <c r="A50" t="s">
        <v>212</v>
      </c>
      <c r="D50">
        <f>D46*D47*D48*D49</f>
        <v>89.0625</v>
      </c>
      <c r="E50" t="s">
        <v>221</v>
      </c>
      <c r="F50">
        <f>D50/27</f>
        <v>3.2986111111111112</v>
      </c>
      <c r="G50" t="s">
        <v>8</v>
      </c>
    </row>
    <row r="52" spans="1:7" x14ac:dyDescent="0.25">
      <c r="A52" t="s">
        <v>264</v>
      </c>
      <c r="D52">
        <v>50</v>
      </c>
      <c r="E52" t="s">
        <v>2</v>
      </c>
    </row>
    <row r="53" spans="1:7" x14ac:dyDescent="0.25">
      <c r="A53" t="s">
        <v>210</v>
      </c>
      <c r="D53">
        <v>28.5</v>
      </c>
      <c r="E53" t="s">
        <v>2</v>
      </c>
      <c r="F53" t="s">
        <v>208</v>
      </c>
    </row>
    <row r="54" spans="1:7" x14ac:dyDescent="0.25">
      <c r="A54" t="s">
        <v>220</v>
      </c>
      <c r="D54">
        <f>1.25/12</f>
        <v>0.10416666666666667</v>
      </c>
      <c r="E54" t="s">
        <v>2</v>
      </c>
    </row>
    <row r="55" spans="1:7" x14ac:dyDescent="0.25">
      <c r="A55" t="s">
        <v>211</v>
      </c>
      <c r="D55">
        <v>1</v>
      </c>
    </row>
    <row r="56" spans="1:7" x14ac:dyDescent="0.25">
      <c r="A56" t="s">
        <v>212</v>
      </c>
      <c r="D56">
        <f>D52*D53*D54*D55</f>
        <v>148.4375</v>
      </c>
      <c r="E56" t="s">
        <v>221</v>
      </c>
      <c r="F56">
        <f>D56/27</f>
        <v>5.4976851851851851</v>
      </c>
      <c r="G56" t="s">
        <v>8</v>
      </c>
    </row>
    <row r="58" spans="1:7" x14ac:dyDescent="0.25">
      <c r="A58" t="s">
        <v>11</v>
      </c>
      <c r="D58">
        <v>20</v>
      </c>
      <c r="E58" t="s">
        <v>2</v>
      </c>
    </row>
    <row r="59" spans="1:7" x14ac:dyDescent="0.25">
      <c r="A59" t="s">
        <v>10</v>
      </c>
      <c r="D59">
        <v>28.5</v>
      </c>
      <c r="E59" t="s">
        <v>2</v>
      </c>
      <c r="F59" t="s">
        <v>208</v>
      </c>
    </row>
    <row r="60" spans="1:7" x14ac:dyDescent="0.25">
      <c r="A60" t="s">
        <v>220</v>
      </c>
      <c r="D60">
        <f>1.25/12</f>
        <v>0.10416666666666667</v>
      </c>
      <c r="E60" t="s">
        <v>2</v>
      </c>
    </row>
    <row r="61" spans="1:7" x14ac:dyDescent="0.25">
      <c r="A61" t="s">
        <v>12</v>
      </c>
      <c r="D61">
        <v>2</v>
      </c>
      <c r="E61" t="s">
        <v>2</v>
      </c>
    </row>
    <row r="62" spans="1:7" x14ac:dyDescent="0.25">
      <c r="A62" t="s">
        <v>212</v>
      </c>
      <c r="D62">
        <f>D58*D59*D60*D61</f>
        <v>118.75</v>
      </c>
      <c r="E62" t="s">
        <v>221</v>
      </c>
      <c r="F62">
        <f>D62/27</f>
        <v>4.3981481481481479</v>
      </c>
      <c r="G62" t="s">
        <v>8</v>
      </c>
    </row>
    <row r="65" spans="1:7" x14ac:dyDescent="0.25">
      <c r="A65" t="s">
        <v>25</v>
      </c>
      <c r="D65">
        <v>124</v>
      </c>
      <c r="E65" t="s">
        <v>2</v>
      </c>
      <c r="F65" t="s">
        <v>27</v>
      </c>
    </row>
    <row r="66" spans="1:7" x14ac:dyDescent="0.25">
      <c r="A66" t="s">
        <v>26</v>
      </c>
      <c r="D66">
        <v>28.5</v>
      </c>
      <c r="E66" t="s">
        <v>2</v>
      </c>
      <c r="F66" t="s">
        <v>208</v>
      </c>
    </row>
    <row r="67" spans="1:7" x14ac:dyDescent="0.25">
      <c r="A67" t="s">
        <v>220</v>
      </c>
      <c r="D67">
        <f>5/12</f>
        <v>0.41666666666666669</v>
      </c>
      <c r="E67" t="s">
        <v>2</v>
      </c>
    </row>
    <row r="68" spans="1:7" x14ac:dyDescent="0.25">
      <c r="A68" t="s">
        <v>213</v>
      </c>
      <c r="D68">
        <f>D65*D66*D67</f>
        <v>1472.5</v>
      </c>
      <c r="E68" t="s">
        <v>221</v>
      </c>
      <c r="F68">
        <f>D68/27</f>
        <v>54.537037037037038</v>
      </c>
      <c r="G68" t="s">
        <v>8</v>
      </c>
    </row>
    <row r="70" spans="1:7" x14ac:dyDescent="0.25">
      <c r="A70" s="7" t="s">
        <v>28</v>
      </c>
      <c r="B70" s="7">
        <f>ROUNDUP(F50+F56+F62+F68,0)</f>
        <v>68</v>
      </c>
      <c r="C70" s="7" t="s">
        <v>8</v>
      </c>
    </row>
    <row r="72" spans="1:7" x14ac:dyDescent="0.25">
      <c r="A72" s="2" t="s">
        <v>265</v>
      </c>
    </row>
    <row r="74" spans="1:7" x14ac:dyDescent="0.25">
      <c r="A74" t="s">
        <v>263</v>
      </c>
      <c r="D74">
        <v>30</v>
      </c>
      <c r="E74" t="s">
        <v>2</v>
      </c>
    </row>
    <row r="75" spans="1:7" x14ac:dyDescent="0.25">
      <c r="A75" t="s">
        <v>210</v>
      </c>
      <c r="D75">
        <v>28.5</v>
      </c>
      <c r="E75" t="s">
        <v>2</v>
      </c>
      <c r="F75" t="s">
        <v>208</v>
      </c>
    </row>
    <row r="76" spans="1:7" x14ac:dyDescent="0.25">
      <c r="A76" t="s">
        <v>211</v>
      </c>
      <c r="D76">
        <v>1</v>
      </c>
    </row>
    <row r="77" spans="1:7" x14ac:dyDescent="0.25">
      <c r="A77" t="s">
        <v>212</v>
      </c>
      <c r="D77">
        <f>D74*D75*D76</f>
        <v>855</v>
      </c>
      <c r="E77" t="s">
        <v>23</v>
      </c>
      <c r="F77">
        <f>D77/9</f>
        <v>95</v>
      </c>
      <c r="G77" t="s">
        <v>24</v>
      </c>
    </row>
    <row r="79" spans="1:7" x14ac:dyDescent="0.25">
      <c r="A79" t="s">
        <v>264</v>
      </c>
      <c r="D79">
        <v>50</v>
      </c>
      <c r="E79" t="s">
        <v>2</v>
      </c>
    </row>
    <row r="80" spans="1:7" x14ac:dyDescent="0.25">
      <c r="A80" t="s">
        <v>210</v>
      </c>
      <c r="D80">
        <v>28.5</v>
      </c>
      <c r="E80" t="s">
        <v>2</v>
      </c>
      <c r="F80" t="s">
        <v>208</v>
      </c>
    </row>
    <row r="81" spans="1:7" x14ac:dyDescent="0.25">
      <c r="A81" t="s">
        <v>211</v>
      </c>
      <c r="D81">
        <v>1</v>
      </c>
    </row>
    <row r="82" spans="1:7" x14ac:dyDescent="0.25">
      <c r="A82" t="s">
        <v>212</v>
      </c>
      <c r="D82">
        <f>D79*D80*D81</f>
        <v>1425</v>
      </c>
      <c r="E82" t="s">
        <v>23</v>
      </c>
      <c r="F82">
        <f>D82/9</f>
        <v>158.33333333333334</v>
      </c>
      <c r="G82" t="s">
        <v>24</v>
      </c>
    </row>
    <row r="84" spans="1:7" x14ac:dyDescent="0.25">
      <c r="A84" t="s">
        <v>11</v>
      </c>
      <c r="D84">
        <v>20</v>
      </c>
      <c r="E84" t="s">
        <v>2</v>
      </c>
    </row>
    <row r="85" spans="1:7" x14ac:dyDescent="0.25">
      <c r="A85" t="s">
        <v>10</v>
      </c>
      <c r="D85">
        <v>28.5</v>
      </c>
      <c r="E85" t="s">
        <v>2</v>
      </c>
      <c r="F85" t="s">
        <v>208</v>
      </c>
    </row>
    <row r="86" spans="1:7" x14ac:dyDescent="0.25">
      <c r="A86" t="s">
        <v>12</v>
      </c>
      <c r="D86">
        <v>2</v>
      </c>
      <c r="E86" t="s">
        <v>2</v>
      </c>
    </row>
    <row r="87" spans="1:7" x14ac:dyDescent="0.25">
      <c r="A87" t="s">
        <v>212</v>
      </c>
      <c r="D87">
        <f>D84*D85*D86</f>
        <v>1140</v>
      </c>
      <c r="E87" t="s">
        <v>23</v>
      </c>
      <c r="F87">
        <f>D87/9</f>
        <v>126.66666666666667</v>
      </c>
      <c r="G87" t="s">
        <v>24</v>
      </c>
    </row>
    <row r="90" spans="1:7" x14ac:dyDescent="0.25">
      <c r="A90" t="s">
        <v>25</v>
      </c>
      <c r="D90">
        <v>124</v>
      </c>
      <c r="E90" t="s">
        <v>2</v>
      </c>
      <c r="F90" t="s">
        <v>27</v>
      </c>
    </row>
    <row r="91" spans="1:7" x14ac:dyDescent="0.25">
      <c r="A91" t="s">
        <v>26</v>
      </c>
      <c r="D91">
        <v>28.5</v>
      </c>
      <c r="E91" t="s">
        <v>2</v>
      </c>
      <c r="F91" t="s">
        <v>208</v>
      </c>
    </row>
    <row r="92" spans="1:7" x14ac:dyDescent="0.25">
      <c r="A92" t="s">
        <v>213</v>
      </c>
      <c r="D92">
        <f>D90*D91</f>
        <v>3534</v>
      </c>
      <c r="E92" t="s">
        <v>23</v>
      </c>
      <c r="F92">
        <f>D92/9</f>
        <v>392.66666666666669</v>
      </c>
      <c r="G92" t="s">
        <v>24</v>
      </c>
    </row>
    <row r="94" spans="1:7" x14ac:dyDescent="0.25">
      <c r="A94" s="7" t="s">
        <v>28</v>
      </c>
      <c r="B94" s="7">
        <f>ROUNDUP(F77+F82+F87+F92,0)</f>
        <v>773</v>
      </c>
      <c r="C94" s="7" t="s">
        <v>24</v>
      </c>
    </row>
    <row r="96" spans="1:7" x14ac:dyDescent="0.25">
      <c r="A96" t="s">
        <v>268</v>
      </c>
      <c r="D96">
        <v>0.05</v>
      </c>
      <c r="E96" t="s">
        <v>267</v>
      </c>
    </row>
    <row r="98" spans="1:7" x14ac:dyDescent="0.25">
      <c r="A98" t="s">
        <v>266</v>
      </c>
      <c r="D98">
        <f>B94*D96</f>
        <v>38.650000000000006</v>
      </c>
      <c r="E98" t="s">
        <v>269</v>
      </c>
    </row>
    <row r="104" spans="1:7" x14ac:dyDescent="0.25">
      <c r="A104" s="2" t="s">
        <v>261</v>
      </c>
    </row>
    <row r="106" spans="1:7" x14ac:dyDescent="0.25">
      <c r="A106" t="s">
        <v>223</v>
      </c>
      <c r="E106">
        <v>28.5</v>
      </c>
      <c r="F106" t="s">
        <v>2</v>
      </c>
      <c r="G106" t="s">
        <v>227</v>
      </c>
    </row>
    <row r="107" spans="1:7" x14ac:dyDescent="0.25">
      <c r="A107" t="s">
        <v>61</v>
      </c>
      <c r="E107" s="3">
        <v>1</v>
      </c>
      <c r="F107" s="3" t="s">
        <v>116</v>
      </c>
    </row>
    <row r="108" spans="1:7" x14ac:dyDescent="0.25">
      <c r="E108">
        <f>E106*E107</f>
        <v>28.5</v>
      </c>
      <c r="F108" t="s">
        <v>2</v>
      </c>
    </row>
    <row r="110" spans="1:7" x14ac:dyDescent="0.25">
      <c r="A110" t="s">
        <v>224</v>
      </c>
      <c r="E110">
        <v>28.5</v>
      </c>
      <c r="F110" t="s">
        <v>2</v>
      </c>
      <c r="G110" t="s">
        <v>227</v>
      </c>
    </row>
    <row r="111" spans="1:7" x14ac:dyDescent="0.25">
      <c r="A111" t="s">
        <v>61</v>
      </c>
      <c r="E111" s="3">
        <v>2</v>
      </c>
      <c r="F111" s="3" t="s">
        <v>116</v>
      </c>
    </row>
    <row r="112" spans="1:7" x14ac:dyDescent="0.25">
      <c r="E112">
        <f>E110*E111</f>
        <v>57</v>
      </c>
      <c r="F112" t="s">
        <v>2</v>
      </c>
    </row>
    <row r="114" spans="1:7" x14ac:dyDescent="0.25">
      <c r="A114" t="s">
        <v>225</v>
      </c>
      <c r="E114">
        <v>25</v>
      </c>
      <c r="F114" t="s">
        <v>2</v>
      </c>
      <c r="G114" t="s">
        <v>226</v>
      </c>
    </row>
    <row r="115" spans="1:7" x14ac:dyDescent="0.25">
      <c r="A115" t="s">
        <v>61</v>
      </c>
      <c r="E115" s="3">
        <v>2</v>
      </c>
      <c r="F115" s="3" t="s">
        <v>116</v>
      </c>
    </row>
    <row r="116" spans="1:7" x14ac:dyDescent="0.25">
      <c r="E116">
        <f>E114*E115</f>
        <v>50</v>
      </c>
      <c r="F116" t="s">
        <v>2</v>
      </c>
    </row>
    <row r="118" spans="1:7" x14ac:dyDescent="0.25">
      <c r="A118" t="s">
        <v>229</v>
      </c>
      <c r="E118">
        <v>124</v>
      </c>
      <c r="F118" t="s">
        <v>2</v>
      </c>
      <c r="G118" t="s">
        <v>226</v>
      </c>
    </row>
    <row r="119" spans="1:7" x14ac:dyDescent="0.25">
      <c r="A119" t="s">
        <v>61</v>
      </c>
      <c r="E119" s="3">
        <v>2</v>
      </c>
      <c r="F119" s="3" t="s">
        <v>116</v>
      </c>
    </row>
    <row r="120" spans="1:7" x14ac:dyDescent="0.25">
      <c r="E120">
        <f>E118*E119</f>
        <v>248</v>
      </c>
      <c r="F120" t="s">
        <v>2</v>
      </c>
    </row>
    <row r="122" spans="1:7" x14ac:dyDescent="0.25">
      <c r="A122" t="s">
        <v>228</v>
      </c>
      <c r="E122">
        <v>25</v>
      </c>
      <c r="F122" t="s">
        <v>2</v>
      </c>
      <c r="G122" t="s">
        <v>226</v>
      </c>
    </row>
    <row r="123" spans="1:7" x14ac:dyDescent="0.25">
      <c r="A123" t="s">
        <v>61</v>
      </c>
      <c r="E123" s="3">
        <v>2</v>
      </c>
      <c r="F123" s="3" t="s">
        <v>116</v>
      </c>
    </row>
    <row r="124" spans="1:7" x14ac:dyDescent="0.25">
      <c r="E124">
        <f>E122*E123</f>
        <v>50</v>
      </c>
      <c r="F124" t="s">
        <v>2</v>
      </c>
    </row>
    <row r="126" spans="1:7" x14ac:dyDescent="0.25">
      <c r="D126" t="s">
        <v>28</v>
      </c>
      <c r="E126">
        <f>E108+E112+E116+E120+E124</f>
        <v>433.5</v>
      </c>
      <c r="F126" t="s">
        <v>2</v>
      </c>
    </row>
    <row r="130" spans="1:4" x14ac:dyDescent="0.25">
      <c r="A130" s="2" t="s">
        <v>32</v>
      </c>
    </row>
    <row r="132" spans="1:4" x14ac:dyDescent="0.25">
      <c r="A132" t="s">
        <v>271</v>
      </c>
      <c r="C132">
        <f>23*5.25</f>
        <v>120.75</v>
      </c>
      <c r="D132" t="s">
        <v>2</v>
      </c>
    </row>
    <row r="133" spans="1:4" x14ac:dyDescent="0.25">
      <c r="A133" t="s">
        <v>270</v>
      </c>
      <c r="C133" s="3">
        <f>12*5.25</f>
        <v>63</v>
      </c>
      <c r="D133" s="3" t="s">
        <v>2</v>
      </c>
    </row>
    <row r="134" spans="1:4" x14ac:dyDescent="0.25">
      <c r="C134">
        <f>SUM(C132:C133)</f>
        <v>183.75</v>
      </c>
    </row>
    <row r="137" spans="1:4" x14ac:dyDescent="0.25">
      <c r="A137" s="2" t="s">
        <v>230</v>
      </c>
    </row>
    <row r="139" spans="1:4" x14ac:dyDescent="0.25">
      <c r="A139" t="s">
        <v>262</v>
      </c>
      <c r="C139">
        <v>115.5</v>
      </c>
      <c r="D139" t="s">
        <v>2</v>
      </c>
    </row>
    <row r="142" spans="1:4" x14ac:dyDescent="0.25">
      <c r="A142" s="2" t="s">
        <v>272</v>
      </c>
    </row>
    <row r="143" spans="1:4" x14ac:dyDescent="0.25">
      <c r="A143" t="s">
        <v>273</v>
      </c>
      <c r="C143">
        <f>(10+10+16)*0.75*1*(1/27)</f>
        <v>1</v>
      </c>
      <c r="D143" t="s">
        <v>8</v>
      </c>
    </row>
    <row r="146" spans="1:5" x14ac:dyDescent="0.25">
      <c r="A146" s="2"/>
    </row>
    <row r="147" spans="1:5" x14ac:dyDescent="0.25">
      <c r="A147" s="2" t="s">
        <v>58</v>
      </c>
    </row>
    <row r="148" spans="1:5" x14ac:dyDescent="0.25">
      <c r="A148" s="2"/>
    </row>
    <row r="149" spans="1:5" x14ac:dyDescent="0.25">
      <c r="A149" s="3" t="s">
        <v>241</v>
      </c>
      <c r="B149" s="3"/>
    </row>
    <row r="150" spans="1:5" x14ac:dyDescent="0.25">
      <c r="A150" t="s">
        <v>60</v>
      </c>
      <c r="D150">
        <v>124</v>
      </c>
      <c r="E150" t="s">
        <v>2</v>
      </c>
    </row>
    <row r="151" spans="1:5" x14ac:dyDescent="0.25">
      <c r="A151" t="s">
        <v>248</v>
      </c>
      <c r="D151">
        <f>0.75+3+1.5+3+2.25+0.5</f>
        <v>11</v>
      </c>
      <c r="E151" t="s">
        <v>2</v>
      </c>
    </row>
    <row r="152" spans="1:5" x14ac:dyDescent="0.25">
      <c r="A152" t="s">
        <v>61</v>
      </c>
      <c r="D152">
        <v>1</v>
      </c>
    </row>
    <row r="153" spans="1:5" x14ac:dyDescent="0.25">
      <c r="A153" t="s">
        <v>62</v>
      </c>
      <c r="D153">
        <f>D150*D151*D152</f>
        <v>1364</v>
      </c>
      <c r="E153" t="s">
        <v>40</v>
      </c>
    </row>
    <row r="154" spans="1:5" x14ac:dyDescent="0.25">
      <c r="D154">
        <f>D153/9</f>
        <v>151.55555555555554</v>
      </c>
      <c r="E154" t="s">
        <v>24</v>
      </c>
    </row>
    <row r="156" spans="1:5" x14ac:dyDescent="0.25">
      <c r="A156" s="3" t="s">
        <v>246</v>
      </c>
      <c r="B156" s="3"/>
    </row>
    <row r="157" spans="1:5" x14ac:dyDescent="0.25">
      <c r="A157" t="s">
        <v>60</v>
      </c>
      <c r="D157">
        <v>124</v>
      </c>
      <c r="E157" t="s">
        <v>2</v>
      </c>
    </row>
    <row r="158" spans="1:5" x14ac:dyDescent="0.25">
      <c r="A158" t="s">
        <v>247</v>
      </c>
      <c r="D158">
        <f>0.75+0.8333+5.25+3+1+3+2.25+0.5</f>
        <v>16.583300000000001</v>
      </c>
      <c r="E158" t="s">
        <v>2</v>
      </c>
    </row>
    <row r="159" spans="1:5" x14ac:dyDescent="0.25">
      <c r="A159" t="s">
        <v>61</v>
      </c>
      <c r="D159">
        <v>1</v>
      </c>
    </row>
    <row r="160" spans="1:5" x14ac:dyDescent="0.25">
      <c r="A160" t="s">
        <v>62</v>
      </c>
      <c r="D160">
        <f>D157*D158*D159</f>
        <v>2056.3292000000001</v>
      </c>
      <c r="E160" t="s">
        <v>40</v>
      </c>
    </row>
    <row r="161" spans="1:5" x14ac:dyDescent="0.25">
      <c r="D161">
        <f>D160/9</f>
        <v>228.48102222222224</v>
      </c>
      <c r="E161" t="s">
        <v>24</v>
      </c>
    </row>
    <row r="164" spans="1:5" x14ac:dyDescent="0.25">
      <c r="A164" s="6" t="s">
        <v>63</v>
      </c>
    </row>
    <row r="165" spans="1:5" x14ac:dyDescent="0.25">
      <c r="A165" t="s">
        <v>64</v>
      </c>
      <c r="D165">
        <v>1</v>
      </c>
    </row>
    <row r="166" spans="1:5" x14ac:dyDescent="0.25">
      <c r="A166" t="s">
        <v>76</v>
      </c>
      <c r="D166">
        <v>3</v>
      </c>
      <c r="E166" t="s">
        <v>2</v>
      </c>
    </row>
    <row r="167" spans="1:5" x14ac:dyDescent="0.25">
      <c r="A167" t="s">
        <v>65</v>
      </c>
      <c r="D167">
        <f>D166*4.5</f>
        <v>13.5</v>
      </c>
      <c r="E167" t="s">
        <v>40</v>
      </c>
    </row>
    <row r="168" spans="1:5" x14ac:dyDescent="0.25">
      <c r="A168" t="s">
        <v>68</v>
      </c>
      <c r="D168" s="3">
        <v>2</v>
      </c>
      <c r="E168" s="3"/>
    </row>
    <row r="169" spans="1:5" x14ac:dyDescent="0.25">
      <c r="A169" t="s">
        <v>234</v>
      </c>
      <c r="D169">
        <f>D167*D168</f>
        <v>27</v>
      </c>
      <c r="E169" t="s">
        <v>40</v>
      </c>
    </row>
    <row r="170" spans="1:5" x14ac:dyDescent="0.25">
      <c r="D170">
        <f>D169/9</f>
        <v>3</v>
      </c>
      <c r="E170" t="s">
        <v>24</v>
      </c>
    </row>
    <row r="172" spans="1:5" x14ac:dyDescent="0.25">
      <c r="A172" t="s">
        <v>65</v>
      </c>
      <c r="D172">
        <f>4.4*D166</f>
        <v>13.200000000000001</v>
      </c>
      <c r="E172" t="s">
        <v>40</v>
      </c>
    </row>
    <row r="173" spans="1:5" x14ac:dyDescent="0.25">
      <c r="A173" t="s">
        <v>69</v>
      </c>
      <c r="D173" s="3">
        <v>2</v>
      </c>
      <c r="E173" s="3"/>
    </row>
    <row r="174" spans="1:5" x14ac:dyDescent="0.25">
      <c r="A174" t="s">
        <v>234</v>
      </c>
      <c r="D174">
        <f>D172*D173</f>
        <v>26.400000000000002</v>
      </c>
      <c r="E174" t="s">
        <v>40</v>
      </c>
    </row>
    <row r="175" spans="1:5" x14ac:dyDescent="0.25">
      <c r="D175">
        <f>D174/9</f>
        <v>2.9333333333333336</v>
      </c>
      <c r="E175" t="s">
        <v>24</v>
      </c>
    </row>
    <row r="177" spans="1:5" x14ac:dyDescent="0.25">
      <c r="A177" t="s">
        <v>67</v>
      </c>
      <c r="D177">
        <f>D166*(39.42)</f>
        <v>118.26</v>
      </c>
      <c r="E177" t="s">
        <v>40</v>
      </c>
    </row>
    <row r="178" spans="1:5" x14ac:dyDescent="0.25">
      <c r="A178" t="s">
        <v>70</v>
      </c>
      <c r="D178" s="3">
        <v>2</v>
      </c>
      <c r="E178" s="3"/>
    </row>
    <row r="179" spans="1:5" x14ac:dyDescent="0.25">
      <c r="A179" t="s">
        <v>234</v>
      </c>
      <c r="D179">
        <f>D177*D178</f>
        <v>236.52</v>
      </c>
      <c r="E179" t="s">
        <v>40</v>
      </c>
    </row>
    <row r="180" spans="1:5" x14ac:dyDescent="0.25">
      <c r="D180">
        <f>D179/9</f>
        <v>26.28</v>
      </c>
      <c r="E180" t="s">
        <v>24</v>
      </c>
    </row>
    <row r="181" spans="1:5" x14ac:dyDescent="0.25">
      <c r="A181" t="s">
        <v>71</v>
      </c>
    </row>
    <row r="182" spans="1:5" x14ac:dyDescent="0.25">
      <c r="A182" t="s">
        <v>73</v>
      </c>
      <c r="D182">
        <v>0</v>
      </c>
      <c r="E182" t="s">
        <v>72</v>
      </c>
    </row>
    <row r="183" spans="1:5" x14ac:dyDescent="0.25">
      <c r="A183" t="s">
        <v>74</v>
      </c>
      <c r="D183">
        <f>39.5/COS(D182*PI()/180) -3*(PI()*1.5^2)</f>
        <v>18.294249588268897</v>
      </c>
      <c r="E183" t="s">
        <v>2</v>
      </c>
    </row>
    <row r="184" spans="1:5" x14ac:dyDescent="0.25">
      <c r="A184" t="s">
        <v>75</v>
      </c>
      <c r="D184">
        <f>D166*D183</f>
        <v>54.882748764806692</v>
      </c>
      <c r="E184" t="s">
        <v>40</v>
      </c>
    </row>
    <row r="185" spans="1:5" x14ac:dyDescent="0.25">
      <c r="A185" t="s">
        <v>77</v>
      </c>
      <c r="D185">
        <v>1</v>
      </c>
    </row>
    <row r="186" spans="1:5" x14ac:dyDescent="0.25">
      <c r="A186" t="s">
        <v>234</v>
      </c>
      <c r="D186">
        <f>D184*D185</f>
        <v>54.882748764806692</v>
      </c>
      <c r="E186" t="s">
        <v>40</v>
      </c>
    </row>
    <row r="187" spans="1:5" x14ac:dyDescent="0.25">
      <c r="D187">
        <f>D186/9</f>
        <v>6.0980831960896325</v>
      </c>
      <c r="E187" t="s">
        <v>24</v>
      </c>
    </row>
    <row r="189" spans="1:5" x14ac:dyDescent="0.25">
      <c r="A189" t="s">
        <v>231</v>
      </c>
      <c r="D189">
        <f>PI()*D166</f>
        <v>9.4247779607693793</v>
      </c>
      <c r="E189" t="s">
        <v>2</v>
      </c>
    </row>
    <row r="190" spans="1:5" x14ac:dyDescent="0.25">
      <c r="A190" t="s">
        <v>232</v>
      </c>
      <c r="D190">
        <v>15</v>
      </c>
      <c r="E190" t="s">
        <v>2</v>
      </c>
    </row>
    <row r="191" spans="1:5" x14ac:dyDescent="0.25">
      <c r="A191" t="s">
        <v>233</v>
      </c>
      <c r="D191" s="3">
        <v>3</v>
      </c>
      <c r="E191" s="3"/>
    </row>
    <row r="192" spans="1:5" x14ac:dyDescent="0.25">
      <c r="A192" t="s">
        <v>234</v>
      </c>
      <c r="D192">
        <f>D189*D190*D191</f>
        <v>424.11500823462211</v>
      </c>
      <c r="E192" t="s">
        <v>40</v>
      </c>
    </row>
    <row r="193" spans="1:8" x14ac:dyDescent="0.25">
      <c r="D193">
        <f>D192/9</f>
        <v>47.1238898038469</v>
      </c>
      <c r="E193" t="s">
        <v>24</v>
      </c>
    </row>
    <row r="195" spans="1:8" x14ac:dyDescent="0.25">
      <c r="A195" t="s">
        <v>235</v>
      </c>
      <c r="D195">
        <f>D165*(D170+D175+D180+D187+D193)</f>
        <v>85.435306333269864</v>
      </c>
      <c r="E195" t="s">
        <v>24</v>
      </c>
    </row>
    <row r="198" spans="1:8" x14ac:dyDescent="0.25">
      <c r="A198" s="3" t="s">
        <v>243</v>
      </c>
      <c r="B198" s="3"/>
      <c r="C198" s="3"/>
      <c r="D198" s="3"/>
      <c r="E198" s="3"/>
      <c r="F198" s="3"/>
      <c r="G198" s="3"/>
      <c r="H198" s="3"/>
    </row>
    <row r="200" spans="1:8" x14ac:dyDescent="0.25">
      <c r="A200" t="s">
        <v>81</v>
      </c>
      <c r="D200">
        <v>1.833</v>
      </c>
      <c r="E200" t="s">
        <v>2</v>
      </c>
    </row>
    <row r="201" spans="1:8" x14ac:dyDescent="0.25">
      <c r="A201" t="s">
        <v>82</v>
      </c>
      <c r="D201">
        <v>36</v>
      </c>
      <c r="E201" t="s">
        <v>2</v>
      </c>
    </row>
    <row r="202" spans="1:8" x14ac:dyDescent="0.25">
      <c r="A202" t="s">
        <v>83</v>
      </c>
      <c r="D202">
        <v>3.5</v>
      </c>
      <c r="E202" t="s">
        <v>2</v>
      </c>
    </row>
    <row r="203" spans="1:8" x14ac:dyDescent="0.25">
      <c r="A203" t="s">
        <v>236</v>
      </c>
      <c r="D203">
        <v>15</v>
      </c>
      <c r="E203" t="s">
        <v>2</v>
      </c>
    </row>
    <row r="204" spans="1:8" x14ac:dyDescent="0.25">
      <c r="A204" t="s">
        <v>88</v>
      </c>
      <c r="D204">
        <v>1.75</v>
      </c>
      <c r="E204" t="s">
        <v>2</v>
      </c>
    </row>
    <row r="206" spans="1:8" x14ac:dyDescent="0.25">
      <c r="A206" t="s">
        <v>84</v>
      </c>
      <c r="D206">
        <f>D201*D203</f>
        <v>540</v>
      </c>
      <c r="E206" t="s">
        <v>40</v>
      </c>
    </row>
    <row r="207" spans="1:8" x14ac:dyDescent="0.25">
      <c r="A207" t="s">
        <v>85</v>
      </c>
      <c r="D207">
        <f>0</f>
        <v>0</v>
      </c>
      <c r="E207" t="s">
        <v>40</v>
      </c>
    </row>
    <row r="208" spans="1:8" x14ac:dyDescent="0.25">
      <c r="A208" t="s">
        <v>86</v>
      </c>
      <c r="D208">
        <f>0</f>
        <v>0</v>
      </c>
      <c r="E208" t="s">
        <v>40</v>
      </c>
    </row>
    <row r="210" spans="1:8" ht="15" customHeight="1" x14ac:dyDescent="0.25">
      <c r="A210" s="66" t="s">
        <v>237</v>
      </c>
      <c r="B210" s="66"/>
      <c r="D210">
        <f>0.5*40*(D203+3)</f>
        <v>360</v>
      </c>
      <c r="E210" t="s">
        <v>40</v>
      </c>
    </row>
    <row r="211" spans="1:8" x14ac:dyDescent="0.25">
      <c r="A211" s="66" t="s">
        <v>238</v>
      </c>
      <c r="B211" s="4"/>
      <c r="D211" s="3">
        <v>2</v>
      </c>
      <c r="E211" s="3"/>
    </row>
    <row r="212" spans="1:8" x14ac:dyDescent="0.25">
      <c r="A212" s="66"/>
      <c r="B212" s="4"/>
      <c r="D212">
        <f>D210*D211</f>
        <v>720</v>
      </c>
      <c r="E212" t="s">
        <v>40</v>
      </c>
    </row>
    <row r="213" spans="1:8" x14ac:dyDescent="0.25">
      <c r="A213" s="66"/>
      <c r="B213" s="4"/>
    </row>
    <row r="214" spans="1:8" ht="15" customHeight="1" x14ac:dyDescent="0.25">
      <c r="A214" s="66" t="s">
        <v>240</v>
      </c>
      <c r="B214" s="66"/>
      <c r="D214">
        <f>0.75+3+1.5+3</f>
        <v>8.25</v>
      </c>
      <c r="E214" t="s">
        <v>2</v>
      </c>
    </row>
    <row r="215" spans="1:8" ht="15" customHeight="1" x14ac:dyDescent="0.25">
      <c r="A215" s="66" t="s">
        <v>239</v>
      </c>
      <c r="B215" s="66"/>
      <c r="D215">
        <v>40</v>
      </c>
      <c r="E215" t="s">
        <v>2</v>
      </c>
    </row>
    <row r="216" spans="1:8" x14ac:dyDescent="0.25">
      <c r="A216" s="66" t="s">
        <v>238</v>
      </c>
      <c r="B216" s="4"/>
      <c r="D216" s="3">
        <v>2</v>
      </c>
      <c r="E216" s="3"/>
    </row>
    <row r="217" spans="1:8" x14ac:dyDescent="0.25">
      <c r="A217" s="66"/>
      <c r="B217" s="4"/>
      <c r="D217">
        <f>D214*D216</f>
        <v>16.5</v>
      </c>
      <c r="E217" t="s">
        <v>40</v>
      </c>
    </row>
    <row r="219" spans="1:8" x14ac:dyDescent="0.25">
      <c r="A219" t="s">
        <v>78</v>
      </c>
      <c r="D219">
        <f>D206+D207+D208+D210+D214</f>
        <v>908.25</v>
      </c>
      <c r="E219" t="s">
        <v>40</v>
      </c>
    </row>
    <row r="220" spans="1:8" x14ac:dyDescent="0.25">
      <c r="D220">
        <f>D219/9</f>
        <v>100.91666666666667</v>
      </c>
      <c r="E220" t="s">
        <v>24</v>
      </c>
    </row>
    <row r="223" spans="1:8" x14ac:dyDescent="0.25">
      <c r="A223" s="3" t="s">
        <v>242</v>
      </c>
      <c r="B223" s="3"/>
      <c r="C223" s="3"/>
      <c r="D223" s="3"/>
      <c r="E223" s="3"/>
      <c r="F223" s="3"/>
      <c r="G223" s="3"/>
      <c r="H223" s="3"/>
    </row>
    <row r="225" spans="1:5" x14ac:dyDescent="0.25">
      <c r="A225" t="s">
        <v>81</v>
      </c>
      <c r="D225">
        <v>2</v>
      </c>
      <c r="E225" t="s">
        <v>2</v>
      </c>
    </row>
    <row r="226" spans="1:5" x14ac:dyDescent="0.25">
      <c r="A226" t="s">
        <v>82</v>
      </c>
      <c r="D226">
        <v>36</v>
      </c>
      <c r="E226" t="s">
        <v>2</v>
      </c>
    </row>
    <row r="227" spans="1:5" x14ac:dyDescent="0.25">
      <c r="A227" t="s">
        <v>83</v>
      </c>
      <c r="D227">
        <v>3.5</v>
      </c>
      <c r="E227" t="s">
        <v>2</v>
      </c>
    </row>
    <row r="228" spans="1:5" x14ac:dyDescent="0.25">
      <c r="A228" t="s">
        <v>236</v>
      </c>
      <c r="D228">
        <v>15</v>
      </c>
      <c r="E228" t="s">
        <v>2</v>
      </c>
    </row>
    <row r="229" spans="1:5" x14ac:dyDescent="0.25">
      <c r="A229" t="s">
        <v>88</v>
      </c>
      <c r="D229">
        <v>1.75</v>
      </c>
      <c r="E229" t="s">
        <v>2</v>
      </c>
    </row>
    <row r="231" spans="1:5" x14ac:dyDescent="0.25">
      <c r="A231" t="s">
        <v>84</v>
      </c>
      <c r="D231">
        <f>D226*D228</f>
        <v>540</v>
      </c>
      <c r="E231" t="s">
        <v>40</v>
      </c>
    </row>
    <row r="232" spans="1:5" x14ac:dyDescent="0.25">
      <c r="A232" t="s">
        <v>85</v>
      </c>
      <c r="D232">
        <f>0</f>
        <v>0</v>
      </c>
      <c r="E232" t="s">
        <v>40</v>
      </c>
    </row>
    <row r="233" spans="1:5" x14ac:dyDescent="0.25">
      <c r="A233" t="s">
        <v>86</v>
      </c>
      <c r="D233">
        <f>0</f>
        <v>0</v>
      </c>
      <c r="E233" t="s">
        <v>40</v>
      </c>
    </row>
    <row r="234" spans="1:5" ht="15" customHeight="1" x14ac:dyDescent="0.25"/>
    <row r="235" spans="1:5" x14ac:dyDescent="0.25">
      <c r="A235" s="66" t="s">
        <v>237</v>
      </c>
      <c r="B235" s="66"/>
      <c r="D235">
        <f>0.5*40*(D228+3)</f>
        <v>360</v>
      </c>
      <c r="E235" t="s">
        <v>40</v>
      </c>
    </row>
    <row r="236" spans="1:5" x14ac:dyDescent="0.25">
      <c r="A236" s="66" t="s">
        <v>238</v>
      </c>
      <c r="B236" s="4"/>
      <c r="D236" s="3">
        <v>2</v>
      </c>
      <c r="E236" s="3"/>
    </row>
    <row r="237" spans="1:5" ht="15" customHeight="1" x14ac:dyDescent="0.25">
      <c r="A237" s="66"/>
      <c r="B237" s="4"/>
      <c r="D237">
        <f>D235*D236</f>
        <v>720</v>
      </c>
      <c r="E237" t="s">
        <v>40</v>
      </c>
    </row>
    <row r="238" spans="1:5" x14ac:dyDescent="0.25">
      <c r="A238" s="66"/>
      <c r="B238" s="4"/>
    </row>
    <row r="239" spans="1:5" x14ac:dyDescent="0.25">
      <c r="A239" s="66" t="s">
        <v>240</v>
      </c>
      <c r="B239" s="66"/>
      <c r="D239">
        <f>0.75+3+1.5+3</f>
        <v>8.25</v>
      </c>
      <c r="E239" t="s">
        <v>2</v>
      </c>
    </row>
    <row r="240" spans="1:5" x14ac:dyDescent="0.25">
      <c r="A240" s="66" t="s">
        <v>239</v>
      </c>
      <c r="B240" s="66"/>
      <c r="D240">
        <v>40</v>
      </c>
      <c r="E240" t="s">
        <v>2</v>
      </c>
    </row>
    <row r="241" spans="1:10" x14ac:dyDescent="0.25">
      <c r="A241" s="66" t="s">
        <v>238</v>
      </c>
      <c r="B241" s="4"/>
      <c r="D241" s="3">
        <v>2</v>
      </c>
      <c r="E241" s="3"/>
    </row>
    <row r="242" spans="1:10" x14ac:dyDescent="0.25">
      <c r="A242" s="66"/>
      <c r="B242" s="4"/>
      <c r="D242">
        <f>D239*D241</f>
        <v>16.5</v>
      </c>
      <c r="E242" t="s">
        <v>40</v>
      </c>
    </row>
    <row r="244" spans="1:10" x14ac:dyDescent="0.25">
      <c r="A244" t="s">
        <v>78</v>
      </c>
      <c r="D244">
        <f>D231+D232+D233+D235+D239</f>
        <v>908.25</v>
      </c>
      <c r="E244" t="s">
        <v>40</v>
      </c>
    </row>
    <row r="245" spans="1:10" x14ac:dyDescent="0.25">
      <c r="D245">
        <f>D244/9</f>
        <v>100.91666666666667</v>
      </c>
      <c r="E245" t="s">
        <v>24</v>
      </c>
    </row>
    <row r="248" spans="1:10" x14ac:dyDescent="0.25">
      <c r="A248" s="7" t="s">
        <v>90</v>
      </c>
      <c r="B248" s="7"/>
      <c r="C248" s="7"/>
      <c r="D248" s="7">
        <f>D154+D161+D195+D220+D245</f>
        <v>667.3052174443809</v>
      </c>
      <c r="E248" s="7" t="s">
        <v>24</v>
      </c>
    </row>
    <row r="252" spans="1:10" x14ac:dyDescent="0.25">
      <c r="A252" s="2" t="s">
        <v>244</v>
      </c>
      <c r="J252" t="s">
        <v>245</v>
      </c>
    </row>
    <row r="254" spans="1:10" x14ac:dyDescent="0.25">
      <c r="A254" s="2" t="s">
        <v>252</v>
      </c>
    </row>
    <row r="256" spans="1:10" x14ac:dyDescent="0.25">
      <c r="A256" t="s">
        <v>25</v>
      </c>
      <c r="D256">
        <v>124</v>
      </c>
      <c r="E256" t="s">
        <v>2</v>
      </c>
      <c r="F256" t="s">
        <v>27</v>
      </c>
    </row>
    <row r="257" spans="1:7" x14ac:dyDescent="0.25">
      <c r="A257" t="s">
        <v>26</v>
      </c>
      <c r="D257">
        <v>28.5</v>
      </c>
      <c r="E257" t="s">
        <v>2</v>
      </c>
      <c r="F257" t="s">
        <v>208</v>
      </c>
    </row>
    <row r="258" spans="1:7" x14ac:dyDescent="0.25">
      <c r="A258" t="s">
        <v>213</v>
      </c>
      <c r="D258">
        <f>D256*D257</f>
        <v>3534</v>
      </c>
      <c r="E258" t="s">
        <v>23</v>
      </c>
      <c r="F258">
        <f>D258/9</f>
        <v>392.66666666666669</v>
      </c>
      <c r="G258" t="s">
        <v>24</v>
      </c>
    </row>
    <row r="261" spans="1:7" x14ac:dyDescent="0.25">
      <c r="A261" s="2" t="s">
        <v>253</v>
      </c>
    </row>
    <row r="263" spans="1:7" x14ac:dyDescent="0.25">
      <c r="A263" t="s">
        <v>254</v>
      </c>
    </row>
    <row r="264" spans="1:7" x14ac:dyDescent="0.25">
      <c r="A264" t="s">
        <v>255</v>
      </c>
      <c r="D264">
        <v>12</v>
      </c>
    </row>
    <row r="265" spans="1:7" x14ac:dyDescent="0.25">
      <c r="A265" t="s">
        <v>256</v>
      </c>
      <c r="D265">
        <v>122</v>
      </c>
      <c r="E265" t="s">
        <v>2</v>
      </c>
    </row>
    <row r="266" spans="1:7" x14ac:dyDescent="0.25">
      <c r="A266" t="s">
        <v>257</v>
      </c>
      <c r="D266">
        <v>3</v>
      </c>
      <c r="E266" t="s">
        <v>2</v>
      </c>
    </row>
    <row r="268" spans="1:7" x14ac:dyDescent="0.25">
      <c r="A268" t="s">
        <v>258</v>
      </c>
      <c r="D268">
        <f>0.05*(D264*D265*D266)</f>
        <v>219.60000000000002</v>
      </c>
      <c r="E268" t="s">
        <v>40</v>
      </c>
    </row>
    <row r="271" spans="1:7" x14ac:dyDescent="0.25">
      <c r="A271" s="2" t="s">
        <v>259</v>
      </c>
    </row>
    <row r="273" spans="1:5" x14ac:dyDescent="0.25">
      <c r="A273" t="s">
        <v>255</v>
      </c>
      <c r="D273">
        <v>12</v>
      </c>
    </row>
    <row r="274" spans="1:5" x14ac:dyDescent="0.25">
      <c r="A274" t="s">
        <v>256</v>
      </c>
      <c r="D274">
        <v>122</v>
      </c>
      <c r="E274" t="s">
        <v>2</v>
      </c>
    </row>
    <row r="276" spans="1:5" x14ac:dyDescent="0.25">
      <c r="A276" t="s">
        <v>260</v>
      </c>
      <c r="D276">
        <f>(D273-1)*D274</f>
        <v>1342</v>
      </c>
      <c r="E276" t="s">
        <v>2</v>
      </c>
    </row>
    <row r="294" ht="15" customHeight="1" x14ac:dyDescent="0.25"/>
  </sheetData>
  <pageMargins left="0.7" right="0.7" top="0.75" bottom="0.75" header="0.3" footer="0.3"/>
  <pageSetup paperSize="1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5"/>
  <sheetViews>
    <sheetView topLeftCell="A119" workbookViewId="0">
      <selection activeCell="A62" sqref="A62:J83"/>
    </sheetView>
  </sheetViews>
  <sheetFormatPr defaultRowHeight="15" x14ac:dyDescent="0.25"/>
  <cols>
    <col min="3" max="3" width="11.7109375" customWidth="1"/>
    <col min="4" max="4" width="18.140625" customWidth="1"/>
  </cols>
  <sheetData>
    <row r="1" spans="1:7" x14ac:dyDescent="0.25">
      <c r="A1" s="2" t="s">
        <v>206</v>
      </c>
    </row>
    <row r="3" spans="1:7" x14ac:dyDescent="0.25">
      <c r="A3" t="s">
        <v>209</v>
      </c>
      <c r="D3">
        <v>0</v>
      </c>
      <c r="E3" t="s">
        <v>2</v>
      </c>
    </row>
    <row r="4" spans="1:7" x14ac:dyDescent="0.25">
      <c r="A4" t="s">
        <v>210</v>
      </c>
      <c r="D4">
        <v>25.25</v>
      </c>
      <c r="E4" t="s">
        <v>2</v>
      </c>
      <c r="F4" t="s">
        <v>208</v>
      </c>
    </row>
    <row r="5" spans="1:7" x14ac:dyDescent="0.25">
      <c r="A5" t="s">
        <v>211</v>
      </c>
      <c r="D5">
        <v>2</v>
      </c>
      <c r="E5" t="s">
        <v>2</v>
      </c>
    </row>
    <row r="6" spans="1:7" x14ac:dyDescent="0.25">
      <c r="A6" t="s">
        <v>212</v>
      </c>
      <c r="D6">
        <f>D3*D4*D5</f>
        <v>0</v>
      </c>
      <c r="E6" t="s">
        <v>23</v>
      </c>
      <c r="F6">
        <f>D6/9</f>
        <v>0</v>
      </c>
      <c r="G6" t="s">
        <v>24</v>
      </c>
    </row>
    <row r="8" spans="1:7" x14ac:dyDescent="0.25">
      <c r="A8" t="s">
        <v>11</v>
      </c>
      <c r="D8">
        <v>25</v>
      </c>
      <c r="E8" t="s">
        <v>2</v>
      </c>
    </row>
    <row r="9" spans="1:7" x14ac:dyDescent="0.25">
      <c r="A9" t="s">
        <v>10</v>
      </c>
      <c r="D9">
        <v>25.25</v>
      </c>
      <c r="E9" t="s">
        <v>2</v>
      </c>
      <c r="F9" t="s">
        <v>208</v>
      </c>
    </row>
    <row r="10" spans="1:7" x14ac:dyDescent="0.25">
      <c r="A10" t="s">
        <v>12</v>
      </c>
      <c r="D10">
        <v>2</v>
      </c>
      <c r="E10" t="s">
        <v>2</v>
      </c>
    </row>
    <row r="11" spans="1:7" x14ac:dyDescent="0.25">
      <c r="A11" t="s">
        <v>212</v>
      </c>
      <c r="D11">
        <f>D8*D9*D10</f>
        <v>1262.5</v>
      </c>
      <c r="E11" t="s">
        <v>23</v>
      </c>
      <c r="F11">
        <f>D11/9</f>
        <v>140.27777777777777</v>
      </c>
      <c r="G11" t="s">
        <v>24</v>
      </c>
    </row>
    <row r="14" spans="1:7" x14ac:dyDescent="0.25">
      <c r="A14" t="s">
        <v>25</v>
      </c>
      <c r="D14">
        <v>106.5</v>
      </c>
      <c r="E14" t="s">
        <v>2</v>
      </c>
      <c r="F14" t="s">
        <v>27</v>
      </c>
    </row>
    <row r="15" spans="1:7" x14ac:dyDescent="0.25">
      <c r="A15" t="s">
        <v>26</v>
      </c>
      <c r="D15">
        <v>25.25</v>
      </c>
      <c r="E15" t="s">
        <v>2</v>
      </c>
      <c r="F15" t="s">
        <v>208</v>
      </c>
    </row>
    <row r="16" spans="1:7" x14ac:dyDescent="0.25">
      <c r="A16" t="s">
        <v>213</v>
      </c>
      <c r="D16">
        <f>D14*D15</f>
        <v>2689.125</v>
      </c>
      <c r="E16" t="s">
        <v>23</v>
      </c>
      <c r="F16">
        <f>D16/9</f>
        <v>298.79166666666669</v>
      </c>
      <c r="G16" t="s">
        <v>24</v>
      </c>
    </row>
    <row r="18" spans="1:5" x14ac:dyDescent="0.25">
      <c r="A18" s="7" t="s">
        <v>28</v>
      </c>
      <c r="B18" s="7">
        <f>ROUNDUP(F6+F11+F16,0)</f>
        <v>440</v>
      </c>
      <c r="C18" s="7" t="s">
        <v>24</v>
      </c>
    </row>
    <row r="21" spans="1:5" x14ac:dyDescent="0.25">
      <c r="A21" s="2" t="s">
        <v>214</v>
      </c>
    </row>
    <row r="23" spans="1:5" x14ac:dyDescent="0.25">
      <c r="A23" t="s">
        <v>207</v>
      </c>
      <c r="C23">
        <f>6+5</f>
        <v>11</v>
      </c>
      <c r="D23" t="s">
        <v>2</v>
      </c>
    </row>
    <row r="24" spans="1:5" x14ac:dyDescent="0.25">
      <c r="A24" t="s">
        <v>1</v>
      </c>
      <c r="C24">
        <v>4</v>
      </c>
      <c r="D24" t="s">
        <v>2</v>
      </c>
    </row>
    <row r="25" spans="1:5" x14ac:dyDescent="0.25">
      <c r="A25" t="s">
        <v>217</v>
      </c>
      <c r="C25">
        <f>C23*C24</f>
        <v>44</v>
      </c>
      <c r="D25" t="s">
        <v>40</v>
      </c>
    </row>
    <row r="28" spans="1:5" x14ac:dyDescent="0.25">
      <c r="A28" s="2" t="s">
        <v>215</v>
      </c>
      <c r="D28">
        <f>6+5</f>
        <v>11</v>
      </c>
      <c r="E28" t="s">
        <v>2</v>
      </c>
    </row>
    <row r="30" spans="1:5" x14ac:dyDescent="0.25">
      <c r="A30" s="2" t="s">
        <v>216</v>
      </c>
    </row>
    <row r="32" spans="1:5" x14ac:dyDescent="0.25">
      <c r="A32" t="s">
        <v>207</v>
      </c>
      <c r="C32">
        <f>6+5</f>
        <v>11</v>
      </c>
      <c r="D32" t="s">
        <v>2</v>
      </c>
    </row>
    <row r="33" spans="1:7" x14ac:dyDescent="0.25">
      <c r="A33" t="s">
        <v>1</v>
      </c>
      <c r="C33">
        <v>4</v>
      </c>
      <c r="D33" t="s">
        <v>2</v>
      </c>
    </row>
    <row r="34" spans="1:7" x14ac:dyDescent="0.25">
      <c r="A34" t="s">
        <v>217</v>
      </c>
      <c r="C34">
        <f>C32*C33</f>
        <v>44</v>
      </c>
      <c r="D34" t="s">
        <v>40</v>
      </c>
    </row>
    <row r="36" spans="1:7" x14ac:dyDescent="0.25">
      <c r="A36" s="2" t="s">
        <v>218</v>
      </c>
      <c r="D36">
        <f>6+5</f>
        <v>11</v>
      </c>
      <c r="E36" t="s">
        <v>2</v>
      </c>
    </row>
    <row r="39" spans="1:7" x14ac:dyDescent="0.25">
      <c r="A39" s="2" t="s">
        <v>219</v>
      </c>
    </row>
    <row r="41" spans="1:7" x14ac:dyDescent="0.25">
      <c r="A41" t="s">
        <v>209</v>
      </c>
      <c r="D41">
        <v>25</v>
      </c>
      <c r="E41" t="s">
        <v>2</v>
      </c>
    </row>
    <row r="42" spans="1:7" x14ac:dyDescent="0.25">
      <c r="A42" t="s">
        <v>210</v>
      </c>
      <c r="D42">
        <v>25.25</v>
      </c>
      <c r="E42" t="s">
        <v>2</v>
      </c>
      <c r="F42" t="s">
        <v>208</v>
      </c>
    </row>
    <row r="43" spans="1:7" x14ac:dyDescent="0.25">
      <c r="A43" t="s">
        <v>220</v>
      </c>
      <c r="D43">
        <f>1.25/12</f>
        <v>0.10416666666666667</v>
      </c>
      <c r="E43" t="s">
        <v>2</v>
      </c>
    </row>
    <row r="44" spans="1:7" x14ac:dyDescent="0.25">
      <c r="A44" t="s">
        <v>211</v>
      </c>
      <c r="D44">
        <v>2</v>
      </c>
      <c r="E44" t="s">
        <v>2</v>
      </c>
    </row>
    <row r="45" spans="1:7" x14ac:dyDescent="0.25">
      <c r="A45" t="s">
        <v>212</v>
      </c>
      <c r="D45">
        <f>D41*D42*D43*D44</f>
        <v>131.51041666666669</v>
      </c>
      <c r="E45" t="s">
        <v>221</v>
      </c>
      <c r="F45">
        <f>D45/27</f>
        <v>4.8707561728395072</v>
      </c>
      <c r="G45" t="s">
        <v>8</v>
      </c>
    </row>
    <row r="47" spans="1:7" x14ac:dyDescent="0.25">
      <c r="A47" t="s">
        <v>11</v>
      </c>
      <c r="D47">
        <v>25</v>
      </c>
      <c r="E47" t="s">
        <v>2</v>
      </c>
    </row>
    <row r="48" spans="1:7" x14ac:dyDescent="0.25">
      <c r="A48" t="s">
        <v>10</v>
      </c>
      <c r="D48">
        <v>25.25</v>
      </c>
      <c r="E48" t="s">
        <v>2</v>
      </c>
      <c r="F48" t="s">
        <v>208</v>
      </c>
    </row>
    <row r="49" spans="1:7" x14ac:dyDescent="0.25">
      <c r="A49" t="s">
        <v>220</v>
      </c>
      <c r="D49">
        <f>1.25/12</f>
        <v>0.10416666666666667</v>
      </c>
      <c r="E49" t="s">
        <v>2</v>
      </c>
    </row>
    <row r="50" spans="1:7" x14ac:dyDescent="0.25">
      <c r="A50" t="s">
        <v>12</v>
      </c>
      <c r="D50">
        <v>2</v>
      </c>
      <c r="E50" t="s">
        <v>2</v>
      </c>
    </row>
    <row r="51" spans="1:7" x14ac:dyDescent="0.25">
      <c r="A51" t="s">
        <v>212</v>
      </c>
      <c r="D51">
        <f>D47*D48*D49*D50</f>
        <v>131.51041666666669</v>
      </c>
      <c r="E51" t="s">
        <v>221</v>
      </c>
      <c r="F51">
        <f>D51/27</f>
        <v>4.8707561728395072</v>
      </c>
      <c r="G51" t="s">
        <v>8</v>
      </c>
    </row>
    <row r="54" spans="1:7" x14ac:dyDescent="0.25">
      <c r="A54" t="s">
        <v>25</v>
      </c>
      <c r="D54">
        <v>106.5</v>
      </c>
      <c r="E54" t="s">
        <v>2</v>
      </c>
      <c r="F54" t="s">
        <v>27</v>
      </c>
    </row>
    <row r="55" spans="1:7" x14ac:dyDescent="0.25">
      <c r="A55" t="s">
        <v>26</v>
      </c>
      <c r="D55">
        <v>25.25</v>
      </c>
      <c r="E55" t="s">
        <v>2</v>
      </c>
      <c r="F55" t="s">
        <v>208</v>
      </c>
    </row>
    <row r="56" spans="1:7" x14ac:dyDescent="0.25">
      <c r="A56" t="s">
        <v>220</v>
      </c>
      <c r="D56">
        <f>5/12</f>
        <v>0.41666666666666669</v>
      </c>
      <c r="E56" t="s">
        <v>2</v>
      </c>
    </row>
    <row r="57" spans="1:7" x14ac:dyDescent="0.25">
      <c r="A57" t="s">
        <v>213</v>
      </c>
      <c r="D57">
        <f>D54*D55*D56</f>
        <v>1120.46875</v>
      </c>
      <c r="E57" t="s">
        <v>221</v>
      </c>
      <c r="F57">
        <f>D57/27</f>
        <v>41.498842592592595</v>
      </c>
      <c r="G57" t="s">
        <v>8</v>
      </c>
    </row>
    <row r="59" spans="1:7" x14ac:dyDescent="0.25">
      <c r="A59" s="7" t="s">
        <v>28</v>
      </c>
      <c r="B59" s="7">
        <f>ROUNDUP(F45+F51+F57,0)</f>
        <v>52</v>
      </c>
      <c r="C59" s="7" t="s">
        <v>24</v>
      </c>
    </row>
    <row r="62" spans="1:7" x14ac:dyDescent="0.25">
      <c r="A62" s="2" t="s">
        <v>265</v>
      </c>
    </row>
    <row r="64" spans="1:7" x14ac:dyDescent="0.25">
      <c r="A64" t="s">
        <v>209</v>
      </c>
      <c r="D64">
        <v>25</v>
      </c>
      <c r="E64" t="s">
        <v>2</v>
      </c>
    </row>
    <row r="65" spans="1:7" x14ac:dyDescent="0.25">
      <c r="A65" t="s">
        <v>210</v>
      </c>
      <c r="D65">
        <v>25.25</v>
      </c>
      <c r="E65" t="s">
        <v>2</v>
      </c>
      <c r="F65" t="s">
        <v>208</v>
      </c>
    </row>
    <row r="66" spans="1:7" x14ac:dyDescent="0.25">
      <c r="A66" t="s">
        <v>211</v>
      </c>
      <c r="D66">
        <v>2</v>
      </c>
      <c r="E66" t="s">
        <v>2</v>
      </c>
    </row>
    <row r="67" spans="1:7" x14ac:dyDescent="0.25">
      <c r="A67" t="s">
        <v>212</v>
      </c>
      <c r="D67">
        <f>D64*D65*D66</f>
        <v>1262.5</v>
      </c>
      <c r="E67" t="s">
        <v>23</v>
      </c>
      <c r="F67">
        <f>D67/9</f>
        <v>140.27777777777777</v>
      </c>
      <c r="G67" t="s">
        <v>24</v>
      </c>
    </row>
    <row r="69" spans="1:7" x14ac:dyDescent="0.25">
      <c r="A69" t="s">
        <v>11</v>
      </c>
      <c r="D69">
        <v>25</v>
      </c>
      <c r="E69" t="s">
        <v>2</v>
      </c>
    </row>
    <row r="70" spans="1:7" x14ac:dyDescent="0.25">
      <c r="A70" t="s">
        <v>10</v>
      </c>
      <c r="D70">
        <v>25.25</v>
      </c>
      <c r="E70" t="s">
        <v>2</v>
      </c>
      <c r="F70" t="s">
        <v>208</v>
      </c>
    </row>
    <row r="71" spans="1:7" x14ac:dyDescent="0.25">
      <c r="A71" t="s">
        <v>12</v>
      </c>
      <c r="D71">
        <v>2</v>
      </c>
      <c r="E71" t="s">
        <v>2</v>
      </c>
    </row>
    <row r="72" spans="1:7" x14ac:dyDescent="0.25">
      <c r="A72" t="s">
        <v>212</v>
      </c>
      <c r="D72">
        <f>D69*D70*D71</f>
        <v>1262.5</v>
      </c>
      <c r="E72" t="s">
        <v>23</v>
      </c>
      <c r="F72">
        <f>D72/9</f>
        <v>140.27777777777777</v>
      </c>
      <c r="G72" t="s">
        <v>24</v>
      </c>
    </row>
    <row r="75" spans="1:7" x14ac:dyDescent="0.25">
      <c r="A75" t="s">
        <v>25</v>
      </c>
      <c r="D75">
        <v>106.5</v>
      </c>
      <c r="E75" t="s">
        <v>2</v>
      </c>
      <c r="F75" t="s">
        <v>27</v>
      </c>
    </row>
    <row r="76" spans="1:7" x14ac:dyDescent="0.25">
      <c r="A76" t="s">
        <v>26</v>
      </c>
      <c r="D76">
        <v>25.25</v>
      </c>
      <c r="E76" t="s">
        <v>2</v>
      </c>
      <c r="F76" t="s">
        <v>208</v>
      </c>
    </row>
    <row r="77" spans="1:7" x14ac:dyDescent="0.25">
      <c r="A77" t="s">
        <v>213</v>
      </c>
      <c r="D77">
        <f>D75*D76</f>
        <v>2689.125</v>
      </c>
      <c r="E77" t="s">
        <v>23</v>
      </c>
      <c r="F77">
        <f>D77/9</f>
        <v>298.79166666666669</v>
      </c>
      <c r="G77" t="s">
        <v>24</v>
      </c>
    </row>
    <row r="79" spans="1:7" x14ac:dyDescent="0.25">
      <c r="A79" s="7" t="s">
        <v>28</v>
      </c>
      <c r="B79" s="7">
        <f>ROUNDUP(F67+F72+F77,0)</f>
        <v>580</v>
      </c>
      <c r="C79" s="7" t="s">
        <v>24</v>
      </c>
    </row>
    <row r="81" spans="1:7" x14ac:dyDescent="0.25">
      <c r="A81" t="s">
        <v>268</v>
      </c>
      <c r="D81">
        <v>0.05</v>
      </c>
      <c r="E81" t="s">
        <v>267</v>
      </c>
    </row>
    <row r="83" spans="1:7" x14ac:dyDescent="0.25">
      <c r="A83" t="s">
        <v>266</v>
      </c>
      <c r="D83">
        <f>B79*D81</f>
        <v>29</v>
      </c>
      <c r="E83" t="s">
        <v>269</v>
      </c>
    </row>
    <row r="86" spans="1:7" x14ac:dyDescent="0.25">
      <c r="A86" s="2" t="s">
        <v>261</v>
      </c>
    </row>
    <row r="88" spans="1:7" x14ac:dyDescent="0.25">
      <c r="A88" t="s">
        <v>223</v>
      </c>
      <c r="E88">
        <v>25.25</v>
      </c>
      <c r="F88" t="s">
        <v>2</v>
      </c>
      <c r="G88" t="s">
        <v>227</v>
      </c>
    </row>
    <row r="89" spans="1:7" x14ac:dyDescent="0.25">
      <c r="A89" t="s">
        <v>61</v>
      </c>
      <c r="E89" s="3">
        <v>1</v>
      </c>
      <c r="F89" s="3" t="s">
        <v>116</v>
      </c>
    </row>
    <row r="90" spans="1:7" x14ac:dyDescent="0.25">
      <c r="E90">
        <f>E88*E89</f>
        <v>25.25</v>
      </c>
      <c r="F90" t="s">
        <v>2</v>
      </c>
    </row>
    <row r="92" spans="1:7" x14ac:dyDescent="0.25">
      <c r="A92" t="s">
        <v>224</v>
      </c>
      <c r="E92">
        <v>25.25</v>
      </c>
      <c r="F92" t="s">
        <v>2</v>
      </c>
      <c r="G92" t="s">
        <v>227</v>
      </c>
    </row>
    <row r="93" spans="1:7" x14ac:dyDescent="0.25">
      <c r="A93" t="s">
        <v>61</v>
      </c>
      <c r="E93" s="3">
        <v>2</v>
      </c>
      <c r="F93" s="3" t="s">
        <v>116</v>
      </c>
    </row>
    <row r="94" spans="1:7" x14ac:dyDescent="0.25">
      <c r="E94">
        <f>E92*E93</f>
        <v>50.5</v>
      </c>
      <c r="F94" t="s">
        <v>2</v>
      </c>
    </row>
    <row r="96" spans="1:7" x14ac:dyDescent="0.25">
      <c r="A96" t="s">
        <v>225</v>
      </c>
      <c r="E96">
        <v>25</v>
      </c>
      <c r="F96" t="s">
        <v>2</v>
      </c>
      <c r="G96" t="s">
        <v>226</v>
      </c>
    </row>
    <row r="97" spans="1:11" x14ac:dyDescent="0.25">
      <c r="A97" t="s">
        <v>61</v>
      </c>
      <c r="E97" s="3">
        <v>2</v>
      </c>
      <c r="F97" s="3" t="s">
        <v>116</v>
      </c>
    </row>
    <row r="98" spans="1:11" x14ac:dyDescent="0.25">
      <c r="E98">
        <f>E96*E97</f>
        <v>50</v>
      </c>
      <c r="F98" t="s">
        <v>2</v>
      </c>
    </row>
    <row r="100" spans="1:11" x14ac:dyDescent="0.25">
      <c r="A100" t="s">
        <v>229</v>
      </c>
      <c r="E100">
        <v>106.5</v>
      </c>
      <c r="F100" t="s">
        <v>2</v>
      </c>
      <c r="G100" t="s">
        <v>226</v>
      </c>
    </row>
    <row r="101" spans="1:11" x14ac:dyDescent="0.25">
      <c r="A101" t="s">
        <v>61</v>
      </c>
      <c r="E101" s="3">
        <v>2</v>
      </c>
      <c r="F101" s="3" t="s">
        <v>116</v>
      </c>
    </row>
    <row r="102" spans="1:11" x14ac:dyDescent="0.25">
      <c r="E102">
        <f>E100*E101</f>
        <v>213</v>
      </c>
      <c r="F102" t="s">
        <v>2</v>
      </c>
    </row>
    <row r="104" spans="1:11" x14ac:dyDescent="0.25">
      <c r="A104" t="s">
        <v>228</v>
      </c>
      <c r="E104">
        <v>25</v>
      </c>
      <c r="F104" t="s">
        <v>2</v>
      </c>
      <c r="G104" t="s">
        <v>226</v>
      </c>
    </row>
    <row r="105" spans="1:11" x14ac:dyDescent="0.25">
      <c r="A105" t="s">
        <v>61</v>
      </c>
      <c r="E105" s="3">
        <v>2</v>
      </c>
      <c r="F105" s="3" t="s">
        <v>116</v>
      </c>
    </row>
    <row r="106" spans="1:11" x14ac:dyDescent="0.25">
      <c r="E106">
        <f>E104*E105</f>
        <v>50</v>
      </c>
      <c r="F106" t="s">
        <v>2</v>
      </c>
    </row>
    <row r="108" spans="1:11" x14ac:dyDescent="0.25">
      <c r="D108" t="s">
        <v>28</v>
      </c>
      <c r="E108">
        <f>E90+E94+E98+E102+E106</f>
        <v>388.75</v>
      </c>
      <c r="F108" t="s">
        <v>2</v>
      </c>
    </row>
    <row r="112" spans="1:11" x14ac:dyDescent="0.25">
      <c r="A112" s="2" t="s">
        <v>32</v>
      </c>
      <c r="J112">
        <f>0</f>
        <v>0</v>
      </c>
      <c r="K112" t="s">
        <v>2</v>
      </c>
    </row>
    <row r="119" spans="1:11" x14ac:dyDescent="0.25">
      <c r="A119" s="2" t="s">
        <v>230</v>
      </c>
      <c r="J119">
        <f>0</f>
        <v>0</v>
      </c>
      <c r="K119" t="s">
        <v>2</v>
      </c>
    </row>
    <row r="128" spans="1:11" x14ac:dyDescent="0.25">
      <c r="A128" s="2"/>
    </row>
    <row r="129" spans="1:5" x14ac:dyDescent="0.25">
      <c r="A129" s="2" t="s">
        <v>58</v>
      </c>
    </row>
    <row r="130" spans="1:5" x14ac:dyDescent="0.25">
      <c r="A130" s="2"/>
    </row>
    <row r="131" spans="1:5" x14ac:dyDescent="0.25">
      <c r="A131" s="3" t="s">
        <v>241</v>
      </c>
      <c r="B131" s="3"/>
    </row>
    <row r="132" spans="1:5" x14ac:dyDescent="0.25">
      <c r="A132" t="s">
        <v>60</v>
      </c>
      <c r="D132">
        <v>106.5</v>
      </c>
      <c r="E132" t="s">
        <v>2</v>
      </c>
    </row>
    <row r="133" spans="1:5" x14ac:dyDescent="0.25">
      <c r="A133" t="s">
        <v>248</v>
      </c>
      <c r="D133">
        <f>0.75+3+1.5+3+2.25+0.5</f>
        <v>11</v>
      </c>
      <c r="E133" t="s">
        <v>2</v>
      </c>
    </row>
    <row r="134" spans="1:5" x14ac:dyDescent="0.25">
      <c r="A134" t="s">
        <v>61</v>
      </c>
      <c r="D134">
        <v>1</v>
      </c>
    </row>
    <row r="135" spans="1:5" x14ac:dyDescent="0.25">
      <c r="A135" t="s">
        <v>62</v>
      </c>
      <c r="D135">
        <f>D132*D133*D134</f>
        <v>1171.5</v>
      </c>
      <c r="E135" t="s">
        <v>40</v>
      </c>
    </row>
    <row r="136" spans="1:5" x14ac:dyDescent="0.25">
      <c r="D136">
        <f>D135/9</f>
        <v>130.16666666666666</v>
      </c>
      <c r="E136" t="s">
        <v>24</v>
      </c>
    </row>
    <row r="138" spans="1:5" x14ac:dyDescent="0.25">
      <c r="A138" s="3" t="s">
        <v>246</v>
      </c>
      <c r="B138" s="3"/>
    </row>
    <row r="139" spans="1:5" x14ac:dyDescent="0.25">
      <c r="A139" t="s">
        <v>60</v>
      </c>
      <c r="D139">
        <v>106.5</v>
      </c>
      <c r="E139" t="s">
        <v>2</v>
      </c>
    </row>
    <row r="140" spans="1:5" x14ac:dyDescent="0.25">
      <c r="A140" t="s">
        <v>247</v>
      </c>
      <c r="D140">
        <f>0.75+0.8333+5.25+3+1+3+2.25+0.5</f>
        <v>16.583300000000001</v>
      </c>
      <c r="E140" t="s">
        <v>2</v>
      </c>
    </row>
    <row r="141" spans="1:5" x14ac:dyDescent="0.25">
      <c r="A141" t="s">
        <v>61</v>
      </c>
      <c r="D141">
        <v>1</v>
      </c>
    </row>
    <row r="142" spans="1:5" x14ac:dyDescent="0.25">
      <c r="A142" t="s">
        <v>62</v>
      </c>
      <c r="D142">
        <f>D139*D140*D141</f>
        <v>1766.1214500000001</v>
      </c>
      <c r="E142" t="s">
        <v>40</v>
      </c>
    </row>
    <row r="143" spans="1:5" x14ac:dyDescent="0.25">
      <c r="D143">
        <f>D142/9</f>
        <v>196.23571666666669</v>
      </c>
      <c r="E143" t="s">
        <v>24</v>
      </c>
    </row>
    <row r="144" spans="1:5" x14ac:dyDescent="0.25">
      <c r="A144" s="2"/>
    </row>
    <row r="148" spans="1:8" x14ac:dyDescent="0.25">
      <c r="A148" s="3" t="s">
        <v>243</v>
      </c>
      <c r="B148" s="3"/>
      <c r="C148" s="3"/>
      <c r="D148" s="3"/>
      <c r="E148" s="3"/>
      <c r="F148" s="3"/>
      <c r="G148" s="3"/>
      <c r="H148" s="3"/>
    </row>
    <row r="150" spans="1:8" x14ac:dyDescent="0.25">
      <c r="A150" t="s">
        <v>81</v>
      </c>
      <c r="D150">
        <v>1.833</v>
      </c>
      <c r="E150" t="s">
        <v>2</v>
      </c>
    </row>
    <row r="151" spans="1:8" x14ac:dyDescent="0.25">
      <c r="A151" t="s">
        <v>82</v>
      </c>
      <c r="D151">
        <v>74</v>
      </c>
      <c r="E151" t="s">
        <v>2</v>
      </c>
    </row>
    <row r="152" spans="1:8" x14ac:dyDescent="0.25">
      <c r="A152" t="s">
        <v>83</v>
      </c>
      <c r="D152">
        <v>3.5</v>
      </c>
      <c r="E152" t="s">
        <v>2</v>
      </c>
    </row>
    <row r="153" spans="1:8" x14ac:dyDescent="0.25">
      <c r="A153" t="s">
        <v>236</v>
      </c>
      <c r="D153">
        <v>16</v>
      </c>
      <c r="E153" t="s">
        <v>2</v>
      </c>
    </row>
    <row r="154" spans="1:8" x14ac:dyDescent="0.25">
      <c r="A154" t="s">
        <v>88</v>
      </c>
      <c r="D154">
        <v>1.75</v>
      </c>
      <c r="E154" t="s">
        <v>2</v>
      </c>
    </row>
    <row r="156" spans="1:8" x14ac:dyDescent="0.25">
      <c r="A156" t="s">
        <v>84</v>
      </c>
      <c r="D156">
        <f>D151*D153</f>
        <v>1184</v>
      </c>
      <c r="E156" t="s">
        <v>40</v>
      </c>
    </row>
    <row r="157" spans="1:8" x14ac:dyDescent="0.25">
      <c r="A157" t="s">
        <v>85</v>
      </c>
      <c r="D157">
        <f>0</f>
        <v>0</v>
      </c>
      <c r="E157" t="s">
        <v>40</v>
      </c>
    </row>
    <row r="158" spans="1:8" x14ac:dyDescent="0.25">
      <c r="A158" t="s">
        <v>86</v>
      </c>
      <c r="D158">
        <f>0</f>
        <v>0</v>
      </c>
      <c r="E158" t="s">
        <v>40</v>
      </c>
    </row>
    <row r="160" spans="1:8" x14ac:dyDescent="0.25">
      <c r="A160" s="66" t="s">
        <v>249</v>
      </c>
      <c r="B160" s="66"/>
      <c r="D160">
        <f>28*D153</f>
        <v>448</v>
      </c>
      <c r="E160" t="s">
        <v>40</v>
      </c>
    </row>
    <row r="161" spans="1:5" x14ac:dyDescent="0.25">
      <c r="A161" s="66" t="s">
        <v>238</v>
      </c>
      <c r="B161" s="4"/>
      <c r="D161" s="3">
        <v>1</v>
      </c>
      <c r="E161" s="3"/>
    </row>
    <row r="162" spans="1:5" x14ac:dyDescent="0.25">
      <c r="A162" s="66"/>
      <c r="B162" s="4"/>
      <c r="D162">
        <f>D160*D161</f>
        <v>448</v>
      </c>
      <c r="E162" t="s">
        <v>40</v>
      </c>
    </row>
    <row r="163" spans="1:5" x14ac:dyDescent="0.25">
      <c r="A163" s="66"/>
      <c r="B163" s="4"/>
    </row>
    <row r="164" spans="1:5" x14ac:dyDescent="0.25">
      <c r="A164" s="66" t="s">
        <v>250</v>
      </c>
      <c r="B164" s="66"/>
      <c r="D164">
        <f>0.5*44*20</f>
        <v>440</v>
      </c>
      <c r="E164" t="s">
        <v>40</v>
      </c>
    </row>
    <row r="165" spans="1:5" x14ac:dyDescent="0.25">
      <c r="A165" s="66" t="s">
        <v>238</v>
      </c>
      <c r="B165" s="4"/>
      <c r="D165" s="3">
        <v>2</v>
      </c>
      <c r="E165" s="3"/>
    </row>
    <row r="166" spans="1:5" x14ac:dyDescent="0.25">
      <c r="A166" s="66"/>
      <c r="B166" s="4"/>
      <c r="D166">
        <f>D164*D165</f>
        <v>880</v>
      </c>
      <c r="E166" t="s">
        <v>40</v>
      </c>
    </row>
    <row r="167" spans="1:5" x14ac:dyDescent="0.25">
      <c r="A167" s="66"/>
      <c r="B167" s="4"/>
    </row>
    <row r="168" spans="1:5" x14ac:dyDescent="0.25">
      <c r="A168" s="66"/>
      <c r="B168" s="4"/>
    </row>
    <row r="169" spans="1:5" x14ac:dyDescent="0.25">
      <c r="A169" s="66" t="s">
        <v>240</v>
      </c>
      <c r="B169" s="66"/>
      <c r="D169">
        <f>0.75+3+1.5+3</f>
        <v>8.25</v>
      </c>
      <c r="E169" t="s">
        <v>2</v>
      </c>
    </row>
    <row r="170" spans="1:5" x14ac:dyDescent="0.25">
      <c r="A170" s="66" t="s">
        <v>239</v>
      </c>
      <c r="B170" s="66"/>
      <c r="D170">
        <v>44</v>
      </c>
      <c r="E170" t="s">
        <v>2</v>
      </c>
    </row>
    <row r="171" spans="1:5" x14ac:dyDescent="0.25">
      <c r="A171" s="66" t="s">
        <v>238</v>
      </c>
      <c r="B171" s="4"/>
      <c r="D171" s="3">
        <v>2</v>
      </c>
      <c r="E171" s="3"/>
    </row>
    <row r="172" spans="1:5" x14ac:dyDescent="0.25">
      <c r="A172" s="66"/>
      <c r="B172" s="4"/>
      <c r="D172">
        <f>D169*D170*D171</f>
        <v>726</v>
      </c>
      <c r="E172" t="s">
        <v>40</v>
      </c>
    </row>
    <row r="174" spans="1:5" x14ac:dyDescent="0.25">
      <c r="A174" t="s">
        <v>78</v>
      </c>
      <c r="D174">
        <f>D156+D157+D158+D162+D166+D172</f>
        <v>3238</v>
      </c>
      <c r="E174" t="s">
        <v>40</v>
      </c>
    </row>
    <row r="175" spans="1:5" x14ac:dyDescent="0.25">
      <c r="D175">
        <f>D174/9</f>
        <v>359.77777777777777</v>
      </c>
      <c r="E175" t="s">
        <v>24</v>
      </c>
    </row>
    <row r="178" spans="1:8" x14ac:dyDescent="0.25">
      <c r="A178" s="3" t="s">
        <v>242</v>
      </c>
      <c r="B178" s="3"/>
      <c r="C178" s="3"/>
      <c r="D178" s="3"/>
      <c r="E178" s="3"/>
      <c r="F178" s="3"/>
      <c r="G178" s="3"/>
      <c r="H178" s="3"/>
    </row>
    <row r="180" spans="1:8" x14ac:dyDescent="0.25">
      <c r="A180" t="s">
        <v>81</v>
      </c>
      <c r="D180">
        <v>1.833</v>
      </c>
      <c r="E180" t="s">
        <v>2</v>
      </c>
    </row>
    <row r="181" spans="1:8" x14ac:dyDescent="0.25">
      <c r="A181" t="s">
        <v>82</v>
      </c>
      <c r="D181">
        <v>36.83</v>
      </c>
      <c r="E181" t="s">
        <v>2</v>
      </c>
    </row>
    <row r="182" spans="1:8" x14ac:dyDescent="0.25">
      <c r="A182" t="s">
        <v>83</v>
      </c>
      <c r="D182">
        <v>3.5</v>
      </c>
      <c r="E182" t="s">
        <v>2</v>
      </c>
    </row>
    <row r="183" spans="1:8" x14ac:dyDescent="0.25">
      <c r="A183" t="s">
        <v>236</v>
      </c>
      <c r="D183">
        <v>16</v>
      </c>
      <c r="E183" t="s">
        <v>2</v>
      </c>
    </row>
    <row r="184" spans="1:8" x14ac:dyDescent="0.25">
      <c r="A184" t="s">
        <v>88</v>
      </c>
      <c r="D184">
        <v>1.75</v>
      </c>
      <c r="E184" t="s">
        <v>2</v>
      </c>
    </row>
    <row r="186" spans="1:8" x14ac:dyDescent="0.25">
      <c r="A186" t="s">
        <v>84</v>
      </c>
      <c r="D186">
        <f>D181*D183</f>
        <v>589.28</v>
      </c>
      <c r="E186" t="s">
        <v>40</v>
      </c>
    </row>
    <row r="187" spans="1:8" x14ac:dyDescent="0.25">
      <c r="A187" t="s">
        <v>85</v>
      </c>
      <c r="D187">
        <f>0</f>
        <v>0</v>
      </c>
      <c r="E187" t="s">
        <v>40</v>
      </c>
    </row>
    <row r="188" spans="1:8" x14ac:dyDescent="0.25">
      <c r="A188" t="s">
        <v>86</v>
      </c>
      <c r="D188">
        <f>0</f>
        <v>0</v>
      </c>
      <c r="E188" t="s">
        <v>40</v>
      </c>
    </row>
    <row r="190" spans="1:8" x14ac:dyDescent="0.25">
      <c r="A190" s="66" t="s">
        <v>249</v>
      </c>
      <c r="B190" s="66"/>
      <c r="D190">
        <f>28*D183</f>
        <v>448</v>
      </c>
      <c r="E190" t="s">
        <v>40</v>
      </c>
    </row>
    <row r="191" spans="1:8" x14ac:dyDescent="0.25">
      <c r="A191" s="66" t="s">
        <v>238</v>
      </c>
      <c r="B191" s="4"/>
      <c r="D191" s="3">
        <v>1</v>
      </c>
      <c r="E191" s="3"/>
    </row>
    <row r="192" spans="1:8" x14ac:dyDescent="0.25">
      <c r="A192" s="66"/>
      <c r="B192" s="4"/>
      <c r="D192">
        <f>D190*D191</f>
        <v>448</v>
      </c>
      <c r="E192" t="s">
        <v>40</v>
      </c>
    </row>
    <row r="193" spans="1:5" x14ac:dyDescent="0.25">
      <c r="A193" s="66"/>
      <c r="B193" s="4"/>
    </row>
    <row r="194" spans="1:5" x14ac:dyDescent="0.25">
      <c r="A194" s="66" t="s">
        <v>250</v>
      </c>
      <c r="B194" s="66"/>
      <c r="D194">
        <f>0.5*44*20</f>
        <v>440</v>
      </c>
      <c r="E194" t="s">
        <v>40</v>
      </c>
    </row>
    <row r="195" spans="1:5" x14ac:dyDescent="0.25">
      <c r="A195" s="66" t="s">
        <v>238</v>
      </c>
      <c r="B195" s="4"/>
      <c r="D195" s="3">
        <v>2</v>
      </c>
      <c r="E195" s="3"/>
    </row>
    <row r="196" spans="1:5" x14ac:dyDescent="0.25">
      <c r="A196" s="66"/>
      <c r="B196" s="4"/>
      <c r="D196">
        <f>D194*D195</f>
        <v>880</v>
      </c>
      <c r="E196" t="s">
        <v>40</v>
      </c>
    </row>
    <row r="197" spans="1:5" x14ac:dyDescent="0.25">
      <c r="A197" s="66"/>
      <c r="B197" s="4"/>
    </row>
    <row r="198" spans="1:5" x14ac:dyDescent="0.25">
      <c r="A198" s="66"/>
      <c r="B198" s="4"/>
    </row>
    <row r="199" spans="1:5" x14ac:dyDescent="0.25">
      <c r="A199" s="66" t="s">
        <v>240</v>
      </c>
      <c r="B199" s="66"/>
      <c r="D199">
        <f>0.75+3+1.5+3</f>
        <v>8.25</v>
      </c>
      <c r="E199" t="s">
        <v>2</v>
      </c>
    </row>
    <row r="200" spans="1:5" x14ac:dyDescent="0.25">
      <c r="A200" s="66" t="s">
        <v>239</v>
      </c>
      <c r="B200" s="66"/>
      <c r="D200">
        <v>44</v>
      </c>
      <c r="E200" t="s">
        <v>2</v>
      </c>
    </row>
    <row r="201" spans="1:5" x14ac:dyDescent="0.25">
      <c r="A201" s="66" t="s">
        <v>238</v>
      </c>
      <c r="B201" s="4"/>
      <c r="D201" s="3">
        <v>2</v>
      </c>
      <c r="E201" s="3"/>
    </row>
    <row r="202" spans="1:5" x14ac:dyDescent="0.25">
      <c r="A202" s="66"/>
      <c r="B202" s="4"/>
      <c r="D202">
        <f>D199*D200*D201</f>
        <v>726</v>
      </c>
      <c r="E202" t="s">
        <v>40</v>
      </c>
    </row>
    <row r="204" spans="1:5" x14ac:dyDescent="0.25">
      <c r="A204" t="s">
        <v>78</v>
      </c>
      <c r="D204">
        <f>D186+D187+D188+D192+D196+D202</f>
        <v>2643.2799999999997</v>
      </c>
      <c r="E204" t="s">
        <v>40</v>
      </c>
    </row>
    <row r="205" spans="1:5" x14ac:dyDescent="0.25">
      <c r="D205">
        <f>D204/9</f>
        <v>293.69777777777773</v>
      </c>
      <c r="E205" t="s">
        <v>24</v>
      </c>
    </row>
    <row r="207" spans="1:5" x14ac:dyDescent="0.25">
      <c r="A207" s="7" t="s">
        <v>90</v>
      </c>
      <c r="B207" s="7"/>
      <c r="C207" s="7"/>
      <c r="D207" s="7">
        <f>D136+D144+D175+D205</f>
        <v>783.64222222222224</v>
      </c>
      <c r="E207" s="7" t="s">
        <v>24</v>
      </c>
    </row>
    <row r="210" spans="1:4" x14ac:dyDescent="0.25">
      <c r="A210" s="2" t="s">
        <v>0</v>
      </c>
    </row>
    <row r="212" spans="1:4" x14ac:dyDescent="0.25">
      <c r="A212" t="s">
        <v>1</v>
      </c>
      <c r="C212">
        <v>1.83</v>
      </c>
      <c r="D212" t="s">
        <v>2</v>
      </c>
    </row>
    <row r="213" spans="1:4" x14ac:dyDescent="0.25">
      <c r="A213" t="s">
        <v>4</v>
      </c>
      <c r="C213">
        <v>25.25</v>
      </c>
      <c r="D213" t="s">
        <v>2</v>
      </c>
    </row>
    <row r="214" spans="1:4" x14ac:dyDescent="0.25">
      <c r="A214" t="s">
        <v>30</v>
      </c>
      <c r="C214">
        <v>5.2</v>
      </c>
      <c r="D214" t="s">
        <v>31</v>
      </c>
    </row>
    <row r="215" spans="1:4" x14ac:dyDescent="0.25">
      <c r="A215" t="s">
        <v>5</v>
      </c>
      <c r="C215" s="1">
        <f>C213/COS(RADIANS(C214))</f>
        <v>25.354348391330529</v>
      </c>
      <c r="D215" t="s">
        <v>2</v>
      </c>
    </row>
    <row r="216" spans="1:4" x14ac:dyDescent="0.25">
      <c r="A216" t="s">
        <v>3</v>
      </c>
      <c r="C216">
        <v>0.20830000000000001</v>
      </c>
      <c r="D216" t="s">
        <v>2</v>
      </c>
    </row>
    <row r="218" spans="1:4" x14ac:dyDescent="0.25">
      <c r="A218" t="s">
        <v>6</v>
      </c>
      <c r="C218">
        <v>1</v>
      </c>
    </row>
    <row r="220" spans="1:4" x14ac:dyDescent="0.25">
      <c r="A220" t="s">
        <v>7</v>
      </c>
      <c r="C220" s="1">
        <f>C212*C215*C216*C218/27</f>
        <v>0.35795550773862572</v>
      </c>
      <c r="D220" t="s">
        <v>8</v>
      </c>
    </row>
    <row r="223" spans="1:4" x14ac:dyDescent="0.25">
      <c r="A223" s="2" t="s">
        <v>252</v>
      </c>
    </row>
    <row r="225" spans="1:7" x14ac:dyDescent="0.25">
      <c r="A225" t="s">
        <v>25</v>
      </c>
      <c r="D225">
        <v>124</v>
      </c>
      <c r="E225" t="s">
        <v>2</v>
      </c>
      <c r="F225" t="s">
        <v>27</v>
      </c>
    </row>
    <row r="226" spans="1:7" x14ac:dyDescent="0.25">
      <c r="A226" t="s">
        <v>26</v>
      </c>
      <c r="D226">
        <v>25.25</v>
      </c>
      <c r="E226" t="s">
        <v>2</v>
      </c>
      <c r="F226" t="s">
        <v>208</v>
      </c>
    </row>
    <row r="227" spans="1:7" x14ac:dyDescent="0.25">
      <c r="A227" t="s">
        <v>213</v>
      </c>
      <c r="D227">
        <f>D225*D226</f>
        <v>3131</v>
      </c>
      <c r="E227" t="s">
        <v>23</v>
      </c>
      <c r="F227">
        <f>D227/9</f>
        <v>347.88888888888891</v>
      </c>
      <c r="G227" t="s">
        <v>24</v>
      </c>
    </row>
    <row r="230" spans="1:7" x14ac:dyDescent="0.25">
      <c r="A230" s="2" t="s">
        <v>253</v>
      </c>
    </row>
    <row r="232" spans="1:7" x14ac:dyDescent="0.25">
      <c r="A232" t="s">
        <v>254</v>
      </c>
    </row>
    <row r="233" spans="1:7" x14ac:dyDescent="0.25">
      <c r="A233" t="s">
        <v>255</v>
      </c>
      <c r="D233">
        <v>11</v>
      </c>
    </row>
    <row r="234" spans="1:7" x14ac:dyDescent="0.25">
      <c r="A234" t="s">
        <v>256</v>
      </c>
      <c r="D234">
        <v>104.5</v>
      </c>
      <c r="E234" t="s">
        <v>2</v>
      </c>
    </row>
    <row r="235" spans="1:7" x14ac:dyDescent="0.25">
      <c r="A235" t="s">
        <v>257</v>
      </c>
      <c r="D235">
        <v>3</v>
      </c>
      <c r="E235" t="s">
        <v>2</v>
      </c>
    </row>
    <row r="237" spans="1:7" x14ac:dyDescent="0.25">
      <c r="A237" t="s">
        <v>258</v>
      </c>
      <c r="D237">
        <f>0.05*(D233*D234*D235)</f>
        <v>172.42500000000001</v>
      </c>
      <c r="E237" t="s">
        <v>40</v>
      </c>
    </row>
    <row r="240" spans="1:7" x14ac:dyDescent="0.25">
      <c r="A240" s="2" t="s">
        <v>259</v>
      </c>
    </row>
    <row r="242" spans="1:5" x14ac:dyDescent="0.25">
      <c r="A242" t="s">
        <v>255</v>
      </c>
      <c r="D242">
        <v>11</v>
      </c>
    </row>
    <row r="243" spans="1:5" x14ac:dyDescent="0.25">
      <c r="A243" t="s">
        <v>256</v>
      </c>
      <c r="D243">
        <v>104.5</v>
      </c>
      <c r="E243" t="s">
        <v>2</v>
      </c>
    </row>
    <row r="245" spans="1:5" x14ac:dyDescent="0.25">
      <c r="A245" t="s">
        <v>260</v>
      </c>
      <c r="D245">
        <f>(D242-1)*D243</f>
        <v>1045</v>
      </c>
      <c r="E245" t="s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6"/>
  <sheetViews>
    <sheetView topLeftCell="A97" workbookViewId="0">
      <selection activeCell="N70" sqref="N70"/>
    </sheetView>
  </sheetViews>
  <sheetFormatPr defaultRowHeight="15" x14ac:dyDescent="0.25"/>
  <cols>
    <col min="3" max="3" width="16" customWidth="1"/>
  </cols>
  <sheetData>
    <row r="1" spans="1:7" x14ac:dyDescent="0.25">
      <c r="A1" s="2" t="s">
        <v>206</v>
      </c>
    </row>
    <row r="3" spans="1:7" x14ac:dyDescent="0.25">
      <c r="A3" t="s">
        <v>209</v>
      </c>
      <c r="D3">
        <v>25</v>
      </c>
      <c r="E3" t="s">
        <v>2</v>
      </c>
    </row>
    <row r="4" spans="1:7" x14ac:dyDescent="0.25">
      <c r="A4" t="s">
        <v>210</v>
      </c>
      <c r="D4">
        <v>28.25</v>
      </c>
      <c r="E4" t="s">
        <v>2</v>
      </c>
      <c r="F4" t="s">
        <v>208</v>
      </c>
    </row>
    <row r="5" spans="1:7" x14ac:dyDescent="0.25">
      <c r="A5" t="s">
        <v>211</v>
      </c>
      <c r="D5">
        <v>2</v>
      </c>
      <c r="E5" t="s">
        <v>2</v>
      </c>
    </row>
    <row r="6" spans="1:7" x14ac:dyDescent="0.25">
      <c r="A6" t="s">
        <v>212</v>
      </c>
      <c r="D6">
        <f>D3*D4*D5</f>
        <v>1412.5</v>
      </c>
      <c r="E6" t="s">
        <v>23</v>
      </c>
      <c r="F6">
        <f>D6/9</f>
        <v>156.94444444444446</v>
      </c>
      <c r="G6" t="s">
        <v>24</v>
      </c>
    </row>
    <row r="8" spans="1:7" x14ac:dyDescent="0.25">
      <c r="A8" t="s">
        <v>11</v>
      </c>
      <c r="D8">
        <v>25</v>
      </c>
      <c r="E8" t="s">
        <v>2</v>
      </c>
    </row>
    <row r="9" spans="1:7" x14ac:dyDescent="0.25">
      <c r="A9" t="s">
        <v>10</v>
      </c>
      <c r="D9">
        <v>28.25</v>
      </c>
      <c r="E9" t="s">
        <v>2</v>
      </c>
      <c r="F9" t="s">
        <v>208</v>
      </c>
    </row>
    <row r="10" spans="1:7" x14ac:dyDescent="0.25">
      <c r="A10" t="s">
        <v>12</v>
      </c>
      <c r="D10">
        <v>2</v>
      </c>
      <c r="E10" t="s">
        <v>2</v>
      </c>
    </row>
    <row r="11" spans="1:7" x14ac:dyDescent="0.25">
      <c r="A11" t="s">
        <v>212</v>
      </c>
      <c r="D11">
        <f>D8*D9*D10</f>
        <v>1412.5</v>
      </c>
      <c r="E11" t="s">
        <v>23</v>
      </c>
      <c r="F11">
        <f>D11/9</f>
        <v>156.94444444444446</v>
      </c>
      <c r="G11" t="s">
        <v>24</v>
      </c>
    </row>
    <row r="14" spans="1:7" x14ac:dyDescent="0.25">
      <c r="A14" t="s">
        <v>25</v>
      </c>
      <c r="D14">
        <v>104</v>
      </c>
      <c r="E14" t="s">
        <v>2</v>
      </c>
      <c r="F14" t="s">
        <v>27</v>
      </c>
    </row>
    <row r="15" spans="1:7" x14ac:dyDescent="0.25">
      <c r="A15" t="s">
        <v>26</v>
      </c>
      <c r="D15">
        <v>28.25</v>
      </c>
      <c r="E15" t="s">
        <v>2</v>
      </c>
      <c r="F15" t="s">
        <v>208</v>
      </c>
    </row>
    <row r="16" spans="1:7" x14ac:dyDescent="0.25">
      <c r="A16" t="s">
        <v>213</v>
      </c>
      <c r="D16">
        <f>D14*D15</f>
        <v>2938</v>
      </c>
      <c r="E16" t="s">
        <v>23</v>
      </c>
      <c r="F16">
        <f>D16/9</f>
        <v>326.44444444444446</v>
      </c>
      <c r="G16" t="s">
        <v>24</v>
      </c>
    </row>
    <row r="18" spans="1:5" x14ac:dyDescent="0.25">
      <c r="A18" s="7" t="s">
        <v>28</v>
      </c>
      <c r="B18" s="7">
        <f>ROUNDUP(F6+F11+F16,0)</f>
        <v>641</v>
      </c>
      <c r="C18" s="7" t="s">
        <v>24</v>
      </c>
    </row>
    <row r="21" spans="1:5" x14ac:dyDescent="0.25">
      <c r="A21" s="2" t="s">
        <v>214</v>
      </c>
    </row>
    <row r="23" spans="1:5" x14ac:dyDescent="0.25">
      <c r="A23" t="s">
        <v>207</v>
      </c>
      <c r="C23">
        <f>6+6+5</f>
        <v>17</v>
      </c>
      <c r="D23" t="s">
        <v>2</v>
      </c>
    </row>
    <row r="24" spans="1:5" x14ac:dyDescent="0.25">
      <c r="A24" t="s">
        <v>1</v>
      </c>
      <c r="C24">
        <v>4</v>
      </c>
      <c r="D24" t="s">
        <v>2</v>
      </c>
    </row>
    <row r="25" spans="1:5" x14ac:dyDescent="0.25">
      <c r="A25" t="s">
        <v>217</v>
      </c>
      <c r="C25">
        <f>C23*C24</f>
        <v>68</v>
      </c>
      <c r="D25" t="s">
        <v>40</v>
      </c>
    </row>
    <row r="28" spans="1:5" x14ac:dyDescent="0.25">
      <c r="A28" s="2" t="s">
        <v>215</v>
      </c>
      <c r="D28">
        <f>6+6+5</f>
        <v>17</v>
      </c>
      <c r="E28" t="s">
        <v>2</v>
      </c>
    </row>
    <row r="30" spans="1:5" x14ac:dyDescent="0.25">
      <c r="A30" s="2" t="s">
        <v>216</v>
      </c>
    </row>
    <row r="32" spans="1:5" x14ac:dyDescent="0.25">
      <c r="A32" t="s">
        <v>207</v>
      </c>
      <c r="C32">
        <f>6+6+5</f>
        <v>17</v>
      </c>
      <c r="D32" t="s">
        <v>2</v>
      </c>
    </row>
    <row r="33" spans="1:7" x14ac:dyDescent="0.25">
      <c r="A33" t="s">
        <v>1</v>
      </c>
      <c r="C33">
        <v>4</v>
      </c>
      <c r="D33" t="s">
        <v>2</v>
      </c>
    </row>
    <row r="34" spans="1:7" x14ac:dyDescent="0.25">
      <c r="A34" t="s">
        <v>217</v>
      </c>
      <c r="C34">
        <f>C32*C33</f>
        <v>68</v>
      </c>
      <c r="D34" t="s">
        <v>40</v>
      </c>
    </row>
    <row r="36" spans="1:7" x14ac:dyDescent="0.25">
      <c r="A36" s="2" t="s">
        <v>218</v>
      </c>
      <c r="D36">
        <f>6+6+5</f>
        <v>17</v>
      </c>
      <c r="E36" t="s">
        <v>2</v>
      </c>
    </row>
    <row r="39" spans="1:7" x14ac:dyDescent="0.25">
      <c r="A39" s="2" t="s">
        <v>219</v>
      </c>
    </row>
    <row r="41" spans="1:7" x14ac:dyDescent="0.25">
      <c r="A41" t="s">
        <v>209</v>
      </c>
      <c r="D41">
        <v>25</v>
      </c>
      <c r="E41" t="s">
        <v>2</v>
      </c>
    </row>
    <row r="42" spans="1:7" x14ac:dyDescent="0.25">
      <c r="A42" t="s">
        <v>210</v>
      </c>
      <c r="D42">
        <v>28.25</v>
      </c>
      <c r="E42" t="s">
        <v>2</v>
      </c>
      <c r="F42" t="s">
        <v>208</v>
      </c>
    </row>
    <row r="43" spans="1:7" x14ac:dyDescent="0.25">
      <c r="A43" t="s">
        <v>220</v>
      </c>
      <c r="D43">
        <f>1.25/12</f>
        <v>0.10416666666666667</v>
      </c>
      <c r="E43" t="s">
        <v>2</v>
      </c>
    </row>
    <row r="44" spans="1:7" x14ac:dyDescent="0.25">
      <c r="A44" t="s">
        <v>211</v>
      </c>
      <c r="D44">
        <v>2</v>
      </c>
      <c r="E44" t="s">
        <v>2</v>
      </c>
    </row>
    <row r="45" spans="1:7" x14ac:dyDescent="0.25">
      <c r="A45" t="s">
        <v>212</v>
      </c>
      <c r="D45">
        <f>D41*D42*D43*D44</f>
        <v>147.13541666666669</v>
      </c>
      <c r="E45" t="s">
        <v>221</v>
      </c>
      <c r="F45">
        <f>D45/27</f>
        <v>5.4494598765432105</v>
      </c>
      <c r="G45" t="s">
        <v>8</v>
      </c>
    </row>
    <row r="47" spans="1:7" x14ac:dyDescent="0.25">
      <c r="A47" t="s">
        <v>11</v>
      </c>
      <c r="D47">
        <v>25</v>
      </c>
      <c r="E47" t="s">
        <v>2</v>
      </c>
    </row>
    <row r="48" spans="1:7" x14ac:dyDescent="0.25">
      <c r="A48" t="s">
        <v>10</v>
      </c>
      <c r="D48">
        <v>28.25</v>
      </c>
      <c r="E48" t="s">
        <v>2</v>
      </c>
      <c r="F48" t="s">
        <v>208</v>
      </c>
    </row>
    <row r="49" spans="1:7" x14ac:dyDescent="0.25">
      <c r="A49" t="s">
        <v>220</v>
      </c>
      <c r="D49">
        <f>1.25/12</f>
        <v>0.10416666666666667</v>
      </c>
      <c r="E49" t="s">
        <v>2</v>
      </c>
    </row>
    <row r="50" spans="1:7" x14ac:dyDescent="0.25">
      <c r="A50" t="s">
        <v>12</v>
      </c>
      <c r="D50">
        <v>2</v>
      </c>
      <c r="E50" t="s">
        <v>2</v>
      </c>
    </row>
    <row r="51" spans="1:7" x14ac:dyDescent="0.25">
      <c r="A51" t="s">
        <v>212</v>
      </c>
      <c r="D51">
        <f>D47*D48*D49*D50</f>
        <v>147.13541666666669</v>
      </c>
      <c r="E51" t="s">
        <v>221</v>
      </c>
      <c r="F51">
        <f>D51/27</f>
        <v>5.4494598765432105</v>
      </c>
      <c r="G51" t="s">
        <v>8</v>
      </c>
    </row>
    <row r="54" spans="1:7" x14ac:dyDescent="0.25">
      <c r="A54" t="s">
        <v>25</v>
      </c>
      <c r="D54">
        <v>104</v>
      </c>
      <c r="E54" t="s">
        <v>2</v>
      </c>
      <c r="F54" t="s">
        <v>27</v>
      </c>
    </row>
    <row r="55" spans="1:7" x14ac:dyDescent="0.25">
      <c r="A55" t="s">
        <v>26</v>
      </c>
      <c r="D55">
        <v>28.25</v>
      </c>
      <c r="E55" t="s">
        <v>2</v>
      </c>
      <c r="F55" t="s">
        <v>208</v>
      </c>
    </row>
    <row r="56" spans="1:7" x14ac:dyDescent="0.25">
      <c r="A56" t="s">
        <v>220</v>
      </c>
      <c r="D56">
        <f>5/12</f>
        <v>0.41666666666666669</v>
      </c>
      <c r="E56" t="s">
        <v>2</v>
      </c>
    </row>
    <row r="57" spans="1:7" x14ac:dyDescent="0.25">
      <c r="A57" t="s">
        <v>213</v>
      </c>
      <c r="D57">
        <f>D54*D55*D56</f>
        <v>1224.1666666666667</v>
      </c>
      <c r="E57" t="s">
        <v>221</v>
      </c>
      <c r="F57">
        <f>D57/27</f>
        <v>45.339506172839506</v>
      </c>
      <c r="G57" t="s">
        <v>8</v>
      </c>
    </row>
    <row r="59" spans="1:7" x14ac:dyDescent="0.25">
      <c r="A59" s="7" t="s">
        <v>28</v>
      </c>
      <c r="B59" s="7">
        <f>ROUNDUP(F45+F51+F57,0)</f>
        <v>57</v>
      </c>
      <c r="C59" s="7" t="s">
        <v>24</v>
      </c>
    </row>
    <row r="62" spans="1:7" x14ac:dyDescent="0.25">
      <c r="A62" s="2" t="s">
        <v>265</v>
      </c>
    </row>
    <row r="64" spans="1:7" x14ac:dyDescent="0.25">
      <c r="A64" t="s">
        <v>209</v>
      </c>
      <c r="D64">
        <v>25</v>
      </c>
      <c r="E64" t="s">
        <v>2</v>
      </c>
    </row>
    <row r="65" spans="1:7" x14ac:dyDescent="0.25">
      <c r="A65" t="s">
        <v>210</v>
      </c>
      <c r="D65">
        <v>28.25</v>
      </c>
      <c r="E65" t="s">
        <v>2</v>
      </c>
      <c r="F65" t="s">
        <v>208</v>
      </c>
    </row>
    <row r="66" spans="1:7" x14ac:dyDescent="0.25">
      <c r="A66" t="s">
        <v>211</v>
      </c>
      <c r="D66">
        <v>2</v>
      </c>
      <c r="E66" t="s">
        <v>2</v>
      </c>
    </row>
    <row r="67" spans="1:7" x14ac:dyDescent="0.25">
      <c r="A67" t="s">
        <v>212</v>
      </c>
      <c r="D67">
        <f>D64*D65*D66</f>
        <v>1412.5</v>
      </c>
      <c r="E67" t="s">
        <v>23</v>
      </c>
      <c r="F67">
        <f>D67/9</f>
        <v>156.94444444444446</v>
      </c>
      <c r="G67" t="s">
        <v>24</v>
      </c>
    </row>
    <row r="69" spans="1:7" x14ac:dyDescent="0.25">
      <c r="A69" t="s">
        <v>11</v>
      </c>
      <c r="D69">
        <v>25</v>
      </c>
      <c r="E69" t="s">
        <v>2</v>
      </c>
    </row>
    <row r="70" spans="1:7" x14ac:dyDescent="0.25">
      <c r="A70" t="s">
        <v>10</v>
      </c>
      <c r="D70">
        <v>28.25</v>
      </c>
      <c r="E70" t="s">
        <v>2</v>
      </c>
      <c r="F70" t="s">
        <v>208</v>
      </c>
    </row>
    <row r="71" spans="1:7" x14ac:dyDescent="0.25">
      <c r="A71" t="s">
        <v>12</v>
      </c>
      <c r="D71">
        <v>2</v>
      </c>
      <c r="E71" t="s">
        <v>2</v>
      </c>
    </row>
    <row r="72" spans="1:7" x14ac:dyDescent="0.25">
      <c r="A72" t="s">
        <v>212</v>
      </c>
      <c r="D72">
        <f>D69*D70*D71</f>
        <v>1412.5</v>
      </c>
      <c r="E72" t="s">
        <v>23</v>
      </c>
      <c r="F72">
        <f>D72/9</f>
        <v>156.94444444444446</v>
      </c>
      <c r="G72" t="s">
        <v>24</v>
      </c>
    </row>
    <row r="75" spans="1:7" x14ac:dyDescent="0.25">
      <c r="A75" t="s">
        <v>25</v>
      </c>
      <c r="D75">
        <v>104</v>
      </c>
      <c r="E75" t="s">
        <v>2</v>
      </c>
      <c r="F75" t="s">
        <v>27</v>
      </c>
    </row>
    <row r="76" spans="1:7" x14ac:dyDescent="0.25">
      <c r="A76" t="s">
        <v>26</v>
      </c>
      <c r="D76">
        <v>28.25</v>
      </c>
      <c r="E76" t="s">
        <v>2</v>
      </c>
      <c r="F76" t="s">
        <v>208</v>
      </c>
    </row>
    <row r="77" spans="1:7" x14ac:dyDescent="0.25">
      <c r="A77" t="s">
        <v>213</v>
      </c>
      <c r="D77">
        <f>D75*D76</f>
        <v>2938</v>
      </c>
      <c r="E77" t="s">
        <v>23</v>
      </c>
      <c r="F77">
        <f>D77/9</f>
        <v>326.44444444444446</v>
      </c>
      <c r="G77" t="s">
        <v>24</v>
      </c>
    </row>
    <row r="79" spans="1:7" x14ac:dyDescent="0.25">
      <c r="A79" s="7" t="s">
        <v>28</v>
      </c>
      <c r="B79" s="7">
        <f>ROUNDUP(F67+F72+F77,0)</f>
        <v>641</v>
      </c>
      <c r="C79" s="7" t="s">
        <v>24</v>
      </c>
    </row>
    <row r="81" spans="1:7" x14ac:dyDescent="0.25">
      <c r="A81" t="s">
        <v>268</v>
      </c>
      <c r="D81">
        <v>0.05</v>
      </c>
      <c r="E81" t="s">
        <v>267</v>
      </c>
    </row>
    <row r="83" spans="1:7" x14ac:dyDescent="0.25">
      <c r="A83" t="s">
        <v>266</v>
      </c>
      <c r="D83">
        <f>B79*D81</f>
        <v>32.050000000000004</v>
      </c>
      <c r="E83" t="s">
        <v>269</v>
      </c>
    </row>
    <row r="86" spans="1:7" x14ac:dyDescent="0.25">
      <c r="A86" s="2" t="s">
        <v>261</v>
      </c>
    </row>
    <row r="88" spans="1:7" x14ac:dyDescent="0.25">
      <c r="A88" t="s">
        <v>223</v>
      </c>
      <c r="E88">
        <v>28.25</v>
      </c>
      <c r="F88" t="s">
        <v>2</v>
      </c>
      <c r="G88" t="s">
        <v>227</v>
      </c>
    </row>
    <row r="89" spans="1:7" x14ac:dyDescent="0.25">
      <c r="A89" t="s">
        <v>61</v>
      </c>
      <c r="E89" s="3">
        <v>1</v>
      </c>
      <c r="F89" s="3" t="s">
        <v>116</v>
      </c>
    </row>
    <row r="90" spans="1:7" x14ac:dyDescent="0.25">
      <c r="E90">
        <f>E88*E89</f>
        <v>28.25</v>
      </c>
      <c r="F90" t="s">
        <v>2</v>
      </c>
    </row>
    <row r="92" spans="1:7" x14ac:dyDescent="0.25">
      <c r="A92" t="s">
        <v>224</v>
      </c>
      <c r="E92">
        <v>28.25</v>
      </c>
      <c r="F92" t="s">
        <v>2</v>
      </c>
      <c r="G92" t="s">
        <v>227</v>
      </c>
    </row>
    <row r="93" spans="1:7" x14ac:dyDescent="0.25">
      <c r="A93" t="s">
        <v>61</v>
      </c>
      <c r="E93" s="3">
        <v>2</v>
      </c>
      <c r="F93" s="3" t="s">
        <v>116</v>
      </c>
    </row>
    <row r="94" spans="1:7" x14ac:dyDescent="0.25">
      <c r="E94">
        <f>E92*E93</f>
        <v>56.5</v>
      </c>
      <c r="F94" t="s">
        <v>2</v>
      </c>
    </row>
    <row r="96" spans="1:7" x14ac:dyDescent="0.25">
      <c r="A96" t="s">
        <v>225</v>
      </c>
      <c r="E96">
        <v>25</v>
      </c>
      <c r="F96" t="s">
        <v>2</v>
      </c>
      <c r="G96" t="s">
        <v>226</v>
      </c>
    </row>
    <row r="97" spans="1:11" x14ac:dyDescent="0.25">
      <c r="A97" t="s">
        <v>61</v>
      </c>
      <c r="E97" s="3">
        <v>2</v>
      </c>
      <c r="F97" s="3" t="s">
        <v>116</v>
      </c>
    </row>
    <row r="98" spans="1:11" x14ac:dyDescent="0.25">
      <c r="E98">
        <f>E96*E97</f>
        <v>50</v>
      </c>
      <c r="F98" t="s">
        <v>2</v>
      </c>
    </row>
    <row r="100" spans="1:11" x14ac:dyDescent="0.25">
      <c r="A100" t="s">
        <v>229</v>
      </c>
      <c r="E100">
        <v>104</v>
      </c>
      <c r="F100" t="s">
        <v>2</v>
      </c>
      <c r="G100" t="s">
        <v>226</v>
      </c>
    </row>
    <row r="101" spans="1:11" x14ac:dyDescent="0.25">
      <c r="A101" t="s">
        <v>61</v>
      </c>
      <c r="E101" s="3">
        <v>2</v>
      </c>
      <c r="F101" s="3" t="s">
        <v>116</v>
      </c>
    </row>
    <row r="102" spans="1:11" x14ac:dyDescent="0.25">
      <c r="E102">
        <f>E100*E101</f>
        <v>208</v>
      </c>
      <c r="F102" t="s">
        <v>2</v>
      </c>
    </row>
    <row r="104" spans="1:11" x14ac:dyDescent="0.25">
      <c r="A104" t="s">
        <v>228</v>
      </c>
      <c r="E104">
        <v>25</v>
      </c>
      <c r="F104" t="s">
        <v>2</v>
      </c>
      <c r="G104" t="s">
        <v>226</v>
      </c>
    </row>
    <row r="105" spans="1:11" x14ac:dyDescent="0.25">
      <c r="A105" t="s">
        <v>61</v>
      </c>
      <c r="E105" s="3">
        <v>2</v>
      </c>
      <c r="F105" s="3" t="s">
        <v>116</v>
      </c>
    </row>
    <row r="106" spans="1:11" x14ac:dyDescent="0.25">
      <c r="E106">
        <f>E104*E105</f>
        <v>50</v>
      </c>
      <c r="F106" t="s">
        <v>2</v>
      </c>
    </row>
    <row r="108" spans="1:11" x14ac:dyDescent="0.25">
      <c r="D108" t="s">
        <v>28</v>
      </c>
      <c r="E108">
        <f>E90+E94+E98+E102+E106</f>
        <v>392.75</v>
      </c>
      <c r="F108" t="s">
        <v>2</v>
      </c>
    </row>
    <row r="112" spans="1:11" x14ac:dyDescent="0.25">
      <c r="A112" s="2" t="s">
        <v>32</v>
      </c>
      <c r="J112">
        <v>0</v>
      </c>
      <c r="K112" t="s">
        <v>2</v>
      </c>
    </row>
    <row r="119" spans="1:11" x14ac:dyDescent="0.25">
      <c r="A119" s="2" t="s">
        <v>230</v>
      </c>
      <c r="J119">
        <v>0</v>
      </c>
      <c r="K119" t="s">
        <v>2</v>
      </c>
    </row>
    <row r="128" spans="1:11" x14ac:dyDescent="0.25">
      <c r="A128" s="2"/>
    </row>
    <row r="129" spans="1:5" x14ac:dyDescent="0.25">
      <c r="A129" s="2" t="s">
        <v>58</v>
      </c>
    </row>
    <row r="130" spans="1:5" x14ac:dyDescent="0.25">
      <c r="A130" s="2"/>
    </row>
    <row r="131" spans="1:5" x14ac:dyDescent="0.25">
      <c r="A131" s="3" t="s">
        <v>241</v>
      </c>
      <c r="B131" s="3"/>
    </row>
    <row r="132" spans="1:5" x14ac:dyDescent="0.25">
      <c r="A132" t="s">
        <v>60</v>
      </c>
      <c r="D132">
        <v>106</v>
      </c>
      <c r="E132" t="s">
        <v>2</v>
      </c>
    </row>
    <row r="133" spans="1:5" x14ac:dyDescent="0.25">
      <c r="A133" t="s">
        <v>248</v>
      </c>
      <c r="D133">
        <f>0.75+3+1.5+3+2.25+0.5</f>
        <v>11</v>
      </c>
      <c r="E133" t="s">
        <v>2</v>
      </c>
    </row>
    <row r="134" spans="1:5" x14ac:dyDescent="0.25">
      <c r="A134" t="s">
        <v>61</v>
      </c>
      <c r="D134">
        <v>1</v>
      </c>
    </row>
    <row r="135" spans="1:5" x14ac:dyDescent="0.25">
      <c r="A135" t="s">
        <v>62</v>
      </c>
      <c r="D135">
        <f>D132*D133*D134</f>
        <v>1166</v>
      </c>
      <c r="E135" t="s">
        <v>40</v>
      </c>
    </row>
    <row r="136" spans="1:5" x14ac:dyDescent="0.25">
      <c r="D136">
        <f>D135/9</f>
        <v>129.55555555555554</v>
      </c>
      <c r="E136" t="s">
        <v>24</v>
      </c>
    </row>
    <row r="138" spans="1:5" x14ac:dyDescent="0.25">
      <c r="A138" s="3" t="s">
        <v>246</v>
      </c>
      <c r="B138" s="3"/>
    </row>
    <row r="139" spans="1:5" x14ac:dyDescent="0.25">
      <c r="A139" t="s">
        <v>60</v>
      </c>
      <c r="D139">
        <v>106</v>
      </c>
      <c r="E139" t="s">
        <v>2</v>
      </c>
    </row>
    <row r="140" spans="1:5" x14ac:dyDescent="0.25">
      <c r="A140" t="s">
        <v>247</v>
      </c>
      <c r="D140">
        <f>0.75+0.8333+5.25+3+1+3+2.25+0.5</f>
        <v>16.583300000000001</v>
      </c>
      <c r="E140" t="s">
        <v>2</v>
      </c>
    </row>
    <row r="141" spans="1:5" x14ac:dyDescent="0.25">
      <c r="A141" t="s">
        <v>61</v>
      </c>
      <c r="D141">
        <v>1</v>
      </c>
    </row>
    <row r="142" spans="1:5" x14ac:dyDescent="0.25">
      <c r="A142" t="s">
        <v>62</v>
      </c>
      <c r="D142">
        <f>D139*D140*D141</f>
        <v>1757.8298000000002</v>
      </c>
      <c r="E142" t="s">
        <v>40</v>
      </c>
    </row>
    <row r="143" spans="1:5" x14ac:dyDescent="0.25">
      <c r="D143">
        <f>D142/9</f>
        <v>195.31442222222225</v>
      </c>
      <c r="E143" t="s">
        <v>24</v>
      </c>
    </row>
    <row r="144" spans="1:5" x14ac:dyDescent="0.25">
      <c r="A144" s="2"/>
    </row>
    <row r="147" spans="1:8" x14ac:dyDescent="0.25">
      <c r="A147" s="3" t="s">
        <v>243</v>
      </c>
      <c r="B147" s="3"/>
      <c r="C147" s="3"/>
      <c r="D147" s="3"/>
      <c r="E147" s="3"/>
      <c r="F147" s="3"/>
      <c r="G147" s="3"/>
      <c r="H147" s="3"/>
    </row>
    <row r="149" spans="1:8" x14ac:dyDescent="0.25">
      <c r="A149" t="s">
        <v>81</v>
      </c>
      <c r="D149">
        <v>1.833</v>
      </c>
      <c r="E149" t="s">
        <v>2</v>
      </c>
    </row>
    <row r="150" spans="1:8" x14ac:dyDescent="0.25">
      <c r="A150" t="s">
        <v>82</v>
      </c>
      <c r="D150">
        <v>40</v>
      </c>
      <c r="E150" t="s">
        <v>2</v>
      </c>
    </row>
    <row r="151" spans="1:8" x14ac:dyDescent="0.25">
      <c r="A151" t="s">
        <v>83</v>
      </c>
      <c r="D151">
        <v>3.5</v>
      </c>
      <c r="E151" t="s">
        <v>2</v>
      </c>
    </row>
    <row r="152" spans="1:8" x14ac:dyDescent="0.25">
      <c r="A152" t="s">
        <v>236</v>
      </c>
      <c r="D152">
        <v>16</v>
      </c>
      <c r="E152" t="s">
        <v>2</v>
      </c>
    </row>
    <row r="153" spans="1:8" x14ac:dyDescent="0.25">
      <c r="A153" t="s">
        <v>88</v>
      </c>
      <c r="D153">
        <v>1.75</v>
      </c>
      <c r="E153" t="s">
        <v>2</v>
      </c>
    </row>
    <row r="155" spans="1:8" x14ac:dyDescent="0.25">
      <c r="A155" t="s">
        <v>84</v>
      </c>
      <c r="D155">
        <f>D150*D152</f>
        <v>640</v>
      </c>
      <c r="E155" t="s">
        <v>40</v>
      </c>
    </row>
    <row r="156" spans="1:8" x14ac:dyDescent="0.25">
      <c r="A156" t="s">
        <v>85</v>
      </c>
      <c r="D156">
        <f>0</f>
        <v>0</v>
      </c>
      <c r="E156" t="s">
        <v>40</v>
      </c>
    </row>
    <row r="157" spans="1:8" x14ac:dyDescent="0.25">
      <c r="A157" t="s">
        <v>86</v>
      </c>
      <c r="D157">
        <f>0</f>
        <v>0</v>
      </c>
      <c r="E157" t="s">
        <v>40</v>
      </c>
    </row>
    <row r="159" spans="1:8" x14ac:dyDescent="0.25">
      <c r="A159" s="66" t="s">
        <v>249</v>
      </c>
      <c r="B159" s="66"/>
      <c r="D159">
        <f>34*D152</f>
        <v>544</v>
      </c>
      <c r="E159" t="s">
        <v>40</v>
      </c>
    </row>
    <row r="160" spans="1:8" x14ac:dyDescent="0.25">
      <c r="A160" s="66" t="s">
        <v>238</v>
      </c>
      <c r="B160" s="4"/>
      <c r="D160" s="3">
        <v>2</v>
      </c>
      <c r="E160" s="3"/>
    </row>
    <row r="161" spans="1:5" x14ac:dyDescent="0.25">
      <c r="A161" s="66"/>
      <c r="B161" s="4"/>
      <c r="D161">
        <f>D159*D160</f>
        <v>1088</v>
      </c>
      <c r="E161" t="s">
        <v>40</v>
      </c>
    </row>
    <row r="162" spans="1:5" x14ac:dyDescent="0.25">
      <c r="A162" s="66"/>
      <c r="B162" s="4"/>
    </row>
    <row r="163" spans="1:5" x14ac:dyDescent="0.25">
      <c r="A163" s="66" t="s">
        <v>250</v>
      </c>
      <c r="B163" s="66"/>
      <c r="D163">
        <f>0.5*17.5*7</f>
        <v>61.25</v>
      </c>
      <c r="E163" t="s">
        <v>40</v>
      </c>
    </row>
    <row r="164" spans="1:5" x14ac:dyDescent="0.25">
      <c r="A164" s="66" t="s">
        <v>238</v>
      </c>
      <c r="B164" s="4"/>
      <c r="D164" s="3">
        <v>2</v>
      </c>
      <c r="E164" s="3"/>
    </row>
    <row r="165" spans="1:5" x14ac:dyDescent="0.25">
      <c r="A165" s="66"/>
      <c r="B165" s="4"/>
      <c r="D165">
        <f>D163*D164</f>
        <v>122.5</v>
      </c>
      <c r="E165" t="s">
        <v>40</v>
      </c>
    </row>
    <row r="166" spans="1:5" x14ac:dyDescent="0.25">
      <c r="A166" s="66"/>
      <c r="B166" s="4"/>
    </row>
    <row r="167" spans="1:5" x14ac:dyDescent="0.25">
      <c r="A167" s="66"/>
      <c r="B167" s="4"/>
    </row>
    <row r="168" spans="1:5" x14ac:dyDescent="0.25">
      <c r="A168" s="66" t="s">
        <v>240</v>
      </c>
      <c r="B168" s="66"/>
      <c r="D168">
        <f>0.75+3+1.5+3</f>
        <v>8.25</v>
      </c>
      <c r="E168" t="s">
        <v>2</v>
      </c>
    </row>
    <row r="169" spans="1:5" x14ac:dyDescent="0.25">
      <c r="A169" s="66" t="s">
        <v>239</v>
      </c>
      <c r="B169" s="66"/>
      <c r="D169">
        <v>17.5</v>
      </c>
      <c r="E169" t="s">
        <v>2</v>
      </c>
    </row>
    <row r="170" spans="1:5" x14ac:dyDescent="0.25">
      <c r="A170" s="66" t="s">
        <v>238</v>
      </c>
      <c r="B170" s="4"/>
      <c r="D170" s="3">
        <v>2</v>
      </c>
      <c r="E170" s="3"/>
    </row>
    <row r="171" spans="1:5" x14ac:dyDescent="0.25">
      <c r="A171" s="66"/>
      <c r="B171" s="4"/>
      <c r="D171">
        <f>D168*D169*D170</f>
        <v>288.75</v>
      </c>
      <c r="E171" t="s">
        <v>40</v>
      </c>
    </row>
    <row r="173" spans="1:5" x14ac:dyDescent="0.25">
      <c r="A173" t="s">
        <v>78</v>
      </c>
      <c r="D173">
        <f>D155+D156+D157+D161+D165+D171</f>
        <v>2139.25</v>
      </c>
      <c r="E173" t="s">
        <v>40</v>
      </c>
    </row>
    <row r="174" spans="1:5" x14ac:dyDescent="0.25">
      <c r="D174">
        <f>D173/9</f>
        <v>237.69444444444446</v>
      </c>
      <c r="E174" t="s">
        <v>24</v>
      </c>
    </row>
    <row r="177" spans="1:8" x14ac:dyDescent="0.25">
      <c r="A177" s="3" t="s">
        <v>242</v>
      </c>
      <c r="B177" s="3"/>
      <c r="C177" s="3"/>
      <c r="D177" s="3"/>
      <c r="E177" s="3"/>
      <c r="F177" s="3"/>
      <c r="G177" s="3"/>
      <c r="H177" s="3"/>
    </row>
    <row r="179" spans="1:8" x14ac:dyDescent="0.25">
      <c r="A179" t="s">
        <v>81</v>
      </c>
      <c r="D179">
        <v>1.833</v>
      </c>
      <c r="E179" t="s">
        <v>2</v>
      </c>
    </row>
    <row r="180" spans="1:8" x14ac:dyDescent="0.25">
      <c r="A180" t="s">
        <v>82</v>
      </c>
      <c r="D180">
        <v>40</v>
      </c>
      <c r="E180" t="s">
        <v>2</v>
      </c>
    </row>
    <row r="181" spans="1:8" x14ac:dyDescent="0.25">
      <c r="A181" t="s">
        <v>83</v>
      </c>
      <c r="D181">
        <v>3.5</v>
      </c>
      <c r="E181" t="s">
        <v>2</v>
      </c>
    </row>
    <row r="182" spans="1:8" x14ac:dyDescent="0.25">
      <c r="A182" t="s">
        <v>236</v>
      </c>
      <c r="D182">
        <v>16</v>
      </c>
      <c r="E182" t="s">
        <v>2</v>
      </c>
    </row>
    <row r="183" spans="1:8" x14ac:dyDescent="0.25">
      <c r="A183" t="s">
        <v>88</v>
      </c>
      <c r="D183">
        <v>1.75</v>
      </c>
      <c r="E183" t="s">
        <v>2</v>
      </c>
    </row>
    <row r="185" spans="1:8" x14ac:dyDescent="0.25">
      <c r="A185" t="s">
        <v>84</v>
      </c>
      <c r="D185">
        <f>D180*D182</f>
        <v>640</v>
      </c>
      <c r="E185" t="s">
        <v>40</v>
      </c>
    </row>
    <row r="186" spans="1:8" x14ac:dyDescent="0.25">
      <c r="A186" t="s">
        <v>85</v>
      </c>
      <c r="D186">
        <f>0</f>
        <v>0</v>
      </c>
      <c r="E186" t="s">
        <v>40</v>
      </c>
    </row>
    <row r="187" spans="1:8" x14ac:dyDescent="0.25">
      <c r="A187" t="s">
        <v>86</v>
      </c>
      <c r="D187">
        <f>0</f>
        <v>0</v>
      </c>
      <c r="E187" t="s">
        <v>40</v>
      </c>
    </row>
    <row r="189" spans="1:8" x14ac:dyDescent="0.25">
      <c r="A189" s="66" t="s">
        <v>249</v>
      </c>
      <c r="B189" s="66"/>
      <c r="D189">
        <f>34*D182</f>
        <v>544</v>
      </c>
      <c r="E189" t="s">
        <v>40</v>
      </c>
    </row>
    <row r="190" spans="1:8" x14ac:dyDescent="0.25">
      <c r="A190" s="66" t="s">
        <v>238</v>
      </c>
      <c r="B190" s="4"/>
      <c r="D190" s="3">
        <v>2</v>
      </c>
      <c r="E190" s="3"/>
    </row>
    <row r="191" spans="1:8" x14ac:dyDescent="0.25">
      <c r="A191" s="66"/>
      <c r="B191" s="4"/>
      <c r="D191">
        <f>D189*D190</f>
        <v>1088</v>
      </c>
      <c r="E191" t="s">
        <v>40</v>
      </c>
    </row>
    <row r="192" spans="1:8" x14ac:dyDescent="0.25">
      <c r="A192" s="66"/>
      <c r="B192" s="4"/>
    </row>
    <row r="193" spans="1:5" x14ac:dyDescent="0.25">
      <c r="A193" s="66" t="s">
        <v>250</v>
      </c>
      <c r="B193" s="66"/>
      <c r="D193">
        <f>0.5*17.5*7</f>
        <v>61.25</v>
      </c>
      <c r="E193" t="s">
        <v>40</v>
      </c>
    </row>
    <row r="194" spans="1:5" x14ac:dyDescent="0.25">
      <c r="A194" s="66" t="s">
        <v>238</v>
      </c>
      <c r="B194" s="4"/>
      <c r="D194" s="3">
        <v>2</v>
      </c>
      <c r="E194" s="3"/>
    </row>
    <row r="195" spans="1:5" x14ac:dyDescent="0.25">
      <c r="A195" s="66"/>
      <c r="B195" s="4"/>
      <c r="D195">
        <f>D193*D194</f>
        <v>122.5</v>
      </c>
      <c r="E195" t="s">
        <v>40</v>
      </c>
    </row>
    <row r="196" spans="1:5" x14ac:dyDescent="0.25">
      <c r="A196" s="66"/>
      <c r="B196" s="4"/>
    </row>
    <row r="197" spans="1:5" x14ac:dyDescent="0.25">
      <c r="A197" s="66"/>
      <c r="B197" s="4"/>
    </row>
    <row r="198" spans="1:5" x14ac:dyDescent="0.25">
      <c r="A198" s="66" t="s">
        <v>240</v>
      </c>
      <c r="B198" s="66"/>
      <c r="D198">
        <f>0.75+3+1.5+3</f>
        <v>8.25</v>
      </c>
      <c r="E198" t="s">
        <v>2</v>
      </c>
    </row>
    <row r="199" spans="1:5" x14ac:dyDescent="0.25">
      <c r="A199" s="66" t="s">
        <v>239</v>
      </c>
      <c r="B199" s="66"/>
      <c r="D199">
        <v>17.5</v>
      </c>
      <c r="E199" t="s">
        <v>2</v>
      </c>
    </row>
    <row r="200" spans="1:5" x14ac:dyDescent="0.25">
      <c r="A200" s="66" t="s">
        <v>238</v>
      </c>
      <c r="B200" s="4"/>
      <c r="D200" s="3">
        <v>2</v>
      </c>
      <c r="E200" s="3"/>
    </row>
    <row r="201" spans="1:5" x14ac:dyDescent="0.25">
      <c r="A201" s="66"/>
      <c r="B201" s="4"/>
      <c r="D201">
        <f>D198*D199*D200</f>
        <v>288.75</v>
      </c>
      <c r="E201" t="s">
        <v>40</v>
      </c>
    </row>
    <row r="203" spans="1:5" x14ac:dyDescent="0.25">
      <c r="A203" t="s">
        <v>78</v>
      </c>
      <c r="D203">
        <f>D185+D186+D187+D191+D195+D201</f>
        <v>2139.25</v>
      </c>
      <c r="E203" t="s">
        <v>40</v>
      </c>
    </row>
    <row r="204" spans="1:5" x14ac:dyDescent="0.25">
      <c r="D204">
        <f>D203/9</f>
        <v>237.69444444444446</v>
      </c>
      <c r="E204" t="s">
        <v>24</v>
      </c>
    </row>
    <row r="206" spans="1:5" x14ac:dyDescent="0.25">
      <c r="A206" s="7" t="s">
        <v>90</v>
      </c>
      <c r="B206" s="7"/>
      <c r="C206" s="7"/>
      <c r="D206" s="7">
        <f>D136+D143+D174+D204</f>
        <v>800.25886666666668</v>
      </c>
      <c r="E206" s="7" t="s">
        <v>24</v>
      </c>
    </row>
    <row r="211" spans="1:5" x14ac:dyDescent="0.25">
      <c r="A211" s="2" t="s">
        <v>0</v>
      </c>
    </row>
    <row r="213" spans="1:5" x14ac:dyDescent="0.25">
      <c r="A213" t="s">
        <v>1</v>
      </c>
      <c r="C213">
        <v>1.83</v>
      </c>
      <c r="D213" t="s">
        <v>2</v>
      </c>
    </row>
    <row r="214" spans="1:5" x14ac:dyDescent="0.25">
      <c r="A214" t="s">
        <v>4</v>
      </c>
      <c r="C214">
        <v>28.25</v>
      </c>
      <c r="D214" t="s">
        <v>2</v>
      </c>
    </row>
    <row r="215" spans="1:5" x14ac:dyDescent="0.25">
      <c r="A215" t="s">
        <v>30</v>
      </c>
      <c r="C215">
        <v>5.2</v>
      </c>
      <c r="D215" t="s">
        <v>31</v>
      </c>
    </row>
    <row r="216" spans="1:5" x14ac:dyDescent="0.25">
      <c r="A216" t="s">
        <v>5</v>
      </c>
      <c r="C216" s="1">
        <f>C214/COS(RADIANS(C215))</f>
        <v>28.366746220003463</v>
      </c>
      <c r="D216" t="s">
        <v>2</v>
      </c>
    </row>
    <row r="217" spans="1:5" x14ac:dyDescent="0.25">
      <c r="A217" t="s">
        <v>3</v>
      </c>
      <c r="C217">
        <v>0.20830000000000001</v>
      </c>
      <c r="D217" t="s">
        <v>2</v>
      </c>
    </row>
    <row r="219" spans="1:5" x14ac:dyDescent="0.25">
      <c r="A219" t="s">
        <v>6</v>
      </c>
      <c r="C219">
        <v>1</v>
      </c>
      <c r="E219" t="s">
        <v>251</v>
      </c>
    </row>
    <row r="221" spans="1:5" x14ac:dyDescent="0.25">
      <c r="A221" t="s">
        <v>7</v>
      </c>
      <c r="C221" s="1">
        <f>C213*C216*C217*C219/27</f>
        <v>0.40048487499470004</v>
      </c>
      <c r="D221" t="s">
        <v>8</v>
      </c>
    </row>
    <row r="224" spans="1:5" x14ac:dyDescent="0.25">
      <c r="A224" s="2" t="s">
        <v>252</v>
      </c>
    </row>
    <row r="226" spans="1:7" x14ac:dyDescent="0.25">
      <c r="A226" t="s">
        <v>25</v>
      </c>
      <c r="D226">
        <v>106</v>
      </c>
      <c r="E226" t="s">
        <v>2</v>
      </c>
      <c r="F226" t="s">
        <v>27</v>
      </c>
    </row>
    <row r="227" spans="1:7" x14ac:dyDescent="0.25">
      <c r="A227" t="s">
        <v>26</v>
      </c>
      <c r="D227">
        <v>28.5</v>
      </c>
      <c r="E227" t="s">
        <v>2</v>
      </c>
      <c r="F227" t="s">
        <v>208</v>
      </c>
    </row>
    <row r="228" spans="1:7" x14ac:dyDescent="0.25">
      <c r="A228" t="s">
        <v>213</v>
      </c>
      <c r="D228">
        <f>D226*D227</f>
        <v>3021</v>
      </c>
      <c r="E228" t="s">
        <v>23</v>
      </c>
      <c r="F228">
        <f>D228/9</f>
        <v>335.66666666666669</v>
      </c>
      <c r="G228" t="s">
        <v>24</v>
      </c>
    </row>
    <row r="231" spans="1:7" x14ac:dyDescent="0.25">
      <c r="A231" s="2" t="s">
        <v>253</v>
      </c>
    </row>
    <row r="233" spans="1:7" x14ac:dyDescent="0.25">
      <c r="A233" t="s">
        <v>254</v>
      </c>
    </row>
    <row r="234" spans="1:7" x14ac:dyDescent="0.25">
      <c r="A234" t="s">
        <v>255</v>
      </c>
      <c r="D234">
        <v>12</v>
      </c>
    </row>
    <row r="235" spans="1:7" x14ac:dyDescent="0.25">
      <c r="A235" t="s">
        <v>256</v>
      </c>
      <c r="D235">
        <v>104</v>
      </c>
      <c r="E235" t="s">
        <v>2</v>
      </c>
    </row>
    <row r="236" spans="1:7" x14ac:dyDescent="0.25">
      <c r="A236" t="s">
        <v>257</v>
      </c>
      <c r="D236">
        <v>3</v>
      </c>
      <c r="E236" t="s">
        <v>2</v>
      </c>
    </row>
    <row r="238" spans="1:7" x14ac:dyDescent="0.25">
      <c r="A238" t="s">
        <v>258</v>
      </c>
      <c r="D238">
        <f>0.05*(D234*D235*D236)</f>
        <v>187.20000000000002</v>
      </c>
      <c r="E238" t="s">
        <v>40</v>
      </c>
    </row>
    <row r="241" spans="1:5" x14ac:dyDescent="0.25">
      <c r="A241" s="2" t="s">
        <v>259</v>
      </c>
    </row>
    <row r="243" spans="1:5" x14ac:dyDescent="0.25">
      <c r="A243" t="s">
        <v>255</v>
      </c>
      <c r="D243">
        <v>12</v>
      </c>
    </row>
    <row r="244" spans="1:5" x14ac:dyDescent="0.25">
      <c r="A244" t="s">
        <v>256</v>
      </c>
      <c r="D244">
        <v>104</v>
      </c>
      <c r="E244" t="s">
        <v>2</v>
      </c>
    </row>
    <row r="246" spans="1:5" x14ac:dyDescent="0.25">
      <c r="A246" t="s">
        <v>260</v>
      </c>
      <c r="D246">
        <f>(D243-1)*D244</f>
        <v>1144</v>
      </c>
      <c r="E246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WAR-48-8.63</vt:lpstr>
      <vt:lpstr>WAR-73-1818R</vt:lpstr>
      <vt:lpstr>WAR-73-1818L</vt:lpstr>
      <vt:lpstr>Sheet1</vt:lpstr>
      <vt:lpstr>Sheet2</vt:lpstr>
      <vt:lpstr>Sheet3</vt:lpstr>
      <vt:lpstr>CLE-28-0175</vt:lpstr>
      <vt:lpstr>CLE-28-0227</vt:lpstr>
      <vt:lpstr>CLE-28-0259</vt:lpstr>
      <vt:lpstr>CLE-28-0282</vt:lpstr>
      <vt:lpstr>CLE-32-1214</vt:lpstr>
      <vt:lpstr>CLE-132-2473</vt:lpstr>
      <vt:lpstr>GRE-35-2297</vt:lpstr>
      <vt:lpstr>HAM-562-0227</vt:lpstr>
      <vt:lpstr>PRE-127-1718</vt:lpstr>
      <vt:lpstr>PRE-177-0486</vt:lpstr>
      <vt:lpstr>CLE-743-0466</vt:lpstr>
      <vt:lpstr>WAR-123-1740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Addendum 3</dc:creator>
  <cp:lastModifiedBy>Christopher Howard</cp:lastModifiedBy>
  <dcterms:created xsi:type="dcterms:W3CDTF">2013-11-08T15:35:00Z</dcterms:created>
  <dcterms:modified xsi:type="dcterms:W3CDTF">2019-09-16T21:29:30Z</dcterms:modified>
</cp:coreProperties>
</file>