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8405" windowHeight="12000" firstSheet="11" activeTab="16"/>
  </bookViews>
  <sheets>
    <sheet name="HIGHSPEED" sheetId="1" r:id="rId1"/>
    <sheet name="LOWSPEED" sheetId="2" r:id="rId2"/>
    <sheet name="NWVE21S77-1" sheetId="3" r:id="rId3"/>
    <sheet name="NWV90W90-1" sheetId="4" r:id="rId4"/>
    <sheet name="NWV90W90-2" sheetId="5" r:id="rId5"/>
    <sheet name="NWV90W90-3" sheetId="6" r:id="rId6"/>
    <sheet name="NWV90W90-4" sheetId="7" r:id="rId7"/>
    <sheet name="NWVE14W90-1" sheetId="8" r:id="rId8"/>
    <sheet name="NWVE14W90-2" sheetId="9" r:id="rId9"/>
    <sheet name="NWVE9W90-1" sheetId="10" r:id="rId10"/>
    <sheet name="NWVE9W90-2" sheetId="11" r:id="rId11"/>
    <sheet name="NWVE9W90-3" sheetId="12" r:id="rId12"/>
    <sheet name="NWVONTW90-1" sheetId="13" r:id="rId13"/>
    <sheet name="NWVONTW90-2" sheetId="14" r:id="rId14"/>
    <sheet name="NWVONTW90-3" sheetId="15" r:id="rId15"/>
    <sheet name="NWV90S77-2" sheetId="16" r:id="rId16"/>
    <sheet name="NWV90S77-3" sheetId="17" r:id="rId17"/>
  </sheets>
  <definedNames>
    <definedName name="_xlnm.Print_Area" localSheetId="0">'HIGHSPEED'!$A$1:$H$57</definedName>
    <definedName name="_xlnm.Print_Area" localSheetId="1">'LOWSPEED'!$A$1:$H$57</definedName>
    <definedName name="_xlnm.Print_Area" localSheetId="15">'NWV90S77-2'!$A$1:$H$57</definedName>
    <definedName name="_xlnm.Print_Area" localSheetId="16">'NWV90S77-3'!$A$1:$H$57</definedName>
    <definedName name="_xlnm.Print_Area" localSheetId="3">'NWV90W90-1'!$A$1:$H$57</definedName>
    <definedName name="_xlnm.Print_Area" localSheetId="4">'NWV90W90-2'!$A$1:$H$57</definedName>
    <definedName name="_xlnm.Print_Area" localSheetId="5">'NWV90W90-3'!$A$1:$H$57</definedName>
    <definedName name="_xlnm.Print_Area" localSheetId="6">'NWV90W90-4'!$A$1:$H$57</definedName>
    <definedName name="_xlnm.Print_Area" localSheetId="7">'NWVE14W90-1'!$A$1:$H$57</definedName>
    <definedName name="_xlnm.Print_Area" localSheetId="8">'NWVE14W90-2'!$A$1:$H$57</definedName>
    <definedName name="_xlnm.Print_Area" localSheetId="2">'NWVE21S77-1'!$A$1:$H$57</definedName>
    <definedName name="_xlnm.Print_Area" localSheetId="9">'NWVE9W90-1'!$A$1:$H$57</definedName>
    <definedName name="_xlnm.Print_Area" localSheetId="10">'NWVE9W90-2'!$A$1:$H$57</definedName>
    <definedName name="_xlnm.Print_Area" localSheetId="11">'NWVE9W90-3'!$A$1:$H$57</definedName>
    <definedName name="_xlnm.Print_Area" localSheetId="12">'NWVONTW90-1'!$A$1:$H$57</definedName>
    <definedName name="_xlnm.Print_Area" localSheetId="13">'NWVONTW90-2'!$A$1:$H$57</definedName>
    <definedName name="_xlnm.Print_Area" localSheetId="14">'NWVONTW90-3'!$A$1:$H$57</definedName>
  </definedNames>
  <calcPr fullCalcOnLoad="1"/>
</workbook>
</file>

<file path=xl/sharedStrings.xml><?xml version="1.0" encoding="utf-8"?>
<sst xmlns="http://schemas.openxmlformats.org/spreadsheetml/2006/main" count="1900" uniqueCount="86">
  <si>
    <t>ODOT L&amp;D VOL. 1 - FIGURE 202-10E</t>
  </si>
  <si>
    <t>ODOT TABLES</t>
  </si>
  <si>
    <t>SIMPLE CURVE CONFIGURATION</t>
  </si>
  <si>
    <t>GIVENS:</t>
  </si>
  <si>
    <t>MAXIMUM RELATIVE GRADIENTS</t>
  </si>
  <si>
    <t>V =</t>
  </si>
  <si>
    <t>mph</t>
  </si>
  <si>
    <t>(design speed, mph)</t>
  </si>
  <si>
    <t>MAX.</t>
  </si>
  <si>
    <t>Dc =</t>
  </si>
  <si>
    <t>(degree of curve of alignment)</t>
  </si>
  <si>
    <t>REL.</t>
  </si>
  <si>
    <t>radius =</t>
  </si>
  <si>
    <t>feet</t>
  </si>
  <si>
    <t>(radius of curve of alignment)</t>
  </si>
  <si>
    <t>DESIGN SPEED</t>
  </si>
  <si>
    <t>GRAD.</t>
  </si>
  <si>
    <t>SLOPE</t>
  </si>
  <si>
    <t>lane width =</t>
  </si>
  <si>
    <t>(mph)</t>
  </si>
  <si>
    <t>(%)</t>
  </si>
  <si>
    <t>(G)</t>
  </si>
  <si>
    <t>Divided?</t>
  </si>
  <si>
    <t>(yes or no)</t>
  </si>
  <si>
    <t># of lanes rotated =</t>
  </si>
  <si>
    <t>lanes</t>
  </si>
  <si>
    <t>e(d) =</t>
  </si>
  <si>
    <t>(design superelevation rate)</t>
  </si>
  <si>
    <t>b(w) =</t>
  </si>
  <si>
    <t>(adjustment factor for number of lanes rotated)</t>
  </si>
  <si>
    <t>% =</t>
  </si>
  <si>
    <t>(maximum relative gradient)</t>
  </si>
  <si>
    <t>G =</t>
  </si>
  <si>
    <t>(maximum relative slope)</t>
  </si>
  <si>
    <t>L(r) =</t>
  </si>
  <si>
    <t>(Superelevation Runoff Length)</t>
  </si>
  <si>
    <t>L(t) =</t>
  </si>
  <si>
    <t>(Tangent Runout Length)</t>
  </si>
  <si>
    <t>ADJUSTMENT FACTORS FOR NUMBER OF LANES</t>
  </si>
  <si>
    <t>NO. OF LANES</t>
  </si>
  <si>
    <t>DIV.</t>
  </si>
  <si>
    <t>UNDIV.</t>
  </si>
  <si>
    <t>ROTATED</t>
  </si>
  <si>
    <t>RDWYS</t>
  </si>
  <si>
    <t>DESIGN SUPERELEVATION RATES</t>
  </si>
  <si>
    <t>ODOT L&amp;D FIGURE 202-10</t>
  </si>
  <si>
    <t>Dc</t>
  </si>
  <si>
    <t>Radius</t>
  </si>
  <si>
    <t>e(d)</t>
  </si>
  <si>
    <t>yes/no</t>
  </si>
  <si>
    <t>2/3, 1/3?</t>
  </si>
  <si>
    <t>yes</t>
  </si>
  <si>
    <t>Is the surface being rotated past flat? (yes or no)</t>
  </si>
  <si>
    <t>P.C. SUPER INFORMATION</t>
  </si>
  <si>
    <t>Station</t>
  </si>
  <si>
    <t>Super Rate</t>
  </si>
  <si>
    <t>normal crown =</t>
  </si>
  <si>
    <t>flat =</t>
  </si>
  <si>
    <t>reverse crown =</t>
  </si>
  <si>
    <t>full super =</t>
  </si>
  <si>
    <t>P.T. SUPER INFORMATION</t>
  </si>
  <si>
    <t>SHOULDER INFORMATION</t>
  </si>
  <si>
    <t>Mainline Super Rate</t>
  </si>
  <si>
    <t>P.C. part of curve</t>
  </si>
  <si>
    <t>P.T. part of curve</t>
  </si>
  <si>
    <t>STATION INFORMATION</t>
  </si>
  <si>
    <t>no</t>
  </si>
  <si>
    <t>SUPERELEVATION TRANSITION LENGTH - HIGH SPEED URBAN HIGHWAYS</t>
  </si>
  <si>
    <t>ODOT L&amp;D VOL. 1 - FIGURE 202-8E</t>
  </si>
  <si>
    <t>ODOT L&amp;D FIGURE 202-8</t>
  </si>
  <si>
    <t>Curve Information</t>
  </si>
  <si>
    <t>Full super length =</t>
  </si>
  <si>
    <t>Slope at PT =</t>
  </si>
  <si>
    <t>Slope at PC =</t>
  </si>
  <si>
    <t>L(t) used for calcs =</t>
  </si>
  <si>
    <t>L(r) used for calcs =</t>
  </si>
  <si>
    <t>Shoulder 1 Super Rate</t>
  </si>
  <si>
    <t>Shoulder 2 Super Rate</t>
  </si>
  <si>
    <t>% of e(d) Achieved @ PC =</t>
  </si>
  <si>
    <t>% of e(d) Achieved @ PT =</t>
  </si>
  <si>
    <t>% of e(d) Achieved</t>
  </si>
  <si>
    <t>Super rate =</t>
  </si>
  <si>
    <t>Is the PT or PC also a PCC? (yes or no)</t>
  </si>
  <si>
    <t>If no, then % off curve</t>
  </si>
  <si>
    <t>SUPERELEVATION TRANSITION LENGTH - LOW SPEED URBAN RAMPS</t>
  </si>
  <si>
    <t>YES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</si>
</sst>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\°mm\'ss\&quot;"/>
    <numFmt numFmtId="167" formatCode="0.0000"/>
    <numFmt numFmtId="168" formatCode="0.0000000000"/>
    <numFmt numFmtId="169" formatCode="0.000000"/>
    <numFmt numFmtId="170" formatCode="0.00000"/>
    <numFmt numFmtId="171" formatCode="0.0"/>
    <numFmt numFmtId="172" formatCode="0.000"/>
    <numFmt numFmtId="173" formatCode="0.00000000"/>
    <numFmt numFmtId="174" formatCode="#00\+00.0000"/>
    <numFmt numFmtId="175" formatCode="#00\+00.00"/>
    <numFmt numFmtId="176" formatCode="0.000000000000"/>
    <numFmt numFmtId="177" formatCode="#00.00\ \f\t."/>
    <numFmt numFmtId="178" formatCode="#0.00\'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hidden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6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/>
      <protection/>
    </xf>
    <xf numFmtId="167" fontId="5" fillId="34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71" fontId="0" fillId="0" borderId="11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171" fontId="0" fillId="0" borderId="16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2" fontId="0" fillId="0" borderId="11" xfId="0" applyNumberForma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11" xfId="0" applyNumberFormat="1" applyFont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  <xf numFmtId="167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74" fontId="7" fillId="0" borderId="0" xfId="0" applyNumberFormat="1" applyFont="1" applyFill="1" applyAlignment="1" applyProtection="1">
      <alignment horizontal="left"/>
      <protection locked="0"/>
    </xf>
    <xf numFmtId="10" fontId="7" fillId="0" borderId="0" xfId="0" applyNumberFormat="1" applyFont="1" applyFill="1" applyAlignment="1" applyProtection="1">
      <alignment horizontal="center"/>
      <protection locked="0"/>
    </xf>
    <xf numFmtId="174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0" fontId="7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174" fontId="5" fillId="34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67" fontId="0" fillId="34" borderId="0" xfId="0" applyNumberFormat="1" applyFont="1" applyFill="1" applyAlignment="1" applyProtection="1">
      <alignment horizontal="center"/>
      <protection/>
    </xf>
    <xf numFmtId="167" fontId="0" fillId="33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4" fontId="5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left"/>
      <protection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16" xfId="0" applyNumberForma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center"/>
      <protection/>
    </xf>
    <xf numFmtId="10" fontId="0" fillId="0" borderId="0" xfId="0" applyNumberFormat="1" applyFont="1" applyFill="1" applyAlignment="1" applyProtection="1">
      <alignment horizontal="center"/>
      <protection/>
    </xf>
    <xf numFmtId="178" fontId="0" fillId="0" borderId="0" xfId="0" applyNumberFormat="1" applyFont="1" applyFill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10" fontId="0" fillId="0" borderId="0" xfId="0" applyNumberFormat="1" applyFont="1" applyFill="1" applyAlignment="1" applyProtection="1">
      <alignment horizontal="center" vertical="center"/>
      <protection/>
    </xf>
    <xf numFmtId="172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2" xfId="0" applyNumberForma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 horizontal="center"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 vertical="distributed" wrapText="1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2.14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1.5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3819.718666666667</v>
      </c>
      <c r="C7" s="2" t="s">
        <v>13</v>
      </c>
      <c r="D7" s="2" t="s">
        <v>14</v>
      </c>
      <c r="I7" s="2">
        <f>LOOKUP(B6,$K$40:$K$56)</f>
        <v>1.5</v>
      </c>
      <c r="J7" s="28">
        <f>VLOOKUP(I7,$K$40:$Q$56,IF($B$5=50,3,IF($B$5=55,4,IF($B$5=60,5,IF($B$5=65,6,IF($B$5=70,7,8))))),TRUE)</f>
        <v>0.028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12</v>
      </c>
      <c r="C8" s="2" t="s">
        <v>13</v>
      </c>
      <c r="I8" s="2">
        <f>IF(I7&gt;0.99,I7+0.5,I7+0.25)</f>
        <v>2</v>
      </c>
      <c r="J8" s="28">
        <f>VLOOKUP(I8,$K$40:$Q$56,IF($B$5=50,3,IF($B$5=55,4,IF($B$5=60,5,IF($B$5=65,6,IF($B$5=70,7,8))))),TRUE)</f>
        <v>0.035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0.028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2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0.028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134.4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74.88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51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ERROR: SPREADSHEET NOT VALID</v>
      </c>
      <c r="B22" s="69">
        <v>40717.1101</v>
      </c>
      <c r="C22" s="68"/>
      <c r="D22" s="68" t="s">
        <v>50</v>
      </c>
      <c r="E22" s="65" t="s">
        <v>66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ERROR: SPREADSHEET NOT VALID</v>
      </c>
      <c r="B23" s="69">
        <v>41291.2156</v>
      </c>
      <c r="C23" s="68"/>
      <c r="D23" s="68" t="s">
        <v>50</v>
      </c>
      <c r="E23" s="65" t="s">
        <v>66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 t="str">
        <f>IF($C$20="yes","ERROR: SPREADSHEET NOT VALID; ERROR SPREADSHEET NOT VALID; ERROR: SPREADSHEET NOT VALID; ERROR: SPREADSHEET NOT VALID","")</f>
        <v>ERROR: SPREADSHEET NOT VALID; ERROR SPREADSHEET NOT VALID; ERROR: SPREADSHEET NOT VALID; ERROR: SPREADSHEET NOT VALID</v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 t="str">
        <f>IF($E$23="no","Is there a spiral for super transition at the end of this curve? (yes or no)","")</f>
        <v>Is there a spiral for super transition at the end of this curve? (yes or no)</v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 t="str">
        <f>IF($C$20="yes","ERROR: SPREADSHEET NOT VALID; ERROR SPREADSHEET NOT VALID; ERROR: SPREADSHEET NOT VALID; ERROR: SPREADSHEET NOT VALID","")</f>
        <v>ERROR: SPREADSHEET NOT VALID; ERROR SPREADSHEET NOT VALID; ERROR: SPREADSHEET NOT VALID; ERROR: SPREADSHEET NOT VALID</v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40572.46724285714</v>
      </c>
      <c r="C30" s="96">
        <v>-0.016</v>
      </c>
      <c r="D30" s="68"/>
      <c r="E30" s="117" t="s">
        <v>71</v>
      </c>
      <c r="F30" s="117"/>
      <c r="G30" s="90">
        <f>B37-B33</f>
        <v>439.1055000000051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40649.6101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0.013999999999999572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40726.75295714285</v>
      </c>
      <c r="C32" s="96">
        <v>0.016</v>
      </c>
      <c r="D32" s="68"/>
      <c r="E32" s="122" t="s">
        <v>78</v>
      </c>
      <c r="F32" s="122"/>
      <c r="G32" s="95">
        <f>G31/$B$11</f>
        <v>0.4999999999999847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40784.6101</v>
      </c>
      <c r="C33" s="96">
        <f>$B$11</f>
        <v>0.028</v>
      </c>
      <c r="D33" s="68"/>
      <c r="E33" s="117" t="s">
        <v>72</v>
      </c>
      <c r="F33" s="117"/>
      <c r="G33" s="28">
        <f>IF($D$25="yes",$C$37-($B23-$B$37)*$G$37,$C$37-($B23-$B$37)/CEILING($B$16,5)*$B$11)</f>
        <v>0.014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0.5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135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77.14285714285714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41223.7156</v>
      </c>
      <c r="C37" s="96">
        <f>$B$11</f>
        <v>0.028</v>
      </c>
      <c r="D37" s="68"/>
      <c r="E37" s="117" t="s">
        <v>81</v>
      </c>
      <c r="F37" s="117"/>
      <c r="G37" s="97">
        <f>B11/G35</f>
        <v>0.0002074074074074074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41281.57274285715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41358.7156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41435.85845714286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</c>
      <c r="G45" s="28">
        <f>IF($B$11&gt;0.03,0.03,"")</f>
      </c>
      <c r="H45" s="32">
        <f>IF(G45="","",0.07-G45)</f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</c>
      <c r="G46" s="28">
        <f>IF($C$33&gt;0.03,$C$33,"")</f>
      </c>
      <c r="H46" s="32">
        <f>IF(G46="","",0.07-G46)</f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</c>
      <c r="G48" s="28">
        <f>IF($B$11&lt;0.03,"",$B$11)</f>
      </c>
      <c r="H48" s="32">
        <f>IF(G48="","",0.07-G48)</f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</c>
      <c r="G49" s="28">
        <f>IF(G48=0.03,"",IF(G48="","",0.03))</f>
      </c>
      <c r="H49" s="32">
        <f>IF(G49="","",0.07-G49)</f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 sheet="1" objects="1" scenarios="1"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0.710937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25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39</v>
      </c>
      <c r="C6" s="2"/>
      <c r="D6" s="2" t="s">
        <v>10</v>
      </c>
      <c r="E6" s="2"/>
      <c r="F6" s="2"/>
      <c r="G6" s="2"/>
      <c r="H6" s="2"/>
      <c r="I6" s="14">
        <f>COUNTIF($K$39:$K$82,B6)</f>
        <v>0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146.91225515384616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38</v>
      </c>
      <c r="J7" s="17">
        <f>VLOOKUP(I7,$K$38:$Q$81,IF($B$5=25,3,IF($B$5=30,4,IF($B$5=35,5,IF($B$5=40,6,IF($B$5=45,7,8))))),TRUE)</f>
        <v>0.06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39.5</v>
      </c>
      <c r="J8" s="17">
        <f>VLOOKUP(I8,$K$38:$Q$81,IF($B$5=25,3,IF($B$5=30,4,IF($B$5=35,5,IF($B$5=40,6,IF($B$5=45,7,8))))),TRUE)</f>
        <v>0.06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0.06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39.5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0.06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0.7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143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205.92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53.5392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60000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60198.22261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/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59804</v>
      </c>
      <c r="C30" s="96">
        <v>-0.016</v>
      </c>
      <c r="D30" s="68"/>
      <c r="E30" s="117" t="s">
        <v>71</v>
      </c>
      <c r="F30" s="117"/>
      <c r="G30" s="90">
        <f>B37-B33</f>
        <v>58.222609999997076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59860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0.04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59916</v>
      </c>
      <c r="C32" s="96">
        <v>0.016</v>
      </c>
      <c r="D32" s="68"/>
      <c r="E32" s="122" t="s">
        <v>78</v>
      </c>
      <c r="F32" s="122"/>
      <c r="G32" s="95">
        <f>G31/$B$11</f>
        <v>0.6666666666666667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60070</v>
      </c>
      <c r="C33" s="96">
        <f>$B$11</f>
        <v>0.06</v>
      </c>
      <c r="D33" s="68"/>
      <c r="E33" s="117" t="s">
        <v>72</v>
      </c>
      <c r="F33" s="117"/>
      <c r="G33" s="28">
        <f>IF($D$25="yes",$C$37-($B23-$B$37)*$G$37,$C$37-($B23-$B$37)/CEILING($B$16,5)*$B$11)</f>
        <v>0.04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0.6666666666666667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210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56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60128.22261</v>
      </c>
      <c r="C37" s="96">
        <f>$B$11</f>
        <v>0.06</v>
      </c>
      <c r="D37" s="68"/>
      <c r="E37" s="117" t="s">
        <v>81</v>
      </c>
      <c r="F37" s="117"/>
      <c r="G37" s="97">
        <f>B11/G35</f>
        <v>0.0002857142857142857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60282.22261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60338.22261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60394.22261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60000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59965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60070</v>
      </c>
      <c r="C46" s="28">
        <f>IF($C$33&gt;0.04,$C$33,"")</f>
        <v>0.06</v>
      </c>
      <c r="D46" s="32">
        <f>IF(C46="","",C46)</f>
        <v>0.06</v>
      </c>
      <c r="E46" s="68"/>
      <c r="F46" s="78">
        <f>IF(G46="","",$B$33)</f>
        <v>60070</v>
      </c>
      <c r="G46" s="28">
        <f>IF($C$33&gt;0.03,$C$33,"")</f>
        <v>0.06</v>
      </c>
      <c r="H46" s="32">
        <f>IF(G46="","",0.07-G46)</f>
        <v>0.010000000000000009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60128.22261</v>
      </c>
      <c r="C48" s="28">
        <f>IF($B$11&lt;0.04,"",$B$11)</f>
        <v>0.06</v>
      </c>
      <c r="D48" s="32">
        <f>IF(C48="","",C48)</f>
        <v>0.06</v>
      </c>
      <c r="E48" s="68"/>
      <c r="F48" s="78">
        <f>IF(G48="","",$B$37)</f>
        <v>60128.22261</v>
      </c>
      <c r="G48" s="28">
        <f>IF($B$11&lt;0.03,"",$B$11)</f>
        <v>0.06</v>
      </c>
      <c r="H48" s="32">
        <f>IF(G48="","",0.07-G48)</f>
        <v>0.010000000000000009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60198.22261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60233.22261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21.14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2.5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2291.8312</v>
      </c>
      <c r="C7" s="2" t="s">
        <v>13</v>
      </c>
      <c r="D7" s="2" t="s">
        <v>14</v>
      </c>
      <c r="I7" s="2">
        <f>LOOKUP(B6,$K$40:$K$56)</f>
        <v>2.5</v>
      </c>
      <c r="J7" s="28">
        <f>VLOOKUP(I7,$K$40:$Q$56,IF($B$5=50,3,IF($B$5=55,4,IF($B$5=60,5,IF($B$5=65,6,IF($B$5=70,7,8))))),TRUE)</f>
        <v>0.04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20</v>
      </c>
      <c r="C8" s="2" t="s">
        <v>13</v>
      </c>
      <c r="I8" s="2">
        <f>IF(I7&gt;0.99,I7+0.5,I7+0.25)</f>
        <v>3</v>
      </c>
      <c r="J8" s="28">
        <f>VLOOKUP(I8,$K$40:$Q$56,IF($B$5=50,3,IF($B$5=55,4,IF($B$5=60,5,IF($B$5=65,6,IF($B$5=70,7,8))))),TRUE)</f>
        <v>0.045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0.04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1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0.04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160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62.39999999999999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60429.962557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60816.75645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60259.295890333335</v>
      </c>
      <c r="C30" s="96">
        <v>-0.016</v>
      </c>
      <c r="D30" s="68"/>
      <c r="E30" s="117" t="s">
        <v>71</v>
      </c>
      <c r="F30" s="117"/>
      <c r="G30" s="90">
        <f>B37-B33</f>
        <v>280.1272263333303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60323.295890333335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0.02666666666666606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60387.295890333335</v>
      </c>
      <c r="C32" s="96">
        <v>0.016</v>
      </c>
      <c r="D32" s="68"/>
      <c r="E32" s="122" t="s">
        <v>78</v>
      </c>
      <c r="F32" s="122"/>
      <c r="G32" s="95">
        <f>G31/$B$11</f>
        <v>0.6666666666666515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60483.295890333335</v>
      </c>
      <c r="C33" s="96">
        <f>$B$11</f>
        <v>0.04</v>
      </c>
      <c r="D33" s="68"/>
      <c r="E33" s="117" t="s">
        <v>72</v>
      </c>
      <c r="F33" s="117"/>
      <c r="G33" s="28">
        <f>IF($D$25="yes",$C$37-($B23-$B$37)*$G$37,$C$37-($B23-$B$37)/CEILING($B$16,5)*$B$11)</f>
        <v>0.02666666666666606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0.6666666666666515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160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64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60763.423116666665</v>
      </c>
      <c r="C37" s="96">
        <f>$B$11</f>
        <v>0.04</v>
      </c>
      <c r="D37" s="68"/>
      <c r="E37" s="117" t="s">
        <v>81</v>
      </c>
      <c r="F37" s="117"/>
      <c r="G37" s="97">
        <f>B11/G35</f>
        <v>0.00025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60859.423116666665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60923.423116666665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60987.423116666665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  <v>60483.295890333335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60443.295890333335</v>
      </c>
      <c r="G45" s="28">
        <f>IF($B$11&gt;0.03,0.03,"")</f>
        <v>0.03</v>
      </c>
      <c r="H45" s="32">
        <f>IF(G45="","",0.07-G45)</f>
        <v>0.04000000000000001</v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  <v>60483.295890333335</v>
      </c>
      <c r="G46" s="28">
        <f>IF($C$33&gt;0.03,$C$33,"")</f>
        <v>0.04</v>
      </c>
      <c r="H46" s="32">
        <f>IF(G46="","",0.07-G46)</f>
        <v>0.030000000000000006</v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  <v>60763.423116666665</v>
      </c>
      <c r="C48" s="28">
        <f>IF($B$11&lt;0.04,"",$B$11)</f>
        <v>0.04</v>
      </c>
      <c r="D48" s="32">
        <f>IF(C48="","",C48)</f>
        <v>0.04</v>
      </c>
      <c r="E48" s="68"/>
      <c r="F48" s="78">
        <f>IF(G48="","",$B$37)</f>
        <v>60763.423116666665</v>
      </c>
      <c r="G48" s="28">
        <f>IF($B$11&lt;0.03,"",$B$11)</f>
        <v>0.04</v>
      </c>
      <c r="H48" s="32">
        <f>IF(G48="","",0.07-G48)</f>
        <v>0.030000000000000006</v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  <v>60803.423116666665</v>
      </c>
      <c r="G49" s="28">
        <f>IF(G48=0.03,"",IF(G48="","",0.03))</f>
        <v>0.03</v>
      </c>
      <c r="H49" s="32">
        <f>IF(G49="","",0.07-G49)</f>
        <v>0.04000000000000001</v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>
        <f>IF(B55="","",IF($D$25="no",IF(OR(AND($D$25="no",B55&lt;$B$32),AND($D$25="no",B55&gt;$B$38)),"ERROR: OUT OF RANGE",""),IF(OR(B55&lt;$B$30,B55&gt;$B$40),"ERROR: OUT OF RANGE","")))</f>
      </c>
      <c r="B55" s="93">
        <v>60451</v>
      </c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0.03192602741666633</v>
      </c>
      <c r="D55" s="91">
        <f>IF(C55="","",C55/$B$11)</f>
        <v>0.7981506854166582</v>
      </c>
      <c r="E55" s="28">
        <f>IF(C55="","",IF(C55&lt;=0.04,0.04,C55))</f>
        <v>0.04</v>
      </c>
      <c r="F55" s="28">
        <f>IF(C55="","",IF(C55&lt;=0.03,0.04,0.07-C55))</f>
        <v>0.03807397258333368</v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5">
      <selection activeCell="B24" sqref="B24"/>
    </sheetView>
  </sheetViews>
  <sheetFormatPr defaultColWidth="9.140625" defaultRowHeight="12.75"/>
  <cols>
    <col min="1" max="1" width="19.8515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1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5729.578</v>
      </c>
      <c r="C7" s="2" t="s">
        <v>13</v>
      </c>
      <c r="D7" s="2" t="s">
        <v>14</v>
      </c>
      <c r="I7" s="2">
        <f>LOOKUP(B6,$K$40:$K$56)</f>
        <v>1</v>
      </c>
      <c r="J7" s="28">
        <f>VLOOKUP(I7,$K$40:$Q$56,IF($B$5=50,3,IF($B$5=55,4,IF($B$5=60,5,IF($B$5=65,6,IF($B$5=70,7,8))))),TRUE)</f>
        <v>0.02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20</v>
      </c>
      <c r="C8" s="2" t="s">
        <v>13</v>
      </c>
      <c r="I8" s="2">
        <f>IF(I7&gt;0.99,I7+0.5,I7+0.25)</f>
        <v>1.5</v>
      </c>
      <c r="J8" s="28">
        <f>VLOOKUP(I8,$K$40:$Q$56,IF($B$5=50,3,IF($B$5=55,4,IF($B$5=60,5,IF($B$5=65,6,IF($B$5=70,7,8))))),TRUE)</f>
        <v>0.028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0.02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1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0.02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80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62.39999999999999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60816.75645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61134.94219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60699.423116666665</v>
      </c>
      <c r="C30" s="96">
        <v>-0.016</v>
      </c>
      <c r="D30" s="68"/>
      <c r="E30" s="117" t="s">
        <v>71</v>
      </c>
      <c r="F30" s="117"/>
      <c r="G30" s="90">
        <f>B37-B33</f>
        <v>264.8524066666723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60763.423116666665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0.01333333333333394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60827.423116666665</v>
      </c>
      <c r="C32" s="96">
        <v>0.016</v>
      </c>
      <c r="D32" s="68"/>
      <c r="E32" s="122" t="s">
        <v>78</v>
      </c>
      <c r="F32" s="122"/>
      <c r="G32" s="95">
        <f>G31/$B$11</f>
        <v>0.6666666666666969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60843.423116666665</v>
      </c>
      <c r="C33" s="96">
        <f>$B$11</f>
        <v>0.02</v>
      </c>
      <c r="D33" s="68"/>
      <c r="E33" s="117" t="s">
        <v>72</v>
      </c>
      <c r="F33" s="117"/>
      <c r="G33" s="28">
        <f>IF($D$25="yes",$C$37-($B23-$B$37)*$G$37,$C$37-($B23-$B$37)/CEILING($B$16,5)*$B$11)</f>
        <v>0.01333333333333394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0.6666666666666969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80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64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61108.27552333334</v>
      </c>
      <c r="C37" s="96">
        <f>$B$11</f>
        <v>0.02</v>
      </c>
      <c r="D37" s="68"/>
      <c r="E37" s="117" t="s">
        <v>81</v>
      </c>
      <c r="F37" s="117"/>
      <c r="G37" s="97">
        <f>B11/G35</f>
        <v>0.00025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61124.27552333334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61188.27552333334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61252.27552333334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</c>
      <c r="G45" s="28">
        <f>IF($B$11&gt;0.03,0.03,"")</f>
      </c>
      <c r="H45" s="32">
        <f>IF(G45="","",0.07-G45)</f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</c>
      <c r="G46" s="28">
        <f>IF($C$33&gt;0.03,$C$33,"")</f>
      </c>
      <c r="H46" s="32">
        <f>IF(G46="","",0.07-G46)</f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</c>
      <c r="G48" s="28">
        <f>IF($B$11&lt;0.03,"",$B$11)</f>
      </c>
      <c r="H48" s="32">
        <f>IF(G48="","",0.07-G48)</f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</c>
      <c r="G49" s="28">
        <f>IF(G48=0.03,"",IF(G48="","",0.03))</f>
      </c>
      <c r="H49" s="32">
        <f>IF(G49="","",0.07-G49)</f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 t="str">
        <f>IF(B55="","",IF($D$25="no",IF(OR(AND($D$25="no",B55&lt;$B$32),AND($D$25="no",B55&gt;$B$38)),"ERROR: OUT OF RANGE",""),IF(OR(B55&lt;$B$30,B55&gt;$B$40),"ERROR: OUT OF RANGE","")))</f>
        <v>ERROR: OUT OF RANGE</v>
      </c>
      <c r="B55" s="93">
        <v>60451</v>
      </c>
      <c r="C55" s="80" t="str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ERROR</v>
      </c>
      <c r="D55" s="91" t="e">
        <f>IF(C55="","",C55/$B$11)</f>
        <v>#VALUE!</v>
      </c>
      <c r="E55" s="28" t="str">
        <f>IF(C55="","",IF(C55&lt;=0.04,0.04,C55))</f>
        <v>ERROR</v>
      </c>
      <c r="F55" s="28" t="e">
        <f>IF(C55="","",IF(C55&lt;=0.03,0.04,0.07-C55))</f>
        <v>#VALUE!</v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140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25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37</v>
      </c>
      <c r="C6" s="2"/>
      <c r="D6" s="2" t="s">
        <v>10</v>
      </c>
      <c r="E6" s="2"/>
      <c r="F6" s="2"/>
      <c r="G6" s="2"/>
      <c r="H6" s="2"/>
      <c r="I6" s="14">
        <f>COUNTIF($K$39:$K$82,B6)</f>
        <v>0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154.85345813513513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36</v>
      </c>
      <c r="J7" s="17">
        <f>VLOOKUP(I7,$K$38:$Q$81,IF($B$5=25,3,IF($B$5=30,4,IF($B$5=35,5,IF($B$5=40,6,IF($B$5=45,7,8))))),TRUE)</f>
        <v>0.06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38</v>
      </c>
      <c r="J8" s="17">
        <f>VLOOKUP(I8,$K$38:$Q$81,IF($B$5=25,3,IF($B$5=30,4,IF($B$5=35,5,IF($B$5=40,6,IF($B$5=45,7,8))))),TRUE)</f>
        <v>0.06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0.06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38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0.06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0.7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143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205.92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53.5392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70000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70200.258944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/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69804</v>
      </c>
      <c r="C30" s="96">
        <v>-0.016</v>
      </c>
      <c r="D30" s="68"/>
      <c r="E30" s="117" t="s">
        <v>71</v>
      </c>
      <c r="F30" s="117"/>
      <c r="G30" s="90">
        <f>B37-B33</f>
        <v>60.258944000001065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69860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0.04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69916</v>
      </c>
      <c r="C32" s="96">
        <v>0.016</v>
      </c>
      <c r="D32" s="68"/>
      <c r="E32" s="122" t="s">
        <v>78</v>
      </c>
      <c r="F32" s="122"/>
      <c r="G32" s="95">
        <f>G31/$B$11</f>
        <v>0.6666666666666667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70070</v>
      </c>
      <c r="C33" s="96">
        <f>$B$11</f>
        <v>0.06</v>
      </c>
      <c r="D33" s="68"/>
      <c r="E33" s="117" t="s">
        <v>72</v>
      </c>
      <c r="F33" s="117"/>
      <c r="G33" s="28">
        <f>IF($D$25="yes",$C$37-($B23-$B$37)*$G$37,$C$37-($B23-$B$37)/CEILING($B$16,5)*$B$11)</f>
        <v>0.04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0.6666666666666667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210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56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70130.258944</v>
      </c>
      <c r="C37" s="96">
        <f>$B$11</f>
        <v>0.06</v>
      </c>
      <c r="D37" s="68"/>
      <c r="E37" s="117" t="s">
        <v>81</v>
      </c>
      <c r="F37" s="117"/>
      <c r="G37" s="97">
        <f>B11/G35</f>
        <v>0.0002857142857142857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70284.258944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70340.258944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70396.258944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70000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69965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70070</v>
      </c>
      <c r="C46" s="28">
        <f>IF($C$33&gt;0.04,$C$33,"")</f>
        <v>0.06</v>
      </c>
      <c r="D46" s="32">
        <f>IF(C46="","",C46)</f>
        <v>0.06</v>
      </c>
      <c r="E46" s="68"/>
      <c r="F46" s="78">
        <f>IF(G46="","",$B$33)</f>
        <v>70070</v>
      </c>
      <c r="G46" s="28">
        <f>IF($C$33&gt;0.03,$C$33,"")</f>
        <v>0.06</v>
      </c>
      <c r="H46" s="32">
        <f>IF(G46="","",0.07-G46)</f>
        <v>0.010000000000000009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70130.258944</v>
      </c>
      <c r="C48" s="28">
        <f>IF($B$11&lt;0.04,"",$B$11)</f>
        <v>0.06</v>
      </c>
      <c r="D48" s="32">
        <f>IF(C48="","",C48)</f>
        <v>0.06</v>
      </c>
      <c r="E48" s="68"/>
      <c r="F48" s="78">
        <f>IF(G48="","",$B$37)</f>
        <v>70130.258944</v>
      </c>
      <c r="G48" s="28">
        <f>IF($B$11&lt;0.03,"",$B$11)</f>
        <v>0.06</v>
      </c>
      <c r="H48" s="32">
        <f>IF(G48="","",0.07-G48)</f>
        <v>0.010000000000000009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70200.258944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70235.258944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0:F30"/>
    <mergeCell ref="C43:C44"/>
    <mergeCell ref="D43:D44"/>
    <mergeCell ref="E31:F31"/>
    <mergeCell ref="E32:F32"/>
    <mergeCell ref="E33:F33"/>
    <mergeCell ref="E34:F34"/>
    <mergeCell ref="E35:F35"/>
    <mergeCell ref="E36:F36"/>
    <mergeCell ref="G43:G44"/>
    <mergeCell ref="H43:H44"/>
    <mergeCell ref="D53:D54"/>
    <mergeCell ref="E53:E54"/>
    <mergeCell ref="F53:F54"/>
    <mergeCell ref="M35:Q35"/>
    <mergeCell ref="E37:F37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1.00390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2.5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2291.8312</v>
      </c>
      <c r="C7" s="2" t="s">
        <v>13</v>
      </c>
      <c r="D7" s="2" t="s">
        <v>14</v>
      </c>
      <c r="I7" s="2">
        <f>LOOKUP(B6,$K$40:$K$56)</f>
        <v>2.5</v>
      </c>
      <c r="J7" s="28">
        <f>VLOOKUP(I7,$K$40:$Q$56,IF($B$5=50,3,IF($B$5=55,4,IF($B$5=60,5,IF($B$5=65,6,IF($B$5=70,7,8))))),TRUE)</f>
        <v>0.04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12</v>
      </c>
      <c r="C8" s="2" t="s">
        <v>13</v>
      </c>
      <c r="I8" s="2">
        <f>IF(I7&gt;0.99,I7+0.5,I7+0.25)</f>
        <v>3</v>
      </c>
      <c r="J8" s="28">
        <f>VLOOKUP(I8,$K$40:$Q$56,IF($B$5=50,3,IF($B$5=55,4,IF($B$5=60,5,IF($B$5=65,6,IF($B$5=70,7,8))))),TRUE)</f>
        <v>0.045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0.04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2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0.04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192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74.88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70733.862935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71345.091526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70525.862935</v>
      </c>
      <c r="C30" s="96">
        <v>-0.016</v>
      </c>
      <c r="D30" s="68"/>
      <c r="E30" s="117" t="s">
        <v>71</v>
      </c>
      <c r="F30" s="117"/>
      <c r="G30" s="90">
        <f>B37-B33</f>
        <v>481.2285910000064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70603.862935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0.026666666666666665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70681.862935</v>
      </c>
      <c r="C32" s="96">
        <v>0.016</v>
      </c>
      <c r="D32" s="68"/>
      <c r="E32" s="122" t="s">
        <v>78</v>
      </c>
      <c r="F32" s="122"/>
      <c r="G32" s="95">
        <f>G31/$B$11</f>
        <v>0.6666666666666666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70798.862935</v>
      </c>
      <c r="C33" s="96">
        <f>$B$11</f>
        <v>0.04</v>
      </c>
      <c r="D33" s="68"/>
      <c r="E33" s="117" t="s">
        <v>72</v>
      </c>
      <c r="F33" s="117"/>
      <c r="G33" s="28">
        <f>IF($D$25="yes",$C$37-($B23-$B$37)*$G$37,$C$37-($B23-$B$37)/CEILING($B$16,5)*$B$11)</f>
        <v>0.026666666666666665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0.6666666666666666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195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78.00000000000001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71280.091526</v>
      </c>
      <c r="C37" s="96">
        <f>$B$11</f>
        <v>0.04</v>
      </c>
      <c r="D37" s="68"/>
      <c r="E37" s="117" t="s">
        <v>81</v>
      </c>
      <c r="F37" s="117"/>
      <c r="G37" s="97">
        <f>B11/G35</f>
        <v>0.00020512820512820514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71397.091526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71475.091526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71553.091526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  <v>70798.862935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70750.112935</v>
      </c>
      <c r="G45" s="28">
        <f>IF($B$11&gt;0.03,0.03,"")</f>
        <v>0.03</v>
      </c>
      <c r="H45" s="32">
        <f>IF(G45="","",0.07-G45)</f>
        <v>0.04000000000000001</v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  <v>70798.862935</v>
      </c>
      <c r="G46" s="28">
        <f>IF($C$33&gt;0.03,$C$33,"")</f>
        <v>0.04</v>
      </c>
      <c r="H46" s="32">
        <f>IF(G46="","",0.07-G46)</f>
        <v>0.030000000000000006</v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  <v>71280.091526</v>
      </c>
      <c r="C48" s="28">
        <f>IF($B$11&lt;0.04,"",$B$11)</f>
        <v>0.04</v>
      </c>
      <c r="D48" s="32">
        <f>IF(C48="","",C48)</f>
        <v>0.04</v>
      </c>
      <c r="E48" s="68"/>
      <c r="F48" s="78">
        <f>IF(G48="","",$B$37)</f>
        <v>71280.091526</v>
      </c>
      <c r="G48" s="28">
        <f>IF($B$11&lt;0.03,"",$B$11)</f>
        <v>0.04</v>
      </c>
      <c r="H48" s="32">
        <f>IF(G48="","",0.07-G48)</f>
        <v>0.030000000000000006</v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  <v>71328.841526</v>
      </c>
      <c r="G49" s="28">
        <f>IF(G48=0.03,"",IF(G48="","",0.03))</f>
        <v>0.03</v>
      </c>
      <c r="H49" s="32">
        <f>IF(G49="","",0.07-G49)</f>
        <v>0.04000000000000001</v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 t="str">
        <f>IF(B55="","",IF($D$25="no",IF(OR(AND($D$25="no",B55&lt;$B$32),AND($D$25="no",B55&gt;$B$38)),"ERROR: OUT OF RANGE",""),IF(OR(B55&lt;$B$30,B55&gt;$B$40),"ERROR: OUT OF RANGE","")))</f>
        <v>ERROR: OUT OF RANGE</v>
      </c>
      <c r="B55" s="93">
        <v>60451</v>
      </c>
      <c r="C55" s="80" t="str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ERROR</v>
      </c>
      <c r="D55" s="91" t="e">
        <f>IF(C55="","",C55/$B$11)</f>
        <v>#VALUE!</v>
      </c>
      <c r="E55" s="28" t="str">
        <f>IF(C55="","",IF(C55&lt;=0.04,0.04,C55))</f>
        <v>ERROR</v>
      </c>
      <c r="F55" s="28" t="e">
        <f>IF(C55="","",IF(C55&lt;=0.03,0.04,0.07-C55))</f>
        <v>#VALUE!</v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0.710937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0.75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7639.437333333334</v>
      </c>
      <c r="C7" s="2" t="s">
        <v>13</v>
      </c>
      <c r="D7" s="2" t="s">
        <v>14</v>
      </c>
      <c r="I7" s="2">
        <f>LOOKUP(B6,$K$40:$K$56)</f>
        <v>0.75</v>
      </c>
      <c r="J7" s="28">
        <f>VLOOKUP(I7,$K$40:$Q$56,IF($B$5=50,3,IF($B$5=55,4,IF($B$5=60,5,IF($B$5=65,6,IF($B$5=70,7,8))))),TRUE)</f>
        <v>0.016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16</v>
      </c>
      <c r="C8" s="2" t="s">
        <v>13</v>
      </c>
      <c r="I8" s="2">
        <f>IF(I7&gt;0.99,I7+0.5,I7+0.25)</f>
        <v>1</v>
      </c>
      <c r="J8" s="28">
        <f>VLOOKUP(I8,$K$40:$Q$56,IF($B$5=50,3,IF($B$5=55,4,IF($B$5=60,5,IF($B$5=65,6,IF($B$5=70,7,8))))),TRUE)</f>
        <v>0.02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0.016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1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0.016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51.2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49.92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71345.091526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71680.970086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71253.42485933333</v>
      </c>
      <c r="C30" s="96">
        <v>-0.016</v>
      </c>
      <c r="D30" s="68"/>
      <c r="E30" s="117" t="s">
        <v>71</v>
      </c>
      <c r="F30" s="117"/>
      <c r="G30" s="90">
        <f>B37-B33</f>
        <v>299.2118933333404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71308.42485933333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0.01066666666666808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71363.42485933333</v>
      </c>
      <c r="C32" s="96">
        <v>0.016</v>
      </c>
      <c r="D32" s="68"/>
      <c r="E32" s="122" t="s">
        <v>78</v>
      </c>
      <c r="F32" s="122"/>
      <c r="G32" s="95">
        <f>G31/$B$11</f>
        <v>0.666666666666755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71363.42485933333</v>
      </c>
      <c r="C33" s="96">
        <f>$B$11</f>
        <v>0.016</v>
      </c>
      <c r="D33" s="68"/>
      <c r="E33" s="117" t="s">
        <v>72</v>
      </c>
      <c r="F33" s="117"/>
      <c r="G33" s="28">
        <f>IF($D$25="yes",$C$37-($B23-$B$37)*$G$37,$C$37-($B23-$B$37)/CEILING($B$16,5)*$B$11)</f>
        <v>0.010666666666668078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0.6666666666667549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55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55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71662.63675266667</v>
      </c>
      <c r="C37" s="96">
        <f>$B$11</f>
        <v>0.016</v>
      </c>
      <c r="D37" s="68"/>
      <c r="E37" s="117" t="s">
        <v>81</v>
      </c>
      <c r="F37" s="117"/>
      <c r="G37" s="97">
        <f>B11/G35</f>
        <v>0.0002909090909090909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71662.63675266667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71717.63675266667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71772.63675266667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</c>
      <c r="G45" s="28">
        <f>IF($B$11&gt;0.03,0.03,"")</f>
      </c>
      <c r="H45" s="32">
        <f>IF(G45="","",0.07-G45)</f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</c>
      <c r="G46" s="28">
        <f>IF($C$33&gt;0.03,$C$33,"")</f>
      </c>
      <c r="H46" s="32">
        <f>IF(G46="","",0.07-G46)</f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</c>
      <c r="G48" s="28">
        <f>IF($B$11&lt;0.03,"",$B$11)</f>
      </c>
      <c r="H48" s="32">
        <f>IF(G48="","",0.07-G48)</f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</c>
      <c r="G49" s="28">
        <f>IF(G48=0.03,"",IF(G48="","",0.03))</f>
      </c>
      <c r="H49" s="32">
        <f>IF(G49="","",0.07-G49)</f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 t="str">
        <f>IF(B55="","",IF($D$25="no",IF(OR(AND($D$25="no",B55&lt;$B$32),AND($D$25="no",B55&gt;$B$38)),"ERROR: OUT OF RANGE",""),IF(OR(B55&lt;$B$30,B55&gt;$B$40),"ERROR: OUT OF RANGE","")))</f>
        <v>ERROR: OUT OF RANGE</v>
      </c>
      <c r="B55" s="93">
        <v>60451</v>
      </c>
      <c r="C55" s="80" t="str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ERROR</v>
      </c>
      <c r="D55" s="91" t="e">
        <f>IF(C55="","",C55/$B$11)</f>
        <v>#VALUE!</v>
      </c>
      <c r="E55" s="28" t="str">
        <f>IF(C55="","",IF(C55&lt;=0.04,0.04,C55))</f>
        <v>ERROR</v>
      </c>
      <c r="F55" s="28" t="e">
        <f>IF(C55="","",IF(C55&lt;=0.03,0.04,0.07-C55))</f>
        <v>#VALUE!</v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19.8515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45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8.5</v>
      </c>
      <c r="C6" s="2"/>
      <c r="D6" s="2" t="s">
        <v>10</v>
      </c>
      <c r="E6" s="2"/>
      <c r="F6" s="2"/>
      <c r="G6" s="2"/>
      <c r="H6" s="2"/>
      <c r="I6" s="14">
        <f>COUNTIF($K$39:$K$82,B6)</f>
        <v>1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674.0679942352941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8.5</v>
      </c>
      <c r="J7" s="17">
        <f>VLOOKUP(I7,$K$38:$Q$81,IF($B$5=25,3,IF($B$5=30,4,IF($B$5=35,5,IF($B$5=40,6,IF($B$5=45,7,8))))),TRUE)</f>
        <v>0.06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9</v>
      </c>
      <c r="J8" s="17">
        <f>VLOOKUP(I8,$K$38:$Q$81,IF($B$5=25,3,IF($B$5=30,4,IF($B$5=35,5,IF($B$5=40,6,IF($B$5=45,7,8))))),TRUE)</f>
        <v>0.06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0.06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10.5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0.06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0.54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185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266.4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69.264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41450.396133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42504.471743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66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</c>
      <c r="C30" s="96">
        <v>-0.016</v>
      </c>
      <c r="D30" s="68"/>
      <c r="E30" s="117" t="s">
        <v>71</v>
      </c>
      <c r="F30" s="117"/>
      <c r="G30" s="90">
        <f>B37-B33</f>
        <v>874.0756099999999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0.04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41342.396133</v>
      </c>
      <c r="C32" s="96">
        <v>0.016</v>
      </c>
      <c r="D32" s="68"/>
      <c r="E32" s="122" t="s">
        <v>78</v>
      </c>
      <c r="F32" s="122"/>
      <c r="G32" s="95">
        <f>G31/$B$11</f>
        <v>0.6666666666666667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41540.396133</v>
      </c>
      <c r="C33" s="96">
        <f>$B$11</f>
        <v>0.06</v>
      </c>
      <c r="D33" s="68"/>
      <c r="E33" s="117" t="s">
        <v>72</v>
      </c>
      <c r="F33" s="117"/>
      <c r="G33" s="28">
        <f>IF($D$25="yes",$C$37-($B23-$B$37)*$G$37,$C$37-($B23-$B$37)/CEILING($B$16,5)*$B$11)</f>
        <v>0.04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0.6666666666666667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270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72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42414.471743</v>
      </c>
      <c r="C37" s="96">
        <f>$B$11</f>
        <v>0.06</v>
      </c>
      <c r="D37" s="68"/>
      <c r="E37" s="117" t="s">
        <v>81</v>
      </c>
      <c r="F37" s="117"/>
      <c r="G37" s="97">
        <f>B11/G35</f>
        <v>0.0002222222222222222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42612.471743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41450.396133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41405.396133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41540.396133</v>
      </c>
      <c r="C46" s="28">
        <f>IF($C$33&gt;0.04,$C$33,"")</f>
        <v>0.06</v>
      </c>
      <c r="D46" s="32">
        <f>IF(C46="","",C46)</f>
        <v>0.06</v>
      </c>
      <c r="E46" s="68"/>
      <c r="F46" s="78">
        <f>IF(G46="","",$B$33)</f>
        <v>41540.396133</v>
      </c>
      <c r="G46" s="28">
        <f>IF($C$33&gt;0.03,$C$33,"")</f>
        <v>0.06</v>
      </c>
      <c r="H46" s="32">
        <f>IF(G46="","",0.07-G46)</f>
        <v>0.010000000000000009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42414.471743</v>
      </c>
      <c r="C48" s="28">
        <f>IF($B$11&lt;0.04,"",$B$11)</f>
        <v>0.06</v>
      </c>
      <c r="D48" s="32">
        <f>IF(C48="","",C48)</f>
        <v>0.06</v>
      </c>
      <c r="E48" s="68"/>
      <c r="F48" s="78">
        <f>IF(G48="","",$B$37)</f>
        <v>42414.471743</v>
      </c>
      <c r="G48" s="28">
        <f>IF($B$11&lt;0.03,"",$B$11)</f>
        <v>0.06</v>
      </c>
      <c r="H48" s="32">
        <f>IF(G48="","",0.07-G48)</f>
        <v>0.010000000000000009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42504.471743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42549.471743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45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4.5</v>
      </c>
      <c r="C6" s="2"/>
      <c r="D6" s="2" t="s">
        <v>10</v>
      </c>
      <c r="E6" s="2"/>
      <c r="F6" s="2"/>
      <c r="G6" s="2"/>
      <c r="H6" s="2"/>
      <c r="I6" s="14">
        <f>COUNTIF($K$39:$K$82,B6)</f>
        <v>1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1273.2395446666667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4.5</v>
      </c>
      <c r="J7" s="17">
        <f>VLOOKUP(I7,$K$38:$Q$81,IF($B$5=25,3,IF($B$5=30,4,IF($B$5=35,5,IF($B$5=40,6,IF($B$5=45,7,8))))),TRUE)</f>
        <v>0.049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5</v>
      </c>
      <c r="J8" s="17">
        <f>VLOOKUP(I8,$K$38:$Q$81,IF($B$5=25,3,IF($B$5=30,4,IF($B$5=35,5,IF($B$5=40,6,IF($B$5=45,7,8))))),TRUE)</f>
        <v>0.051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0.049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6.5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0.049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0.54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185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217.56000000000003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69.26400000000001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42504.471743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43554.471743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66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</c>
      <c r="C30" s="96">
        <v>-0.016</v>
      </c>
      <c r="D30" s="68"/>
      <c r="E30" s="117" t="s">
        <v>71</v>
      </c>
      <c r="F30" s="117"/>
      <c r="G30" s="90">
        <f>B37-B33</f>
        <v>903.3333333333285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0.032666666666666525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42429.64181102721</v>
      </c>
      <c r="C32" s="96">
        <v>0.016</v>
      </c>
      <c r="D32" s="68"/>
      <c r="E32" s="122" t="s">
        <v>78</v>
      </c>
      <c r="F32" s="122"/>
      <c r="G32" s="95">
        <f>G31/$B$11</f>
        <v>0.6666666666666637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42577.80507633334</v>
      </c>
      <c r="C33" s="96">
        <f>$B$11</f>
        <v>0.049</v>
      </c>
      <c r="D33" s="68"/>
      <c r="E33" s="117" t="s">
        <v>72</v>
      </c>
      <c r="F33" s="117"/>
      <c r="G33" s="28">
        <f>IF($D$25="yes",$C$37-($B23-$B$37)*$G$37,$C$37-($B23-$B$37)/CEILING($B$16,5)*$B$11)</f>
        <v>0.03266666666666613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0.6666666666666556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220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71.83673469387753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43481.138409666666</v>
      </c>
      <c r="C37" s="96">
        <f>$B$11</f>
        <v>0.049</v>
      </c>
      <c r="D37" s="68"/>
      <c r="E37" s="117" t="s">
        <v>81</v>
      </c>
      <c r="F37" s="117"/>
      <c r="G37" s="97">
        <f>B11/G35</f>
        <v>0.00022272727272727274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43629.30167497279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42537.396913068034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42492.49895388436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42577.80507633334</v>
      </c>
      <c r="C46" s="28">
        <f>IF($C$33&gt;0.04,$C$33,"")</f>
        <v>0.049</v>
      </c>
      <c r="D46" s="32">
        <f>IF(C46="","",C46)</f>
        <v>0.049</v>
      </c>
      <c r="E46" s="68"/>
      <c r="F46" s="78">
        <f>IF(G46="","",$B$33)</f>
        <v>42577.80507633334</v>
      </c>
      <c r="G46" s="28">
        <f>IF($C$33&gt;0.03,$C$33,"")</f>
        <v>0.049</v>
      </c>
      <c r="H46" s="32">
        <f>IF(G46="","",0.07-G46)</f>
        <v>0.021000000000000005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43481.138409666666</v>
      </c>
      <c r="C48" s="28">
        <f>IF($B$11&lt;0.04,"",$B$11)</f>
        <v>0.049</v>
      </c>
      <c r="D48" s="32">
        <f>IF(C48="","",C48)</f>
        <v>0.049</v>
      </c>
      <c r="E48" s="68"/>
      <c r="F48" s="78">
        <f>IF(G48="","",$B$37)</f>
        <v>43481.138409666666</v>
      </c>
      <c r="G48" s="28">
        <f>IF($B$11&lt;0.03,"",$B$11)</f>
        <v>0.049</v>
      </c>
      <c r="H48" s="32">
        <f>IF(G48="","",0.07-G48)</f>
        <v>0.021000000000000005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43521.54657293197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43566.444532115645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0:F30"/>
    <mergeCell ref="C43:C44"/>
    <mergeCell ref="D43:D44"/>
    <mergeCell ref="E31:F31"/>
    <mergeCell ref="E32:F32"/>
    <mergeCell ref="E33:F33"/>
    <mergeCell ref="E34:F34"/>
    <mergeCell ref="E35:F35"/>
    <mergeCell ref="E36:F36"/>
    <mergeCell ref="G43:G44"/>
    <mergeCell ref="H43:H44"/>
    <mergeCell ref="D53:D54"/>
    <mergeCell ref="E53:E54"/>
    <mergeCell ref="F53:F54"/>
    <mergeCell ref="M35:Q35"/>
    <mergeCell ref="E37:F37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140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45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f>8+59/60+40.267996/3600</f>
        <v>8.994518887777778</v>
      </c>
      <c r="C6" s="2"/>
      <c r="D6" s="2" t="s">
        <v>10</v>
      </c>
      <c r="E6" s="2"/>
      <c r="F6" s="2"/>
      <c r="G6" s="2"/>
      <c r="H6" s="2"/>
      <c r="I6" s="14">
        <f>COUNTIF($K$39:$K$82,B6)</f>
        <v>0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637.0077179765168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8.5</v>
      </c>
      <c r="J7" s="17">
        <f>VLOOKUP(I7,$K$38:$Q$81,IF($B$5=25,3,IF($B$5=30,4,IF($B$5=35,5,IF($B$5=40,6,IF($B$5=45,7,8))))),TRUE)</f>
        <v>0.06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9</v>
      </c>
      <c r="J8" s="17">
        <f>VLOOKUP(I8,$K$38:$Q$81,IF($B$5=25,3,IF($B$5=30,4,IF($B$5=35,5,IF($B$5=40,6,IF($B$5=45,7,8))))),TRUE)</f>
        <v>0.06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0.06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10.5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0.06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0.54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185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266.4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69.264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51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ERROR: SPREADSHEET NOT VALID</v>
      </c>
      <c r="B22" s="69">
        <v>41291.2156</v>
      </c>
      <c r="C22" s="68"/>
      <c r="D22" s="68" t="s">
        <v>50</v>
      </c>
      <c r="E22" s="65" t="s">
        <v>66</v>
      </c>
      <c r="F22" s="68" t="s">
        <v>83</v>
      </c>
      <c r="G22" s="68"/>
      <c r="H22" s="70">
        <v>0.5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ERROR: SPREADSHEET NOT VALID</v>
      </c>
      <c r="B23" s="69">
        <v>41912.1494</v>
      </c>
      <c r="C23" s="68"/>
      <c r="D23" s="68" t="s">
        <v>50</v>
      </c>
      <c r="E23" s="65" t="s">
        <v>66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 t="str">
        <f>IF($C$20="yes","ERROR: SPREADSHEET NOT VALID; ERROR SPREADSHEET NOT VALID; ERROR: SPREADSHEET NOT VALID; ERROR: SPREADSHEET NOT VALID","")</f>
        <v>ERROR: SPREADSHEET NOT VALID; ERROR SPREADSHEET NOT VALID; ERROR: SPREADSHEET NOT VALID; ERROR: SPREADSHEET NOT VALID</v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66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 t="str">
        <f>IF($E$23="no","Is there a spiral for super transition at the end of this curve? (yes or no)","")</f>
        <v>Is there a spiral for super transition at the end of this curve? (yes or no)</v>
      </c>
      <c r="B26" s="71"/>
      <c r="C26" s="68"/>
      <c r="D26" s="65"/>
      <c r="E26" s="65" t="s">
        <v>66</v>
      </c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 t="str">
        <f>IF($C$20="yes","ERROR: SPREADSHEET NOT VALID; ERROR SPREADSHEET NOT VALID; ERROR: SPREADSHEET NOT VALID; ERROR: SPREADSHEET NOT VALID","")</f>
        <v>ERROR: SPREADSHEET NOT VALID; ERROR SPREADSHEET NOT VALID; ERROR: SPREADSHEET NOT VALID; ERROR: SPREADSHEET NOT VALID</v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</c>
      <c r="C30" s="96">
        <v>-0.016</v>
      </c>
      <c r="D30" s="68"/>
      <c r="E30" s="117" t="s">
        <v>71</v>
      </c>
      <c r="F30" s="117"/>
      <c r="G30" s="90">
        <f>B37-B33</f>
        <v>350.9337999999989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0.03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41228.2156</v>
      </c>
      <c r="C32" s="96">
        <v>0.016</v>
      </c>
      <c r="D32" s="68"/>
      <c r="E32" s="122" t="s">
        <v>78</v>
      </c>
      <c r="F32" s="122"/>
      <c r="G32" s="95">
        <f>G31/$B$11</f>
        <v>0.5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41426.2156</v>
      </c>
      <c r="C33" s="96">
        <f>$B$11</f>
        <v>0.06</v>
      </c>
      <c r="D33" s="68"/>
      <c r="E33" s="117" t="s">
        <v>72</v>
      </c>
      <c r="F33" s="117"/>
      <c r="G33" s="28">
        <f>IF($D$25="yes",$C$37-($B23-$B$37)*$G$37,$C$37-($B23-$B$37)/CEILING($B$16,5)*$B$11)</f>
        <v>0.03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0.5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270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72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41777.1494</v>
      </c>
      <c r="C37" s="96">
        <f>$B$11</f>
        <v>0.06</v>
      </c>
      <c r="D37" s="68"/>
      <c r="E37" s="117" t="s">
        <v>81</v>
      </c>
      <c r="F37" s="117"/>
      <c r="G37" s="97">
        <f>B11/G35</f>
        <v>0.0002222222222222222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41975.1494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41336.2156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41291.2156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41426.2156</v>
      </c>
      <c r="C46" s="28">
        <f>IF($C$33&gt;0.04,$C$33,"")</f>
        <v>0.06</v>
      </c>
      <c r="D46" s="32">
        <f>IF(C46="","",C46)</f>
        <v>0.06</v>
      </c>
      <c r="E46" s="68"/>
      <c r="F46" s="78">
        <f>IF(G46="","",$B$33)</f>
        <v>41426.2156</v>
      </c>
      <c r="G46" s="28">
        <f>IF($C$33&gt;0.03,$C$33,"")</f>
        <v>0.06</v>
      </c>
      <c r="H46" s="32">
        <f>IF(G46="","",0.07-G46)</f>
        <v>0.010000000000000009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41777.1494</v>
      </c>
      <c r="C48" s="28">
        <f>IF($B$11&lt;0.04,"",$B$11)</f>
        <v>0.06</v>
      </c>
      <c r="D48" s="32">
        <f>IF(C48="","",C48)</f>
        <v>0.06</v>
      </c>
      <c r="E48" s="68"/>
      <c r="F48" s="78">
        <f>IF(G48="","",$B$37)</f>
        <v>41777.1494</v>
      </c>
      <c r="G48" s="28">
        <f>IF($B$11&lt;0.03,"",$B$11)</f>
        <v>0.06</v>
      </c>
      <c r="H48" s="32">
        <f>IF(G48="","",0.07-G48)</f>
        <v>0.010000000000000009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41867.1494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41912.1494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 sheet="1" objects="1" scenarios="1"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25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39.5</v>
      </c>
      <c r="C6" s="2"/>
      <c r="D6" s="2" t="s">
        <v>10</v>
      </c>
      <c r="E6" s="2"/>
      <c r="F6" s="2"/>
      <c r="G6" s="2"/>
      <c r="H6" s="2"/>
      <c r="I6" s="14">
        <f>COUNTIF($K$39:$K$82,B6)</f>
        <v>1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145.0526063544304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39.5</v>
      </c>
      <c r="J7" s="17">
        <f>VLOOKUP(I7,$K$38:$Q$81,IF($B$5=25,3,IF($B$5=30,4,IF($B$5=35,5,IF($B$5=40,6,IF($B$5=45,7,8))))),TRUE)</f>
        <v>0.06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16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41</v>
      </c>
      <c r="J8" s="17">
        <f>VLOOKUP(I8,$K$38:$Q$81,IF($B$5=25,3,IF($B$5=30,4,IF($B$5=35,5,IF($B$5=40,6,IF($B$5=45,7,8))))),TRUE)</f>
        <v>0.06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0.06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1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41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0.06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0.7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143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137.28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35.6928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30090.903677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30269.349095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85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 t="s">
        <v>51</v>
      </c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29960.237010333334</v>
      </c>
      <c r="C30" s="96">
        <v>-0.016</v>
      </c>
      <c r="D30" s="68"/>
      <c r="E30" s="117" t="s">
        <v>71</v>
      </c>
      <c r="F30" s="117"/>
      <c r="G30" s="90">
        <f>B37-B33</f>
        <v>85.11208466666722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29997.570343666666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0.03999999999999896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30034.903677</v>
      </c>
      <c r="C32" s="96">
        <v>0.016</v>
      </c>
      <c r="D32" s="68"/>
      <c r="E32" s="122" t="s">
        <v>78</v>
      </c>
      <c r="F32" s="122"/>
      <c r="G32" s="95">
        <f>G31/$B$11</f>
        <v>0.6666666666666493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30137.570343666666</v>
      </c>
      <c r="C33" s="96">
        <f>$B$11</f>
        <v>0.06</v>
      </c>
      <c r="D33" s="68"/>
      <c r="E33" s="117" t="s">
        <v>72</v>
      </c>
      <c r="F33" s="117"/>
      <c r="G33" s="28">
        <f>IF($D$25="yes",$C$37-($B23-$B$37)*$G$37,$C$37-($B23-$B$37)/CEILING($B$16,5)*$B$11)</f>
        <v>0.03999999999999948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0.6666666666666581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140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37.33333333333334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30222.682428333334</v>
      </c>
      <c r="C37" s="96">
        <f>$B$11</f>
        <v>0.06</v>
      </c>
      <c r="D37" s="68"/>
      <c r="E37" s="117" t="s">
        <v>81</v>
      </c>
      <c r="F37" s="117"/>
      <c r="G37" s="97">
        <f>B11/G35</f>
        <v>0.00042857142857142855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30325.349095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30362.682428333334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30400.015761666666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30090.903677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30067.570343666666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30137.570343666666</v>
      </c>
      <c r="C46" s="28">
        <f>IF($C$33&gt;0.04,$C$33,"")</f>
        <v>0.06</v>
      </c>
      <c r="D46" s="32">
        <f>IF(C46="","",C46)</f>
        <v>0.06</v>
      </c>
      <c r="E46" s="68"/>
      <c r="F46" s="78">
        <f>IF(G46="","",$B$33)</f>
        <v>30137.570343666666</v>
      </c>
      <c r="G46" s="28">
        <f>IF($C$33&gt;0.03,$C$33,"")</f>
        <v>0.06</v>
      </c>
      <c r="H46" s="32">
        <f>IF(G46="","",0.07-G46)</f>
        <v>0.010000000000000009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30222.682428333334</v>
      </c>
      <c r="C48" s="28">
        <f>IF($B$11&lt;0.04,"",$B$11)</f>
        <v>0.06</v>
      </c>
      <c r="D48" s="32">
        <f>IF(C48="","",C48)</f>
        <v>0.06</v>
      </c>
      <c r="E48" s="68"/>
      <c r="F48" s="78">
        <f>IF(G48="","",$B$37)</f>
        <v>30222.682428333334</v>
      </c>
      <c r="G48" s="28">
        <f>IF($B$11&lt;0.03,"",$B$11)</f>
        <v>0.06</v>
      </c>
      <c r="H48" s="32">
        <f>IF(G48="","",0.07-G48)</f>
        <v>0.010000000000000009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30269.349095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30292.682428333334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>
        <v>30300</v>
      </c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  <v>0.026863897857142938</v>
      </c>
      <c r="D55" s="91">
        <f>IF(C55="","",C55/$B$11)</f>
        <v>0.44773163095238233</v>
      </c>
      <c r="E55" s="28">
        <f>IF(C55="","",IF(C55&lt;=0.04,0.04,C55))</f>
        <v>0.04</v>
      </c>
      <c r="F55" s="28">
        <f>IF(C55="","",IF(C55&lt;=0.03,0.04,0.07-C55))</f>
        <v>0.04</v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1.281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1.5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3819.718666666667</v>
      </c>
      <c r="C7" s="2" t="s">
        <v>13</v>
      </c>
      <c r="D7" s="2" t="s">
        <v>14</v>
      </c>
      <c r="I7" s="2">
        <f>LOOKUP(B6,$K$40:$K$56)</f>
        <v>1.5</v>
      </c>
      <c r="J7" s="28">
        <f>VLOOKUP(I7,$K$40:$Q$56,IF($B$5=50,3,IF($B$5=55,4,IF($B$5=60,5,IF($B$5=65,6,IF($B$5=70,7,8))))),TRUE)</f>
        <v>0.028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12</v>
      </c>
      <c r="C8" s="2" t="s">
        <v>13</v>
      </c>
      <c r="I8" s="2">
        <f>IF(I7&gt;0.99,I7+0.5,I7+0.25)</f>
        <v>2</v>
      </c>
      <c r="J8" s="28">
        <f>VLOOKUP(I8,$K$40:$Q$56,IF($B$5=50,3,IF($B$5=55,4,IF($B$5=60,5,IF($B$5=65,6,IF($B$5=70,7,8))))),TRUE)</f>
        <v>0.035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0.028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2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0.028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134.4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74.88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100000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100203.657186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99832.85714285714</v>
      </c>
      <c r="C30" s="96">
        <v>-0.016</v>
      </c>
      <c r="D30" s="68"/>
      <c r="E30" s="117" t="s">
        <v>71</v>
      </c>
      <c r="F30" s="117"/>
      <c r="G30" s="90">
        <f>B37-B33</f>
        <v>113.65718599999673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99910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0.018666666666666235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99987.14285714286</v>
      </c>
      <c r="C32" s="96">
        <v>0.016</v>
      </c>
      <c r="D32" s="68"/>
      <c r="E32" s="122" t="s">
        <v>78</v>
      </c>
      <c r="F32" s="122"/>
      <c r="G32" s="95">
        <f>G31/$B$11</f>
        <v>0.6666666666666512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100045</v>
      </c>
      <c r="C33" s="96">
        <f>$B$11</f>
        <v>0.028</v>
      </c>
      <c r="D33" s="68"/>
      <c r="E33" s="117" t="s">
        <v>72</v>
      </c>
      <c r="F33" s="117"/>
      <c r="G33" s="28">
        <f>IF($D$25="yes",$C$37-($B23-$B$37)*$G$37,$C$37-($B23-$B$37)/CEILING($B$16,5)*$B$11)</f>
        <v>0.018666666666666668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0.6666666666666667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135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77.14285714285714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100158.657186</v>
      </c>
      <c r="C37" s="96">
        <f>$B$11</f>
        <v>0.028</v>
      </c>
      <c r="D37" s="68"/>
      <c r="E37" s="117" t="s">
        <v>81</v>
      </c>
      <c r="F37" s="117"/>
      <c r="G37" s="97">
        <f>B11/G35</f>
        <v>0.0002074074074074074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100216.51432885714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100293.657186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100370.80004314285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</c>
      <c r="G45" s="28">
        <f>IF($B$11&gt;0.03,0.03,"")</f>
      </c>
      <c r="H45" s="32">
        <f>IF(G45="","",0.07-G45)</f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</c>
      <c r="G46" s="28">
        <f>IF($C$33&gt;0.03,$C$33,"")</f>
      </c>
      <c r="H46" s="32">
        <f>IF(G46="","",0.07-G46)</f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</c>
      <c r="G48" s="28">
        <f>IF($B$11&lt;0.03,"",$B$11)</f>
      </c>
      <c r="H48" s="32">
        <f>IF(G48="","",0.07-G48)</f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</c>
      <c r="G49" s="28">
        <f>IF(G48=0.03,"",IF(G48="","",0.03))</f>
      </c>
      <c r="H49" s="32">
        <f>IF(G49="","",0.07-G49)</f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20.5742187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v>2</v>
      </c>
      <c r="D6" s="2" t="s">
        <v>10</v>
      </c>
      <c r="I6" s="2">
        <f>COUNTIF($K$40:$K$56,B6)</f>
        <v>1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2864.789</v>
      </c>
      <c r="C7" s="2" t="s">
        <v>13</v>
      </c>
      <c r="D7" s="2" t="s">
        <v>14</v>
      </c>
      <c r="I7" s="2">
        <f>LOOKUP(B6,$K$40:$K$56)</f>
        <v>2</v>
      </c>
      <c r="J7" s="28">
        <f>VLOOKUP(I7,$K$40:$Q$56,IF($B$5=50,3,IF($B$5=55,4,IF($B$5=60,5,IF($B$5=65,6,IF($B$5=70,7,8))))),TRUE)</f>
        <v>0.035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12</v>
      </c>
      <c r="C8" s="2" t="s">
        <v>13</v>
      </c>
      <c r="I8" s="2">
        <f>IF(I7&gt;0.99,I7+0.5,I7+0.25)</f>
        <v>2.5</v>
      </c>
      <c r="J8" s="28">
        <f>VLOOKUP(I8,$K$40:$Q$56,IF($B$5=50,3,IF($B$5=55,4,IF($B$5=60,5,IF($B$5=65,6,IF($B$5=70,7,8))))),TRUE)</f>
        <v>0.04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0.035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2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0.035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168.00000000000003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74.88000000000001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100413.657185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100770.093538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100222.60956595239</v>
      </c>
      <c r="C30" s="96">
        <v>-0.016</v>
      </c>
      <c r="D30" s="68"/>
      <c r="E30" s="117" t="s">
        <v>71</v>
      </c>
      <c r="F30" s="117"/>
      <c r="G30" s="90">
        <f>B37-B33</f>
        <v>243.1030196666543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100300.32385166668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0.0233333333333332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100378.03813738097</v>
      </c>
      <c r="C32" s="96">
        <v>0.016</v>
      </c>
      <c r="D32" s="68"/>
      <c r="E32" s="122" t="s">
        <v>78</v>
      </c>
      <c r="F32" s="122"/>
      <c r="G32" s="95">
        <f>G31/$B$11</f>
        <v>0.6666666666666627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100470.32385166668</v>
      </c>
      <c r="C33" s="96">
        <f>$B$11</f>
        <v>0.035</v>
      </c>
      <c r="D33" s="68"/>
      <c r="E33" s="117" t="s">
        <v>72</v>
      </c>
      <c r="F33" s="117"/>
      <c r="G33" s="28">
        <f>IF($D$25="yes",$C$37-($B23-$B$37)*$G$37,$C$37-($B23-$B$37)/CEILING($B$16,5)*$B$11)</f>
        <v>0.02333333333333234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0.6666666666666382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170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77.71428571428571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100713.42687133333</v>
      </c>
      <c r="C37" s="96">
        <f>$B$11</f>
        <v>0.035</v>
      </c>
      <c r="D37" s="68"/>
      <c r="E37" s="117" t="s">
        <v>81</v>
      </c>
      <c r="F37" s="117"/>
      <c r="G37" s="97">
        <f>B11/G35</f>
        <v>0.00020588235294117648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100805.71258561904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100883.42687133333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100961.14115704762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  <v>100446.03813738097</v>
      </c>
      <c r="G45" s="28">
        <f>IF($B$11&gt;0.03,0.03,"")</f>
        <v>0.03</v>
      </c>
      <c r="H45" s="32">
        <f>IF(G45="","",0.07-G45)</f>
        <v>0.04000000000000001</v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  <v>100470.32385166668</v>
      </c>
      <c r="G46" s="28">
        <f>IF($C$33&gt;0.03,$C$33,"")</f>
        <v>0.035</v>
      </c>
      <c r="H46" s="32">
        <f>IF(G46="","",0.07-G46)</f>
        <v>0.035</v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  <v>100713.42687133333</v>
      </c>
      <c r="G48" s="28">
        <f>IF($B$11&lt;0.03,"",$B$11)</f>
        <v>0.035</v>
      </c>
      <c r="H48" s="32">
        <f>IF(G48="","",0.07-G48)</f>
        <v>0.035</v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  <v>100737.71258561904</v>
      </c>
      <c r="G49" s="28">
        <f>IF(G48=0.03,"",IF(G48="","",0.03))</f>
        <v>0.03</v>
      </c>
      <c r="H49" s="32">
        <f>IF(G49="","",0.07-G49)</f>
        <v>0.04000000000000001</v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H43:H44"/>
    <mergeCell ref="D53:D54"/>
    <mergeCell ref="E53:E54"/>
    <mergeCell ref="F53:F54"/>
    <mergeCell ref="E30:F30"/>
    <mergeCell ref="C43:C44"/>
    <mergeCell ref="D43:D44"/>
    <mergeCell ref="G43:G4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0.8515625" style="2" customWidth="1"/>
    <col min="2" max="2" width="13.421875" style="2" customWidth="1"/>
    <col min="3" max="4" width="12.140625" style="2" customWidth="1"/>
    <col min="5" max="5" width="11.8515625" style="2" customWidth="1"/>
    <col min="6" max="6" width="12.8515625" style="2" customWidth="1"/>
    <col min="7" max="7" width="11.140625" style="2" customWidth="1"/>
    <col min="8" max="8" width="11.7109375" style="2" customWidth="1"/>
    <col min="9" max="10" width="9.421875" style="2" bestFit="1" customWidth="1"/>
    <col min="11" max="11" width="16.421875" style="2" customWidth="1"/>
    <col min="12" max="13" width="9.421875" style="2" bestFit="1" customWidth="1"/>
    <col min="14" max="15" width="9.28125" style="2" bestFit="1" customWidth="1"/>
    <col min="16" max="19" width="9.140625" style="2" customWidth="1"/>
    <col min="20" max="20" width="9.57421875" style="2" bestFit="1" customWidth="1"/>
    <col min="21" max="16384" width="9.140625" style="2" customWidth="1"/>
  </cols>
  <sheetData>
    <row r="1" ht="15.75">
      <c r="A1" s="1" t="s">
        <v>67</v>
      </c>
    </row>
    <row r="2" spans="1:11" ht="12.75">
      <c r="A2" s="2" t="s">
        <v>68</v>
      </c>
      <c r="K2" s="3" t="s">
        <v>1</v>
      </c>
    </row>
    <row r="3" spans="1:11" ht="12.75">
      <c r="A3" s="4" t="s">
        <v>2</v>
      </c>
      <c r="B3" s="4"/>
      <c r="C3" s="4"/>
      <c r="K3" s="3"/>
    </row>
    <row r="4" spans="1:13" ht="13.5" thickBot="1">
      <c r="A4" s="5" t="s">
        <v>3</v>
      </c>
      <c r="K4" s="6" t="s">
        <v>4</v>
      </c>
      <c r="L4" s="7"/>
      <c r="M4" s="7"/>
    </row>
    <row r="5" spans="1:13" ht="13.5" thickTop="1">
      <c r="A5" s="8" t="s">
        <v>5</v>
      </c>
      <c r="B5" s="9">
        <v>50</v>
      </c>
      <c r="C5" s="2" t="s">
        <v>6</v>
      </c>
      <c r="D5" s="2" t="s">
        <v>7</v>
      </c>
      <c r="K5" s="10"/>
      <c r="L5" s="11" t="s">
        <v>8</v>
      </c>
      <c r="M5" s="12" t="s">
        <v>8</v>
      </c>
    </row>
    <row r="6" spans="1:13" ht="12.75">
      <c r="A6" s="8" t="s">
        <v>9</v>
      </c>
      <c r="B6" s="13">
        <f>18000/PI()/19063.982701</f>
        <v>0.30054464700115824</v>
      </c>
      <c r="D6" s="2" t="s">
        <v>10</v>
      </c>
      <c r="I6" s="2">
        <f>COUNTIF($K$40:$K$56,B6)</f>
        <v>0</v>
      </c>
      <c r="K6" s="10"/>
      <c r="L6" s="11" t="s">
        <v>11</v>
      </c>
      <c r="M6" s="12" t="s">
        <v>11</v>
      </c>
    </row>
    <row r="7" spans="1:13" ht="12.75">
      <c r="A7" s="15" t="s">
        <v>12</v>
      </c>
      <c r="B7" s="16">
        <f>5729.578/B6</f>
        <v>19063.982863011763</v>
      </c>
      <c r="C7" s="2" t="s">
        <v>13</v>
      </c>
      <c r="D7" s="2" t="s">
        <v>14</v>
      </c>
      <c r="I7" s="2">
        <f>LOOKUP(B6,$K$40:$K$56)</f>
        <v>0.25</v>
      </c>
      <c r="J7" s="28">
        <f>VLOOKUP(I7,$K$40:$Q$56,IF($B$5=50,3,IF($B$5=55,4,IF($B$5=60,5,IF($B$5=65,6,IF($B$5=70,7,8))))),TRUE)</f>
        <v>0.016</v>
      </c>
      <c r="K7" s="18" t="s">
        <v>15</v>
      </c>
      <c r="L7" s="11" t="s">
        <v>16</v>
      </c>
      <c r="M7" s="12" t="s">
        <v>17</v>
      </c>
    </row>
    <row r="8" spans="1:13" ht="13.5" thickBot="1">
      <c r="A8" s="15" t="s">
        <v>18</v>
      </c>
      <c r="B8" s="9">
        <v>12</v>
      </c>
      <c r="C8" s="2" t="s">
        <v>13</v>
      </c>
      <c r="I8" s="2">
        <f>IF(I7&gt;0.99,I7+0.5,I7+0.25)</f>
        <v>0.5</v>
      </c>
      <c r="J8" s="28">
        <f>VLOOKUP(I8,$K$40:$Q$56,IF($B$5=50,3,IF($B$5=55,4,IF($B$5=60,5,IF($B$5=65,6,IF($B$5=70,7,8))))),TRUE)</f>
        <v>0.016</v>
      </c>
      <c r="K8" s="20" t="s">
        <v>19</v>
      </c>
      <c r="L8" s="21" t="s">
        <v>20</v>
      </c>
      <c r="M8" s="22" t="s">
        <v>21</v>
      </c>
    </row>
    <row r="9" spans="1:13" ht="12.75">
      <c r="A9" s="8"/>
      <c r="B9" s="9" t="s">
        <v>51</v>
      </c>
      <c r="C9" s="2" t="s">
        <v>22</v>
      </c>
      <c r="D9" s="2" t="s">
        <v>23</v>
      </c>
      <c r="J9" s="86">
        <f>J8-(((I8-B6)/(I8-I7))*(J8-J7))</f>
        <v>0.016</v>
      </c>
      <c r="K9" s="24">
        <v>20</v>
      </c>
      <c r="L9" s="25">
        <v>0.74</v>
      </c>
      <c r="M9" s="26">
        <v>135</v>
      </c>
    </row>
    <row r="10" spans="1:13" ht="12.75">
      <c r="A10" s="8" t="s">
        <v>24</v>
      </c>
      <c r="B10" s="9">
        <v>2</v>
      </c>
      <c r="C10" s="2" t="s">
        <v>25</v>
      </c>
      <c r="K10" s="24">
        <v>25</v>
      </c>
      <c r="L10" s="25">
        <v>0.7</v>
      </c>
      <c r="M10" s="26">
        <v>143</v>
      </c>
    </row>
    <row r="11" spans="1:13" ht="12.75">
      <c r="A11" s="27" t="s">
        <v>26</v>
      </c>
      <c r="B11" s="28">
        <f>IF(I6=1,VLOOKUP(B6,$K$40:$Q$56,IF($B$5=50,3,IF($B$5=55,4,IF($B$5=60,5,IF($B$5=65,6,IF($B$5=70,7,8))))),TRUE),J9)</f>
        <v>0.016</v>
      </c>
      <c r="D11" s="29" t="s">
        <v>27</v>
      </c>
      <c r="K11" s="24">
        <v>30</v>
      </c>
      <c r="L11" s="25">
        <v>0.66</v>
      </c>
      <c r="M11" s="26">
        <v>152</v>
      </c>
    </row>
    <row r="12" spans="1:13" ht="12.75">
      <c r="A12" s="15" t="s">
        <v>28</v>
      </c>
      <c r="B12" s="30">
        <f>VLOOKUP(B10,$K$27:$M$32,IF($B$9="yes",2,3))</f>
        <v>1</v>
      </c>
      <c r="D12" s="2" t="s">
        <v>29</v>
      </c>
      <c r="K12" s="24">
        <v>35</v>
      </c>
      <c r="L12" s="25">
        <v>0.62</v>
      </c>
      <c r="M12" s="26">
        <v>161</v>
      </c>
    </row>
    <row r="13" spans="1:13" ht="12.75">
      <c r="A13" s="15" t="s">
        <v>30</v>
      </c>
      <c r="B13" s="30">
        <f>VLOOKUP(B5,$K$9:$M$19,2,TRUE)</f>
        <v>0.5</v>
      </c>
      <c r="D13" s="2" t="s">
        <v>31</v>
      </c>
      <c r="K13" s="24">
        <v>40</v>
      </c>
      <c r="L13" s="25">
        <v>0.58</v>
      </c>
      <c r="M13" s="26">
        <v>172</v>
      </c>
    </row>
    <row r="14" spans="1:13" ht="12.75">
      <c r="A14" s="15" t="s">
        <v>32</v>
      </c>
      <c r="B14" s="30">
        <f>VLOOKUP(B5,$K9:M19,3,TRUE)</f>
        <v>200</v>
      </c>
      <c r="D14" s="2" t="s">
        <v>33</v>
      </c>
      <c r="K14" s="24">
        <v>45</v>
      </c>
      <c r="L14" s="25">
        <v>0.54</v>
      </c>
      <c r="M14" s="26">
        <v>185</v>
      </c>
    </row>
    <row r="15" spans="11:13" ht="12.75">
      <c r="K15" s="24">
        <v>50</v>
      </c>
      <c r="L15" s="25">
        <v>0.5</v>
      </c>
      <c r="M15" s="26">
        <v>200</v>
      </c>
    </row>
    <row r="16" spans="1:13" ht="12.75">
      <c r="A16" s="31" t="s">
        <v>34</v>
      </c>
      <c r="B16" s="32">
        <f>((($B$8*$B$10)*($B$11))*($B$14)*($B$12))</f>
        <v>76.8</v>
      </c>
      <c r="C16" s="33" t="s">
        <v>13</v>
      </c>
      <c r="D16" s="33" t="s">
        <v>35</v>
      </c>
      <c r="E16" s="33"/>
      <c r="F16" s="33"/>
      <c r="K16" s="24">
        <v>55</v>
      </c>
      <c r="L16" s="25">
        <v>0.47</v>
      </c>
      <c r="M16" s="26">
        <v>213</v>
      </c>
    </row>
    <row r="17" spans="1:13" ht="12.75">
      <c r="A17" s="31" t="s">
        <v>36</v>
      </c>
      <c r="B17" s="32">
        <f>((0.0156)/$B$11)*B16</f>
        <v>74.88</v>
      </c>
      <c r="C17" s="33" t="s">
        <v>13</v>
      </c>
      <c r="D17" s="33" t="s">
        <v>37</v>
      </c>
      <c r="E17" s="33"/>
      <c r="F17" s="33"/>
      <c r="K17" s="24">
        <v>60</v>
      </c>
      <c r="L17" s="25">
        <v>0.45</v>
      </c>
      <c r="M17" s="26">
        <v>222</v>
      </c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4">
        <v>65</v>
      </c>
      <c r="L18" s="25">
        <v>0.43</v>
      </c>
      <c r="M18" s="26">
        <v>233</v>
      </c>
    </row>
    <row r="19" spans="1:13" ht="13.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>
        <v>70</v>
      </c>
      <c r="L19" s="35">
        <v>0.4</v>
      </c>
      <c r="M19" s="36">
        <v>250</v>
      </c>
    </row>
    <row r="20" spans="1:10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9"/>
      <c r="J20" s="29"/>
    </row>
    <row r="21" spans="1:10" ht="12.75">
      <c r="A21" s="29"/>
      <c r="B21" s="29"/>
      <c r="C21" s="29"/>
      <c r="D21" s="29"/>
      <c r="E21" s="67" t="s">
        <v>49</v>
      </c>
      <c r="F21" s="29"/>
      <c r="G21" s="29"/>
      <c r="H21" s="29"/>
      <c r="J21" s="68"/>
    </row>
    <row r="22" spans="1:11" ht="12.75">
      <c r="A22" s="68" t="str">
        <f>IF($C$20="yes","ERROR: SPREADSHEET NOT VALID","P.C. Station")</f>
        <v>P.C. Station</v>
      </c>
      <c r="B22" s="69">
        <v>100770.093538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0.5</v>
      </c>
      <c r="J22" s="68"/>
      <c r="K22" s="37" t="s">
        <v>38</v>
      </c>
    </row>
    <row r="23" spans="1:11" ht="12.75">
      <c r="A23" s="68" t="str">
        <f>IF($C$20="yes","ERROR: SPREADSHEET NOT VALID","P.T. Station")</f>
        <v>P.T. Station</v>
      </c>
      <c r="B23" s="69">
        <v>101166.6529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J23" s="68"/>
      <c r="K23" s="37"/>
    </row>
    <row r="24" spans="1:11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14"/>
      <c r="J24" s="68"/>
      <c r="K24" s="37"/>
    </row>
    <row r="25" spans="1:13" ht="13.5" thickTop="1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14"/>
      <c r="J25" s="68"/>
      <c r="K25" s="38" t="s">
        <v>39</v>
      </c>
      <c r="L25" s="39" t="s">
        <v>40</v>
      </c>
      <c r="M25" s="40" t="s">
        <v>41</v>
      </c>
    </row>
    <row r="26" spans="1:13" ht="13.5" thickBot="1">
      <c r="A26" s="68">
        <f>IF($E$23="no","Is there a spiral for super transition at the end of this curve? (yes or no)","")</f>
      </c>
      <c r="B26" s="71"/>
      <c r="C26" s="68"/>
      <c r="D26" s="65"/>
      <c r="E26" s="65" t="s">
        <v>66</v>
      </c>
      <c r="F26"/>
      <c r="G26" s="68"/>
      <c r="H26" s="73"/>
      <c r="I26" s="19"/>
      <c r="J26" s="85"/>
      <c r="K26" s="20" t="s">
        <v>42</v>
      </c>
      <c r="L26" s="21" t="s">
        <v>43</v>
      </c>
      <c r="M26" s="22" t="s">
        <v>43</v>
      </c>
    </row>
    <row r="27" spans="1:13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I27" s="14"/>
      <c r="J27" s="85"/>
      <c r="K27" s="41">
        <v>1</v>
      </c>
      <c r="L27" s="25">
        <v>1</v>
      </c>
      <c r="M27" s="42">
        <v>1</v>
      </c>
    </row>
    <row r="28" spans="1:13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J28" s="85"/>
      <c r="K28" s="41">
        <v>1.5</v>
      </c>
      <c r="L28" s="25">
        <v>1</v>
      </c>
      <c r="M28" s="42">
        <v>0.83</v>
      </c>
    </row>
    <row r="29" spans="1:13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J29" s="68"/>
      <c r="K29" s="41">
        <v>2</v>
      </c>
      <c r="L29" s="25">
        <v>1</v>
      </c>
      <c r="M29" s="42">
        <v>0.75</v>
      </c>
    </row>
    <row r="30" spans="1:13" ht="12.75">
      <c r="A30" s="27" t="s">
        <v>56</v>
      </c>
      <c r="B30" s="78">
        <f>IF($D$25="yes",IF($E$22="yes",$B$22-($G$35*2/3)+($C$30*$G$35/$B$11),$B$22-($G$35*$H$22)+($C$30*$G$35/$B$11)),"")</f>
        <v>100636.76020466667</v>
      </c>
      <c r="C30" s="96">
        <v>-0.016</v>
      </c>
      <c r="D30" s="68"/>
      <c r="E30" s="117" t="s">
        <v>71</v>
      </c>
      <c r="F30" s="117"/>
      <c r="G30" s="90">
        <f>B37-B33</f>
        <v>343.22602866665693</v>
      </c>
      <c r="H30" s="68"/>
      <c r="J30" s="68"/>
      <c r="K30" s="41">
        <v>2.5</v>
      </c>
      <c r="L30" s="25">
        <v>1</v>
      </c>
      <c r="M30" s="42">
        <v>0.7</v>
      </c>
    </row>
    <row r="31" spans="1:13" ht="12.75">
      <c r="A31" s="27" t="s">
        <v>57</v>
      </c>
      <c r="B31" s="78">
        <f>IF($D$25="yes",IF($E$22="yes",$B$22-(2*$G$35/3),$B$22-($G$35*$H$22)),"")</f>
        <v>100716.76020466667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0.010666666666665697</v>
      </c>
      <c r="H31" s="68"/>
      <c r="J31" s="68"/>
      <c r="K31" s="41">
        <v>3</v>
      </c>
      <c r="L31" s="25">
        <v>1</v>
      </c>
      <c r="M31" s="42">
        <v>0.67</v>
      </c>
    </row>
    <row r="32" spans="1:13" ht="13.5" thickBot="1">
      <c r="A32" s="27" t="s">
        <v>58</v>
      </c>
      <c r="B32" s="78">
        <f>IF($E$22="yes",$B$22-($G$35*2/3)+($C$32*$G$35/$B$11),IF($D$25="yes",$B$22-($G$35*$H$22)+($C$32*$G$35/$B$11),$B$33-($G$35*($B$11-$C$32)/$B$11)))</f>
        <v>100796.76020466667</v>
      </c>
      <c r="C32" s="96">
        <v>0.016</v>
      </c>
      <c r="D32" s="68"/>
      <c r="E32" s="122" t="s">
        <v>78</v>
      </c>
      <c r="F32" s="122"/>
      <c r="G32" s="95">
        <f>G31/$B$11</f>
        <v>0.666666666666606</v>
      </c>
      <c r="H32" s="68"/>
      <c r="J32" s="68"/>
      <c r="K32" s="43">
        <v>3.5</v>
      </c>
      <c r="L32" s="35">
        <v>1</v>
      </c>
      <c r="M32" s="44">
        <v>0.64</v>
      </c>
    </row>
    <row r="33" spans="1:10" ht="13.5" thickTop="1">
      <c r="A33" s="27" t="s">
        <v>59</v>
      </c>
      <c r="B33" s="78">
        <f>IF($E$22="yes",$B$22+($G$35/3),$B$22+($G$35*(1-$H$22)))</f>
        <v>100796.76020466667</v>
      </c>
      <c r="C33" s="96">
        <f>$B$11</f>
        <v>0.016</v>
      </c>
      <c r="D33" s="68"/>
      <c r="E33" s="117" t="s">
        <v>72</v>
      </c>
      <c r="F33" s="117"/>
      <c r="G33" s="28">
        <f>IF($D$25="yes",$C$37-($B23-$B$37)*$G$37,$C$37-($B23-$B$37)/CEILING($B$16,5)*$B$11)</f>
        <v>0.010666666666665697</v>
      </c>
      <c r="H33" s="68"/>
      <c r="J33" s="68"/>
    </row>
    <row r="34" spans="1:10" ht="12.75">
      <c r="A34" s="68"/>
      <c r="B34" s="68"/>
      <c r="C34" s="68"/>
      <c r="D34" s="68"/>
      <c r="E34" s="122" t="s">
        <v>79</v>
      </c>
      <c r="F34" s="122"/>
      <c r="G34" s="95">
        <f>G33/$B$11</f>
        <v>0.666666666666606</v>
      </c>
      <c r="H34" s="68"/>
      <c r="J34" s="68"/>
    </row>
    <row r="35" spans="1:11" ht="12.75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80</v>
      </c>
      <c r="H35" s="68"/>
      <c r="J35" s="68"/>
      <c r="K35" s="37" t="s">
        <v>44</v>
      </c>
    </row>
    <row r="36" spans="1:11" ht="13.5" thickBo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80</v>
      </c>
      <c r="H36" s="68"/>
      <c r="I36" s="14"/>
      <c r="J36" s="68"/>
      <c r="K36" s="3" t="s">
        <v>69</v>
      </c>
    </row>
    <row r="37" spans="1:22" ht="13.5" thickTop="1">
      <c r="A37" s="27" t="s">
        <v>59</v>
      </c>
      <c r="B37" s="78">
        <f>IF($E$23="yes",$B$23-($G$35/3),$B$23-($G$35*(1-$H$23)))</f>
        <v>101139.98623333333</v>
      </c>
      <c r="C37" s="96">
        <f>$B$11</f>
        <v>0.016</v>
      </c>
      <c r="D37" s="68"/>
      <c r="E37" s="117" t="s">
        <v>81</v>
      </c>
      <c r="F37" s="117"/>
      <c r="G37" s="97">
        <f>B11/G35</f>
        <v>0.0002</v>
      </c>
      <c r="H37" s="68"/>
      <c r="I37" s="14"/>
      <c r="J37" s="68"/>
      <c r="K37" s="46"/>
      <c r="L37" s="47"/>
      <c r="M37" s="119" t="s">
        <v>15</v>
      </c>
      <c r="N37" s="120"/>
      <c r="O37" s="120"/>
      <c r="P37" s="120"/>
      <c r="Q37" s="121"/>
      <c r="R37" s="48"/>
      <c r="S37" s="48"/>
      <c r="T37" s="48"/>
      <c r="U37" s="48"/>
      <c r="V37" s="48"/>
    </row>
    <row r="38" spans="1:22" ht="12.75">
      <c r="A38" s="27" t="s">
        <v>58</v>
      </c>
      <c r="B38" s="78">
        <f>IF($E$23="yes",$B$23+($G$35*2/3)-($C$38*$G$35/$B$11),IF($E$26="yes","",$B$23-($G$35*(1-$H$23))+($B$11-$C$38)/$G$37))</f>
        <v>101139.98623333333</v>
      </c>
      <c r="C38" s="96">
        <v>0.016</v>
      </c>
      <c r="D38" s="68"/>
      <c r="E38" s="68"/>
      <c r="F38" s="68"/>
      <c r="G38" s="68"/>
      <c r="H38" s="68"/>
      <c r="I38" s="19"/>
      <c r="J38" s="85"/>
      <c r="K38" s="50"/>
      <c r="L38" s="51"/>
      <c r="M38" s="52">
        <v>50</v>
      </c>
      <c r="N38" s="53">
        <v>55</v>
      </c>
      <c r="O38" s="53">
        <v>60</v>
      </c>
      <c r="P38" s="53">
        <v>65</v>
      </c>
      <c r="Q38" s="54">
        <v>70</v>
      </c>
      <c r="R38" s="48"/>
      <c r="S38" s="48"/>
      <c r="T38" s="48"/>
      <c r="U38" s="48"/>
      <c r="V38" s="48"/>
    </row>
    <row r="39" spans="1:22" ht="13.5" thickBot="1">
      <c r="A39" s="27" t="s">
        <v>57</v>
      </c>
      <c r="B39" s="78">
        <f>IF($D$25="yes",IF($E$23="yes",$B$23+($G$35*2/3),$B$23+$G$35*$H$23),"")</f>
        <v>101219.98623333333</v>
      </c>
      <c r="C39" s="96">
        <v>0</v>
      </c>
      <c r="D39" s="68"/>
      <c r="E39"/>
      <c r="F39"/>
      <c r="G39"/>
      <c r="H39" s="68"/>
      <c r="I39" s="14"/>
      <c r="J39" s="85"/>
      <c r="K39" s="20" t="s">
        <v>46</v>
      </c>
      <c r="L39" s="21" t="s">
        <v>47</v>
      </c>
      <c r="M39" s="55" t="s">
        <v>48</v>
      </c>
      <c r="N39" s="56" t="s">
        <v>48</v>
      </c>
      <c r="O39" s="56" t="s">
        <v>48</v>
      </c>
      <c r="P39" s="56" t="s">
        <v>48</v>
      </c>
      <c r="Q39" s="57" t="s">
        <v>48</v>
      </c>
      <c r="R39" s="58"/>
      <c r="S39" s="58"/>
      <c r="T39" s="58"/>
      <c r="U39" s="58"/>
      <c r="V39" s="58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101299.98623333333</v>
      </c>
      <c r="C40" s="96">
        <v>-0.016</v>
      </c>
      <c r="D40" s="68"/>
      <c r="E40" s="68"/>
      <c r="F40" s="68"/>
      <c r="G40" s="68"/>
      <c r="H40" s="68"/>
      <c r="J40" s="85"/>
      <c r="K40" s="60">
        <v>0.25</v>
      </c>
      <c r="L40" s="25">
        <v>22918.312</v>
      </c>
      <c r="M40" s="98">
        <v>0.016</v>
      </c>
      <c r="N40" s="98">
        <v>0.016</v>
      </c>
      <c r="O40" s="98">
        <v>0.016</v>
      </c>
      <c r="P40" s="98">
        <v>0.016</v>
      </c>
      <c r="Q40" s="111">
        <v>0.016</v>
      </c>
      <c r="T40" s="87"/>
    </row>
    <row r="41" spans="1:20" ht="12.75">
      <c r="A41" s="68"/>
      <c r="B41" s="68"/>
      <c r="C41" s="68"/>
      <c r="D41" s="68"/>
      <c r="E41" s="68"/>
      <c r="F41" s="68"/>
      <c r="G41" s="68"/>
      <c r="H41" s="68"/>
      <c r="J41" s="68"/>
      <c r="K41" s="60">
        <v>0.5</v>
      </c>
      <c r="L41" s="25">
        <v>11459.156</v>
      </c>
      <c r="M41" s="98">
        <v>0.016</v>
      </c>
      <c r="N41" s="98">
        <v>0.016</v>
      </c>
      <c r="O41" s="98">
        <v>0.016</v>
      </c>
      <c r="P41" s="98">
        <v>0.016</v>
      </c>
      <c r="Q41" s="111">
        <v>0.018</v>
      </c>
      <c r="T41" s="87"/>
    </row>
    <row r="42" spans="1:20" ht="12.75">
      <c r="A42" s="75" t="s">
        <v>61</v>
      </c>
      <c r="B42" s="75"/>
      <c r="C42" s="68"/>
      <c r="D42" s="68"/>
      <c r="E42" s="68"/>
      <c r="F42" s="68"/>
      <c r="G42" s="68"/>
      <c r="H42" s="68"/>
      <c r="J42" s="68"/>
      <c r="K42" s="60"/>
      <c r="L42" s="25"/>
      <c r="M42" s="98"/>
      <c r="N42" s="98"/>
      <c r="O42" s="98"/>
      <c r="P42" s="98"/>
      <c r="Q42" s="111"/>
      <c r="T42" s="87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J43" s="68"/>
      <c r="K43" s="60">
        <v>0.75</v>
      </c>
      <c r="L43" s="25">
        <v>7639.437333333334</v>
      </c>
      <c r="M43" s="98">
        <v>0.016</v>
      </c>
      <c r="N43" s="98">
        <v>0.018</v>
      </c>
      <c r="O43" s="98">
        <v>0.021</v>
      </c>
      <c r="P43" s="98">
        <v>0.024</v>
      </c>
      <c r="Q43" s="111">
        <v>0.026</v>
      </c>
      <c r="T43" s="87"/>
    </row>
    <row r="44" spans="1:20" ht="12.75" customHeight="1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J44" s="68"/>
      <c r="K44" s="60">
        <v>1</v>
      </c>
      <c r="L44" s="25">
        <v>5729.578</v>
      </c>
      <c r="M44" s="98">
        <v>0.02</v>
      </c>
      <c r="N44" s="98">
        <v>0.023</v>
      </c>
      <c r="O44" s="98">
        <v>0.027</v>
      </c>
      <c r="P44" s="98">
        <v>0.03</v>
      </c>
      <c r="Q44" s="111">
        <v>0.033</v>
      </c>
      <c r="T44" s="87"/>
    </row>
    <row r="45" spans="1:20" ht="12.75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</c>
      <c r="G45" s="28">
        <f>IF($B$11&gt;0.03,0.03,"")</f>
      </c>
      <c r="H45" s="32">
        <f>IF(G45="","",0.07-G45)</f>
      </c>
      <c r="J45" s="68"/>
      <c r="K45" s="60">
        <v>1.5</v>
      </c>
      <c r="L45" s="25">
        <v>3819.718666666667</v>
      </c>
      <c r="M45" s="98">
        <v>0.028</v>
      </c>
      <c r="N45" s="98">
        <v>0.032</v>
      </c>
      <c r="O45" s="98">
        <v>0.037</v>
      </c>
      <c r="P45" s="98">
        <v>0.041</v>
      </c>
      <c r="Q45" s="111">
        <v>0.046</v>
      </c>
      <c r="T45" s="87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</c>
      <c r="G46" s="28">
        <f>IF($C$33&gt;0.03,$C$33,"")</f>
      </c>
      <c r="H46" s="32">
        <f>IF(G46="","",0.07-G46)</f>
      </c>
      <c r="J46" s="68"/>
      <c r="K46" s="60"/>
      <c r="L46" s="25"/>
      <c r="M46" s="98"/>
      <c r="N46" s="98"/>
      <c r="O46" s="98"/>
      <c r="P46" s="98"/>
      <c r="Q46" s="111"/>
      <c r="T46" s="87"/>
    </row>
    <row r="47" spans="1:20" ht="12.75">
      <c r="A47" s="68"/>
      <c r="B47" s="84"/>
      <c r="C47" s="28"/>
      <c r="D47" s="66"/>
      <c r="E47" s="68"/>
      <c r="F47" s="84"/>
      <c r="G47" s="28"/>
      <c r="H47" s="66"/>
      <c r="J47" s="68"/>
      <c r="K47" s="60">
        <v>2</v>
      </c>
      <c r="L47" s="25">
        <v>2864.789</v>
      </c>
      <c r="M47" s="98">
        <v>0.035</v>
      </c>
      <c r="N47" s="98">
        <v>0.04</v>
      </c>
      <c r="O47" s="98">
        <v>0.045</v>
      </c>
      <c r="P47" s="98">
        <v>0.05</v>
      </c>
      <c r="Q47" s="111">
        <v>0.055</v>
      </c>
      <c r="T47" s="87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</c>
      <c r="G48" s="28">
        <f>IF($B$11&lt;0.03,"",$B$11)</f>
      </c>
      <c r="H48" s="32">
        <f>IF(G48="","",0.07-G48)</f>
      </c>
      <c r="J48" s="68"/>
      <c r="K48" s="60">
        <v>2.5</v>
      </c>
      <c r="L48" s="25">
        <v>2291.8312</v>
      </c>
      <c r="M48" s="98">
        <v>0.04</v>
      </c>
      <c r="N48" s="98">
        <v>0.045</v>
      </c>
      <c r="O48" s="98">
        <v>0.051</v>
      </c>
      <c r="P48" s="98">
        <v>0.056</v>
      </c>
      <c r="Q48" s="111">
        <v>0.059</v>
      </c>
      <c r="T48" s="87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</c>
      <c r="G49" s="28">
        <f>IF(G48=0.03,"",IF(G48="","",0.03))</f>
      </c>
      <c r="H49" s="32">
        <f>IF(G49="","",0.07-G49)</f>
      </c>
      <c r="J49" s="68"/>
      <c r="K49" s="60">
        <v>3</v>
      </c>
      <c r="L49" s="25">
        <v>1909.8593333333336</v>
      </c>
      <c r="M49" s="98">
        <v>0.045</v>
      </c>
      <c r="N49" s="98">
        <v>0.05</v>
      </c>
      <c r="O49" s="98">
        <v>0.055</v>
      </c>
      <c r="P49" s="98">
        <v>0.059</v>
      </c>
      <c r="Q49" s="112"/>
      <c r="T49" s="87"/>
    </row>
    <row r="50" spans="1:20" ht="12.75">
      <c r="A50" s="68"/>
      <c r="B50" s="84"/>
      <c r="C50" s="28"/>
      <c r="D50" s="66"/>
      <c r="E50" s="68"/>
      <c r="F50" s="84"/>
      <c r="G50" s="28"/>
      <c r="H50" s="66"/>
      <c r="J50" s="68"/>
      <c r="K50" s="60">
        <v>3.5</v>
      </c>
      <c r="L50" s="25">
        <v>1637.0222857142858</v>
      </c>
      <c r="M50" s="98">
        <v>0.048</v>
      </c>
      <c r="N50" s="98">
        <v>0.054</v>
      </c>
      <c r="O50" s="98">
        <v>0.058</v>
      </c>
      <c r="P50" s="98">
        <v>0.06</v>
      </c>
      <c r="Q50" s="112"/>
      <c r="T50" s="87"/>
    </row>
    <row r="51" spans="1:20" ht="12.75">
      <c r="A51" s="68"/>
      <c r="B51" s="68"/>
      <c r="C51" s="68"/>
      <c r="D51" s="68"/>
      <c r="E51" s="68"/>
      <c r="F51" s="68"/>
      <c r="G51" s="68"/>
      <c r="H51" s="68"/>
      <c r="J51" s="68"/>
      <c r="K51" s="60">
        <v>4</v>
      </c>
      <c r="L51" s="25">
        <v>1432.3945</v>
      </c>
      <c r="M51" s="98">
        <v>0.052</v>
      </c>
      <c r="N51" s="98">
        <v>0.057</v>
      </c>
      <c r="O51" s="98">
        <v>0.06</v>
      </c>
      <c r="P51" s="113"/>
      <c r="Q51" s="112"/>
      <c r="T51" s="87"/>
    </row>
    <row r="52" spans="1:20" ht="12.75">
      <c r="A52" s="75" t="s">
        <v>65</v>
      </c>
      <c r="B52" s="81"/>
      <c r="C52" s="68"/>
      <c r="E52" s="68"/>
      <c r="F52" s="68"/>
      <c r="G52" s="68"/>
      <c r="H52" s="68"/>
      <c r="J52" s="68"/>
      <c r="K52" s="60">
        <v>4.5</v>
      </c>
      <c r="L52" s="25">
        <v>1273.2395555555556</v>
      </c>
      <c r="M52" s="98">
        <v>0.054</v>
      </c>
      <c r="N52" s="98">
        <v>0.059</v>
      </c>
      <c r="O52" s="113"/>
      <c r="P52" s="113"/>
      <c r="Q52" s="112"/>
      <c r="T52" s="87"/>
    </row>
    <row r="53" spans="1:20" ht="12.75">
      <c r="A53" s="68"/>
      <c r="B53"/>
      <c r="C53"/>
      <c r="D53" s="123" t="s">
        <v>80</v>
      </c>
      <c r="E53" s="123" t="s">
        <v>76</v>
      </c>
      <c r="F53" s="123" t="s">
        <v>77</v>
      </c>
      <c r="G53" s="68"/>
      <c r="H53" s="68"/>
      <c r="J53" s="68"/>
      <c r="K53" s="60">
        <v>5</v>
      </c>
      <c r="L53" s="25">
        <v>1145.9156</v>
      </c>
      <c r="M53" s="98">
        <v>0.056</v>
      </c>
      <c r="N53" s="98">
        <v>0.06</v>
      </c>
      <c r="O53" s="113"/>
      <c r="P53" s="113"/>
      <c r="Q53" s="112"/>
      <c r="T53" s="87"/>
    </row>
    <row r="54" spans="1:20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J54" s="68"/>
      <c r="K54" s="60">
        <v>5.5</v>
      </c>
      <c r="L54" s="25">
        <v>1041.7414545454546</v>
      </c>
      <c r="M54" s="98">
        <v>0.058</v>
      </c>
      <c r="N54" s="98">
        <v>0.06</v>
      </c>
      <c r="O54" s="113"/>
      <c r="P54" s="113"/>
      <c r="Q54" s="112"/>
      <c r="T54" s="87"/>
    </row>
    <row r="55" spans="1:20" ht="12.75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J55" s="68"/>
      <c r="K55" s="60">
        <v>6</v>
      </c>
      <c r="L55" s="25">
        <v>954.9296666666668</v>
      </c>
      <c r="M55" s="98">
        <v>0.059</v>
      </c>
      <c r="N55" s="113"/>
      <c r="O55" s="113"/>
      <c r="P55" s="113"/>
      <c r="Q55" s="112"/>
      <c r="T55" s="87"/>
    </row>
    <row r="56" spans="1:20" ht="13.5" thickBot="1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J56" s="68"/>
      <c r="K56" s="88">
        <v>6.5</v>
      </c>
      <c r="L56" s="35">
        <v>881.4735384615385</v>
      </c>
      <c r="M56" s="114">
        <v>0.06</v>
      </c>
      <c r="N56" s="115"/>
      <c r="O56" s="115"/>
      <c r="P56" s="115"/>
      <c r="Q56" s="116"/>
      <c r="T56" s="87"/>
    </row>
    <row r="57" spans="1:10" ht="13.5" thickTop="1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J57" s="68"/>
    </row>
    <row r="58" spans="1:10" ht="12.75">
      <c r="A58" s="68"/>
      <c r="B58" s="68"/>
      <c r="C58" s="68"/>
      <c r="D58" s="68"/>
      <c r="E58" s="68"/>
      <c r="F58" s="68"/>
      <c r="G58" s="68"/>
      <c r="H58" s="68"/>
      <c r="J58" s="6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/>
      <c r="J59" s="68"/>
    </row>
    <row r="60" spans="1:10" ht="12.75">
      <c r="A60" s="68"/>
      <c r="B60" s="68"/>
      <c r="C60" s="68"/>
      <c r="D60" s="68"/>
      <c r="E60" s="68"/>
      <c r="F60" s="68"/>
      <c r="G60" s="68"/>
      <c r="H60" s="68"/>
      <c r="I60"/>
      <c r="J60" s="68"/>
    </row>
    <row r="61" spans="1:10" ht="12.75">
      <c r="A61"/>
      <c r="B61"/>
      <c r="C61"/>
      <c r="D61"/>
      <c r="E61"/>
      <c r="F61"/>
      <c r="G61"/>
      <c r="H61"/>
      <c r="I61"/>
      <c r="J61" s="68"/>
    </row>
    <row r="62" spans="1:10" ht="12.75">
      <c r="A62" s="68"/>
      <c r="B62" s="68"/>
      <c r="C62" s="68"/>
      <c r="D62" s="68"/>
      <c r="E62" s="68"/>
      <c r="F62" s="68"/>
      <c r="G62" s="68"/>
      <c r="H62" s="68"/>
      <c r="I62"/>
      <c r="J62" s="68"/>
    </row>
    <row r="63" spans="1:10" ht="12.75">
      <c r="A63" s="68"/>
      <c r="B63" s="68"/>
      <c r="C63" s="68"/>
      <c r="D63" s="68"/>
      <c r="E63" s="68"/>
      <c r="F63" s="68"/>
      <c r="G63" s="68"/>
      <c r="H63" s="68"/>
      <c r="I63"/>
      <c r="J63" s="82"/>
    </row>
    <row r="64" spans="1:10" ht="12.75">
      <c r="A64" s="82"/>
      <c r="B64" s="82"/>
      <c r="C64" s="82"/>
      <c r="D64" s="82"/>
      <c r="E64" s="82"/>
      <c r="F64" s="82"/>
      <c r="G64" s="82"/>
      <c r="H64" s="82"/>
      <c r="I64"/>
      <c r="J64" s="82"/>
    </row>
    <row r="65" spans="1:10" ht="12.7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ht="12.75">
      <c r="A67" s="82"/>
      <c r="B67" s="82"/>
      <c r="C67" s="82"/>
      <c r="D67" s="82"/>
      <c r="E67" s="82"/>
      <c r="F67" s="82"/>
      <c r="G67" s="82"/>
      <c r="H67" s="82"/>
      <c r="I67" s="82"/>
      <c r="J67" s="83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3"/>
      <c r="B69" s="83"/>
      <c r="C69" s="83"/>
      <c r="D69" s="83"/>
      <c r="E69" s="83"/>
      <c r="F69" s="83"/>
      <c r="G69" s="83"/>
      <c r="H69" s="83"/>
      <c r="I69" s="83"/>
    </row>
  </sheetData>
  <sheetProtection/>
  <mergeCells count="16">
    <mergeCell ref="E36:F36"/>
    <mergeCell ref="E37:F37"/>
    <mergeCell ref="E30:F30"/>
    <mergeCell ref="C43:C44"/>
    <mergeCell ref="D43:D44"/>
    <mergeCell ref="G43:G44"/>
    <mergeCell ref="H43:H44"/>
    <mergeCell ref="D53:D54"/>
    <mergeCell ref="E53:E54"/>
    <mergeCell ref="F53:F54"/>
    <mergeCell ref="M37:Q37"/>
    <mergeCell ref="E31:F31"/>
    <mergeCell ref="E32:F32"/>
    <mergeCell ref="E33:F33"/>
    <mergeCell ref="E34:F34"/>
    <mergeCell ref="E35:F35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0.710937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45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f>18000/PI()/1100.8036</f>
        <v>5.204904808912537</v>
      </c>
      <c r="C6" s="2"/>
      <c r="D6" s="2" t="s">
        <v>10</v>
      </c>
      <c r="E6" s="2"/>
      <c r="F6" s="2"/>
      <c r="G6" s="2"/>
      <c r="H6" s="2"/>
      <c r="I6" s="14">
        <f>COUNTIF($K$39:$K$82,B6)</f>
        <v>0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1100.8035999407803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5</v>
      </c>
      <c r="J7" s="17">
        <f>VLOOKUP(I7,$K$38:$Q$81,IF($B$5=25,3,IF($B$5=30,4,IF($B$5=35,5,IF($B$5=40,6,IF($B$5=45,7,8))))),TRUE)</f>
        <v>0.051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5.5</v>
      </c>
      <c r="J8" s="17">
        <f>VLOOKUP(I8,$K$38:$Q$81,IF($B$5=25,3,IF($B$5=30,4,IF($B$5=35,5,IF($B$5=40,6,IF($B$5=45,7,8))))),TRUE)</f>
        <v>0.053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0.05181961923565014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7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0.05181961923565014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0.54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185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230.07910940628662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69.264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101414.161307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101589.04073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/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101184.9352495956</v>
      </c>
      <c r="C30" s="96">
        <v>-0.016</v>
      </c>
      <c r="D30" s="68"/>
      <c r="E30" s="117" t="s">
        <v>71</v>
      </c>
      <c r="F30" s="117"/>
      <c r="G30" s="90">
        <f>B37-B33</f>
        <v>18.212756333334255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101257.49464033333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0.03454641282376827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101330.05403107106</v>
      </c>
      <c r="C32" s="96">
        <v>0.016</v>
      </c>
      <c r="D32" s="68"/>
      <c r="E32" s="122" t="s">
        <v>78</v>
      </c>
      <c r="F32" s="122"/>
      <c r="G32" s="95">
        <f>G31/$B$11</f>
        <v>0.6666666666666957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101492.49464033333</v>
      </c>
      <c r="C33" s="96">
        <f>$B$11</f>
        <v>0.05181961923565014</v>
      </c>
      <c r="D33" s="68"/>
      <c r="E33" s="117" t="s">
        <v>72</v>
      </c>
      <c r="F33" s="117"/>
      <c r="G33" s="28">
        <f>IF($D$25="yes",$C$37-($B23-$B$37)*$G$37,$C$37-($B23-$B$37)/CEILING($B$16,5)*$B$11)</f>
        <v>0.03454641282376783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0.6666666666666873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235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72.55939073773138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101510.70739666666</v>
      </c>
      <c r="C37" s="96">
        <f>$B$11</f>
        <v>0.05181961923565014</v>
      </c>
      <c r="D37" s="68"/>
      <c r="E37" s="117" t="s">
        <v>81</v>
      </c>
      <c r="F37" s="117"/>
      <c r="G37" s="97">
        <f>B11/G35</f>
        <v>0.00022050901802404317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101673.14800592893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101745.70739666666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101818.2667874044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101438.89311717766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101393.54349796657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101492.49464033333</v>
      </c>
      <c r="C46" s="28">
        <f>IF($C$33&gt;0.04,$C$33,"")</f>
        <v>0.05181961923565014</v>
      </c>
      <c r="D46" s="32">
        <f>IF(C46="","",C46)</f>
        <v>0.05181961923565014</v>
      </c>
      <c r="E46" s="68"/>
      <c r="F46" s="78">
        <f>IF(G46="","",$B$33)</f>
        <v>101492.49464033333</v>
      </c>
      <c r="G46" s="28">
        <f>IF($C$33&gt;0.03,$C$33,"")</f>
        <v>0.05181961923565014</v>
      </c>
      <c r="H46" s="32">
        <f>IF(G46="","",0.07-G46)</f>
        <v>0.018180380764349864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101510.70739666666</v>
      </c>
      <c r="C48" s="28">
        <f>IF($B$11&lt;0.04,"",$B$11)</f>
        <v>0.05181961923565014</v>
      </c>
      <c r="D48" s="32">
        <f>IF(C48="","",C48)</f>
        <v>0.05181961923565014</v>
      </c>
      <c r="E48" s="68"/>
      <c r="F48" s="78">
        <f>IF(G48="","",$B$37)</f>
        <v>101510.70739666666</v>
      </c>
      <c r="G48" s="28">
        <f>IF($B$11&lt;0.03,"",$B$11)</f>
        <v>0.05181961923565014</v>
      </c>
      <c r="H48" s="32">
        <f>IF(G48="","",0.07-G48)</f>
        <v>0.018180380764349864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101564.30891982233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101609.65853903342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0.281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25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26</v>
      </c>
      <c r="C6" s="2"/>
      <c r="D6" s="2" t="s">
        <v>10</v>
      </c>
      <c r="E6" s="2"/>
      <c r="F6" s="2"/>
      <c r="G6" s="2"/>
      <c r="H6" s="2"/>
      <c r="I6" s="14">
        <f>COUNTIF($K$39:$K$82,B6)</f>
        <v>0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220.36838273076924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25</v>
      </c>
      <c r="J7" s="17">
        <f>VLOOKUP(I7,$K$38:$Q$81,IF($B$5=25,3,IF($B$5=30,4,IF($B$5=35,5,IF($B$5=40,6,IF($B$5=45,7,8))))),TRUE)</f>
        <v>0.055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12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28</v>
      </c>
      <c r="J8" s="17">
        <f>VLOOKUP(I8,$K$38:$Q$81,IF($B$5=25,3,IF($B$5=30,4,IF($B$5=35,5,IF($B$5=40,6,IF($B$5=45,7,8))))),TRUE)</f>
        <v>0.057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0.05566666666666667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2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27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0.05566666666666667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0.7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143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191.048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53.539199999999994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50000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50344.717695</v>
      </c>
      <c r="C23" s="68"/>
      <c r="D23" s="68" t="s">
        <v>50</v>
      </c>
      <c r="E23" s="65" t="s">
        <v>51</v>
      </c>
      <c r="F23" s="68" t="s">
        <v>83</v>
      </c>
      <c r="G23" s="68"/>
      <c r="H23" s="70">
        <v>0.5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>
        <f>IF($E$23="no","Is there a spiral for super transition at the end of this curve? (yes or no)","")</f>
      </c>
      <c r="B26" s="71"/>
      <c r="C26" s="68"/>
      <c r="D26" s="65"/>
      <c r="E26" s="65"/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49813.95209580838</v>
      </c>
      <c r="C30" s="96">
        <v>-0.016</v>
      </c>
      <c r="D30" s="68"/>
      <c r="E30" s="117" t="s">
        <v>71</v>
      </c>
      <c r="F30" s="117"/>
      <c r="G30" s="90">
        <f>B37-B33</f>
        <v>214.71769499999937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49870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0.03711111111111167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49926.04790419162</v>
      </c>
      <c r="C32" s="96">
        <v>0.016</v>
      </c>
      <c r="D32" s="68"/>
      <c r="E32" s="122" t="s">
        <v>78</v>
      </c>
      <c r="F32" s="122"/>
      <c r="G32" s="95">
        <f>G31/$B$11</f>
        <v>0.6666666666666767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50065</v>
      </c>
      <c r="C33" s="96">
        <f>$B$11</f>
        <v>0.05566666666666667</v>
      </c>
      <c r="D33" s="68"/>
      <c r="E33" s="117" t="s">
        <v>72</v>
      </c>
      <c r="F33" s="117"/>
      <c r="G33" s="28">
        <f>IF($D$25="yes",$C$37-($B23-$B$37)*$G$37,$C$37-($B23-$B$37)/CEILING($B$16,5)*$B$11)</f>
        <v>0.03711111111111111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0.6666666666666666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195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56.047904191616766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50279.717695</v>
      </c>
      <c r="C37" s="96">
        <f>$B$11</f>
        <v>0.05566666666666667</v>
      </c>
      <c r="D37" s="68"/>
      <c r="E37" s="117" t="s">
        <v>81</v>
      </c>
      <c r="F37" s="117"/>
      <c r="G37" s="97">
        <f>B11/G35</f>
        <v>0.0002854700854700855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  <v>50418.66979080838</v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50474.717695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50530.76559919162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  <v>50010.11976047904</v>
      </c>
      <c r="C45" s="28">
        <f>IF($C$33&gt;=0.04,0.04,"")</f>
        <v>0.04</v>
      </c>
      <c r="D45" s="32">
        <f>IF(C45="","",C45)</f>
        <v>0.04</v>
      </c>
      <c r="E45" s="68"/>
      <c r="F45" s="78">
        <f>IF(G45="","",$B$33-($B$11-G45)/$B$11*$G$35)</f>
        <v>49975.08982035928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  <v>50065</v>
      </c>
      <c r="C46" s="28">
        <f>IF($C$33&gt;0.04,$C$33,"")</f>
        <v>0.05566666666666667</v>
      </c>
      <c r="D46" s="32">
        <f>IF(C46="","",C46)</f>
        <v>0.05566666666666667</v>
      </c>
      <c r="E46" s="68"/>
      <c r="F46" s="78">
        <f>IF(G46="","",$B$33)</f>
        <v>50065</v>
      </c>
      <c r="G46" s="28">
        <f>IF($C$33&gt;0.03,$C$33,"")</f>
        <v>0.05566666666666667</v>
      </c>
      <c r="H46" s="32">
        <f>IF(G46="","",0.07-G46)</f>
        <v>0.014333333333333337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  <v>50279.717695</v>
      </c>
      <c r="C48" s="28">
        <f>IF($B$11&lt;0.04,"",$B$11)</f>
        <v>0.05566666666666667</v>
      </c>
      <c r="D48" s="32">
        <f>IF(C48="","",C48)</f>
        <v>0.05566666666666667</v>
      </c>
      <c r="E48" s="68"/>
      <c r="F48" s="78">
        <f>IF(G48="","",$B$37)</f>
        <v>50279.717695</v>
      </c>
      <c r="G48" s="28">
        <f>IF($B$11&lt;0.03,"",$B$11)</f>
        <v>0.05566666666666667</v>
      </c>
      <c r="H48" s="32">
        <f>IF(G48="","",0.07-G48)</f>
        <v>0.014333333333333337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  <v>50334.597934520956</v>
      </c>
      <c r="C49" s="28">
        <f>IF($B$11&gt;0.04,0.04,"")</f>
        <v>0.04</v>
      </c>
      <c r="D49" s="32">
        <f>IF(C49="","",C49)</f>
        <v>0.04</v>
      </c>
      <c r="E49" s="68"/>
      <c r="F49" s="78">
        <f>IF(G49="","",$B$37+($B$11-G49)/$B$11*$G$35)</f>
        <v>50369.62787464072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0:F30"/>
    <mergeCell ref="C43:C44"/>
    <mergeCell ref="D43:D44"/>
    <mergeCell ref="E31:F31"/>
    <mergeCell ref="E32:F32"/>
    <mergeCell ref="E33:F33"/>
    <mergeCell ref="E34:F34"/>
    <mergeCell ref="E35:F35"/>
    <mergeCell ref="E36:F36"/>
    <mergeCell ref="G43:G44"/>
    <mergeCell ref="H43:H44"/>
    <mergeCell ref="D53:D54"/>
    <mergeCell ref="E53:E54"/>
    <mergeCell ref="F53:F54"/>
    <mergeCell ref="M35:Q35"/>
    <mergeCell ref="E37:F37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0.8515625" style="0" customWidth="1"/>
    <col min="2" max="2" width="13.421875" style="0" customWidth="1"/>
    <col min="3" max="4" width="12.140625" style="0" customWidth="1"/>
    <col min="5" max="5" width="11.8515625" style="0" customWidth="1"/>
    <col min="6" max="6" width="12.8515625" style="0" customWidth="1"/>
    <col min="7" max="7" width="10.8515625" style="0" customWidth="1"/>
    <col min="8" max="8" width="11.7109375" style="0" customWidth="1"/>
    <col min="9" max="10" width="9.57421875" style="0" bestFit="1" customWidth="1"/>
    <col min="11" max="11" width="16.421875" style="0" customWidth="1"/>
    <col min="12" max="13" width="9.57421875" style="0" bestFit="1" customWidth="1"/>
    <col min="14" max="15" width="9.421875" style="0" bestFit="1" customWidth="1"/>
    <col min="16" max="16" width="9.28125" style="0" bestFit="1" customWidth="1"/>
    <col min="19" max="20" width="9.57421875" style="0" bestFit="1" customWidth="1"/>
  </cols>
  <sheetData>
    <row r="1" spans="1:18" ht="15.7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  <c r="R2" s="2"/>
    </row>
    <row r="3" spans="1:18" ht="12.75">
      <c r="A3" s="4" t="s">
        <v>2</v>
      </c>
      <c r="B3" s="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3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6" t="s">
        <v>4</v>
      </c>
      <c r="L4" s="7"/>
      <c r="M4" s="7"/>
      <c r="N4" s="2"/>
      <c r="O4" s="2"/>
      <c r="P4" s="2"/>
      <c r="Q4" s="2"/>
      <c r="R4" s="2"/>
    </row>
    <row r="5" spans="1:18" ht="13.5" thickTop="1">
      <c r="A5" s="8" t="s">
        <v>5</v>
      </c>
      <c r="B5" s="9">
        <v>45</v>
      </c>
      <c r="C5" s="2" t="s">
        <v>6</v>
      </c>
      <c r="D5" s="2" t="s">
        <v>7</v>
      </c>
      <c r="E5" s="2"/>
      <c r="F5" s="2"/>
      <c r="G5" s="2"/>
      <c r="H5" s="2"/>
      <c r="I5" s="2"/>
      <c r="J5" s="2"/>
      <c r="K5" s="10"/>
      <c r="L5" s="11" t="s">
        <v>8</v>
      </c>
      <c r="M5" s="12" t="s">
        <v>8</v>
      </c>
      <c r="N5" s="2"/>
      <c r="O5" s="2"/>
      <c r="P5" s="2"/>
      <c r="Q5" s="2"/>
      <c r="R5" s="2"/>
    </row>
    <row r="6" spans="1:18" ht="12.75">
      <c r="A6" s="8" t="s">
        <v>9</v>
      </c>
      <c r="B6" s="13">
        <v>2.5</v>
      </c>
      <c r="C6" s="2"/>
      <c r="D6" s="2" t="s">
        <v>10</v>
      </c>
      <c r="E6" s="2"/>
      <c r="F6" s="2"/>
      <c r="G6" s="2"/>
      <c r="H6" s="2"/>
      <c r="I6" s="14">
        <f>COUNTIF($K$39:$K$82,B6)</f>
        <v>1</v>
      </c>
      <c r="J6" s="14"/>
      <c r="K6" s="10"/>
      <c r="L6" s="11" t="s">
        <v>11</v>
      </c>
      <c r="M6" s="12" t="s">
        <v>11</v>
      </c>
      <c r="N6" s="2"/>
      <c r="O6" s="2"/>
      <c r="P6" s="2"/>
      <c r="Q6" s="2"/>
      <c r="R6" s="2"/>
    </row>
    <row r="7" spans="1:18" ht="12.75">
      <c r="A7" s="15" t="s">
        <v>12</v>
      </c>
      <c r="B7" s="16">
        <f>5729.577951/B6</f>
        <v>2291.8311804</v>
      </c>
      <c r="C7" s="2" t="s">
        <v>13</v>
      </c>
      <c r="D7" s="2" t="s">
        <v>14</v>
      </c>
      <c r="E7" s="2"/>
      <c r="F7" s="2"/>
      <c r="G7" s="2"/>
      <c r="H7" s="2"/>
      <c r="I7" s="14">
        <f>LOOKUP(B6,$K$39:$K$82)</f>
        <v>2.5</v>
      </c>
      <c r="J7" s="17">
        <f>VLOOKUP(I7,$K$38:$Q$81,IF($B$5=25,3,IF($B$5=30,4,IF($B$5=35,5,IF($B$5=40,6,IF($B$5=45,7,8))))),TRUE)</f>
        <v>0.035</v>
      </c>
      <c r="K7" s="18" t="s">
        <v>15</v>
      </c>
      <c r="L7" s="11" t="s">
        <v>16</v>
      </c>
      <c r="M7" s="12" t="s">
        <v>17</v>
      </c>
      <c r="N7" s="2"/>
      <c r="O7" s="2"/>
      <c r="P7" s="2"/>
      <c r="Q7" s="2"/>
      <c r="R7" s="2"/>
    </row>
    <row r="8" spans="1:18" ht="13.5" thickBot="1">
      <c r="A8" s="15" t="s">
        <v>18</v>
      </c>
      <c r="B8" s="9">
        <v>16</v>
      </c>
      <c r="C8" s="2" t="s">
        <v>13</v>
      </c>
      <c r="D8" s="2"/>
      <c r="E8" s="2"/>
      <c r="F8" s="2"/>
      <c r="G8" s="2"/>
      <c r="H8" s="2"/>
      <c r="I8" s="19">
        <f>IF(I7&gt;0.99,IF(I7&gt;14.99,IF(I7&gt;17.99,IF(I7&gt;21.99,IF(I7&gt;22.99,IF(I7&gt;24.99,IF(I7&gt;33.99,I10,I7+3),I7+2),I7+1),I7+2),I7+1.5),I7+0.5),I7+0.25)</f>
        <v>3</v>
      </c>
      <c r="J8" s="17">
        <f>VLOOKUP(I8,$K$38:$Q$81,IF($B$5=25,3,IF($B$5=30,4,IF($B$5=35,5,IF($B$5=40,6,IF($B$5=45,7,8))))),TRUE)</f>
        <v>0.039</v>
      </c>
      <c r="K8" s="20" t="s">
        <v>19</v>
      </c>
      <c r="L8" s="21" t="s">
        <v>20</v>
      </c>
      <c r="M8" s="22" t="s">
        <v>21</v>
      </c>
      <c r="N8" s="2"/>
      <c r="O8" s="2"/>
      <c r="P8" s="2"/>
      <c r="Q8" s="2"/>
      <c r="R8" s="2"/>
    </row>
    <row r="9" spans="1:18" ht="12.75">
      <c r="A9" s="8"/>
      <c r="B9" s="9" t="s">
        <v>51</v>
      </c>
      <c r="C9" s="2" t="s">
        <v>22</v>
      </c>
      <c r="D9" s="2" t="s">
        <v>23</v>
      </c>
      <c r="E9" s="2"/>
      <c r="F9" s="2"/>
      <c r="G9" s="2"/>
      <c r="H9" s="2"/>
      <c r="I9" s="14"/>
      <c r="J9" s="23">
        <f>J8-(((I8-B6)/(I8-I7))*(J8-J7))</f>
        <v>0.035</v>
      </c>
      <c r="K9" s="24">
        <v>20</v>
      </c>
      <c r="L9" s="25">
        <v>0.74</v>
      </c>
      <c r="M9" s="26">
        <v>135</v>
      </c>
      <c r="N9" s="2"/>
      <c r="O9" s="2"/>
      <c r="P9" s="2"/>
      <c r="Q9" s="2"/>
      <c r="R9" s="2"/>
    </row>
    <row r="10" spans="1:18" ht="12.75">
      <c r="A10" s="8" t="s">
        <v>24</v>
      </c>
      <c r="B10" s="9">
        <v>1</v>
      </c>
      <c r="C10" s="2" t="s">
        <v>25</v>
      </c>
      <c r="D10" s="2"/>
      <c r="E10" s="2"/>
      <c r="F10" s="2"/>
      <c r="G10" s="2"/>
      <c r="H10" s="2"/>
      <c r="I10" s="2">
        <f>IF(I7&gt;37.99,IF(I7&gt;39.5,"n/a",I7+1.5),I7+2)</f>
        <v>4.5</v>
      </c>
      <c r="J10" s="2"/>
      <c r="K10" s="24">
        <v>25</v>
      </c>
      <c r="L10" s="25">
        <v>0.7</v>
      </c>
      <c r="M10" s="26">
        <v>143</v>
      </c>
      <c r="N10" s="2"/>
      <c r="O10" s="2"/>
      <c r="P10" s="2"/>
      <c r="Q10" s="2"/>
      <c r="R10" s="2"/>
    </row>
    <row r="11" spans="1:18" ht="12.75">
      <c r="A11" s="27" t="s">
        <v>26</v>
      </c>
      <c r="B11" s="28">
        <f>IF(I6=1,VLOOKUP(B6,$K$38:$Q$81,IF($B$5=25,3,IF($B$5=30,4,IF($B$5=35,5,IF($B$5=40,6,IF($B$5=45,7,8))))),TRUE),J9)</f>
        <v>0.035</v>
      </c>
      <c r="C11" s="2"/>
      <c r="D11" s="29" t="s">
        <v>27</v>
      </c>
      <c r="E11" s="2"/>
      <c r="F11" s="2"/>
      <c r="G11" s="2"/>
      <c r="H11" s="2"/>
      <c r="I11" s="2"/>
      <c r="J11" s="2"/>
      <c r="K11" s="24">
        <v>30</v>
      </c>
      <c r="L11" s="25">
        <v>0.66</v>
      </c>
      <c r="M11" s="26">
        <v>152</v>
      </c>
      <c r="N11" s="2"/>
      <c r="O11" s="2"/>
      <c r="P11" s="2"/>
      <c r="Q11" s="2"/>
      <c r="R11" s="2"/>
    </row>
    <row r="12" spans="1:18" ht="12.75">
      <c r="A12" s="15" t="s">
        <v>28</v>
      </c>
      <c r="B12" s="30">
        <f>VLOOKUP(B10,$K$25:$M$30,IF($B$9="yes",2,3))</f>
        <v>1</v>
      </c>
      <c r="C12" s="2"/>
      <c r="D12" s="2" t="s">
        <v>29</v>
      </c>
      <c r="E12" s="2"/>
      <c r="F12" s="2"/>
      <c r="G12" s="2"/>
      <c r="H12" s="2"/>
      <c r="I12" s="2"/>
      <c r="J12" s="2"/>
      <c r="K12" s="24">
        <v>35</v>
      </c>
      <c r="L12" s="25">
        <v>0.62</v>
      </c>
      <c r="M12" s="26">
        <v>161</v>
      </c>
      <c r="N12" s="2"/>
      <c r="O12" s="2"/>
      <c r="P12" s="2"/>
      <c r="Q12" s="2"/>
      <c r="R12" s="2"/>
    </row>
    <row r="13" spans="1:18" ht="12.75">
      <c r="A13" s="15" t="s">
        <v>30</v>
      </c>
      <c r="B13" s="30">
        <f>VLOOKUP(B5,$K$9:$M$19,2,TRUE)</f>
        <v>0.54</v>
      </c>
      <c r="C13" s="2"/>
      <c r="D13" s="2" t="s">
        <v>31</v>
      </c>
      <c r="E13" s="2"/>
      <c r="F13" s="2"/>
      <c r="G13" s="2"/>
      <c r="H13" s="2"/>
      <c r="I13" s="2"/>
      <c r="J13" s="2"/>
      <c r="K13" s="24">
        <v>40</v>
      </c>
      <c r="L13" s="25">
        <v>0.58</v>
      </c>
      <c r="M13" s="26">
        <v>172</v>
      </c>
      <c r="N13" s="2"/>
      <c r="O13" s="2"/>
      <c r="P13" s="2"/>
      <c r="Q13" s="2"/>
      <c r="R13" s="2"/>
    </row>
    <row r="14" spans="1:18" ht="12.75">
      <c r="A14" s="15" t="s">
        <v>32</v>
      </c>
      <c r="B14" s="30">
        <f>VLOOKUP(B5,$K9:M19,3,TRUE)</f>
        <v>185</v>
      </c>
      <c r="C14" s="2"/>
      <c r="D14" s="2" t="s">
        <v>33</v>
      </c>
      <c r="E14" s="2"/>
      <c r="F14" s="2"/>
      <c r="G14" s="2"/>
      <c r="H14" s="2"/>
      <c r="I14" s="2"/>
      <c r="J14" s="2"/>
      <c r="K14" s="24">
        <v>45</v>
      </c>
      <c r="L14" s="25">
        <v>0.54</v>
      </c>
      <c r="M14" s="26">
        <v>185</v>
      </c>
      <c r="N14" s="2"/>
      <c r="O14" s="2"/>
      <c r="P14" s="2"/>
      <c r="Q14" s="2"/>
      <c r="R14" s="2"/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4">
        <v>50</v>
      </c>
      <c r="L15" s="25">
        <v>0.5</v>
      </c>
      <c r="M15" s="26">
        <v>200</v>
      </c>
      <c r="N15" s="2"/>
      <c r="O15" s="2"/>
      <c r="P15" s="2"/>
      <c r="Q15" s="2"/>
      <c r="R15" s="2"/>
    </row>
    <row r="16" spans="1:18" ht="12.75">
      <c r="A16" s="31" t="s">
        <v>34</v>
      </c>
      <c r="B16" s="32">
        <f>((($B$8*$B$10)*($B$11))*($B$14)*($B$12))</f>
        <v>103.60000000000001</v>
      </c>
      <c r="C16" s="33" t="s">
        <v>13</v>
      </c>
      <c r="D16" s="33" t="s">
        <v>35</v>
      </c>
      <c r="E16" s="33"/>
      <c r="F16" s="33"/>
      <c r="G16" s="2"/>
      <c r="H16" s="2"/>
      <c r="I16" s="2"/>
      <c r="J16" s="2"/>
      <c r="K16" s="24">
        <v>55</v>
      </c>
      <c r="L16" s="25">
        <v>0.47</v>
      </c>
      <c r="M16" s="26">
        <v>213</v>
      </c>
      <c r="N16" s="2"/>
      <c r="O16" s="2"/>
      <c r="P16" s="2"/>
      <c r="Q16" s="2"/>
      <c r="R16" s="2"/>
    </row>
    <row r="17" spans="1:18" ht="12.75">
      <c r="A17" s="31" t="s">
        <v>36</v>
      </c>
      <c r="B17" s="32">
        <f>((0.0156)/$B$11)*B16</f>
        <v>46.176</v>
      </c>
      <c r="C17" s="33" t="s">
        <v>13</v>
      </c>
      <c r="D17" s="33" t="s">
        <v>37</v>
      </c>
      <c r="E17" s="33"/>
      <c r="F17" s="33"/>
      <c r="G17" s="2"/>
      <c r="H17" s="2"/>
      <c r="I17" s="2"/>
      <c r="J17" s="2"/>
      <c r="K17" s="24">
        <v>60</v>
      </c>
      <c r="L17" s="25">
        <v>0.45</v>
      </c>
      <c r="M17" s="26">
        <v>222</v>
      </c>
      <c r="N17" s="2"/>
      <c r="O17" s="2"/>
      <c r="P17" s="2"/>
      <c r="Q17" s="2"/>
      <c r="R17" s="2"/>
    </row>
    <row r="18" spans="1:18" ht="12.75">
      <c r="A18" s="29"/>
      <c r="B18" s="29"/>
      <c r="C18" s="29"/>
      <c r="D18" s="29"/>
      <c r="E18" s="29"/>
      <c r="F18" s="29"/>
      <c r="G18" s="29"/>
      <c r="H18" s="29"/>
      <c r="I18" s="2"/>
      <c r="J18" s="2"/>
      <c r="K18" s="24">
        <v>65</v>
      </c>
      <c r="L18" s="25">
        <v>0.43</v>
      </c>
      <c r="M18" s="26">
        <v>233</v>
      </c>
      <c r="N18" s="2"/>
      <c r="O18" s="2"/>
      <c r="P18" s="2"/>
      <c r="Q18" s="2"/>
      <c r="R18" s="2"/>
    </row>
    <row r="19" spans="1:18" ht="13.5" thickBot="1">
      <c r="A19" s="29"/>
      <c r="B19" s="29"/>
      <c r="C19" s="29"/>
      <c r="D19" s="29"/>
      <c r="E19" s="29"/>
      <c r="F19" s="29"/>
      <c r="G19" s="29"/>
      <c r="H19" s="29"/>
      <c r="I19" s="2"/>
      <c r="J19" s="2"/>
      <c r="K19" s="34">
        <v>70</v>
      </c>
      <c r="L19" s="35">
        <v>0.4</v>
      </c>
      <c r="M19" s="36">
        <v>250</v>
      </c>
      <c r="N19" s="2"/>
      <c r="O19" s="2"/>
      <c r="P19" s="2"/>
      <c r="Q19" s="2"/>
      <c r="R19" s="2"/>
    </row>
    <row r="20" spans="1:18" ht="13.5" thickTop="1">
      <c r="A20" s="68" t="s">
        <v>82</v>
      </c>
      <c r="B20" s="71"/>
      <c r="C20" s="65" t="s">
        <v>66</v>
      </c>
      <c r="D20" s="45"/>
      <c r="E20" s="45"/>
      <c r="F20" s="45"/>
      <c r="G20" s="45"/>
      <c r="H20" s="45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9"/>
      <c r="B21" s="29"/>
      <c r="C21" s="29"/>
      <c r="D21" s="29"/>
      <c r="E21" s="67" t="s">
        <v>49</v>
      </c>
      <c r="F21" s="29"/>
      <c r="G21" s="29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thickBot="1">
      <c r="A22" s="68" t="str">
        <f>IF($C$20="yes","ERROR: SPREADSHEET NOT VALID","P.C. Station")</f>
        <v>P.C. Station</v>
      </c>
      <c r="B22" s="69">
        <v>50851.234917</v>
      </c>
      <c r="C22" s="68"/>
      <c r="D22" s="68" t="s">
        <v>50</v>
      </c>
      <c r="E22" s="65" t="s">
        <v>51</v>
      </c>
      <c r="F22" s="68" t="s">
        <v>83</v>
      </c>
      <c r="G22" s="68"/>
      <c r="H22" s="70">
        <v>0</v>
      </c>
      <c r="I22" s="2"/>
      <c r="J22" s="2"/>
      <c r="K22" s="37" t="s">
        <v>38</v>
      </c>
      <c r="L22" s="2"/>
      <c r="M22" s="2"/>
      <c r="N22" s="2"/>
      <c r="O22" s="2"/>
      <c r="P22" s="2"/>
      <c r="Q22" s="2"/>
      <c r="R22" s="2"/>
    </row>
    <row r="23" spans="1:18" ht="13.5" thickTop="1">
      <c r="A23" s="68" t="str">
        <f>IF($C$20="yes","ERROR: SPREADSHEET NOT VALID","P.T. Station")</f>
        <v>P.T. Station</v>
      </c>
      <c r="B23" s="69">
        <v>51101.234942</v>
      </c>
      <c r="C23" s="68"/>
      <c r="D23" s="68" t="s">
        <v>50</v>
      </c>
      <c r="E23" s="65" t="s">
        <v>66</v>
      </c>
      <c r="F23" s="68" t="s">
        <v>83</v>
      </c>
      <c r="G23" s="68"/>
      <c r="H23" s="70">
        <v>1</v>
      </c>
      <c r="I23" s="2"/>
      <c r="J23" s="2"/>
      <c r="K23" s="38" t="s">
        <v>39</v>
      </c>
      <c r="L23" s="39" t="s">
        <v>40</v>
      </c>
      <c r="M23" s="40" t="s">
        <v>41</v>
      </c>
      <c r="N23" s="2"/>
      <c r="O23" s="2"/>
      <c r="P23" s="2"/>
      <c r="Q23" s="2"/>
      <c r="R23" s="2"/>
    </row>
    <row r="24" spans="1:18" ht="13.5" thickBot="1">
      <c r="A24" s="94">
        <f>IF($C$20="yes","ERROR: SPREADSHEET NOT VALID; ERROR SPREADSHEET NOT VALID; ERROR: SPREADSHEET NOT VALID; ERROR: SPREADSHEET NOT VALID","")</f>
      </c>
      <c r="B24" s="69"/>
      <c r="C24" s="68"/>
      <c r="D24" s="68"/>
      <c r="E24" s="65"/>
      <c r="F24" s="68"/>
      <c r="G24" s="68"/>
      <c r="H24" s="70"/>
      <c r="I24" s="2"/>
      <c r="J24" s="2"/>
      <c r="K24" s="20" t="s">
        <v>42</v>
      </c>
      <c r="L24" s="21" t="s">
        <v>43</v>
      </c>
      <c r="M24" s="22" t="s">
        <v>43</v>
      </c>
      <c r="N24" s="2"/>
      <c r="O24" s="2"/>
      <c r="P24" s="2"/>
      <c r="Q24" s="2"/>
      <c r="R24" s="2"/>
    </row>
    <row r="25" spans="1:18" ht="12.75">
      <c r="A25" s="68" t="s">
        <v>52</v>
      </c>
      <c r="B25" s="71"/>
      <c r="C25" s="68"/>
      <c r="D25" s="65" t="s">
        <v>51</v>
      </c>
      <c r="E25" s="72"/>
      <c r="F25" s="68"/>
      <c r="G25" s="68"/>
      <c r="H25" s="73"/>
      <c r="I25" s="2"/>
      <c r="J25" s="2"/>
      <c r="K25" s="41">
        <v>1</v>
      </c>
      <c r="L25" s="25">
        <v>1</v>
      </c>
      <c r="M25" s="42">
        <v>1</v>
      </c>
      <c r="N25" s="2"/>
      <c r="O25" s="2"/>
      <c r="P25" s="2"/>
      <c r="Q25" s="2"/>
      <c r="R25" s="2"/>
    </row>
    <row r="26" spans="1:18" ht="12.75">
      <c r="A26" s="68" t="str">
        <f>IF($E$23="no","Is there a spiral for super transition at the end of this curve? (yes or no)","")</f>
        <v>Is there a spiral for super transition at the end of this curve? (yes or no)</v>
      </c>
      <c r="B26" s="71"/>
      <c r="C26" s="68"/>
      <c r="D26" s="65"/>
      <c r="E26" s="65" t="s">
        <v>51</v>
      </c>
      <c r="G26" s="68"/>
      <c r="H26" s="73"/>
      <c r="K26" s="41">
        <v>1.5</v>
      </c>
      <c r="L26" s="25">
        <v>1</v>
      </c>
      <c r="M26" s="42">
        <v>0.83</v>
      </c>
      <c r="N26" s="2"/>
      <c r="O26" s="2"/>
      <c r="P26" s="2"/>
      <c r="Q26" s="2"/>
      <c r="R26" s="2"/>
    </row>
    <row r="27" spans="1:18" ht="12.75">
      <c r="A27" s="94">
        <f>IF($C$20="yes","ERROR: SPREADSHEET NOT VALID; ERROR SPREADSHEET NOT VALID; ERROR: SPREADSHEET NOT VALID; ERROR: SPREADSHEET NOT VALID","")</f>
      </c>
      <c r="B27" s="74"/>
      <c r="C27" s="68"/>
      <c r="D27" s="68"/>
      <c r="E27" s="68"/>
      <c r="F27" s="68"/>
      <c r="G27" s="68"/>
      <c r="H27" s="68"/>
      <c r="K27" s="41">
        <v>2</v>
      </c>
      <c r="L27" s="25">
        <v>1</v>
      </c>
      <c r="M27" s="42">
        <v>0.75</v>
      </c>
      <c r="N27" s="2"/>
      <c r="O27" s="2"/>
      <c r="P27" s="2"/>
      <c r="Q27" s="2"/>
      <c r="R27" s="2"/>
    </row>
    <row r="28" spans="1:18" ht="12.75">
      <c r="A28" s="75" t="s">
        <v>53</v>
      </c>
      <c r="B28" s="76"/>
      <c r="C28" s="68"/>
      <c r="D28" s="68"/>
      <c r="E28" s="75" t="s">
        <v>70</v>
      </c>
      <c r="F28" s="75"/>
      <c r="G28" s="89"/>
      <c r="H28" s="68"/>
      <c r="K28" s="41">
        <v>2.5</v>
      </c>
      <c r="L28" s="25">
        <v>1</v>
      </c>
      <c r="M28" s="42">
        <v>0.7</v>
      </c>
      <c r="N28" s="2"/>
      <c r="O28" s="2"/>
      <c r="P28" s="2"/>
      <c r="Q28" s="2"/>
      <c r="R28" s="2"/>
    </row>
    <row r="29" spans="1:18" ht="12.75">
      <c r="A29" s="68"/>
      <c r="B29" s="77" t="s">
        <v>54</v>
      </c>
      <c r="C29" s="77" t="s">
        <v>55</v>
      </c>
      <c r="D29" s="68"/>
      <c r="E29" s="68"/>
      <c r="F29" s="68"/>
      <c r="G29" s="68"/>
      <c r="H29" s="68"/>
      <c r="K29" s="41">
        <v>3</v>
      </c>
      <c r="L29" s="25">
        <v>1</v>
      </c>
      <c r="M29" s="42">
        <v>0.67</v>
      </c>
      <c r="N29" s="2"/>
      <c r="O29" s="2"/>
      <c r="P29" s="2"/>
      <c r="Q29" s="2"/>
      <c r="R29" s="2"/>
    </row>
    <row r="30" spans="1:18" ht="13.5" thickBot="1">
      <c r="A30" s="27" t="s">
        <v>56</v>
      </c>
      <c r="B30" s="78">
        <f>IF($D$25="yes",IF($E$22="yes",$B$22-($G$35*2/3)+($C$30*$G$35/$B$11),$B$22-($G$35*$H$22)+($C$30*$G$35/$B$11)),"")</f>
        <v>50733.234917</v>
      </c>
      <c r="C30" s="96">
        <v>-0.016</v>
      </c>
      <c r="D30" s="68"/>
      <c r="E30" s="117" t="s">
        <v>71</v>
      </c>
      <c r="F30" s="117"/>
      <c r="G30" s="90">
        <f>B37-B33</f>
        <v>215.0000250000012</v>
      </c>
      <c r="H30" s="68"/>
      <c r="K30" s="43">
        <v>3.5</v>
      </c>
      <c r="L30" s="35">
        <v>1</v>
      </c>
      <c r="M30" s="44">
        <v>0.64</v>
      </c>
      <c r="N30" s="2"/>
      <c r="O30" s="2"/>
      <c r="P30" s="2"/>
      <c r="Q30" s="2"/>
      <c r="R30" s="2"/>
    </row>
    <row r="31" spans="1:18" ht="13.5" thickTop="1">
      <c r="A31" s="27" t="s">
        <v>57</v>
      </c>
      <c r="B31" s="78">
        <f>IF($D$25="yes",IF($E$22="yes",$B$22-(2*$G$35/3),$B$22-($G$35*$H$22)),"")</f>
        <v>50781.234917</v>
      </c>
      <c r="C31" s="96">
        <v>0</v>
      </c>
      <c r="D31" s="68"/>
      <c r="E31" s="117" t="s">
        <v>73</v>
      </c>
      <c r="F31" s="117"/>
      <c r="G31" s="28">
        <f>IF($D$25="yes",$C$30+($B22-$B$30)/CEILING($B$16,5)*$B$11,$C$32+($B22-$B$32)/CEILING($B$16,5)*$B$11)</f>
        <v>0.023333333333333338</v>
      </c>
      <c r="H31" s="68"/>
      <c r="K31" s="2"/>
      <c r="L31" s="2"/>
      <c r="M31" s="2"/>
      <c r="N31" s="2"/>
      <c r="O31" s="2"/>
      <c r="P31" s="2"/>
      <c r="Q31" s="2"/>
      <c r="R31" s="2"/>
    </row>
    <row r="32" spans="1:18" ht="12.75">
      <c r="A32" s="27" t="s">
        <v>58</v>
      </c>
      <c r="B32" s="78">
        <f>IF($E$22="yes",$B$22-($G$35*2/3)+($C$32*$G$35/$B$11),IF($D$25="yes",$B$22-($G$35*$H$22)+($C$32*$G$35/$B$11),$B$33-($G$35*($B$11-$C$32)/$B$11)))</f>
        <v>50829.234917</v>
      </c>
      <c r="C32" s="96">
        <v>0.016</v>
      </c>
      <c r="D32" s="68"/>
      <c r="E32" s="122" t="s">
        <v>78</v>
      </c>
      <c r="F32" s="122"/>
      <c r="G32" s="95">
        <f>G31/$B$11</f>
        <v>0.6666666666666667</v>
      </c>
      <c r="H32" s="68"/>
      <c r="K32" s="2"/>
      <c r="L32" s="2"/>
      <c r="M32" s="2"/>
      <c r="N32" s="2"/>
      <c r="O32" s="2"/>
      <c r="P32" s="2"/>
      <c r="Q32" s="2"/>
      <c r="R32" s="2"/>
    </row>
    <row r="33" spans="1:18" ht="12.75">
      <c r="A33" s="27" t="s">
        <v>59</v>
      </c>
      <c r="B33" s="78">
        <f>IF($E$22="yes",$B$22+($G$35/3),$B$22+($G$35*(1-$H$22)))</f>
        <v>50886.234917</v>
      </c>
      <c r="C33" s="96">
        <f>$B$11</f>
        <v>0.035</v>
      </c>
      <c r="D33" s="68"/>
      <c r="E33" s="117" t="s">
        <v>72</v>
      </c>
      <c r="F33" s="117"/>
      <c r="G33" s="28">
        <f>IF($D$25="yes",$C$37-($B23-$B$37)*$G$37,$C$37-($B23-$B$37)/CEILING($B$16,5)*$B$11)</f>
        <v>0.035</v>
      </c>
      <c r="H33" s="68"/>
      <c r="K33" s="37" t="s">
        <v>44</v>
      </c>
      <c r="L33" s="2"/>
      <c r="M33" s="2"/>
      <c r="N33" s="2"/>
      <c r="O33" s="2"/>
      <c r="P33" s="2"/>
      <c r="Q33" s="2"/>
      <c r="R33" s="2"/>
    </row>
    <row r="34" spans="1:18" ht="13.5" customHeight="1" thickBot="1">
      <c r="A34" s="68"/>
      <c r="B34" s="68"/>
      <c r="C34" s="68"/>
      <c r="D34" s="68"/>
      <c r="E34" s="122" t="s">
        <v>79</v>
      </c>
      <c r="F34" s="122"/>
      <c r="G34" s="95">
        <f>G33/$B$11</f>
        <v>1</v>
      </c>
      <c r="H34" s="68"/>
      <c r="K34" s="3" t="s">
        <v>45</v>
      </c>
      <c r="L34" s="2"/>
      <c r="M34" s="2"/>
      <c r="N34" s="2"/>
      <c r="O34" s="2"/>
      <c r="P34" s="2"/>
      <c r="Q34" s="2"/>
      <c r="R34" s="2"/>
    </row>
    <row r="35" spans="1:22" ht="13.5" thickTop="1">
      <c r="A35" s="75" t="s">
        <v>60</v>
      </c>
      <c r="B35" s="75"/>
      <c r="C35" s="68"/>
      <c r="D35" s="68"/>
      <c r="E35" s="117" t="s">
        <v>75</v>
      </c>
      <c r="F35" s="117"/>
      <c r="G35" s="92">
        <f>CEILING($B$16,5)</f>
        <v>105</v>
      </c>
      <c r="H35" s="68"/>
      <c r="K35" s="46"/>
      <c r="L35" s="47"/>
      <c r="M35" s="119" t="s">
        <v>15</v>
      </c>
      <c r="N35" s="120"/>
      <c r="O35" s="120"/>
      <c r="P35" s="120"/>
      <c r="Q35" s="121"/>
      <c r="R35" s="48"/>
      <c r="S35" s="49"/>
      <c r="T35" s="49"/>
      <c r="U35" s="49"/>
      <c r="V35" s="49"/>
    </row>
    <row r="36" spans="1:22" ht="12.75" customHeight="1">
      <c r="A36" s="68"/>
      <c r="B36" s="66" t="s">
        <v>54</v>
      </c>
      <c r="C36" s="77" t="s">
        <v>55</v>
      </c>
      <c r="D36" s="68"/>
      <c r="E36" s="117" t="s">
        <v>74</v>
      </c>
      <c r="F36" s="117"/>
      <c r="G36" s="92">
        <f>CEILING($B$16,5)-CEILING($B$16,5)*($B$11-$C$32)/$B$11</f>
        <v>47.99999999999999</v>
      </c>
      <c r="H36" s="68"/>
      <c r="K36" s="50"/>
      <c r="L36" s="51"/>
      <c r="M36" s="52">
        <v>25</v>
      </c>
      <c r="N36" s="53">
        <v>30</v>
      </c>
      <c r="O36" s="53">
        <v>35</v>
      </c>
      <c r="P36" s="53">
        <v>40</v>
      </c>
      <c r="Q36" s="54">
        <v>45</v>
      </c>
      <c r="R36" s="48"/>
      <c r="S36" s="49"/>
      <c r="T36" s="49"/>
      <c r="U36" s="49"/>
      <c r="V36" s="49"/>
    </row>
    <row r="37" spans="1:22" ht="13.5" thickBot="1">
      <c r="A37" s="27" t="s">
        <v>59</v>
      </c>
      <c r="B37" s="78">
        <f>IF($E$23="yes",$B$23-($G$35/3),$B$23-($G$35*(1-$H$23)))</f>
        <v>51101.234942</v>
      </c>
      <c r="C37" s="96">
        <f>$B$11</f>
        <v>0.035</v>
      </c>
      <c r="D37" s="68"/>
      <c r="E37" s="117" t="s">
        <v>81</v>
      </c>
      <c r="F37" s="117"/>
      <c r="G37" s="97">
        <f>B11/G35</f>
        <v>0.0003333333333333334</v>
      </c>
      <c r="H37" s="68"/>
      <c r="K37" s="20" t="s">
        <v>46</v>
      </c>
      <c r="L37" s="21" t="s">
        <v>47</v>
      </c>
      <c r="M37" s="55" t="s">
        <v>48</v>
      </c>
      <c r="N37" s="56" t="s">
        <v>48</v>
      </c>
      <c r="O37" s="56" t="s">
        <v>48</v>
      </c>
      <c r="P37" s="56" t="s">
        <v>48</v>
      </c>
      <c r="Q37" s="57" t="s">
        <v>48</v>
      </c>
      <c r="R37" s="58"/>
      <c r="S37" s="59"/>
      <c r="T37" s="59"/>
      <c r="U37" s="59"/>
      <c r="V37" s="59"/>
    </row>
    <row r="38" spans="1:20" ht="12.75">
      <c r="A38" s="27" t="s">
        <v>58</v>
      </c>
      <c r="B38" s="78">
        <f>IF($E$23="yes",$B$23+($G$35*2/3)-($C$38*$G$35/$B$11),IF($E$26="yes","",$B$23-($G$35*(1-$H$23))+($B$11-$C$38)/$G$37))</f>
      </c>
      <c r="C38" s="96">
        <v>0.016</v>
      </c>
      <c r="D38" s="68"/>
      <c r="E38" s="68"/>
      <c r="F38" s="68"/>
      <c r="G38" s="68"/>
      <c r="H38" s="68"/>
      <c r="K38" s="60">
        <v>0.25</v>
      </c>
      <c r="L38" s="25">
        <v>22918.312</v>
      </c>
      <c r="M38" s="98">
        <v>0.016</v>
      </c>
      <c r="N38" s="98">
        <v>0.016</v>
      </c>
      <c r="O38" s="98">
        <v>0.016</v>
      </c>
      <c r="P38" s="98">
        <v>0.016</v>
      </c>
      <c r="Q38" s="98">
        <v>0.016</v>
      </c>
      <c r="R38" s="50"/>
      <c r="S38" s="61"/>
      <c r="T38" s="61"/>
    </row>
    <row r="39" spans="1:20" ht="12.75">
      <c r="A39" s="27" t="s">
        <v>57</v>
      </c>
      <c r="B39" s="78">
        <f>IF($D$25="yes",IF($E$23="yes",$B$23+($G$35*2/3),$B$23+$G$35*$H$23),"")</f>
        <v>51206.234942</v>
      </c>
      <c r="C39" s="96">
        <v>0</v>
      </c>
      <c r="D39" s="68"/>
      <c r="H39" s="68"/>
      <c r="K39" s="60">
        <v>0.5</v>
      </c>
      <c r="L39" s="25">
        <v>11459.156</v>
      </c>
      <c r="M39" s="98">
        <v>0.016</v>
      </c>
      <c r="N39" s="98">
        <v>0.016</v>
      </c>
      <c r="O39" s="98">
        <v>0.016</v>
      </c>
      <c r="P39" s="98">
        <v>0.016</v>
      </c>
      <c r="Q39" s="98">
        <v>0.016</v>
      </c>
      <c r="R39" s="50"/>
      <c r="S39" s="61"/>
      <c r="T39" s="61"/>
    </row>
    <row r="40" spans="1:20" ht="12.75">
      <c r="A40" s="27" t="s">
        <v>56</v>
      </c>
      <c r="B40" s="78">
        <f>IF($D$25="yes",IF($E$23="yes",$B$23+($G$35*2/3)+(ABS($C$40)*$G$35/$B$11),$B$23+($G$35*$H$23)+(ABS($C$40)*$G$35/$B$11)),"")</f>
        <v>51254.234942</v>
      </c>
      <c r="C40" s="96">
        <v>-0.016</v>
      </c>
      <c r="D40" s="68"/>
      <c r="E40" s="68"/>
      <c r="F40" s="68"/>
      <c r="G40" s="68"/>
      <c r="H40" s="68"/>
      <c r="K40" s="60">
        <v>0.75</v>
      </c>
      <c r="L40" s="25">
        <v>7639.437333333334</v>
      </c>
      <c r="M40" s="98">
        <v>0.016</v>
      </c>
      <c r="N40" s="98">
        <v>0.016</v>
      </c>
      <c r="O40" s="98">
        <v>0.016</v>
      </c>
      <c r="P40" s="98">
        <v>0.016</v>
      </c>
      <c r="Q40" s="98">
        <v>0.016</v>
      </c>
      <c r="R40" s="50"/>
      <c r="S40" s="61"/>
      <c r="T40" s="61"/>
    </row>
    <row r="41" spans="1:20" ht="12.75">
      <c r="A41" s="68"/>
      <c r="B41" s="68"/>
      <c r="C41" s="68"/>
      <c r="D41" s="68"/>
      <c r="E41" s="68"/>
      <c r="F41" s="68"/>
      <c r="G41" s="68"/>
      <c r="H41" s="68"/>
      <c r="K41" s="62">
        <v>1</v>
      </c>
      <c r="L41" s="99">
        <v>5729.578</v>
      </c>
      <c r="M41" s="98">
        <v>0.016</v>
      </c>
      <c r="N41" s="98">
        <v>0.016</v>
      </c>
      <c r="O41" s="98">
        <v>0.016</v>
      </c>
      <c r="P41" s="98">
        <v>0.016</v>
      </c>
      <c r="Q41" s="100">
        <v>0.017</v>
      </c>
      <c r="R41" s="2"/>
      <c r="S41" s="61"/>
      <c r="T41" s="61"/>
    </row>
    <row r="42" spans="1:20" ht="12.75" customHeight="1">
      <c r="A42" s="75" t="s">
        <v>61</v>
      </c>
      <c r="B42" s="75"/>
      <c r="C42" s="68"/>
      <c r="D42" s="68"/>
      <c r="E42" s="68"/>
      <c r="F42" s="68"/>
      <c r="G42" s="68"/>
      <c r="H42" s="68"/>
      <c r="K42" s="62">
        <v>1.5</v>
      </c>
      <c r="L42" s="99">
        <v>3819.718666666667</v>
      </c>
      <c r="M42" s="98">
        <v>0.016</v>
      </c>
      <c r="N42" s="98">
        <v>0.016</v>
      </c>
      <c r="O42" s="98">
        <v>0.016</v>
      </c>
      <c r="P42" s="101">
        <v>0.02</v>
      </c>
      <c r="Q42" s="100">
        <v>0.024</v>
      </c>
      <c r="R42" s="2"/>
      <c r="S42" s="61"/>
      <c r="T42" s="61"/>
    </row>
    <row r="43" spans="1:20" ht="12.75">
      <c r="A43" s="79"/>
      <c r="B43" s="79"/>
      <c r="C43" s="118" t="s">
        <v>62</v>
      </c>
      <c r="D43" s="118" t="s">
        <v>76</v>
      </c>
      <c r="E43" s="68"/>
      <c r="F43" s="79"/>
      <c r="G43" s="118" t="s">
        <v>62</v>
      </c>
      <c r="H43" s="118" t="s">
        <v>77</v>
      </c>
      <c r="K43" s="62">
        <v>2</v>
      </c>
      <c r="L43" s="99">
        <v>2864.789</v>
      </c>
      <c r="M43" s="98">
        <v>0.016</v>
      </c>
      <c r="N43" s="98">
        <v>0.016</v>
      </c>
      <c r="O43" s="101">
        <v>0.021</v>
      </c>
      <c r="P43" s="101">
        <v>0.025</v>
      </c>
      <c r="Q43" s="100">
        <v>0.03</v>
      </c>
      <c r="R43" s="2"/>
      <c r="S43" s="61"/>
      <c r="T43" s="61"/>
    </row>
    <row r="44" spans="1:20" ht="12.75">
      <c r="A44" s="68"/>
      <c r="B44" s="66" t="s">
        <v>54</v>
      </c>
      <c r="C44" s="118"/>
      <c r="D44" s="118"/>
      <c r="E44" s="68"/>
      <c r="F44" s="66" t="s">
        <v>54</v>
      </c>
      <c r="G44" s="118"/>
      <c r="H44" s="118"/>
      <c r="K44" s="62">
        <v>2.5</v>
      </c>
      <c r="L44" s="99">
        <v>2291.8312</v>
      </c>
      <c r="M44" s="98">
        <v>0.016</v>
      </c>
      <c r="N44" s="101">
        <v>0.02</v>
      </c>
      <c r="O44" s="101">
        <v>0.025</v>
      </c>
      <c r="P44" s="101">
        <v>0.03</v>
      </c>
      <c r="Q44" s="100">
        <v>0.035</v>
      </c>
      <c r="R44" s="2"/>
      <c r="S44" s="61"/>
      <c r="T44" s="61"/>
    </row>
    <row r="45" spans="1:20" ht="12.75" customHeight="1">
      <c r="A45" s="68" t="s">
        <v>63</v>
      </c>
      <c r="B45" s="78">
        <f>IF(C45="","",$B$33-($B$11-C45)/$B$11*$G$35)</f>
      </c>
      <c r="C45" s="28">
        <f>IF($C$33&gt;=0.04,0.04,"")</f>
      </c>
      <c r="D45" s="32">
        <f>IF(C45="","",C45)</f>
      </c>
      <c r="E45" s="68"/>
      <c r="F45" s="78">
        <f>IF(G45="","",$B$33-($B$11-G45)/$B$11*$G$35)</f>
        <v>50871.234917</v>
      </c>
      <c r="G45" s="28">
        <f>IF($B$11&gt;0.03,0.03,"")</f>
        <v>0.03</v>
      </c>
      <c r="H45" s="32">
        <f>IF(G45="","",0.07-G45)</f>
        <v>0.04000000000000001</v>
      </c>
      <c r="K45" s="62">
        <v>3</v>
      </c>
      <c r="L45" s="99">
        <v>1909.8593333333336</v>
      </c>
      <c r="M45" s="101">
        <v>0.018</v>
      </c>
      <c r="N45" s="101">
        <v>0.023</v>
      </c>
      <c r="O45" s="101">
        <v>0.028</v>
      </c>
      <c r="P45" s="101">
        <v>0.034</v>
      </c>
      <c r="Q45" s="100">
        <v>0.039</v>
      </c>
      <c r="R45" s="2"/>
      <c r="S45" s="61"/>
      <c r="T45" s="61"/>
    </row>
    <row r="46" spans="1:20" ht="12.75">
      <c r="A46" s="68"/>
      <c r="B46" s="78">
        <f>IF(C46="","",$B$33)</f>
      </c>
      <c r="C46" s="28">
        <f>IF($C$33&gt;0.04,$C$33,"")</f>
      </c>
      <c r="D46" s="32">
        <f>IF(C46="","",C46)</f>
      </c>
      <c r="E46" s="68"/>
      <c r="F46" s="78">
        <f>IF(G46="","",$B$33)</f>
        <v>50886.234917</v>
      </c>
      <c r="G46" s="28">
        <f>IF($C$33&gt;0.03,$C$33,"")</f>
        <v>0.035</v>
      </c>
      <c r="H46" s="32">
        <f>IF(G46="","",0.07-G46)</f>
        <v>0.035</v>
      </c>
      <c r="K46" s="62">
        <v>3.5</v>
      </c>
      <c r="L46" s="99">
        <v>1637.0222857142858</v>
      </c>
      <c r="M46" s="101">
        <v>0.02</v>
      </c>
      <c r="N46" s="101">
        <v>0.026</v>
      </c>
      <c r="O46" s="101">
        <v>0.032</v>
      </c>
      <c r="P46" s="101">
        <v>0.037</v>
      </c>
      <c r="Q46" s="100">
        <v>0.043</v>
      </c>
      <c r="R46" s="2"/>
      <c r="S46" s="61"/>
      <c r="T46" s="61"/>
    </row>
    <row r="47" spans="1:20" ht="12.75">
      <c r="A47" s="68"/>
      <c r="B47" s="84"/>
      <c r="C47" s="28"/>
      <c r="D47" s="66"/>
      <c r="E47" s="68"/>
      <c r="F47" s="84"/>
      <c r="G47" s="28"/>
      <c r="H47" s="66"/>
      <c r="K47" s="62">
        <v>4</v>
      </c>
      <c r="L47" s="99">
        <v>1432.3945</v>
      </c>
      <c r="M47" s="101">
        <v>0.022</v>
      </c>
      <c r="N47" s="101">
        <v>0.029</v>
      </c>
      <c r="O47" s="101">
        <v>0.034</v>
      </c>
      <c r="P47" s="101">
        <v>0.04</v>
      </c>
      <c r="Q47" s="100">
        <v>0.046</v>
      </c>
      <c r="R47" s="2"/>
      <c r="S47" s="61"/>
      <c r="T47" s="61"/>
    </row>
    <row r="48" spans="1:20" ht="12.75">
      <c r="A48" s="68" t="s">
        <v>64</v>
      </c>
      <c r="B48" s="78">
        <f>IF(C48="","",$B$37)</f>
      </c>
      <c r="C48" s="28">
        <f>IF($B$11&lt;0.04,"",$B$11)</f>
      </c>
      <c r="D48" s="32">
        <f>IF(C48="","",C48)</f>
      </c>
      <c r="E48" s="68"/>
      <c r="F48" s="78">
        <f>IF(G48="","",$B$37)</f>
        <v>51101.234942</v>
      </c>
      <c r="G48" s="28">
        <f>IF($B$11&lt;0.03,"",$B$11)</f>
        <v>0.035</v>
      </c>
      <c r="H48" s="32">
        <f>IF(G48="","",0.07-G48)</f>
        <v>0.035</v>
      </c>
      <c r="K48" s="62">
        <v>4.5</v>
      </c>
      <c r="L48" s="99">
        <v>1273.2395555555556</v>
      </c>
      <c r="M48" s="101">
        <v>0.024</v>
      </c>
      <c r="N48" s="101">
        <v>0.031</v>
      </c>
      <c r="O48" s="101">
        <v>0.037</v>
      </c>
      <c r="P48" s="101">
        <v>0.043</v>
      </c>
      <c r="Q48" s="100">
        <v>0.049</v>
      </c>
      <c r="R48" s="2"/>
      <c r="S48" s="61"/>
      <c r="T48" s="61"/>
    </row>
    <row r="49" spans="1:20" ht="12.75">
      <c r="A49" s="68"/>
      <c r="B49" s="78">
        <f>IF(C49="","",$B$37+($B$11-C49)/$B$11*$G$35)</f>
      </c>
      <c r="C49" s="28">
        <f>IF($B$11&gt;0.04,0.04,"")</f>
      </c>
      <c r="D49" s="32">
        <f>IF(C49="","",C49)</f>
      </c>
      <c r="E49" s="68"/>
      <c r="F49" s="78">
        <f>IF(G49="","",$B$37+($B$11-G49)/$B$11*$G$35)</f>
        <v>51116.234942</v>
      </c>
      <c r="G49" s="28">
        <f>IF(G48=0.03,"",IF(G48="","",0.03))</f>
        <v>0.03</v>
      </c>
      <c r="H49" s="32">
        <f>IF(G49="","",0.07-G49)</f>
        <v>0.04000000000000001</v>
      </c>
      <c r="K49" s="62">
        <v>5</v>
      </c>
      <c r="L49" s="99">
        <v>1145.9156</v>
      </c>
      <c r="M49" s="101">
        <v>0.026</v>
      </c>
      <c r="N49" s="101">
        <v>0.033</v>
      </c>
      <c r="O49" s="101">
        <v>0.039</v>
      </c>
      <c r="P49" s="101">
        <v>0.045</v>
      </c>
      <c r="Q49" s="100">
        <v>0.051</v>
      </c>
      <c r="R49" s="2"/>
      <c r="S49" s="61"/>
      <c r="T49" s="61"/>
    </row>
    <row r="50" spans="1:20" ht="12.75">
      <c r="A50" s="68"/>
      <c r="B50" s="84"/>
      <c r="C50" s="28"/>
      <c r="D50" s="66"/>
      <c r="E50" s="68"/>
      <c r="F50" s="84"/>
      <c r="G50" s="28"/>
      <c r="H50" s="66"/>
      <c r="K50" s="62">
        <v>5.5</v>
      </c>
      <c r="L50" s="99">
        <v>1041.7414545454546</v>
      </c>
      <c r="M50" s="101">
        <v>0.028</v>
      </c>
      <c r="N50" s="101">
        <v>0.035</v>
      </c>
      <c r="O50" s="101">
        <v>0.041</v>
      </c>
      <c r="P50" s="101">
        <v>0.047</v>
      </c>
      <c r="Q50" s="100">
        <v>0.053</v>
      </c>
      <c r="R50" s="2"/>
      <c r="S50" s="61"/>
      <c r="T50" s="61"/>
    </row>
    <row r="51" spans="1:20" ht="12.75">
      <c r="A51" s="68"/>
      <c r="B51" s="68"/>
      <c r="C51" s="68"/>
      <c r="D51" s="68"/>
      <c r="E51" s="68"/>
      <c r="F51" s="68"/>
      <c r="G51" s="68"/>
      <c r="H51" s="68"/>
      <c r="K51" s="62">
        <v>6</v>
      </c>
      <c r="L51" s="99">
        <v>954.9296666666668</v>
      </c>
      <c r="M51" s="101">
        <v>0.03</v>
      </c>
      <c r="N51" s="101">
        <v>0.036</v>
      </c>
      <c r="O51" s="101">
        <v>0.042</v>
      </c>
      <c r="P51" s="101">
        <v>0.049</v>
      </c>
      <c r="Q51" s="100">
        <v>0.055</v>
      </c>
      <c r="R51" s="2"/>
      <c r="S51" s="61"/>
      <c r="T51" s="61"/>
    </row>
    <row r="52" spans="1:20" ht="12.75">
      <c r="A52" s="75" t="s">
        <v>65</v>
      </c>
      <c r="B52" s="81"/>
      <c r="C52" s="68"/>
      <c r="D52" s="2"/>
      <c r="E52" s="68"/>
      <c r="F52" s="68"/>
      <c r="G52" s="68"/>
      <c r="H52" s="68"/>
      <c r="K52" s="62">
        <v>6.5</v>
      </c>
      <c r="L52" s="99">
        <v>881.4735384615385</v>
      </c>
      <c r="M52" s="101">
        <v>0.031</v>
      </c>
      <c r="N52" s="101">
        <v>0.038</v>
      </c>
      <c r="O52" s="101">
        <v>0.044</v>
      </c>
      <c r="P52" s="101">
        <v>0.051</v>
      </c>
      <c r="Q52" s="100">
        <v>0.057</v>
      </c>
      <c r="R52" s="2"/>
      <c r="S52" s="61"/>
      <c r="T52" s="61"/>
    </row>
    <row r="53" spans="1:19" ht="12.75">
      <c r="A53" s="68"/>
      <c r="D53" s="123" t="s">
        <v>80</v>
      </c>
      <c r="E53" s="123" t="s">
        <v>76</v>
      </c>
      <c r="F53" s="123" t="s">
        <v>77</v>
      </c>
      <c r="G53" s="68"/>
      <c r="H53" s="68"/>
      <c r="K53" s="62">
        <v>7</v>
      </c>
      <c r="L53" s="99">
        <v>818.5111358571429</v>
      </c>
      <c r="M53" s="101">
        <v>0.033</v>
      </c>
      <c r="N53" s="101">
        <v>0.039</v>
      </c>
      <c r="O53" s="101">
        <v>0.045</v>
      </c>
      <c r="P53" s="101">
        <v>0.053</v>
      </c>
      <c r="Q53" s="100">
        <v>0.058</v>
      </c>
      <c r="R53" s="2"/>
      <c r="S53" s="61"/>
    </row>
    <row r="54" spans="1:19" ht="12.75">
      <c r="A54" s="68"/>
      <c r="B54" s="66" t="s">
        <v>54</v>
      </c>
      <c r="C54" s="77" t="s">
        <v>55</v>
      </c>
      <c r="D54" s="123"/>
      <c r="E54" s="123"/>
      <c r="F54" s="123"/>
      <c r="G54" s="68"/>
      <c r="H54" s="68"/>
      <c r="K54" s="62">
        <v>7.5</v>
      </c>
      <c r="L54" s="99">
        <v>763.9437268</v>
      </c>
      <c r="M54" s="101">
        <v>0.034</v>
      </c>
      <c r="N54" s="101">
        <v>0.04</v>
      </c>
      <c r="O54" s="101">
        <v>0.047</v>
      </c>
      <c r="P54" s="101">
        <v>0.054</v>
      </c>
      <c r="Q54" s="100">
        <v>0.059</v>
      </c>
      <c r="R54" s="2"/>
      <c r="S54" s="61"/>
    </row>
    <row r="55" spans="1:19" ht="12.75" customHeight="1">
      <c r="A55" s="94">
        <f>IF(B55="","",IF($D$25="no",IF(OR(AND($D$25="no",B55&lt;$B$32),AND($D$25="no",B55&gt;$B$38)),"ERROR: OUT OF RANGE",""),IF(OR(B55&lt;$B$30,B55&gt;$B$40),"ERROR: OUT OF RANGE","")))</f>
      </c>
      <c r="B55" s="93"/>
      <c r="C55" s="80">
        <f>IF(A55="",IF(AND($B$33&lt;$B55,$B55&lt;$B$37),$B$11,IF($B55="","",IF($D$25="yes",IF(AND($B$30&lt;=$B55,$B55&lt;=$B$33),$C$30+($B55-$B$30)/$G$35*$B$11,$C$37-($B55-$B$37)/$G$35*$B$11),IF(AND($B$32&lt;=$B55,$B55&lt;=$B$33),$C$32+($B55-$B$32)/$G$35*$B$11,$C$37-($B55-$B$37)/$G$35*$B$11)))),"ERROR")</f>
      </c>
      <c r="D55" s="91">
        <f>IF(C55="","",C55/$B$11)</f>
      </c>
      <c r="E55" s="28">
        <f>IF(C55="","",IF(C55&lt;=0.04,0.04,C55))</f>
      </c>
      <c r="F55" s="28">
        <f>IF(C55="","",IF(C55&lt;=0.03,0.04,0.07-C55))</f>
      </c>
      <c r="G55" s="68"/>
      <c r="H55" s="68"/>
      <c r="K55" s="62">
        <f aca="true" t="shared" si="0" ref="K55:K69">K54+0.5</f>
        <v>8</v>
      </c>
      <c r="L55" s="99">
        <v>716.197243875</v>
      </c>
      <c r="M55" s="101">
        <v>0.035</v>
      </c>
      <c r="N55" s="101">
        <v>0.041</v>
      </c>
      <c r="O55" s="101">
        <v>0.048</v>
      </c>
      <c r="P55" s="101">
        <v>0.055</v>
      </c>
      <c r="Q55" s="100">
        <v>0.06</v>
      </c>
      <c r="R55" s="2"/>
      <c r="S55" s="61"/>
    </row>
    <row r="56" spans="1:19" ht="12.75">
      <c r="A56" s="94">
        <f>IF(B56="","",IF($D$25="no",IF(OR(AND($D$25="no",B56&lt;$B$32),AND($D$25="no",B56&gt;$B$38)),"ERROR: OUT OF RANGE",""),IF(OR(B56&lt;$B$30,B56&gt;$B$40),"ERROR: OUT OF RANGE","")))</f>
      </c>
      <c r="B56" s="93"/>
      <c r="C56" s="80">
        <f>IF(A56="",IF(AND($B$33&lt;B56,B56&lt;$B$37),$B$11,IF($B56="","",IF($D$25="yes",IF(AND($B$30&lt;=$B56,$B56&lt;=$B$33),$C$30+($B56-$B$30)/CEILING($B$16,5)*$B$11,$C$37-($B56-$B$37)/CEILING($B$16,5)*$B$11),IF(AND($B$32&lt;=$B56,$B56&lt;=$B$33),$C$32+($B56-$B$32)/CEILING($B$16,5)*$B$11,$C$37-($B56-$B$37)/CEILING($B$16,5)*$B$11)))),"ERROR")</f>
      </c>
      <c r="D56" s="91">
        <f>IF(C56="","",C56/$B$11)</f>
      </c>
      <c r="E56" s="28">
        <f>IF(C56="","",IF(C56&lt;=0.04,0.04,C56))</f>
      </c>
      <c r="F56" s="28">
        <f>IF(C56="","",IF(C56&lt;=0.03,0.04,0.07-C56))</f>
      </c>
      <c r="G56" s="68"/>
      <c r="H56" s="68"/>
      <c r="K56" s="62">
        <f t="shared" si="0"/>
        <v>8.5</v>
      </c>
      <c r="L56" s="99">
        <v>674.0679942352941</v>
      </c>
      <c r="M56" s="101">
        <v>0.036</v>
      </c>
      <c r="N56" s="101">
        <v>0.042</v>
      </c>
      <c r="O56" s="101">
        <v>0.05</v>
      </c>
      <c r="P56" s="101">
        <v>0.056</v>
      </c>
      <c r="Q56" s="100">
        <v>0.06</v>
      </c>
      <c r="R56" s="2"/>
      <c r="S56" s="61"/>
    </row>
    <row r="57" spans="1:19" ht="12.75">
      <c r="A57" s="94">
        <f>IF(B57="","",IF($D$25="no",IF(OR(AND($D$25="no",B57&lt;$B$32),AND($D$25="no",B57&gt;$B$38)),"ERROR: OUT OF RANGE",""),IF(OR(B57&lt;$B$30,B57&gt;$B$40),"ERROR: OUT OF RANGE","")))</f>
      </c>
      <c r="B57" s="93"/>
      <c r="C57" s="80">
        <f>IF(A57="",IF(AND($B$33&lt;B57,B57&lt;$B$37),$B$11,IF($B57="","",IF($D$25="yes",IF(AND($B$30&lt;=$B57,$B57&lt;=$B$33),$C$30+($B57-$B$30)/CEILING($B$16,5)*$B$11,$C$37-($B57-$B$37)/CEILING($B$16,5)*$B$11),IF(AND($B$32&lt;=$B57,$B57&lt;=$B$33),$C$32+($B57-$B$32)/CEILING($B$16,5)*$B$11,$C$37-($B57-$B$37)/CEILING($B$16,5)*$B$11)))),"ERROR")</f>
      </c>
      <c r="D57" s="91">
        <f>IF(C57="","",C57/$B$11)</f>
      </c>
      <c r="E57" s="28">
        <f>IF(C57="","",IF(C57&lt;=0.04,0.04,C57))</f>
      </c>
      <c r="F57" s="28">
        <f>IF(C57="","",IF(C57&lt;=0.03,0.04,0.07-C57))</f>
      </c>
      <c r="G57" s="68"/>
      <c r="H57" s="68"/>
      <c r="K57" s="62">
        <f t="shared" si="0"/>
        <v>9</v>
      </c>
      <c r="L57" s="99">
        <v>636.6197723333333</v>
      </c>
      <c r="M57" s="101">
        <v>0.037</v>
      </c>
      <c r="N57" s="101">
        <v>0.043</v>
      </c>
      <c r="O57" s="101">
        <v>0.051</v>
      </c>
      <c r="P57" s="101">
        <v>0.057</v>
      </c>
      <c r="Q57" s="100">
        <v>0.06</v>
      </c>
      <c r="R57" s="2"/>
      <c r="S57" s="61"/>
    </row>
    <row r="58" spans="1:19" ht="12.75">
      <c r="A58" s="94">
        <f>IF(B58="","",IF($D$26="no",IF(OR(AND($D$26="no",B58&lt;$B$33),AND($D$26="no",B58&gt;$B$39)),"ERROR: OUT OF RANGE",""),IF(OR(B58&lt;$B$31,B58&gt;$B$41),"ERROR: OUT OF RANGE","")))</f>
      </c>
      <c r="B58" s="93"/>
      <c r="C58" s="28">
        <f>IF(A58="",IF(AND($B$34&lt;B58,B58&lt;$B$38),$B$12,IF($B58="","",IF($D$26="yes",IF(AND($B$31&lt;=$B58,$B58&lt;=$B$34),$C$31+($B58-$B$31)/CEILING($B$17,5)*$B$12,$C$38-($B58-$B$38)/CEILING($B$17,5)*$B$12),IF(AND($B$33&lt;=$B58,$B58&lt;=$B$34),$C$33+($B58-$B$33)/CEILING($B$17,5)*$B$12,$C$38-($B58-$B$38)/CEILING($B$17,5)*$B$12)))),"ERROR")</f>
      </c>
      <c r="D58" s="91">
        <f>IF(C58="","",C58/$B$12)</f>
      </c>
      <c r="E58" s="28">
        <f>IF(C58="","",IF(C58&lt;=0.04,0.04,C58))</f>
      </c>
      <c r="F58" s="28">
        <f>IF(C58="","",IF(C58&lt;=0.03,0.04,0.07-C58))</f>
      </c>
      <c r="G58" s="68"/>
      <c r="H58" s="68"/>
      <c r="K58" s="62">
        <f t="shared" si="0"/>
        <v>9.5</v>
      </c>
      <c r="L58" s="99">
        <v>603.1134685263158</v>
      </c>
      <c r="M58" s="101">
        <v>0.038</v>
      </c>
      <c r="N58" s="101">
        <v>0.045</v>
      </c>
      <c r="O58" s="101">
        <v>0.052</v>
      </c>
      <c r="P58" s="101">
        <v>0.058</v>
      </c>
      <c r="Q58" s="100"/>
      <c r="S58" s="61"/>
    </row>
    <row r="59" spans="1:19" ht="12.75">
      <c r="A59" s="68"/>
      <c r="B59" s="68"/>
      <c r="C59" s="68"/>
      <c r="D59" s="68"/>
      <c r="E59" s="68"/>
      <c r="F59" s="68"/>
      <c r="G59" s="68"/>
      <c r="H59" s="68"/>
      <c r="K59" s="62">
        <f t="shared" si="0"/>
        <v>10</v>
      </c>
      <c r="L59" s="99">
        <v>572.9577951</v>
      </c>
      <c r="M59" s="101">
        <v>0.038</v>
      </c>
      <c r="N59" s="101">
        <v>0.046</v>
      </c>
      <c r="O59" s="101">
        <v>0.053</v>
      </c>
      <c r="P59" s="101">
        <v>0.059</v>
      </c>
      <c r="Q59" s="100"/>
      <c r="S59" s="61"/>
    </row>
    <row r="60" spans="1:19" ht="12.75">
      <c r="A60" s="68"/>
      <c r="B60" s="68"/>
      <c r="C60" s="68"/>
      <c r="D60" s="68"/>
      <c r="E60" s="68"/>
      <c r="F60" s="68"/>
      <c r="G60" s="68"/>
      <c r="H60" s="68"/>
      <c r="K60" s="62">
        <f t="shared" si="0"/>
        <v>10.5</v>
      </c>
      <c r="L60" s="99">
        <v>545.6740905714286</v>
      </c>
      <c r="M60" s="101">
        <v>0.039</v>
      </c>
      <c r="N60" s="101">
        <v>0.046</v>
      </c>
      <c r="O60" s="101">
        <v>0.054</v>
      </c>
      <c r="P60" s="101">
        <v>0.059</v>
      </c>
      <c r="Q60" s="100"/>
      <c r="S60" s="61"/>
    </row>
    <row r="61" spans="1:19" ht="12.75">
      <c r="A61" s="68"/>
      <c r="B61" s="68"/>
      <c r="C61" s="68"/>
      <c r="D61" s="68"/>
      <c r="E61" s="68"/>
      <c r="F61" s="68"/>
      <c r="G61" s="68"/>
      <c r="H61" s="68"/>
      <c r="K61" s="62">
        <f t="shared" si="0"/>
        <v>11</v>
      </c>
      <c r="L61" s="99">
        <v>520.8707228181819</v>
      </c>
      <c r="M61" s="101">
        <v>0.04</v>
      </c>
      <c r="N61" s="101">
        <v>0.047</v>
      </c>
      <c r="O61" s="101">
        <v>0.055</v>
      </c>
      <c r="P61" s="101">
        <v>0.06</v>
      </c>
      <c r="Q61" s="100"/>
      <c r="S61" s="61"/>
    </row>
    <row r="62" spans="11:19" ht="12.75">
      <c r="K62" s="62">
        <f t="shared" si="0"/>
        <v>11.5</v>
      </c>
      <c r="L62" s="99">
        <v>498.22416965217394</v>
      </c>
      <c r="M62" s="101">
        <v>0.04</v>
      </c>
      <c r="N62" s="101">
        <v>0.048</v>
      </c>
      <c r="O62" s="101">
        <v>0.056</v>
      </c>
      <c r="P62" s="101">
        <v>0.06</v>
      </c>
      <c r="Q62" s="100"/>
      <c r="S62" s="61"/>
    </row>
    <row r="63" spans="11:19" ht="12.75">
      <c r="K63" s="62">
        <f t="shared" si="0"/>
        <v>12</v>
      </c>
      <c r="L63" s="99">
        <v>477.46482925000004</v>
      </c>
      <c r="M63" s="101">
        <v>0.041</v>
      </c>
      <c r="N63" s="101">
        <v>0.049</v>
      </c>
      <c r="O63" s="101">
        <v>0.057</v>
      </c>
      <c r="P63" s="101"/>
      <c r="Q63" s="100"/>
      <c r="S63" s="61"/>
    </row>
    <row r="64" spans="11:19" ht="12.75">
      <c r="K64" s="62">
        <f t="shared" si="0"/>
        <v>12.5</v>
      </c>
      <c r="L64" s="99">
        <v>458.36623608</v>
      </c>
      <c r="M64" s="101">
        <v>0.042</v>
      </c>
      <c r="N64" s="101">
        <v>0.05</v>
      </c>
      <c r="O64" s="101">
        <v>0.057</v>
      </c>
      <c r="P64" s="101"/>
      <c r="Q64" s="100"/>
      <c r="S64" s="61"/>
    </row>
    <row r="65" spans="11:19" ht="12.75">
      <c r="K65" s="62">
        <f t="shared" si="0"/>
        <v>13</v>
      </c>
      <c r="L65" s="99">
        <v>440.7367654615385</v>
      </c>
      <c r="M65" s="101">
        <v>0.042</v>
      </c>
      <c r="N65" s="101">
        <v>0.051</v>
      </c>
      <c r="O65" s="101">
        <v>0.058</v>
      </c>
      <c r="P65" s="101"/>
      <c r="Q65" s="100"/>
      <c r="S65" s="61"/>
    </row>
    <row r="66" spans="11:19" ht="12.75">
      <c r="K66" s="62">
        <f t="shared" si="0"/>
        <v>13.5</v>
      </c>
      <c r="L66" s="99">
        <v>424.4131815555556</v>
      </c>
      <c r="M66" s="101">
        <v>0.043</v>
      </c>
      <c r="N66" s="101">
        <v>0.052</v>
      </c>
      <c r="O66" s="101">
        <v>0.058</v>
      </c>
      <c r="P66" s="101"/>
      <c r="Q66" s="100"/>
      <c r="S66" s="61"/>
    </row>
    <row r="67" spans="11:19" ht="12.75">
      <c r="K67" s="62">
        <f t="shared" si="0"/>
        <v>14</v>
      </c>
      <c r="L67" s="99">
        <v>409.25556792857145</v>
      </c>
      <c r="M67" s="101">
        <v>0.044</v>
      </c>
      <c r="N67" s="101">
        <v>0.052</v>
      </c>
      <c r="O67" s="101">
        <v>0.059</v>
      </c>
      <c r="P67" s="101"/>
      <c r="Q67" s="100"/>
      <c r="S67" s="61"/>
    </row>
    <row r="68" spans="11:19" ht="12.75">
      <c r="K68" s="62">
        <f t="shared" si="0"/>
        <v>14.5</v>
      </c>
      <c r="L68" s="99">
        <v>395.14330696551724</v>
      </c>
      <c r="M68" s="101">
        <v>0.044</v>
      </c>
      <c r="N68" s="101">
        <v>0.053</v>
      </c>
      <c r="O68" s="101">
        <v>0.059</v>
      </c>
      <c r="P68" s="101"/>
      <c r="Q68" s="100"/>
      <c r="S68" s="61"/>
    </row>
    <row r="69" spans="11:19" ht="12.75">
      <c r="K69" s="62">
        <f t="shared" si="0"/>
        <v>15</v>
      </c>
      <c r="L69" s="99">
        <v>381.9718634</v>
      </c>
      <c r="M69" s="101">
        <v>0.045</v>
      </c>
      <c r="N69" s="101">
        <v>0.054</v>
      </c>
      <c r="O69" s="101">
        <v>0.06</v>
      </c>
      <c r="P69" s="101"/>
      <c r="Q69" s="100"/>
      <c r="S69" s="61"/>
    </row>
    <row r="70" spans="11:19" ht="12.75">
      <c r="K70" s="62">
        <v>16.5</v>
      </c>
      <c r="L70" s="99">
        <v>347.24714854545454</v>
      </c>
      <c r="M70" s="101">
        <v>0.047</v>
      </c>
      <c r="N70" s="101">
        <v>0.055</v>
      </c>
      <c r="O70" s="101">
        <v>0.06</v>
      </c>
      <c r="P70" s="101"/>
      <c r="Q70" s="100"/>
      <c r="S70" s="61"/>
    </row>
    <row r="71" spans="11:19" ht="12.75">
      <c r="K71" s="62">
        <v>18</v>
      </c>
      <c r="L71" s="99">
        <v>318.3098861666667</v>
      </c>
      <c r="M71" s="101">
        <v>0.048</v>
      </c>
      <c r="N71" s="101">
        <v>0.057</v>
      </c>
      <c r="O71" s="101"/>
      <c r="P71" s="101"/>
      <c r="Q71" s="100"/>
      <c r="S71" s="61"/>
    </row>
    <row r="72" spans="11:19" ht="12.75">
      <c r="K72" s="62">
        <v>20</v>
      </c>
      <c r="L72" s="99">
        <v>286.47889755</v>
      </c>
      <c r="M72" s="101">
        <v>0.05</v>
      </c>
      <c r="N72" s="101">
        <v>0.058</v>
      </c>
      <c r="O72" s="101"/>
      <c r="P72" s="101"/>
      <c r="Q72" s="100"/>
      <c r="S72" s="61"/>
    </row>
    <row r="73" spans="11:19" ht="12.75">
      <c r="K73" s="62">
        <v>22</v>
      </c>
      <c r="L73" s="99">
        <v>260.43536140909094</v>
      </c>
      <c r="M73" s="101">
        <v>0.052</v>
      </c>
      <c r="N73" s="101">
        <v>0.059</v>
      </c>
      <c r="O73" s="101"/>
      <c r="P73" s="101"/>
      <c r="Q73" s="100"/>
      <c r="S73" s="61"/>
    </row>
    <row r="74" spans="11:19" ht="12.75">
      <c r="K74" s="62">
        <v>23</v>
      </c>
      <c r="L74" s="99">
        <v>249.11208482608697</v>
      </c>
      <c r="M74" s="101">
        <v>0.053</v>
      </c>
      <c r="N74" s="101">
        <v>0.06</v>
      </c>
      <c r="O74" s="101"/>
      <c r="P74" s="101"/>
      <c r="Q74" s="100"/>
      <c r="S74" s="61"/>
    </row>
    <row r="75" spans="11:19" ht="12.75">
      <c r="K75" s="62">
        <v>25</v>
      </c>
      <c r="L75" s="99">
        <v>229.18311804</v>
      </c>
      <c r="M75" s="101">
        <v>0.055</v>
      </c>
      <c r="N75" s="101"/>
      <c r="O75" s="101"/>
      <c r="P75" s="101"/>
      <c r="Q75" s="100"/>
      <c r="S75" s="61"/>
    </row>
    <row r="76" spans="11:19" ht="12.75">
      <c r="K76" s="62">
        <v>28</v>
      </c>
      <c r="L76" s="99">
        <v>204.62778396428573</v>
      </c>
      <c r="M76" s="101">
        <v>0.057</v>
      </c>
      <c r="N76" s="101"/>
      <c r="O76" s="101"/>
      <c r="P76" s="101"/>
      <c r="Q76" s="100"/>
      <c r="S76" s="61"/>
    </row>
    <row r="77" spans="11:19" ht="12.75">
      <c r="K77" s="63">
        <v>31</v>
      </c>
      <c r="L77" s="99">
        <v>184.8250951935484</v>
      </c>
      <c r="M77" s="101">
        <v>0.058</v>
      </c>
      <c r="N77" s="101"/>
      <c r="O77" s="101"/>
      <c r="P77" s="101"/>
      <c r="Q77" s="100"/>
      <c r="S77" s="61"/>
    </row>
    <row r="78" spans="11:17" ht="12.75">
      <c r="K78" s="63">
        <v>34</v>
      </c>
      <c r="L78" s="102">
        <v>168.517</v>
      </c>
      <c r="M78" s="103">
        <v>0.059</v>
      </c>
      <c r="N78" s="104"/>
      <c r="O78" s="104"/>
      <c r="P78" s="104"/>
      <c r="Q78" s="105"/>
    </row>
    <row r="79" spans="11:17" ht="12.75">
      <c r="K79" s="63">
        <v>36</v>
      </c>
      <c r="L79" s="102">
        <v>159.155</v>
      </c>
      <c r="M79" s="103">
        <v>0.06</v>
      </c>
      <c r="N79" s="106"/>
      <c r="O79" s="106"/>
      <c r="P79" s="106"/>
      <c r="Q79" s="105"/>
    </row>
    <row r="80" spans="11:17" ht="12.75">
      <c r="K80" s="63">
        <v>38</v>
      </c>
      <c r="L80" s="102">
        <v>150.7784</v>
      </c>
      <c r="M80" s="103">
        <v>0.06</v>
      </c>
      <c r="N80" s="106"/>
      <c r="O80" s="106"/>
      <c r="P80" s="106"/>
      <c r="Q80" s="105"/>
    </row>
    <row r="81" spans="11:17" ht="13.5" thickBot="1">
      <c r="K81" s="64">
        <v>39.5</v>
      </c>
      <c r="L81" s="107">
        <v>145.0526</v>
      </c>
      <c r="M81" s="108">
        <v>0.06</v>
      </c>
      <c r="N81" s="109"/>
      <c r="O81" s="109"/>
      <c r="P81" s="109"/>
      <c r="Q81" s="110"/>
    </row>
    <row r="82" ht="13.5" thickTop="1"/>
  </sheetData>
  <sheetProtection/>
  <mergeCells count="16">
    <mergeCell ref="E35:F35"/>
    <mergeCell ref="G43:G44"/>
    <mergeCell ref="H43:H44"/>
    <mergeCell ref="D53:D54"/>
    <mergeCell ref="E53:E54"/>
    <mergeCell ref="F53:F54"/>
    <mergeCell ref="E36:F36"/>
    <mergeCell ref="E37:F37"/>
    <mergeCell ref="E30:F30"/>
    <mergeCell ref="C43:C44"/>
    <mergeCell ref="D43:D44"/>
    <mergeCell ref="M35:Q35"/>
    <mergeCell ref="E31:F31"/>
    <mergeCell ref="E32:F32"/>
    <mergeCell ref="E33:F33"/>
    <mergeCell ref="E34:F34"/>
  </mergeCells>
  <printOptions/>
  <pageMargins left="0.5" right="0.5" top="0.75" bottom="0.75" header="0.5" footer="0.5"/>
  <pageSetup horizontalDpi="600" verticalDpi="600" orientation="portrait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Burgess &amp; Niple,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lenzer</dc:creator>
  <cp:keywords/>
  <dc:description/>
  <cp:lastModifiedBy>David Lenzer</cp:lastModifiedBy>
  <cp:lastPrinted>2009-10-26T23:02:29Z</cp:lastPrinted>
  <dcterms:created xsi:type="dcterms:W3CDTF">2006-03-02T20:25:35Z</dcterms:created>
  <dcterms:modified xsi:type="dcterms:W3CDTF">2009-10-26T23:02:48Z</dcterms:modified>
  <cp:category/>
  <cp:version/>
  <cp:contentType/>
  <cp:contentStatus/>
</cp:coreProperties>
</file>