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0" windowWidth="18405" windowHeight="12000" activeTab="0"/>
  </bookViews>
  <sheets>
    <sheet name="PCLW90-1" sheetId="1" r:id="rId1"/>
    <sheet name="PCLW90-2" sheetId="2" r:id="rId2"/>
    <sheet name="PCLW90-3" sheetId="3" r:id="rId3"/>
    <sheet name="PCLW90-4" sheetId="4" r:id="rId4"/>
    <sheet name="PCLW90-5" sheetId="5" r:id="rId5"/>
  </sheets>
  <definedNames>
    <definedName name="_xlnm.Print_Area" localSheetId="0">'PCLW90-1'!$A$1:$H$57</definedName>
    <definedName name="_xlnm.Print_Area" localSheetId="1">'PCLW90-2'!$A$1:$H$57</definedName>
    <definedName name="_xlnm.Print_Area" localSheetId="2">'PCLW90-3'!$A$1:$H$57</definedName>
    <definedName name="_xlnm.Print_Area" localSheetId="3">'PCLW90-4'!$A$1:$H$57</definedName>
    <definedName name="_xlnm.Print_Area" localSheetId="4">'PCLW90-5'!$A$1:$H$57</definedName>
  </definedNames>
  <calcPr fullCalcOnLoad="1"/>
</workbook>
</file>

<file path=xl/sharedStrings.xml><?xml version="1.0" encoding="utf-8"?>
<sst xmlns="http://schemas.openxmlformats.org/spreadsheetml/2006/main" count="560" uniqueCount="82">
  <si>
    <t>ODOT TABLES</t>
  </si>
  <si>
    <t>SIMPLE CURVE CONFIGURATION</t>
  </si>
  <si>
    <t>GIVENS:</t>
  </si>
  <si>
    <t>MAXIMUM RELATIVE GRADIENTS</t>
  </si>
  <si>
    <t>V =</t>
  </si>
  <si>
    <t>mph</t>
  </si>
  <si>
    <t>(design speed, mph)</t>
  </si>
  <si>
    <t>MAX.</t>
  </si>
  <si>
    <t>Dc =</t>
  </si>
  <si>
    <t>(degree of curve of alignment)</t>
  </si>
  <si>
    <t>REL.</t>
  </si>
  <si>
    <t>radius =</t>
  </si>
  <si>
    <t>feet</t>
  </si>
  <si>
    <t>(radius of curve of alignment)</t>
  </si>
  <si>
    <t>DESIGN SPEED</t>
  </si>
  <si>
    <t>GRAD.</t>
  </si>
  <si>
    <t>SLOPE</t>
  </si>
  <si>
    <t>lane width =</t>
  </si>
  <si>
    <t>(mph)</t>
  </si>
  <si>
    <t>(%)</t>
  </si>
  <si>
    <t>(G)</t>
  </si>
  <si>
    <t>Divided?</t>
  </si>
  <si>
    <t>(yes or no)</t>
  </si>
  <si>
    <t># of lanes rotated =</t>
  </si>
  <si>
    <t>lanes</t>
  </si>
  <si>
    <t>e(d) =</t>
  </si>
  <si>
    <t>(design superelevation rate)</t>
  </si>
  <si>
    <t>b(w) =</t>
  </si>
  <si>
    <t>(adjustment factor for number of lanes rotated)</t>
  </si>
  <si>
    <t>% =</t>
  </si>
  <si>
    <t>(maximum relative gradient)</t>
  </si>
  <si>
    <t>G =</t>
  </si>
  <si>
    <t>(maximum relative slope)</t>
  </si>
  <si>
    <t>L(r) =</t>
  </si>
  <si>
    <t>(Superelevation Runoff Length)</t>
  </si>
  <si>
    <t>L(t) =</t>
  </si>
  <si>
    <t>(Tangent Runout Length)</t>
  </si>
  <si>
    <t>ADJUSTMENT FACTORS FOR NUMBER OF LANES</t>
  </si>
  <si>
    <t>NO. OF LANES</t>
  </si>
  <si>
    <t>DIV.</t>
  </si>
  <si>
    <t>UNDIV.</t>
  </si>
  <si>
    <t>ROTATED</t>
  </si>
  <si>
    <t>RDWYS</t>
  </si>
  <si>
    <t>DESIGN SUPERELEVATION RATES</t>
  </si>
  <si>
    <t>Dc</t>
  </si>
  <si>
    <t>Radius</t>
  </si>
  <si>
    <t>e(d)</t>
  </si>
  <si>
    <t>yes/no</t>
  </si>
  <si>
    <t>2/3, 1/3?</t>
  </si>
  <si>
    <t>yes</t>
  </si>
  <si>
    <t>Is the surface being rotated past flat? (yes or no)</t>
  </si>
  <si>
    <t>P.C. SUPER INFORMATION</t>
  </si>
  <si>
    <t>Station</t>
  </si>
  <si>
    <t>Super Rate</t>
  </si>
  <si>
    <t>normal crown =</t>
  </si>
  <si>
    <t>flat =</t>
  </si>
  <si>
    <t>reverse crown =</t>
  </si>
  <si>
    <t>full super =</t>
  </si>
  <si>
    <t>P.T. SUPER INFORMATION</t>
  </si>
  <si>
    <t>SHOULDER INFORMATION</t>
  </si>
  <si>
    <t>Mainline Super Rate</t>
  </si>
  <si>
    <t>P.C. part of curve</t>
  </si>
  <si>
    <t>P.T. part of curve</t>
  </si>
  <si>
    <t>STATION INFORMATION</t>
  </si>
  <si>
    <t>no</t>
  </si>
  <si>
    <t>SUPERELEVATION TRANSITION LENGTH - HIGH SPEED URBAN HIGHWAYS</t>
  </si>
  <si>
    <t>ODOT L&amp;D VOL. 1 - FIGURE 202-8E</t>
  </si>
  <si>
    <t>ODOT L&amp;D FIGURE 202-8</t>
  </si>
  <si>
    <t>Curve Information</t>
  </si>
  <si>
    <t>Full super length =</t>
  </si>
  <si>
    <t>Slope at PT =</t>
  </si>
  <si>
    <t>Slope at PC =</t>
  </si>
  <si>
    <t>L(t) used for calcs =</t>
  </si>
  <si>
    <t>L(r) used for calcs =</t>
  </si>
  <si>
    <t>Shoulder 1 Super Rate</t>
  </si>
  <si>
    <t>Shoulder 2 Super Rate</t>
  </si>
  <si>
    <t>% of e(d) Achieved @ PC =</t>
  </si>
  <si>
    <t>% of e(d) Achieved @ PT =</t>
  </si>
  <si>
    <t>% of e(d) Achieved</t>
  </si>
  <si>
    <t>Super rate =</t>
  </si>
  <si>
    <t>Is the PT or PC also a PCC? (yes or no)</t>
  </si>
  <si>
    <t>If no, then % off curve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</si>
</sst>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h\°mm\'ss\&quot;"/>
    <numFmt numFmtId="167" formatCode="0.0000"/>
    <numFmt numFmtId="168" formatCode="0.0000000000"/>
    <numFmt numFmtId="169" formatCode="0.000000"/>
    <numFmt numFmtId="170" formatCode="0.00000"/>
    <numFmt numFmtId="171" formatCode="0.0"/>
    <numFmt numFmtId="172" formatCode="0.000"/>
    <numFmt numFmtId="173" formatCode="0.00000000"/>
    <numFmt numFmtId="174" formatCode="#00\+00.0000"/>
    <numFmt numFmtId="175" formatCode="#00\+00.00"/>
    <numFmt numFmtId="176" formatCode="0.000000000000"/>
    <numFmt numFmtId="177" formatCode="#00.00\ \f\t."/>
    <numFmt numFmtId="178" formatCode="#0.00\'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 locked="0"/>
    </xf>
    <xf numFmtId="0" fontId="7" fillId="0" borderId="1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2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/>
    </xf>
    <xf numFmtId="2" fontId="0" fillId="0" borderId="0" xfId="0" applyNumberFormat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 hidden="1"/>
    </xf>
    <xf numFmtId="0" fontId="5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right"/>
      <protection/>
    </xf>
    <xf numFmtId="167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5" fillId="34" borderId="0" xfId="0" applyFont="1" applyFill="1" applyAlignment="1" applyProtection="1">
      <alignment horizontal="right"/>
      <protection/>
    </xf>
    <xf numFmtId="167" fontId="5" fillId="34" borderId="0" xfId="0" applyNumberFormat="1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171" fontId="0" fillId="0" borderId="11" xfId="0" applyNumberFormat="1" applyBorder="1" applyAlignment="1" applyProtection="1">
      <alignment horizontal="center"/>
      <protection/>
    </xf>
    <xf numFmtId="2" fontId="0" fillId="0" borderId="12" xfId="0" applyNumberFormat="1" applyBorder="1" applyAlignment="1" applyProtection="1">
      <alignment horizontal="center"/>
      <protection/>
    </xf>
    <xf numFmtId="171" fontId="0" fillId="0" borderId="16" xfId="0" applyNumberFormat="1" applyBorder="1" applyAlignment="1" applyProtection="1">
      <alignment horizontal="center"/>
      <protection/>
    </xf>
    <xf numFmtId="2" fontId="0" fillId="0" borderId="17" xfId="0" applyNumberForma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2" fontId="0" fillId="0" borderId="11" xfId="0" applyNumberFormat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 locked="0"/>
    </xf>
    <xf numFmtId="167" fontId="5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174" fontId="7" fillId="0" borderId="0" xfId="0" applyNumberFormat="1" applyFont="1" applyFill="1" applyAlignment="1" applyProtection="1">
      <alignment horizontal="left"/>
      <protection locked="0"/>
    </xf>
    <xf numFmtId="10" fontId="7" fillId="0" borderId="0" xfId="0" applyNumberFormat="1" applyFont="1" applyFill="1" applyAlignment="1" applyProtection="1">
      <alignment horizontal="center"/>
      <protection locked="0"/>
    </xf>
    <xf numFmtId="174" fontId="7" fillId="0" borderId="0" xfId="0" applyNumberFormat="1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center"/>
      <protection/>
    </xf>
    <xf numFmtId="10" fontId="7" fillId="0" borderId="0" xfId="0" applyNumberFormat="1" applyFont="1" applyFill="1" applyAlignment="1" applyProtection="1">
      <alignment horizontal="center"/>
      <protection/>
    </xf>
    <xf numFmtId="2" fontId="0" fillId="0" borderId="0" xfId="0" applyNumberFormat="1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2" fontId="0" fillId="33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174" fontId="5" fillId="34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/>
      <protection/>
    </xf>
    <xf numFmtId="167" fontId="0" fillId="34" borderId="0" xfId="0" applyNumberFormat="1" applyFont="1" applyFill="1" applyAlignment="1" applyProtection="1">
      <alignment horizontal="center"/>
      <protection/>
    </xf>
    <xf numFmtId="167" fontId="0" fillId="33" borderId="0" xfId="0" applyNumberFormat="1" applyFont="1" applyFill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74" fontId="5" fillId="0" borderId="0" xfId="0" applyNumberFormat="1" applyFont="1" applyFill="1" applyAlignment="1" applyProtection="1">
      <alignment horizontal="center"/>
      <protection/>
    </xf>
    <xf numFmtId="167" fontId="0" fillId="0" borderId="0" xfId="0" applyNumberFormat="1" applyFont="1" applyFill="1" applyAlignment="1" applyProtection="1">
      <alignment horizontal="left"/>
      <protection/>
    </xf>
    <xf numFmtId="167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2" fontId="0" fillId="0" borderId="16" xfId="0" applyNumberFormat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left"/>
      <protection/>
    </xf>
    <xf numFmtId="177" fontId="0" fillId="0" borderId="0" xfId="0" applyNumberFormat="1" applyFont="1" applyFill="1" applyAlignment="1" applyProtection="1">
      <alignment horizontal="center"/>
      <protection/>
    </xf>
    <xf numFmtId="10" fontId="0" fillId="0" borderId="0" xfId="0" applyNumberFormat="1" applyFont="1" applyFill="1" applyAlignment="1" applyProtection="1">
      <alignment horizontal="center"/>
      <protection/>
    </xf>
    <xf numFmtId="178" fontId="0" fillId="0" borderId="0" xfId="0" applyNumberFormat="1" applyFont="1" applyFill="1" applyAlignment="1" applyProtection="1">
      <alignment horizontal="center"/>
      <protection/>
    </xf>
    <xf numFmtId="174" fontId="7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/>
    </xf>
    <xf numFmtId="10" fontId="0" fillId="0" borderId="0" xfId="0" applyNumberFormat="1" applyFont="1" applyFill="1" applyAlignment="1" applyProtection="1">
      <alignment horizontal="center" vertical="center"/>
      <protection/>
    </xf>
    <xf numFmtId="172" fontId="0" fillId="0" borderId="0" xfId="0" applyNumberFormat="1" applyFont="1" applyFill="1" applyAlignment="1" applyProtection="1">
      <alignment horizontal="center"/>
      <protection/>
    </xf>
    <xf numFmtId="169" fontId="0" fillId="0" borderId="0" xfId="0" applyNumberFormat="1" applyFont="1" applyFill="1" applyAlignment="1" applyProtection="1">
      <alignment horizontal="center"/>
      <protection/>
    </xf>
    <xf numFmtId="172" fontId="0" fillId="0" borderId="0" xfId="0" applyNumberFormat="1" applyBorder="1" applyAlignment="1" applyProtection="1">
      <alignment horizontal="center"/>
      <protection/>
    </xf>
    <xf numFmtId="172" fontId="0" fillId="0" borderId="12" xfId="0" applyNumberFormat="1" applyBorder="1" applyAlignment="1" applyProtection="1">
      <alignment horizontal="center"/>
      <protection/>
    </xf>
    <xf numFmtId="172" fontId="0" fillId="0" borderId="12" xfId="0" applyNumberFormat="1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172" fontId="0" fillId="0" borderId="10" xfId="0" applyNumberFormat="1" applyBorder="1" applyAlignment="1" applyProtection="1">
      <alignment horizontal="center"/>
      <protection/>
    </xf>
    <xf numFmtId="172" fontId="0" fillId="0" borderId="10" xfId="0" applyNumberFormat="1" applyBorder="1" applyAlignment="1" applyProtection="1">
      <alignment/>
      <protection/>
    </xf>
    <xf numFmtId="172" fontId="0" fillId="0" borderId="17" xfId="0" applyNumberForma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distributed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zoomScalePageLayoutView="0" workbookViewId="0" topLeftCell="A1">
      <selection activeCell="B56" sqref="B56"/>
    </sheetView>
  </sheetViews>
  <sheetFormatPr defaultColWidth="9.140625" defaultRowHeight="12.75"/>
  <cols>
    <col min="1" max="1" width="21.140625" style="2" customWidth="1"/>
    <col min="2" max="2" width="13.421875" style="2" customWidth="1"/>
    <col min="3" max="4" width="12.140625" style="2" customWidth="1"/>
    <col min="5" max="5" width="11.8515625" style="2" customWidth="1"/>
    <col min="6" max="6" width="12.8515625" style="2" customWidth="1"/>
    <col min="7" max="7" width="11.140625" style="2" customWidth="1"/>
    <col min="8" max="8" width="11.7109375" style="2" customWidth="1"/>
    <col min="9" max="10" width="9.421875" style="2" bestFit="1" customWidth="1"/>
    <col min="11" max="11" width="16.421875" style="2" customWidth="1"/>
    <col min="12" max="13" width="9.421875" style="2" bestFit="1" customWidth="1"/>
    <col min="14" max="15" width="9.28125" style="2" bestFit="1" customWidth="1"/>
    <col min="16" max="19" width="9.140625" style="2" customWidth="1"/>
    <col min="20" max="20" width="9.57421875" style="2" bestFit="1" customWidth="1"/>
    <col min="21" max="16384" width="9.140625" style="2" customWidth="1"/>
  </cols>
  <sheetData>
    <row r="1" ht="15.75">
      <c r="A1" s="1" t="s">
        <v>65</v>
      </c>
    </row>
    <row r="2" spans="1:11" ht="12.75">
      <c r="A2" s="2" t="s">
        <v>66</v>
      </c>
      <c r="K2" s="3" t="s">
        <v>0</v>
      </c>
    </row>
    <row r="3" spans="1:11" ht="12.75">
      <c r="A3" s="4" t="s">
        <v>1</v>
      </c>
      <c r="B3" s="4"/>
      <c r="C3" s="4"/>
      <c r="K3" s="3"/>
    </row>
    <row r="4" spans="1:13" ht="13.5" thickBot="1">
      <c r="A4" s="5" t="s">
        <v>2</v>
      </c>
      <c r="K4" s="6" t="s">
        <v>3</v>
      </c>
      <c r="L4" s="7"/>
      <c r="M4" s="7"/>
    </row>
    <row r="5" spans="1:13" ht="13.5" thickTop="1">
      <c r="A5" s="8" t="s">
        <v>4</v>
      </c>
      <c r="B5" s="9">
        <v>60</v>
      </c>
      <c r="C5" s="2" t="s">
        <v>5</v>
      </c>
      <c r="D5" s="2" t="s">
        <v>6</v>
      </c>
      <c r="K5" s="10"/>
      <c r="L5" s="11" t="s">
        <v>7</v>
      </c>
      <c r="M5" s="12" t="s">
        <v>7</v>
      </c>
    </row>
    <row r="6" spans="1:13" ht="12.75">
      <c r="A6" s="8" t="s">
        <v>8</v>
      </c>
      <c r="B6" s="13">
        <v>1.5</v>
      </c>
      <c r="D6" s="2" t="s">
        <v>9</v>
      </c>
      <c r="I6" s="2">
        <f>COUNTIF($K$40:$K$56,B6)</f>
        <v>1</v>
      </c>
      <c r="K6" s="10"/>
      <c r="L6" s="11" t="s">
        <v>10</v>
      </c>
      <c r="M6" s="12" t="s">
        <v>10</v>
      </c>
    </row>
    <row r="7" spans="1:13" ht="12.75">
      <c r="A7" s="15" t="s">
        <v>11</v>
      </c>
      <c r="B7" s="16">
        <f>5729.578/B6</f>
        <v>3819.718666666667</v>
      </c>
      <c r="C7" s="2" t="s">
        <v>12</v>
      </c>
      <c r="D7" s="2" t="s">
        <v>13</v>
      </c>
      <c r="I7" s="2">
        <f>LOOKUP(B6,$K$40:$K$56)</f>
        <v>1.5</v>
      </c>
      <c r="J7" s="26">
        <f>VLOOKUP(I7,$K$40:$Q$56,IF($B$5=50,3,IF($B$5=55,4,IF($B$5=60,5,IF($B$5=65,6,IF($B$5=70,7,8))))),TRUE)</f>
        <v>0.037</v>
      </c>
      <c r="K7" s="17" t="s">
        <v>14</v>
      </c>
      <c r="L7" s="11" t="s">
        <v>15</v>
      </c>
      <c r="M7" s="12" t="s">
        <v>16</v>
      </c>
    </row>
    <row r="8" spans="1:13" ht="13.5" thickBot="1">
      <c r="A8" s="15" t="s">
        <v>17</v>
      </c>
      <c r="B8" s="9">
        <v>12</v>
      </c>
      <c r="C8" s="2" t="s">
        <v>12</v>
      </c>
      <c r="I8" s="2">
        <f>IF(I7&gt;0.99,I7+0.5,I7+0.25)</f>
        <v>2</v>
      </c>
      <c r="J8" s="26">
        <f>VLOOKUP(I8,$K$40:$Q$56,IF($B$5=50,3,IF($B$5=55,4,IF($B$5=60,5,IF($B$5=65,6,IF($B$5=70,7,8))))),TRUE)</f>
        <v>0.045</v>
      </c>
      <c r="K8" s="19" t="s">
        <v>18</v>
      </c>
      <c r="L8" s="20" t="s">
        <v>19</v>
      </c>
      <c r="M8" s="21" t="s">
        <v>20</v>
      </c>
    </row>
    <row r="9" spans="1:13" ht="12.75">
      <c r="A9" s="8"/>
      <c r="B9" s="9" t="s">
        <v>49</v>
      </c>
      <c r="C9" s="2" t="s">
        <v>21</v>
      </c>
      <c r="D9" s="2" t="s">
        <v>22</v>
      </c>
      <c r="J9" s="78">
        <f>J8-(((I8-B6)/(I8-I7))*(J8-J7))</f>
        <v>0.037</v>
      </c>
      <c r="K9" s="22">
        <v>20</v>
      </c>
      <c r="L9" s="23">
        <v>0.74</v>
      </c>
      <c r="M9" s="24">
        <v>135</v>
      </c>
    </row>
    <row r="10" spans="1:13" ht="12.75">
      <c r="A10" s="8" t="s">
        <v>23</v>
      </c>
      <c r="B10" s="9">
        <v>2</v>
      </c>
      <c r="C10" s="2" t="s">
        <v>24</v>
      </c>
      <c r="K10" s="22">
        <v>25</v>
      </c>
      <c r="L10" s="23">
        <v>0.7</v>
      </c>
      <c r="M10" s="24">
        <v>143</v>
      </c>
    </row>
    <row r="11" spans="1:13" ht="12.75">
      <c r="A11" s="25" t="s">
        <v>25</v>
      </c>
      <c r="B11" s="26">
        <f>IF(I6=1,VLOOKUP(B6,$K$40:$Q$56,IF($B$5=50,3,IF($B$5=55,4,IF($B$5=60,5,IF($B$5=65,6,IF($B$5=70,7,8))))),TRUE),J9)</f>
        <v>0.037</v>
      </c>
      <c r="D11" s="27" t="s">
        <v>26</v>
      </c>
      <c r="K11" s="22">
        <v>30</v>
      </c>
      <c r="L11" s="23">
        <v>0.66</v>
      </c>
      <c r="M11" s="24">
        <v>152</v>
      </c>
    </row>
    <row r="12" spans="1:13" ht="12.75">
      <c r="A12" s="15" t="s">
        <v>27</v>
      </c>
      <c r="B12" s="28">
        <f>VLOOKUP(B10,$K$27:$M$32,IF($B$9="yes",2,3))</f>
        <v>1</v>
      </c>
      <c r="D12" s="2" t="s">
        <v>28</v>
      </c>
      <c r="K12" s="22">
        <v>35</v>
      </c>
      <c r="L12" s="23">
        <v>0.62</v>
      </c>
      <c r="M12" s="24">
        <v>161</v>
      </c>
    </row>
    <row r="13" spans="1:13" ht="12.75">
      <c r="A13" s="15" t="s">
        <v>29</v>
      </c>
      <c r="B13" s="28">
        <f>VLOOKUP(B5,$K$9:$M$19,2,TRUE)</f>
        <v>0.45</v>
      </c>
      <c r="D13" s="2" t="s">
        <v>30</v>
      </c>
      <c r="K13" s="22">
        <v>40</v>
      </c>
      <c r="L13" s="23">
        <v>0.58</v>
      </c>
      <c r="M13" s="24">
        <v>172</v>
      </c>
    </row>
    <row r="14" spans="1:13" ht="12.75">
      <c r="A14" s="15" t="s">
        <v>31</v>
      </c>
      <c r="B14" s="28">
        <f>VLOOKUP(B5,$K9:M19,3,TRUE)</f>
        <v>222</v>
      </c>
      <c r="D14" s="2" t="s">
        <v>32</v>
      </c>
      <c r="K14" s="22">
        <v>45</v>
      </c>
      <c r="L14" s="23">
        <v>0.54</v>
      </c>
      <c r="M14" s="24">
        <v>185</v>
      </c>
    </row>
    <row r="15" spans="11:13" ht="12.75">
      <c r="K15" s="22">
        <v>50</v>
      </c>
      <c r="L15" s="23">
        <v>0.5</v>
      </c>
      <c r="M15" s="24">
        <v>200</v>
      </c>
    </row>
    <row r="16" spans="1:13" ht="12.75">
      <c r="A16" s="29" t="s">
        <v>33</v>
      </c>
      <c r="B16" s="30">
        <f>((($B$8*$B$10)*($B$11))*($B$14)*($B$12))</f>
        <v>197.13599999999997</v>
      </c>
      <c r="C16" s="31" t="s">
        <v>12</v>
      </c>
      <c r="D16" s="31" t="s">
        <v>34</v>
      </c>
      <c r="E16" s="31"/>
      <c r="F16" s="31"/>
      <c r="K16" s="22">
        <v>55</v>
      </c>
      <c r="L16" s="23">
        <v>0.47</v>
      </c>
      <c r="M16" s="24">
        <v>213</v>
      </c>
    </row>
    <row r="17" spans="1:13" ht="12.75">
      <c r="A17" s="29" t="s">
        <v>35</v>
      </c>
      <c r="B17" s="30">
        <f>((0.0156)/$B$11)*B16</f>
        <v>83.1168</v>
      </c>
      <c r="C17" s="31" t="s">
        <v>12</v>
      </c>
      <c r="D17" s="31" t="s">
        <v>36</v>
      </c>
      <c r="E17" s="31"/>
      <c r="F17" s="31"/>
      <c r="K17" s="22">
        <v>60</v>
      </c>
      <c r="L17" s="23">
        <v>0.45</v>
      </c>
      <c r="M17" s="24">
        <v>222</v>
      </c>
    </row>
    <row r="18" spans="1:13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2">
        <v>65</v>
      </c>
      <c r="L18" s="23">
        <v>0.43</v>
      </c>
      <c r="M18" s="24">
        <v>233</v>
      </c>
    </row>
    <row r="19" spans="1:13" ht="13.5" thickBo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32">
        <v>70</v>
      </c>
      <c r="L19" s="33">
        <v>0.4</v>
      </c>
      <c r="M19" s="34">
        <v>250</v>
      </c>
    </row>
    <row r="20" spans="1:10" ht="13.5" thickTop="1">
      <c r="A20" s="60" t="s">
        <v>80</v>
      </c>
      <c r="B20" s="63"/>
      <c r="C20" s="57" t="s">
        <v>64</v>
      </c>
      <c r="D20" s="43"/>
      <c r="E20" s="43"/>
      <c r="F20" s="43"/>
      <c r="G20" s="43"/>
      <c r="H20" s="43"/>
      <c r="I20" s="27"/>
      <c r="J20" s="27"/>
    </row>
    <row r="21" spans="1:10" ht="12.75">
      <c r="A21" s="27"/>
      <c r="B21" s="27"/>
      <c r="C21" s="27"/>
      <c r="D21" s="27"/>
      <c r="E21" s="59" t="s">
        <v>47</v>
      </c>
      <c r="F21" s="27"/>
      <c r="G21" s="27"/>
      <c r="H21" s="27"/>
      <c r="J21" s="60"/>
    </row>
    <row r="22" spans="1:11" ht="12.75">
      <c r="A22" s="60" t="str">
        <f>IF($C$20="yes","ERROR: SPREADSHEET NOT VALID","P.C. Station")</f>
        <v>P.C. Station</v>
      </c>
      <c r="B22" s="61">
        <v>9977.43399</v>
      </c>
      <c r="C22" s="60"/>
      <c r="D22" s="60" t="s">
        <v>48</v>
      </c>
      <c r="E22" s="57" t="s">
        <v>49</v>
      </c>
      <c r="F22" s="60" t="s">
        <v>81</v>
      </c>
      <c r="G22" s="60"/>
      <c r="H22" s="62">
        <v>0.5</v>
      </c>
      <c r="J22" s="60"/>
      <c r="K22" s="35" t="s">
        <v>37</v>
      </c>
    </row>
    <row r="23" spans="1:11" ht="12.75">
      <c r="A23" s="60" t="str">
        <f>IF($C$20="yes","ERROR: SPREADSHEET NOT VALID","P.T. Station")</f>
        <v>P.T. Station</v>
      </c>
      <c r="B23" s="61">
        <v>10680.45965</v>
      </c>
      <c r="C23" s="60"/>
      <c r="D23" s="60" t="s">
        <v>48</v>
      </c>
      <c r="E23" s="57" t="s">
        <v>49</v>
      </c>
      <c r="F23" s="60" t="s">
        <v>81</v>
      </c>
      <c r="G23" s="60"/>
      <c r="H23" s="62">
        <v>0.5</v>
      </c>
      <c r="J23" s="60"/>
      <c r="K23" s="35"/>
    </row>
    <row r="24" spans="1:11" ht="13.5" thickBot="1">
      <c r="A24" s="86">
        <f>IF($C$20="yes","ERROR: SPREADSHEET NOT VALID; ERROR SPREADSHEET NOT VALID; ERROR: SPREADSHEET NOT VALID; ERROR: SPREADSHEET NOT VALID","")</f>
      </c>
      <c r="B24" s="61"/>
      <c r="C24" s="60"/>
      <c r="D24" s="60"/>
      <c r="E24" s="57"/>
      <c r="F24" s="60"/>
      <c r="G24" s="60"/>
      <c r="H24" s="62"/>
      <c r="I24" s="14"/>
      <c r="J24" s="60"/>
      <c r="K24" s="35"/>
    </row>
    <row r="25" spans="1:13" ht="13.5" thickTop="1">
      <c r="A25" s="60" t="s">
        <v>50</v>
      </c>
      <c r="B25" s="63"/>
      <c r="C25" s="60"/>
      <c r="D25" s="57" t="s">
        <v>49</v>
      </c>
      <c r="E25" s="64"/>
      <c r="F25" s="60"/>
      <c r="G25" s="60"/>
      <c r="H25" s="65"/>
      <c r="I25" s="14"/>
      <c r="J25" s="60"/>
      <c r="K25" s="36" t="s">
        <v>38</v>
      </c>
      <c r="L25" s="37" t="s">
        <v>39</v>
      </c>
      <c r="M25" s="38" t="s">
        <v>40</v>
      </c>
    </row>
    <row r="26" spans="1:13" ht="13.5" thickBot="1">
      <c r="A26" s="60">
        <f>IF($E$23="no","Is there a spiral for super transition at the end of this curve? (yes or no)","")</f>
      </c>
      <c r="B26" s="63"/>
      <c r="C26" s="60"/>
      <c r="D26" s="57"/>
      <c r="E26" s="57" t="s">
        <v>64</v>
      </c>
      <c r="F26"/>
      <c r="G26" s="60"/>
      <c r="H26" s="65"/>
      <c r="I26" s="18"/>
      <c r="J26" s="77"/>
      <c r="K26" s="19" t="s">
        <v>41</v>
      </c>
      <c r="L26" s="20" t="s">
        <v>42</v>
      </c>
      <c r="M26" s="21" t="s">
        <v>42</v>
      </c>
    </row>
    <row r="27" spans="1:13" ht="12.75">
      <c r="A27" s="86">
        <f>IF($C$20="yes","ERROR: SPREADSHEET NOT VALID; ERROR SPREADSHEET NOT VALID; ERROR: SPREADSHEET NOT VALID; ERROR: SPREADSHEET NOT VALID","")</f>
      </c>
      <c r="B27" s="66"/>
      <c r="C27" s="60"/>
      <c r="D27" s="60"/>
      <c r="E27" s="60"/>
      <c r="F27" s="60"/>
      <c r="G27" s="60"/>
      <c r="H27" s="60"/>
      <c r="I27" s="14"/>
      <c r="J27" s="77"/>
      <c r="K27" s="39">
        <v>1</v>
      </c>
      <c r="L27" s="23">
        <v>1</v>
      </c>
      <c r="M27" s="40">
        <v>1</v>
      </c>
    </row>
    <row r="28" spans="1:13" ht="12.75">
      <c r="A28" s="67" t="s">
        <v>51</v>
      </c>
      <c r="B28" s="68"/>
      <c r="C28" s="60"/>
      <c r="D28" s="60"/>
      <c r="E28" s="67" t="s">
        <v>68</v>
      </c>
      <c r="F28" s="67"/>
      <c r="G28" s="81"/>
      <c r="H28" s="60"/>
      <c r="J28" s="77"/>
      <c r="K28" s="39">
        <v>1.5</v>
      </c>
      <c r="L28" s="23">
        <v>1</v>
      </c>
      <c r="M28" s="40">
        <v>0.83</v>
      </c>
    </row>
    <row r="29" spans="1:13" ht="12.75">
      <c r="A29" s="60"/>
      <c r="B29" s="69" t="s">
        <v>52</v>
      </c>
      <c r="C29" s="69" t="s">
        <v>53</v>
      </c>
      <c r="D29" s="60"/>
      <c r="E29" s="60"/>
      <c r="F29" s="60"/>
      <c r="G29" s="60"/>
      <c r="H29" s="60"/>
      <c r="J29" s="60"/>
      <c r="K29" s="39">
        <v>2</v>
      </c>
      <c r="L29" s="23">
        <v>1</v>
      </c>
      <c r="M29" s="40">
        <v>0.75</v>
      </c>
    </row>
    <row r="30" spans="1:13" ht="12.75">
      <c r="A30" s="25" t="s">
        <v>54</v>
      </c>
      <c r="B30" s="70">
        <f>IF($D$25="yes",IF($E$22="yes",$B$22-($G$35*2/3)+($C$30*$G$35/$B$11),$B$22-($G$35*$H$22)+($C$30*$G$35/$B$11)),"")</f>
        <v>9757.614170180179</v>
      </c>
      <c r="C30" s="88">
        <v>-0.016</v>
      </c>
      <c r="D30" s="60"/>
      <c r="E30" s="102" t="s">
        <v>69</v>
      </c>
      <c r="F30" s="102"/>
      <c r="G30" s="82">
        <f>B37-B33</f>
        <v>569.692326666669</v>
      </c>
      <c r="H30" s="60"/>
      <c r="J30" s="60"/>
      <c r="K30" s="39">
        <v>2.5</v>
      </c>
      <c r="L30" s="23">
        <v>1</v>
      </c>
      <c r="M30" s="40">
        <v>0.7</v>
      </c>
    </row>
    <row r="31" spans="1:13" ht="12.75">
      <c r="A31" s="25" t="s">
        <v>55</v>
      </c>
      <c r="B31" s="70">
        <f>IF($D$25="yes",IF($E$22="yes",$B$22-(2*$G$35/3),$B$22-($G$35*$H$22)),"")</f>
        <v>9844.100656666666</v>
      </c>
      <c r="C31" s="88">
        <v>0</v>
      </c>
      <c r="D31" s="60"/>
      <c r="E31" s="102" t="s">
        <v>71</v>
      </c>
      <c r="F31" s="102"/>
      <c r="G31" s="26">
        <f>IF($D$25="yes",$C$30+($B22-$B$30)/CEILING($B$16,5)*$B$11,$C$32+($B22-$B$32)/CEILING($B$16,5)*$B$11)</f>
        <v>0.024666666666666816</v>
      </c>
      <c r="H31" s="60"/>
      <c r="J31" s="60"/>
      <c r="K31" s="39">
        <v>3</v>
      </c>
      <c r="L31" s="23">
        <v>1</v>
      </c>
      <c r="M31" s="40">
        <v>0.67</v>
      </c>
    </row>
    <row r="32" spans="1:13" ht="13.5" thickBot="1">
      <c r="A32" s="25" t="s">
        <v>56</v>
      </c>
      <c r="B32" s="70">
        <f>IF($E$22="yes",$B$22-($G$35*2/3)+($C$32*$G$35/$B$11),IF($D$25="yes",$B$22-($G$35*$H$22)+($C$32*$G$35/$B$11),$B$33-($G$35*($B$11-$C$32)/$B$11)))</f>
        <v>9930.587143153152</v>
      </c>
      <c r="C32" s="88">
        <v>0.016</v>
      </c>
      <c r="D32" s="60"/>
      <c r="E32" s="103" t="s">
        <v>76</v>
      </c>
      <c r="F32" s="103"/>
      <c r="G32" s="87">
        <f>G31/$B$11</f>
        <v>0.6666666666666707</v>
      </c>
      <c r="H32" s="60"/>
      <c r="J32" s="60"/>
      <c r="K32" s="41">
        <v>3.5</v>
      </c>
      <c r="L32" s="33">
        <v>1</v>
      </c>
      <c r="M32" s="42">
        <v>0.64</v>
      </c>
    </row>
    <row r="33" spans="1:10" ht="13.5" thickTop="1">
      <c r="A33" s="25" t="s">
        <v>57</v>
      </c>
      <c r="B33" s="70">
        <f>IF($E$22="yes",$B$22+($G$35/3),$B$22+($G$35*(1-$H$22)))</f>
        <v>10044.100656666666</v>
      </c>
      <c r="C33" s="88">
        <f>$B$11</f>
        <v>0.037</v>
      </c>
      <c r="D33" s="60"/>
      <c r="E33" s="102" t="s">
        <v>70</v>
      </c>
      <c r="F33" s="102"/>
      <c r="G33" s="26">
        <f>IF($D$25="yes",$C$37-($B23-$B$37)*$G$37,$C$37-($B23-$B$37)/CEILING($B$16,5)*$B$11)</f>
        <v>0.024666666666666778</v>
      </c>
      <c r="H33" s="60"/>
      <c r="J33" s="60"/>
    </row>
    <row r="34" spans="1:10" ht="12.75">
      <c r="A34" s="60"/>
      <c r="B34" s="60"/>
      <c r="C34" s="60"/>
      <c r="D34" s="60"/>
      <c r="E34" s="103" t="s">
        <v>77</v>
      </c>
      <c r="F34" s="103"/>
      <c r="G34" s="87">
        <f>G33/$B$11</f>
        <v>0.6666666666666697</v>
      </c>
      <c r="H34" s="60"/>
      <c r="J34" s="60"/>
    </row>
    <row r="35" spans="1:11" ht="12.75">
      <c r="A35" s="67" t="s">
        <v>58</v>
      </c>
      <c r="B35" s="67"/>
      <c r="C35" s="60"/>
      <c r="D35" s="60"/>
      <c r="E35" s="102" t="s">
        <v>73</v>
      </c>
      <c r="F35" s="102"/>
      <c r="G35" s="84">
        <f>CEILING($B$16,5)</f>
        <v>200</v>
      </c>
      <c r="H35" s="60"/>
      <c r="J35" s="60"/>
      <c r="K35" s="35" t="s">
        <v>43</v>
      </c>
    </row>
    <row r="36" spans="1:11" ht="13.5" thickBot="1">
      <c r="A36" s="60"/>
      <c r="B36" s="58" t="s">
        <v>52</v>
      </c>
      <c r="C36" s="69" t="s">
        <v>53</v>
      </c>
      <c r="D36" s="60"/>
      <c r="E36" s="102" t="s">
        <v>72</v>
      </c>
      <c r="F36" s="102"/>
      <c r="G36" s="84">
        <f>CEILING($B$16,5)-CEILING($B$16,5)*($B$11-$C$32)/$B$11</f>
        <v>86.4864864864865</v>
      </c>
      <c r="H36" s="60"/>
      <c r="I36" s="14"/>
      <c r="J36" s="60"/>
      <c r="K36" s="3" t="s">
        <v>67</v>
      </c>
    </row>
    <row r="37" spans="1:22" ht="13.5" thickTop="1">
      <c r="A37" s="25" t="s">
        <v>57</v>
      </c>
      <c r="B37" s="70">
        <f>IF($E$23="yes",$B$23-($G$35/3),$B$23-($G$35*(1-$H$23)))</f>
        <v>10613.792983333335</v>
      </c>
      <c r="C37" s="88">
        <f>$B$11</f>
        <v>0.037</v>
      </c>
      <c r="D37" s="60"/>
      <c r="E37" s="102" t="s">
        <v>79</v>
      </c>
      <c r="F37" s="102"/>
      <c r="G37" s="89">
        <f>B11/G35</f>
        <v>0.000185</v>
      </c>
      <c r="H37" s="60"/>
      <c r="I37" s="14"/>
      <c r="J37" s="60"/>
      <c r="K37" s="44"/>
      <c r="L37" s="45"/>
      <c r="M37" s="99" t="s">
        <v>14</v>
      </c>
      <c r="N37" s="100"/>
      <c r="O37" s="100"/>
      <c r="P37" s="100"/>
      <c r="Q37" s="101"/>
      <c r="R37" s="46"/>
      <c r="S37" s="46"/>
      <c r="T37" s="46"/>
      <c r="U37" s="46"/>
      <c r="V37" s="46"/>
    </row>
    <row r="38" spans="1:22" ht="12.75">
      <c r="A38" s="25" t="s">
        <v>56</v>
      </c>
      <c r="B38" s="70">
        <f>IF($E$23="yes",$B$23+($G$35*2/3)-($C$38*$G$35/$B$11),IF($E$26="yes","",$B$23-($G$35*(1-$H$23))+($B$11-$C$38)/$G$37))</f>
        <v>10727.306496846848</v>
      </c>
      <c r="C38" s="88">
        <v>0.016</v>
      </c>
      <c r="D38" s="60"/>
      <c r="E38" s="60"/>
      <c r="F38" s="60"/>
      <c r="G38" s="60"/>
      <c r="H38" s="60"/>
      <c r="I38" s="18"/>
      <c r="J38" s="77"/>
      <c r="K38" s="47"/>
      <c r="L38" s="48"/>
      <c r="M38" s="49">
        <v>50</v>
      </c>
      <c r="N38" s="50">
        <v>55</v>
      </c>
      <c r="O38" s="50">
        <v>60</v>
      </c>
      <c r="P38" s="50">
        <v>65</v>
      </c>
      <c r="Q38" s="51">
        <v>70</v>
      </c>
      <c r="R38" s="46"/>
      <c r="S38" s="46"/>
      <c r="T38" s="46"/>
      <c r="U38" s="46"/>
      <c r="V38" s="46"/>
    </row>
    <row r="39" spans="1:22" ht="13.5" thickBot="1">
      <c r="A39" s="25" t="s">
        <v>55</v>
      </c>
      <c r="B39" s="70">
        <f>IF($D$25="yes",IF($E$23="yes",$B$23+($G$35*2/3),$B$23+$G$35*$H$23),"")</f>
        <v>10813.792983333335</v>
      </c>
      <c r="C39" s="88">
        <v>0</v>
      </c>
      <c r="D39" s="60"/>
      <c r="E39"/>
      <c r="F39"/>
      <c r="G39"/>
      <c r="H39" s="60"/>
      <c r="I39" s="14"/>
      <c r="J39" s="77"/>
      <c r="K39" s="19" t="s">
        <v>44</v>
      </c>
      <c r="L39" s="20" t="s">
        <v>45</v>
      </c>
      <c r="M39" s="52" t="s">
        <v>46</v>
      </c>
      <c r="N39" s="53" t="s">
        <v>46</v>
      </c>
      <c r="O39" s="53" t="s">
        <v>46</v>
      </c>
      <c r="P39" s="53" t="s">
        <v>46</v>
      </c>
      <c r="Q39" s="54" t="s">
        <v>46</v>
      </c>
      <c r="R39" s="55"/>
      <c r="S39" s="55"/>
      <c r="T39" s="55"/>
      <c r="U39" s="55"/>
      <c r="V39" s="55"/>
    </row>
    <row r="40" spans="1:20" ht="12.75">
      <c r="A40" s="25" t="s">
        <v>54</v>
      </c>
      <c r="B40" s="70">
        <f>IF($D$25="yes",IF($E$23="yes",$B$23+($G$35*2/3)+(ABS($C$40)*$G$35/$B$11),$B$23+($G$35*$H$23)+(ABS($C$40)*$G$35/$B$11)),"")</f>
        <v>10900.279469819821</v>
      </c>
      <c r="C40" s="88">
        <v>-0.016</v>
      </c>
      <c r="D40" s="60"/>
      <c r="E40" s="60"/>
      <c r="F40" s="60"/>
      <c r="G40" s="60"/>
      <c r="H40" s="60"/>
      <c r="J40" s="77"/>
      <c r="K40" s="56">
        <v>0.25</v>
      </c>
      <c r="L40" s="23">
        <v>22918.312</v>
      </c>
      <c r="M40" s="90">
        <v>0.016</v>
      </c>
      <c r="N40" s="90">
        <v>0.016</v>
      </c>
      <c r="O40" s="90">
        <v>0.016</v>
      </c>
      <c r="P40" s="90">
        <v>0.016</v>
      </c>
      <c r="Q40" s="91">
        <v>0.016</v>
      </c>
      <c r="T40" s="79"/>
    </row>
    <row r="41" spans="1:20" ht="12.75">
      <c r="A41" s="60"/>
      <c r="B41" s="60"/>
      <c r="C41" s="60"/>
      <c r="D41" s="60"/>
      <c r="E41" s="60"/>
      <c r="F41" s="60"/>
      <c r="G41" s="60"/>
      <c r="H41" s="60"/>
      <c r="J41" s="60"/>
      <c r="K41" s="56">
        <v>0.5</v>
      </c>
      <c r="L41" s="23">
        <v>11459.156</v>
      </c>
      <c r="M41" s="90">
        <v>0.016</v>
      </c>
      <c r="N41" s="90">
        <v>0.016</v>
      </c>
      <c r="O41" s="90">
        <v>0.016</v>
      </c>
      <c r="P41" s="90">
        <v>0.016</v>
      </c>
      <c r="Q41" s="91">
        <v>0.018</v>
      </c>
      <c r="T41" s="79"/>
    </row>
    <row r="42" spans="1:20" ht="12.75">
      <c r="A42" s="67" t="s">
        <v>59</v>
      </c>
      <c r="B42" s="67"/>
      <c r="C42" s="60"/>
      <c r="D42" s="60"/>
      <c r="E42" s="60"/>
      <c r="F42" s="60"/>
      <c r="G42" s="60"/>
      <c r="H42" s="60"/>
      <c r="J42" s="60"/>
      <c r="K42" s="56"/>
      <c r="L42" s="23"/>
      <c r="M42" s="90"/>
      <c r="N42" s="90"/>
      <c r="O42" s="90"/>
      <c r="P42" s="90"/>
      <c r="Q42" s="91"/>
      <c r="T42" s="79"/>
    </row>
    <row r="43" spans="1:20" ht="12.75">
      <c r="A43" s="71"/>
      <c r="B43" s="71"/>
      <c r="C43" s="97" t="s">
        <v>60</v>
      </c>
      <c r="D43" s="97" t="s">
        <v>74</v>
      </c>
      <c r="E43" s="60"/>
      <c r="F43" s="71"/>
      <c r="G43" s="97" t="s">
        <v>60</v>
      </c>
      <c r="H43" s="97" t="s">
        <v>75</v>
      </c>
      <c r="J43" s="60"/>
      <c r="K43" s="56">
        <v>0.75</v>
      </c>
      <c r="L43" s="23">
        <v>7639.437333333334</v>
      </c>
      <c r="M43" s="90">
        <v>0.016</v>
      </c>
      <c r="N43" s="90">
        <v>0.018</v>
      </c>
      <c r="O43" s="90">
        <v>0.021</v>
      </c>
      <c r="P43" s="90">
        <v>0.024</v>
      </c>
      <c r="Q43" s="91">
        <v>0.026</v>
      </c>
      <c r="T43" s="79"/>
    </row>
    <row r="44" spans="1:20" ht="12.75" customHeight="1">
      <c r="A44" s="60"/>
      <c r="B44" s="58" t="s">
        <v>52</v>
      </c>
      <c r="C44" s="97"/>
      <c r="D44" s="97"/>
      <c r="E44" s="60"/>
      <c r="F44" s="58" t="s">
        <v>52</v>
      </c>
      <c r="G44" s="97"/>
      <c r="H44" s="97"/>
      <c r="J44" s="60"/>
      <c r="K44" s="56">
        <v>1</v>
      </c>
      <c r="L44" s="23">
        <v>5729.578</v>
      </c>
      <c r="M44" s="90">
        <v>0.02</v>
      </c>
      <c r="N44" s="90">
        <v>0.023</v>
      </c>
      <c r="O44" s="90">
        <v>0.027</v>
      </c>
      <c r="P44" s="90">
        <v>0.03</v>
      </c>
      <c r="Q44" s="91">
        <v>0.033</v>
      </c>
      <c r="T44" s="79"/>
    </row>
    <row r="45" spans="1:20" ht="12.75">
      <c r="A45" s="60" t="s">
        <v>61</v>
      </c>
      <c r="B45" s="70">
        <f>IF(C45="","",$B$33-($B$11-C45)/$B$11*$G$35)</f>
      </c>
      <c r="C45" s="26">
        <f>IF($C$33&gt;=0.04,0.04,"")</f>
      </c>
      <c r="D45" s="30">
        <f>IF(C45="","",C45)</f>
      </c>
      <c r="E45" s="60"/>
      <c r="F45" s="70">
        <f>IF(G45="","",$B$33-($B$11-G45)/$B$11*$G$35)</f>
        <v>10006.262818828827</v>
      </c>
      <c r="G45" s="26">
        <f>IF($B$11&gt;0.03,0.03,"")</f>
        <v>0.03</v>
      </c>
      <c r="H45" s="30">
        <f>IF(G45="","",0.07-G45)</f>
        <v>0.04000000000000001</v>
      </c>
      <c r="J45" s="60"/>
      <c r="K45" s="56">
        <v>1.5</v>
      </c>
      <c r="L45" s="23">
        <v>3819.718666666667</v>
      </c>
      <c r="M45" s="90">
        <v>0.028</v>
      </c>
      <c r="N45" s="90">
        <v>0.032</v>
      </c>
      <c r="O45" s="90">
        <v>0.037</v>
      </c>
      <c r="P45" s="90">
        <v>0.041</v>
      </c>
      <c r="Q45" s="91">
        <v>0.046</v>
      </c>
      <c r="T45" s="79"/>
    </row>
    <row r="46" spans="1:20" ht="12.75">
      <c r="A46" s="60"/>
      <c r="B46" s="70">
        <f>IF(C46="","",$B$33)</f>
      </c>
      <c r="C46" s="26">
        <f>IF($C$33&gt;0.04,$C$33,"")</f>
      </c>
      <c r="D46" s="30">
        <f>IF(C46="","",C46)</f>
      </c>
      <c r="E46" s="60"/>
      <c r="F46" s="70">
        <f>IF(G46="","",$B$33)</f>
        <v>10044.100656666666</v>
      </c>
      <c r="G46" s="26">
        <f>IF($C$33&gt;0.03,$C$33,"")</f>
        <v>0.037</v>
      </c>
      <c r="H46" s="30">
        <f>IF(G46="","",0.07-G46)</f>
        <v>0.03300000000000001</v>
      </c>
      <c r="J46" s="60"/>
      <c r="K46" s="56"/>
      <c r="L46" s="23"/>
      <c r="M46" s="90"/>
      <c r="N46" s="90"/>
      <c r="O46" s="90"/>
      <c r="P46" s="90"/>
      <c r="Q46" s="91"/>
      <c r="T46" s="79"/>
    </row>
    <row r="47" spans="1:20" ht="12.75">
      <c r="A47" s="60"/>
      <c r="B47" s="76"/>
      <c r="C47" s="26"/>
      <c r="D47" s="58"/>
      <c r="E47" s="60"/>
      <c r="F47" s="76"/>
      <c r="G47" s="26"/>
      <c r="H47" s="58"/>
      <c r="J47" s="60"/>
      <c r="K47" s="56">
        <v>2</v>
      </c>
      <c r="L47" s="23">
        <v>2864.789</v>
      </c>
      <c r="M47" s="90">
        <v>0.035</v>
      </c>
      <c r="N47" s="90">
        <v>0.04</v>
      </c>
      <c r="O47" s="90">
        <v>0.045</v>
      </c>
      <c r="P47" s="90">
        <v>0.05</v>
      </c>
      <c r="Q47" s="91">
        <v>0.055</v>
      </c>
      <c r="T47" s="79"/>
    </row>
    <row r="48" spans="1:20" ht="12.75">
      <c r="A48" s="60" t="s">
        <v>62</v>
      </c>
      <c r="B48" s="70">
        <f>IF(C48="","",$B$37)</f>
      </c>
      <c r="C48" s="26">
        <f>IF($B$11&lt;0.04,"",$B$11)</f>
      </c>
      <c r="D48" s="30">
        <f>IF(C48="","",C48)</f>
      </c>
      <c r="E48" s="60"/>
      <c r="F48" s="70">
        <f>IF(G48="","",$B$37)</f>
        <v>10613.792983333335</v>
      </c>
      <c r="G48" s="26">
        <f>IF($B$11&lt;0.03,"",$B$11)</f>
        <v>0.037</v>
      </c>
      <c r="H48" s="30">
        <f>IF(G48="","",0.07-G48)</f>
        <v>0.03300000000000001</v>
      </c>
      <c r="J48" s="60"/>
      <c r="K48" s="56">
        <v>2.5</v>
      </c>
      <c r="L48" s="23">
        <v>2291.8312</v>
      </c>
      <c r="M48" s="90">
        <v>0.04</v>
      </c>
      <c r="N48" s="90">
        <v>0.045</v>
      </c>
      <c r="O48" s="90">
        <v>0.051</v>
      </c>
      <c r="P48" s="90">
        <v>0.056</v>
      </c>
      <c r="Q48" s="91">
        <v>0.059</v>
      </c>
      <c r="T48" s="79"/>
    </row>
    <row r="49" spans="1:20" ht="12.75">
      <c r="A49" s="60"/>
      <c r="B49" s="70">
        <f>IF(C49="","",$B$37+($B$11-C49)/$B$11*$G$35)</f>
      </c>
      <c r="C49" s="26">
        <f>IF($B$11&gt;0.04,0.04,"")</f>
      </c>
      <c r="D49" s="30">
        <f>IF(C49="","",C49)</f>
      </c>
      <c r="E49" s="60"/>
      <c r="F49" s="70">
        <f>IF(G49="","",$B$37+($B$11-G49)/$B$11*$G$35)</f>
        <v>10651.630821171173</v>
      </c>
      <c r="G49" s="26">
        <f>IF(G48=0.03,"",IF(G48="","",0.03))</f>
        <v>0.03</v>
      </c>
      <c r="H49" s="30">
        <f>IF(G49="","",0.07-G49)</f>
        <v>0.04000000000000001</v>
      </c>
      <c r="J49" s="60"/>
      <c r="K49" s="56">
        <v>3</v>
      </c>
      <c r="L49" s="23">
        <v>1909.8593333333336</v>
      </c>
      <c r="M49" s="90">
        <v>0.045</v>
      </c>
      <c r="N49" s="90">
        <v>0.05</v>
      </c>
      <c r="O49" s="90">
        <v>0.055</v>
      </c>
      <c r="P49" s="90">
        <v>0.059</v>
      </c>
      <c r="Q49" s="92"/>
      <c r="T49" s="79"/>
    </row>
    <row r="50" spans="1:20" ht="12.75">
      <c r="A50" s="60"/>
      <c r="B50" s="76"/>
      <c r="C50" s="26"/>
      <c r="D50" s="58"/>
      <c r="E50" s="60"/>
      <c r="F50" s="76"/>
      <c r="G50" s="26"/>
      <c r="H50" s="58"/>
      <c r="J50" s="60"/>
      <c r="K50" s="56">
        <v>3.5</v>
      </c>
      <c r="L50" s="23">
        <v>1637.0222857142858</v>
      </c>
      <c r="M50" s="90">
        <v>0.048</v>
      </c>
      <c r="N50" s="90">
        <v>0.054</v>
      </c>
      <c r="O50" s="90">
        <v>0.058</v>
      </c>
      <c r="P50" s="90">
        <v>0.06</v>
      </c>
      <c r="Q50" s="92"/>
      <c r="T50" s="79"/>
    </row>
    <row r="51" spans="1:20" ht="12.75">
      <c r="A51" s="60"/>
      <c r="B51" s="60"/>
      <c r="C51" s="60"/>
      <c r="D51" s="60"/>
      <c r="E51" s="60"/>
      <c r="F51" s="60"/>
      <c r="G51" s="60"/>
      <c r="H51" s="60"/>
      <c r="J51" s="60"/>
      <c r="K51" s="56">
        <v>4</v>
      </c>
      <c r="L51" s="23">
        <v>1432.3945</v>
      </c>
      <c r="M51" s="90">
        <v>0.052</v>
      </c>
      <c r="N51" s="90">
        <v>0.057</v>
      </c>
      <c r="O51" s="90">
        <v>0.06</v>
      </c>
      <c r="P51" s="93"/>
      <c r="Q51" s="92"/>
      <c r="T51" s="79"/>
    </row>
    <row r="52" spans="1:20" ht="12.75">
      <c r="A52" s="67" t="s">
        <v>63</v>
      </c>
      <c r="B52" s="73"/>
      <c r="C52" s="60"/>
      <c r="E52" s="60"/>
      <c r="F52" s="60"/>
      <c r="G52" s="60"/>
      <c r="H52" s="60"/>
      <c r="J52" s="60"/>
      <c r="K52" s="56">
        <v>4.5</v>
      </c>
      <c r="L52" s="23">
        <v>1273.2395555555556</v>
      </c>
      <c r="M52" s="90">
        <v>0.054</v>
      </c>
      <c r="N52" s="90">
        <v>0.059</v>
      </c>
      <c r="O52" s="93"/>
      <c r="P52" s="93"/>
      <c r="Q52" s="92"/>
      <c r="T52" s="79"/>
    </row>
    <row r="53" spans="1:20" ht="12.75">
      <c r="A53" s="60"/>
      <c r="B53"/>
      <c r="C53"/>
      <c r="D53" s="98" t="s">
        <v>78</v>
      </c>
      <c r="E53" s="98" t="s">
        <v>74</v>
      </c>
      <c r="F53" s="98" t="s">
        <v>75</v>
      </c>
      <c r="G53" s="60"/>
      <c r="H53" s="60"/>
      <c r="J53" s="60"/>
      <c r="K53" s="56">
        <v>5</v>
      </c>
      <c r="L53" s="23">
        <v>1145.9156</v>
      </c>
      <c r="M53" s="90">
        <v>0.056</v>
      </c>
      <c r="N53" s="90">
        <v>0.06</v>
      </c>
      <c r="O53" s="93"/>
      <c r="P53" s="93"/>
      <c r="Q53" s="92"/>
      <c r="T53" s="79"/>
    </row>
    <row r="54" spans="1:20" ht="12.75">
      <c r="A54" s="60"/>
      <c r="B54" s="58" t="s">
        <v>52</v>
      </c>
      <c r="C54" s="69" t="s">
        <v>53</v>
      </c>
      <c r="D54" s="98"/>
      <c r="E54" s="98"/>
      <c r="F54" s="98"/>
      <c r="G54" s="60"/>
      <c r="H54" s="60"/>
      <c r="J54" s="60"/>
      <c r="K54" s="56">
        <v>5.5</v>
      </c>
      <c r="L54" s="23">
        <v>1041.7414545454546</v>
      </c>
      <c r="M54" s="90">
        <v>0.058</v>
      </c>
      <c r="N54" s="90">
        <v>0.06</v>
      </c>
      <c r="O54" s="93"/>
      <c r="P54" s="93"/>
      <c r="Q54" s="92"/>
      <c r="T54" s="79"/>
    </row>
    <row r="55" spans="1:20" ht="12.75">
      <c r="A55" s="86">
        <f>IF(B55="","",IF($D$25="no",IF(OR(AND($D$25="no",B55&lt;$B$32),AND($D$25="no",B55&gt;$B$38)),"ERROR: OUT OF RANGE",""),IF(OR(B55&lt;$B$30,B55&gt;$B$40),"ERROR: OUT OF RANGE","")))</f>
      </c>
      <c r="B55" s="85">
        <v>9973</v>
      </c>
      <c r="C55" s="72">
        <f>IF(A55="",IF(AND($B$33&lt;$B55,$B55&lt;$B$37),$B$11,IF($B55="","",IF($D$25="yes",IF(AND($B$30&lt;=$B55,$B55&lt;=$B$33),$C$30+($B55-$B$30)/$G$35*$B$11,$C$37-($B55-$B$37)/$G$35*$B$11),IF(AND($B$32&lt;=$B55,$B55&lt;=$B$33),$C$32+($B55-$B$32)/$G$35*$B$11,$C$37-($B55-$B$37)/$G$35*$B$11)))),"ERROR")</f>
        <v>0.02384637851666689</v>
      </c>
      <c r="D55" s="83">
        <f>IF(C55="","",C55/$B$11)</f>
        <v>0.6444967166666727</v>
      </c>
      <c r="E55" s="26">
        <f>IF(C55="","",IF(C55&lt;=0.04,0.04,C55))</f>
        <v>0.04</v>
      </c>
      <c r="F55" s="26">
        <f>IF(C55="","",IF(C55&lt;=0.03,0.04,0.07-C55))</f>
        <v>0.04</v>
      </c>
      <c r="G55" s="60"/>
      <c r="H55" s="60"/>
      <c r="J55" s="60"/>
      <c r="K55" s="56">
        <v>6</v>
      </c>
      <c r="L55" s="23">
        <v>954.9296666666668</v>
      </c>
      <c r="M55" s="90">
        <v>0.059</v>
      </c>
      <c r="N55" s="93"/>
      <c r="O55" s="93"/>
      <c r="P55" s="93"/>
      <c r="Q55" s="92"/>
      <c r="T55" s="79"/>
    </row>
    <row r="56" spans="1:20" ht="13.5" thickBot="1">
      <c r="A56" s="86">
        <f>IF(B56="","",IF($D$25="no",IF(OR(AND($D$25="no",B56&lt;$B$32),AND($D$25="no",B56&gt;$B$38)),"ERROR: OUT OF RANGE",""),IF(OR(B56&lt;$B$30,B56&gt;$B$40),"ERROR: OUT OF RANGE","")))</f>
      </c>
      <c r="B56" s="85"/>
      <c r="C56" s="72">
        <f>IF(A56="",IF(AND($B$33&lt;B56,B56&lt;$B$37),$B$11,IF($B56="","",IF($D$25="yes",IF(AND($B$30&lt;=$B56,$B56&lt;=$B$33),$C$30+($B56-$B$30)/CEILING($B$16,5)*$B$11,$C$37-($B56-$B$37)/CEILING($B$16,5)*$B$11),IF(AND($B$32&lt;=$B56,$B56&lt;=$B$33),$C$32+($B56-$B$32)/CEILING($B$16,5)*$B$11,$C$37-($B56-$B$37)/CEILING($B$16,5)*$B$11)))),"ERROR")</f>
      </c>
      <c r="D56" s="83">
        <f>IF(C56="","",C56/$B$11)</f>
      </c>
      <c r="E56" s="26">
        <f>IF(C56="","",IF(C56&lt;=0.04,0.04,C56))</f>
      </c>
      <c r="F56" s="26">
        <f>IF(C56="","",IF(C56&lt;=0.03,0.04,0.07-C56))</f>
      </c>
      <c r="G56" s="60"/>
      <c r="H56" s="60"/>
      <c r="J56" s="60"/>
      <c r="K56" s="80">
        <v>6.5</v>
      </c>
      <c r="L56" s="33">
        <v>881.4735384615385</v>
      </c>
      <c r="M56" s="94">
        <v>0.06</v>
      </c>
      <c r="N56" s="95"/>
      <c r="O56" s="95"/>
      <c r="P56" s="95"/>
      <c r="Q56" s="96"/>
      <c r="T56" s="79"/>
    </row>
    <row r="57" spans="1:10" ht="13.5" thickTop="1">
      <c r="A57" s="86">
        <f>IF(B57="","",IF($D$25="no",IF(OR(AND($D$25="no",B57&lt;$B$32),AND($D$25="no",B57&gt;$B$38)),"ERROR: OUT OF RANGE",""),IF(OR(B57&lt;$B$30,B57&gt;$B$40),"ERROR: OUT OF RANGE","")))</f>
      </c>
      <c r="B57" s="85"/>
      <c r="C57" s="72">
        <f>IF(A57="",IF(AND($B$33&lt;B57,B57&lt;$B$37),$B$11,IF($B57="","",IF($D$25="yes",IF(AND($B$30&lt;=$B57,$B57&lt;=$B$33),$C$30+($B57-$B$30)/CEILING($B$16,5)*$B$11,$C$37-($B57-$B$37)/CEILING($B$16,5)*$B$11),IF(AND($B$32&lt;=$B57,$B57&lt;=$B$33),$C$32+($B57-$B$32)/CEILING($B$16,5)*$B$11,$C$37-($B57-$B$37)/CEILING($B$16,5)*$B$11)))),"ERROR")</f>
      </c>
      <c r="D57" s="83">
        <f>IF(C57="","",C57/$B$11)</f>
      </c>
      <c r="E57" s="26">
        <f>IF(C57="","",IF(C57&lt;=0.04,0.04,C57))</f>
      </c>
      <c r="F57" s="26">
        <f>IF(C57="","",IF(C57&lt;=0.03,0.04,0.07-C57))</f>
      </c>
      <c r="G57" s="60"/>
      <c r="H57" s="60"/>
      <c r="J57" s="60"/>
    </row>
    <row r="58" spans="1:10" ht="12.75">
      <c r="A58" s="60"/>
      <c r="B58" s="60"/>
      <c r="C58" s="60"/>
      <c r="D58" s="60"/>
      <c r="E58" s="60"/>
      <c r="F58" s="60"/>
      <c r="G58" s="60"/>
      <c r="H58" s="60"/>
      <c r="J58" s="60"/>
    </row>
    <row r="59" spans="1:10" ht="12.75">
      <c r="A59" s="60"/>
      <c r="B59" s="60"/>
      <c r="C59" s="60"/>
      <c r="D59" s="60"/>
      <c r="E59" s="60"/>
      <c r="F59" s="60"/>
      <c r="G59" s="60"/>
      <c r="H59" s="60"/>
      <c r="I59"/>
      <c r="J59" s="60"/>
    </row>
    <row r="60" spans="1:10" ht="12.75">
      <c r="A60" s="60"/>
      <c r="B60" s="60"/>
      <c r="C60" s="60"/>
      <c r="D60" s="60"/>
      <c r="E60" s="60"/>
      <c r="F60" s="60"/>
      <c r="G60" s="60"/>
      <c r="H60" s="60"/>
      <c r="I60"/>
      <c r="J60" s="60"/>
    </row>
    <row r="61" spans="1:10" ht="12.75">
      <c r="A61"/>
      <c r="B61"/>
      <c r="C61"/>
      <c r="D61"/>
      <c r="E61"/>
      <c r="F61"/>
      <c r="G61"/>
      <c r="H61"/>
      <c r="I61"/>
      <c r="J61" s="60"/>
    </row>
    <row r="62" spans="1:10" ht="12.75">
      <c r="A62" s="60"/>
      <c r="B62" s="60"/>
      <c r="C62" s="60"/>
      <c r="D62" s="60"/>
      <c r="E62" s="60"/>
      <c r="F62" s="60"/>
      <c r="G62" s="60"/>
      <c r="H62" s="60"/>
      <c r="I62"/>
      <c r="J62" s="60"/>
    </row>
    <row r="63" spans="1:10" ht="12.75">
      <c r="A63" s="60"/>
      <c r="B63" s="60"/>
      <c r="C63" s="60"/>
      <c r="D63" s="60"/>
      <c r="E63" s="60"/>
      <c r="F63" s="60"/>
      <c r="G63" s="60"/>
      <c r="H63" s="60"/>
      <c r="I63"/>
      <c r="J63" s="74"/>
    </row>
    <row r="64" spans="1:10" ht="12.75">
      <c r="A64" s="74"/>
      <c r="B64" s="74"/>
      <c r="C64" s="74"/>
      <c r="D64" s="74"/>
      <c r="E64" s="74"/>
      <c r="F64" s="74"/>
      <c r="G64" s="74"/>
      <c r="H64" s="74"/>
      <c r="I64"/>
      <c r="J64" s="74"/>
    </row>
    <row r="65" spans="1:10" ht="12.75">
      <c r="A65" s="74"/>
      <c r="B65" s="74"/>
      <c r="C65" s="74"/>
      <c r="D65" s="74"/>
      <c r="E65" s="74"/>
      <c r="F65" s="74"/>
      <c r="G65" s="74"/>
      <c r="H65" s="74"/>
      <c r="I65" s="74"/>
      <c r="J65" s="74"/>
    </row>
    <row r="66" spans="1:10" ht="12.75">
      <c r="A66" s="74"/>
      <c r="B66" s="74"/>
      <c r="C66" s="74"/>
      <c r="D66" s="74"/>
      <c r="E66" s="74"/>
      <c r="F66" s="74"/>
      <c r="G66" s="74"/>
      <c r="H66" s="74"/>
      <c r="I66" s="74"/>
      <c r="J66" s="74"/>
    </row>
    <row r="67" spans="1:10" ht="12.75">
      <c r="A67" s="74"/>
      <c r="B67" s="74"/>
      <c r="C67" s="74"/>
      <c r="D67" s="74"/>
      <c r="E67" s="74"/>
      <c r="F67" s="74"/>
      <c r="G67" s="74"/>
      <c r="H67" s="74"/>
      <c r="I67" s="74"/>
      <c r="J67" s="75"/>
    </row>
    <row r="68" spans="1:9" ht="12.75">
      <c r="A68" s="74"/>
      <c r="B68" s="74"/>
      <c r="C68" s="74"/>
      <c r="D68" s="74"/>
      <c r="E68" s="74"/>
      <c r="F68" s="74"/>
      <c r="G68" s="74"/>
      <c r="H68" s="74"/>
      <c r="I68" s="74"/>
    </row>
    <row r="69" spans="1:9" ht="12.75">
      <c r="A69" s="75"/>
      <c r="B69" s="75"/>
      <c r="C69" s="75"/>
      <c r="D69" s="75"/>
      <c r="E69" s="75"/>
      <c r="F69" s="75"/>
      <c r="G69" s="75"/>
      <c r="H69" s="75"/>
      <c r="I69" s="75"/>
    </row>
  </sheetData>
  <sheetProtection/>
  <mergeCells count="16">
    <mergeCell ref="E36:F36"/>
    <mergeCell ref="E37:F37"/>
    <mergeCell ref="E30:F30"/>
    <mergeCell ref="C43:C44"/>
    <mergeCell ref="D43:D44"/>
    <mergeCell ref="G43:G44"/>
    <mergeCell ref="H43:H44"/>
    <mergeCell ref="D53:D54"/>
    <mergeCell ref="E53:E54"/>
    <mergeCell ref="F53:F54"/>
    <mergeCell ref="M37:Q37"/>
    <mergeCell ref="E31:F31"/>
    <mergeCell ref="E32:F32"/>
    <mergeCell ref="E33:F33"/>
    <mergeCell ref="E34:F34"/>
    <mergeCell ref="E35:F35"/>
  </mergeCells>
  <printOptions/>
  <pageMargins left="0.5" right="0.5" top="0.75" bottom="0.75" header="0.5" footer="0.5"/>
  <pageSetup horizontalDpi="600" verticalDpi="600" orientation="portrait" scale="9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69"/>
  <sheetViews>
    <sheetView tabSelected="1" zoomScalePageLayoutView="0" workbookViewId="0" topLeftCell="A1">
      <selection activeCell="B56" sqref="B56"/>
    </sheetView>
  </sheetViews>
  <sheetFormatPr defaultColWidth="9.140625" defaultRowHeight="12.75"/>
  <cols>
    <col min="1" max="1" width="21.140625" style="2" customWidth="1"/>
    <col min="2" max="2" width="13.421875" style="2" customWidth="1"/>
    <col min="3" max="4" width="12.140625" style="2" customWidth="1"/>
    <col min="5" max="5" width="11.8515625" style="2" customWidth="1"/>
    <col min="6" max="6" width="12.8515625" style="2" customWidth="1"/>
    <col min="7" max="7" width="11.140625" style="2" customWidth="1"/>
    <col min="8" max="8" width="11.7109375" style="2" customWidth="1"/>
    <col min="9" max="10" width="9.421875" style="2" bestFit="1" customWidth="1"/>
    <col min="11" max="11" width="16.421875" style="2" customWidth="1"/>
    <col min="12" max="13" width="9.421875" style="2" bestFit="1" customWidth="1"/>
    <col min="14" max="15" width="9.28125" style="2" bestFit="1" customWidth="1"/>
    <col min="16" max="19" width="9.140625" style="2" customWidth="1"/>
    <col min="20" max="20" width="9.57421875" style="2" bestFit="1" customWidth="1"/>
    <col min="21" max="16384" width="9.140625" style="2" customWidth="1"/>
  </cols>
  <sheetData>
    <row r="1" ht="15.75">
      <c r="A1" s="1" t="s">
        <v>65</v>
      </c>
    </row>
    <row r="2" spans="1:11" ht="12.75">
      <c r="A2" s="2" t="s">
        <v>66</v>
      </c>
      <c r="K2" s="3" t="s">
        <v>0</v>
      </c>
    </row>
    <row r="3" spans="1:11" ht="12.75">
      <c r="A3" s="4" t="s">
        <v>1</v>
      </c>
      <c r="B3" s="4"/>
      <c r="C3" s="4"/>
      <c r="K3" s="3"/>
    </row>
    <row r="4" spans="1:13" ht="13.5" thickBot="1">
      <c r="A4" s="5" t="s">
        <v>2</v>
      </c>
      <c r="K4" s="6" t="s">
        <v>3</v>
      </c>
      <c r="L4" s="7"/>
      <c r="M4" s="7"/>
    </row>
    <row r="5" spans="1:13" ht="13.5" thickTop="1">
      <c r="A5" s="8" t="s">
        <v>4</v>
      </c>
      <c r="B5" s="9">
        <v>60</v>
      </c>
      <c r="C5" s="2" t="s">
        <v>5</v>
      </c>
      <c r="D5" s="2" t="s">
        <v>6</v>
      </c>
      <c r="K5" s="10"/>
      <c r="L5" s="11" t="s">
        <v>7</v>
      </c>
      <c r="M5" s="12" t="s">
        <v>7</v>
      </c>
    </row>
    <row r="6" spans="1:13" ht="12.75">
      <c r="A6" s="8" t="s">
        <v>8</v>
      </c>
      <c r="B6" s="13">
        <v>1.5</v>
      </c>
      <c r="D6" s="2" t="s">
        <v>9</v>
      </c>
      <c r="I6" s="2">
        <f>COUNTIF($K$40:$K$56,B6)</f>
        <v>1</v>
      </c>
      <c r="K6" s="10"/>
      <c r="L6" s="11" t="s">
        <v>10</v>
      </c>
      <c r="M6" s="12" t="s">
        <v>10</v>
      </c>
    </row>
    <row r="7" spans="1:13" ht="12.75">
      <c r="A7" s="15" t="s">
        <v>11</v>
      </c>
      <c r="B7" s="16">
        <f>5729.578/B6</f>
        <v>3819.718666666667</v>
      </c>
      <c r="C7" s="2" t="s">
        <v>12</v>
      </c>
      <c r="D7" s="2" t="s">
        <v>13</v>
      </c>
      <c r="I7" s="2">
        <f>LOOKUP(B6,$K$40:$K$56)</f>
        <v>1.5</v>
      </c>
      <c r="J7" s="26">
        <f>VLOOKUP(I7,$K$40:$Q$56,IF($B$5=50,3,IF($B$5=55,4,IF($B$5=60,5,IF($B$5=65,6,IF($B$5=70,7,8))))),TRUE)</f>
        <v>0.037</v>
      </c>
      <c r="K7" s="17" t="s">
        <v>14</v>
      </c>
      <c r="L7" s="11" t="s">
        <v>15</v>
      </c>
      <c r="M7" s="12" t="s">
        <v>16</v>
      </c>
    </row>
    <row r="8" spans="1:13" ht="13.5" thickBot="1">
      <c r="A8" s="15" t="s">
        <v>17</v>
      </c>
      <c r="B8" s="9">
        <v>12</v>
      </c>
      <c r="C8" s="2" t="s">
        <v>12</v>
      </c>
      <c r="I8" s="2">
        <f>IF(I7&gt;0.99,I7+0.5,I7+0.25)</f>
        <v>2</v>
      </c>
      <c r="J8" s="26">
        <f>VLOOKUP(I8,$K$40:$Q$56,IF($B$5=50,3,IF($B$5=55,4,IF($B$5=60,5,IF($B$5=65,6,IF($B$5=70,7,8))))),TRUE)</f>
        <v>0.045</v>
      </c>
      <c r="K8" s="19" t="s">
        <v>18</v>
      </c>
      <c r="L8" s="20" t="s">
        <v>19</v>
      </c>
      <c r="M8" s="21" t="s">
        <v>20</v>
      </c>
    </row>
    <row r="9" spans="1:13" ht="12.75">
      <c r="A9" s="8"/>
      <c r="B9" s="9" t="s">
        <v>49</v>
      </c>
      <c r="C9" s="2" t="s">
        <v>21</v>
      </c>
      <c r="D9" s="2" t="s">
        <v>22</v>
      </c>
      <c r="J9" s="78">
        <f>J8-(((I8-B6)/(I8-I7))*(J8-J7))</f>
        <v>0.037</v>
      </c>
      <c r="K9" s="22">
        <v>20</v>
      </c>
      <c r="L9" s="23">
        <v>0.74</v>
      </c>
      <c r="M9" s="24">
        <v>135</v>
      </c>
    </row>
    <row r="10" spans="1:13" ht="12.75">
      <c r="A10" s="8" t="s">
        <v>23</v>
      </c>
      <c r="B10" s="9">
        <v>3</v>
      </c>
      <c r="C10" s="2" t="s">
        <v>24</v>
      </c>
      <c r="K10" s="22">
        <v>25</v>
      </c>
      <c r="L10" s="23">
        <v>0.7</v>
      </c>
      <c r="M10" s="24">
        <v>143</v>
      </c>
    </row>
    <row r="11" spans="1:13" ht="12.75">
      <c r="A11" s="25" t="s">
        <v>25</v>
      </c>
      <c r="B11" s="26">
        <f>IF(I6=1,VLOOKUP(B6,$K$40:$Q$56,IF($B$5=50,3,IF($B$5=55,4,IF($B$5=60,5,IF($B$5=65,6,IF($B$5=70,7,8))))),TRUE),J9)</f>
        <v>0.037</v>
      </c>
      <c r="D11" s="27" t="s">
        <v>26</v>
      </c>
      <c r="K11" s="22">
        <v>30</v>
      </c>
      <c r="L11" s="23">
        <v>0.66</v>
      </c>
      <c r="M11" s="24">
        <v>152</v>
      </c>
    </row>
    <row r="12" spans="1:13" ht="12.75">
      <c r="A12" s="15" t="s">
        <v>27</v>
      </c>
      <c r="B12" s="28">
        <f>VLOOKUP(B10,$K$27:$M$32,IF($B$9="yes",2,3))</f>
        <v>1</v>
      </c>
      <c r="D12" s="2" t="s">
        <v>28</v>
      </c>
      <c r="K12" s="22">
        <v>35</v>
      </c>
      <c r="L12" s="23">
        <v>0.62</v>
      </c>
      <c r="M12" s="24">
        <v>161</v>
      </c>
    </row>
    <row r="13" spans="1:13" ht="12.75">
      <c r="A13" s="15" t="s">
        <v>29</v>
      </c>
      <c r="B13" s="28">
        <f>VLOOKUP(B5,$K$9:$M$19,2,TRUE)</f>
        <v>0.45</v>
      </c>
      <c r="D13" s="2" t="s">
        <v>30</v>
      </c>
      <c r="K13" s="22">
        <v>40</v>
      </c>
      <c r="L13" s="23">
        <v>0.58</v>
      </c>
      <c r="M13" s="24">
        <v>172</v>
      </c>
    </row>
    <row r="14" spans="1:13" ht="12.75">
      <c r="A14" s="15" t="s">
        <v>31</v>
      </c>
      <c r="B14" s="28">
        <f>VLOOKUP(B5,$K9:M19,3,TRUE)</f>
        <v>222</v>
      </c>
      <c r="D14" s="2" t="s">
        <v>32</v>
      </c>
      <c r="K14" s="22">
        <v>45</v>
      </c>
      <c r="L14" s="23">
        <v>0.54</v>
      </c>
      <c r="M14" s="24">
        <v>185</v>
      </c>
    </row>
    <row r="15" spans="11:13" ht="12.75">
      <c r="K15" s="22">
        <v>50</v>
      </c>
      <c r="L15" s="23">
        <v>0.5</v>
      </c>
      <c r="M15" s="24">
        <v>200</v>
      </c>
    </row>
    <row r="16" spans="1:13" ht="12.75">
      <c r="A16" s="29" t="s">
        <v>33</v>
      </c>
      <c r="B16" s="30">
        <f>((($B$8*$B$10)*($B$11))*($B$14)*($B$12))</f>
        <v>295.70399999999995</v>
      </c>
      <c r="C16" s="31" t="s">
        <v>12</v>
      </c>
      <c r="D16" s="31" t="s">
        <v>34</v>
      </c>
      <c r="E16" s="31"/>
      <c r="F16" s="31"/>
      <c r="K16" s="22">
        <v>55</v>
      </c>
      <c r="L16" s="23">
        <v>0.47</v>
      </c>
      <c r="M16" s="24">
        <v>213</v>
      </c>
    </row>
    <row r="17" spans="1:13" ht="12.75">
      <c r="A17" s="29" t="s">
        <v>35</v>
      </c>
      <c r="B17" s="30">
        <f>((0.0156)/$B$11)*B16</f>
        <v>124.67519999999999</v>
      </c>
      <c r="C17" s="31" t="s">
        <v>12</v>
      </c>
      <c r="D17" s="31" t="s">
        <v>36</v>
      </c>
      <c r="E17" s="31"/>
      <c r="F17" s="31"/>
      <c r="K17" s="22">
        <v>60</v>
      </c>
      <c r="L17" s="23">
        <v>0.45</v>
      </c>
      <c r="M17" s="24">
        <v>222</v>
      </c>
    </row>
    <row r="18" spans="1:13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2">
        <v>65</v>
      </c>
      <c r="L18" s="23">
        <v>0.43</v>
      </c>
      <c r="M18" s="24">
        <v>233</v>
      </c>
    </row>
    <row r="19" spans="1:13" ht="13.5" thickBo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32">
        <v>70</v>
      </c>
      <c r="L19" s="33">
        <v>0.4</v>
      </c>
      <c r="M19" s="34">
        <v>250</v>
      </c>
    </row>
    <row r="20" spans="1:10" ht="13.5" thickTop="1">
      <c r="A20" s="60" t="s">
        <v>80</v>
      </c>
      <c r="B20" s="63"/>
      <c r="C20" s="57" t="s">
        <v>64</v>
      </c>
      <c r="D20" s="43"/>
      <c r="E20" s="43"/>
      <c r="F20" s="43"/>
      <c r="G20" s="43"/>
      <c r="H20" s="43"/>
      <c r="I20" s="27"/>
      <c r="J20" s="27"/>
    </row>
    <row r="21" spans="1:10" ht="12.75">
      <c r="A21" s="27"/>
      <c r="B21" s="27"/>
      <c r="C21" s="27"/>
      <c r="D21" s="27"/>
      <c r="E21" s="59" t="s">
        <v>47</v>
      </c>
      <c r="F21" s="27"/>
      <c r="G21" s="27"/>
      <c r="H21" s="27"/>
      <c r="J21" s="60"/>
    </row>
    <row r="22" spans="1:11" ht="12.75">
      <c r="A22" s="60" t="str">
        <f>IF($C$20="yes","ERROR: SPREADSHEET NOT VALID","P.C. Station")</f>
        <v>P.C. Station</v>
      </c>
      <c r="B22" s="61">
        <v>11773.308874</v>
      </c>
      <c r="C22" s="60"/>
      <c r="D22" s="60" t="s">
        <v>48</v>
      </c>
      <c r="E22" s="57" t="s">
        <v>49</v>
      </c>
      <c r="F22" s="60" t="s">
        <v>81</v>
      </c>
      <c r="G22" s="60"/>
      <c r="H22" s="62">
        <v>0.5</v>
      </c>
      <c r="J22" s="60"/>
      <c r="K22" s="35" t="s">
        <v>37</v>
      </c>
    </row>
    <row r="23" spans="1:11" ht="12.75">
      <c r="A23" s="60" t="str">
        <f>IF($C$20="yes","ERROR: SPREADSHEET NOT VALID","P.T. Station")</f>
        <v>P.T. Station</v>
      </c>
      <c r="B23" s="61">
        <v>12478.46717</v>
      </c>
      <c r="C23" s="60"/>
      <c r="D23" s="60" t="s">
        <v>48</v>
      </c>
      <c r="E23" s="57" t="s">
        <v>49</v>
      </c>
      <c r="F23" s="60" t="s">
        <v>81</v>
      </c>
      <c r="G23" s="60"/>
      <c r="H23" s="62">
        <v>0.5</v>
      </c>
      <c r="J23" s="60"/>
      <c r="K23" s="35"/>
    </row>
    <row r="24" spans="1:11" ht="13.5" thickBot="1">
      <c r="A24" s="86">
        <f>IF($C$20="yes","ERROR: SPREADSHEET NOT VALID; ERROR SPREADSHEET NOT VALID; ERROR: SPREADSHEET NOT VALID; ERROR: SPREADSHEET NOT VALID","")</f>
      </c>
      <c r="B24" s="61"/>
      <c r="C24" s="60"/>
      <c r="D24" s="60"/>
      <c r="E24" s="57"/>
      <c r="F24" s="60"/>
      <c r="G24" s="60"/>
      <c r="H24" s="62"/>
      <c r="I24" s="14"/>
      <c r="J24" s="60"/>
      <c r="K24" s="35"/>
    </row>
    <row r="25" spans="1:13" ht="13.5" thickTop="1">
      <c r="A25" s="60" t="s">
        <v>50</v>
      </c>
      <c r="B25" s="63"/>
      <c r="C25" s="60"/>
      <c r="D25" s="57" t="s">
        <v>49</v>
      </c>
      <c r="E25" s="64"/>
      <c r="F25" s="60"/>
      <c r="G25" s="60"/>
      <c r="H25" s="65"/>
      <c r="I25" s="14"/>
      <c r="J25" s="60"/>
      <c r="K25" s="36" t="s">
        <v>38</v>
      </c>
      <c r="L25" s="37" t="s">
        <v>39</v>
      </c>
      <c r="M25" s="38" t="s">
        <v>40</v>
      </c>
    </row>
    <row r="26" spans="1:13" ht="13.5" thickBot="1">
      <c r="A26" s="60">
        <f>IF($E$23="no","Is there a spiral for super transition at the end of this curve? (yes or no)","")</f>
      </c>
      <c r="B26" s="63"/>
      <c r="C26" s="60"/>
      <c r="D26" s="57"/>
      <c r="E26" s="57" t="s">
        <v>64</v>
      </c>
      <c r="F26"/>
      <c r="G26" s="60"/>
      <c r="H26" s="65"/>
      <c r="I26" s="18"/>
      <c r="J26" s="77"/>
      <c r="K26" s="19" t="s">
        <v>41</v>
      </c>
      <c r="L26" s="20" t="s">
        <v>42</v>
      </c>
      <c r="M26" s="21" t="s">
        <v>42</v>
      </c>
    </row>
    <row r="27" spans="1:13" ht="12.75">
      <c r="A27" s="86">
        <f>IF($C$20="yes","ERROR: SPREADSHEET NOT VALID; ERROR SPREADSHEET NOT VALID; ERROR: SPREADSHEET NOT VALID; ERROR: SPREADSHEET NOT VALID","")</f>
      </c>
      <c r="B27" s="66"/>
      <c r="C27" s="60"/>
      <c r="D27" s="60"/>
      <c r="E27" s="60"/>
      <c r="F27" s="60"/>
      <c r="G27" s="60"/>
      <c r="H27" s="60"/>
      <c r="I27" s="14"/>
      <c r="J27" s="77"/>
      <c r="K27" s="39">
        <v>1</v>
      </c>
      <c r="L27" s="23">
        <v>1</v>
      </c>
      <c r="M27" s="40">
        <v>1</v>
      </c>
    </row>
    <row r="28" spans="1:13" ht="12.75">
      <c r="A28" s="67" t="s">
        <v>51</v>
      </c>
      <c r="B28" s="68"/>
      <c r="C28" s="60"/>
      <c r="D28" s="60"/>
      <c r="E28" s="67" t="s">
        <v>68</v>
      </c>
      <c r="F28" s="67"/>
      <c r="G28" s="81"/>
      <c r="H28" s="60"/>
      <c r="J28" s="77"/>
      <c r="K28" s="39">
        <v>1.5</v>
      </c>
      <c r="L28" s="23">
        <v>1</v>
      </c>
      <c r="M28" s="40">
        <v>0.83</v>
      </c>
    </row>
    <row r="29" spans="1:13" ht="12.75">
      <c r="A29" s="60"/>
      <c r="B29" s="69" t="s">
        <v>52</v>
      </c>
      <c r="C29" s="69" t="s">
        <v>53</v>
      </c>
      <c r="D29" s="60"/>
      <c r="E29" s="60"/>
      <c r="F29" s="60"/>
      <c r="G29" s="60"/>
      <c r="H29" s="60"/>
      <c r="J29" s="60"/>
      <c r="K29" s="39">
        <v>2</v>
      </c>
      <c r="L29" s="23">
        <v>1</v>
      </c>
      <c r="M29" s="40">
        <v>0.75</v>
      </c>
    </row>
    <row r="30" spans="1:13" ht="12.75">
      <c r="A30" s="25" t="s">
        <v>54</v>
      </c>
      <c r="B30" s="70">
        <f>IF($D$25="yes",IF($E$22="yes",$B$22-($G$35*2/3)+($C$30*$G$35/$B$11),$B$22-($G$35*$H$22)+($C$30*$G$35/$B$11)),"")</f>
        <v>11443.57914427027</v>
      </c>
      <c r="C30" s="88">
        <v>-0.016</v>
      </c>
      <c r="D30" s="60"/>
      <c r="E30" s="102" t="s">
        <v>69</v>
      </c>
      <c r="F30" s="102"/>
      <c r="G30" s="82">
        <f>B37-B33</f>
        <v>505.1582959999996</v>
      </c>
      <c r="H30" s="60"/>
      <c r="J30" s="60"/>
      <c r="K30" s="39">
        <v>2.5</v>
      </c>
      <c r="L30" s="23">
        <v>1</v>
      </c>
      <c r="M30" s="40">
        <v>0.7</v>
      </c>
    </row>
    <row r="31" spans="1:13" ht="12.75">
      <c r="A31" s="25" t="s">
        <v>55</v>
      </c>
      <c r="B31" s="70">
        <f>IF($D$25="yes",IF($E$22="yes",$B$22-(2*$G$35/3),$B$22-($G$35*$H$22)),"")</f>
        <v>11573.308874</v>
      </c>
      <c r="C31" s="88">
        <v>0</v>
      </c>
      <c r="D31" s="60"/>
      <c r="E31" s="102" t="s">
        <v>71</v>
      </c>
      <c r="F31" s="102"/>
      <c r="G31" s="26">
        <f>IF($D$25="yes",$C$30+($B22-$B$30)/CEILING($B$16,5)*$B$11,$C$32+($B22-$B$32)/CEILING($B$16,5)*$B$11)</f>
        <v>0.024666666666666698</v>
      </c>
      <c r="H31" s="60"/>
      <c r="J31" s="60"/>
      <c r="K31" s="39">
        <v>3</v>
      </c>
      <c r="L31" s="23">
        <v>1</v>
      </c>
      <c r="M31" s="40">
        <v>0.67</v>
      </c>
    </row>
    <row r="32" spans="1:13" ht="13.5" thickBot="1">
      <c r="A32" s="25" t="s">
        <v>56</v>
      </c>
      <c r="B32" s="70">
        <f>IF($E$22="yes",$B$22-($G$35*2/3)+($C$32*$G$35/$B$11),IF($D$25="yes",$B$22-($G$35*$H$22)+($C$32*$G$35/$B$11),$B$33-($G$35*($B$11-$C$32)/$B$11)))</f>
        <v>11703.03860372973</v>
      </c>
      <c r="C32" s="88">
        <v>0.016</v>
      </c>
      <c r="D32" s="60"/>
      <c r="E32" s="103" t="s">
        <v>76</v>
      </c>
      <c r="F32" s="103"/>
      <c r="G32" s="87">
        <f>G31/$B$11</f>
        <v>0.6666666666666675</v>
      </c>
      <c r="H32" s="60"/>
      <c r="J32" s="60"/>
      <c r="K32" s="41">
        <v>3.5</v>
      </c>
      <c r="L32" s="33">
        <v>1</v>
      </c>
      <c r="M32" s="42">
        <v>0.64</v>
      </c>
    </row>
    <row r="33" spans="1:10" ht="13.5" thickTop="1">
      <c r="A33" s="25" t="s">
        <v>57</v>
      </c>
      <c r="B33" s="70">
        <f>IF($E$22="yes",$B$22+($G$35/3),$B$22+($G$35*(1-$H$22)))</f>
        <v>11873.308874</v>
      </c>
      <c r="C33" s="88">
        <f>$B$11</f>
        <v>0.037</v>
      </c>
      <c r="D33" s="60"/>
      <c r="E33" s="102" t="s">
        <v>70</v>
      </c>
      <c r="F33" s="102"/>
      <c r="G33" s="26">
        <f>IF($D$25="yes",$C$37-($B23-$B$37)*$G$37,$C$37-($B23-$B$37)/CEILING($B$16,5)*$B$11)</f>
        <v>0.024666666666666663</v>
      </c>
      <c r="H33" s="60"/>
      <c r="J33" s="60"/>
    </row>
    <row r="34" spans="1:10" ht="12.75">
      <c r="A34" s="60"/>
      <c r="B34" s="60"/>
      <c r="C34" s="60"/>
      <c r="D34" s="60"/>
      <c r="E34" s="103" t="s">
        <v>77</v>
      </c>
      <c r="F34" s="103"/>
      <c r="G34" s="87">
        <f>G33/$B$11</f>
        <v>0.6666666666666666</v>
      </c>
      <c r="H34" s="60"/>
      <c r="J34" s="60"/>
    </row>
    <row r="35" spans="1:11" ht="12.75">
      <c r="A35" s="67" t="s">
        <v>58</v>
      </c>
      <c r="B35" s="67"/>
      <c r="C35" s="60"/>
      <c r="D35" s="60"/>
      <c r="E35" s="102" t="s">
        <v>73</v>
      </c>
      <c r="F35" s="102"/>
      <c r="G35" s="84">
        <f>CEILING($B$16,5)</f>
        <v>300</v>
      </c>
      <c r="H35" s="60"/>
      <c r="J35" s="60"/>
      <c r="K35" s="35" t="s">
        <v>43</v>
      </c>
    </row>
    <row r="36" spans="1:11" ht="13.5" thickBot="1">
      <c r="A36" s="60"/>
      <c r="B36" s="58" t="s">
        <v>52</v>
      </c>
      <c r="C36" s="69" t="s">
        <v>53</v>
      </c>
      <c r="D36" s="60"/>
      <c r="E36" s="102" t="s">
        <v>72</v>
      </c>
      <c r="F36" s="102"/>
      <c r="G36" s="84">
        <f>CEILING($B$16,5)-CEILING($B$16,5)*($B$11-$C$32)/$B$11</f>
        <v>129.72972972972974</v>
      </c>
      <c r="H36" s="60"/>
      <c r="I36" s="14"/>
      <c r="J36" s="60"/>
      <c r="K36" s="3" t="s">
        <v>67</v>
      </c>
    </row>
    <row r="37" spans="1:22" ht="13.5" thickTop="1">
      <c r="A37" s="25" t="s">
        <v>57</v>
      </c>
      <c r="B37" s="70">
        <f>IF($E$23="yes",$B$23-($G$35/3),$B$23-($G$35*(1-$H$23)))</f>
        <v>12378.46717</v>
      </c>
      <c r="C37" s="88">
        <f>$B$11</f>
        <v>0.037</v>
      </c>
      <c r="D37" s="60"/>
      <c r="E37" s="102" t="s">
        <v>79</v>
      </c>
      <c r="F37" s="102"/>
      <c r="G37" s="89">
        <f>B11/G35</f>
        <v>0.00012333333333333334</v>
      </c>
      <c r="H37" s="60"/>
      <c r="I37" s="14"/>
      <c r="J37" s="60"/>
      <c r="K37" s="44"/>
      <c r="L37" s="45"/>
      <c r="M37" s="99" t="s">
        <v>14</v>
      </c>
      <c r="N37" s="100"/>
      <c r="O37" s="100"/>
      <c r="P37" s="100"/>
      <c r="Q37" s="101"/>
      <c r="R37" s="46"/>
      <c r="S37" s="46"/>
      <c r="T37" s="46"/>
      <c r="U37" s="46"/>
      <c r="V37" s="46"/>
    </row>
    <row r="38" spans="1:22" ht="12.75">
      <c r="A38" s="25" t="s">
        <v>56</v>
      </c>
      <c r="B38" s="70">
        <f>IF($E$23="yes",$B$23+($G$35*2/3)-($C$38*$G$35/$B$11),IF($E$26="yes","",$B$23-($G$35*(1-$H$23))+($B$11-$C$38)/$G$37))</f>
        <v>12548.73744027027</v>
      </c>
      <c r="C38" s="88">
        <v>0.016</v>
      </c>
      <c r="D38" s="60"/>
      <c r="E38" s="60"/>
      <c r="F38" s="60"/>
      <c r="G38" s="60"/>
      <c r="H38" s="60"/>
      <c r="I38" s="18"/>
      <c r="J38" s="77"/>
      <c r="K38" s="47"/>
      <c r="L38" s="48"/>
      <c r="M38" s="49">
        <v>50</v>
      </c>
      <c r="N38" s="50">
        <v>55</v>
      </c>
      <c r="O38" s="50">
        <v>60</v>
      </c>
      <c r="P38" s="50">
        <v>65</v>
      </c>
      <c r="Q38" s="51">
        <v>70</v>
      </c>
      <c r="R38" s="46"/>
      <c r="S38" s="46"/>
      <c r="T38" s="46"/>
      <c r="U38" s="46"/>
      <c r="V38" s="46"/>
    </row>
    <row r="39" spans="1:22" ht="13.5" thickBot="1">
      <c r="A39" s="25" t="s">
        <v>55</v>
      </c>
      <c r="B39" s="70">
        <f>IF($D$25="yes",IF($E$23="yes",$B$23+($G$35*2/3),$B$23+$G$35*$H$23),"")</f>
        <v>12678.46717</v>
      </c>
      <c r="C39" s="88">
        <v>0</v>
      </c>
      <c r="D39" s="60"/>
      <c r="E39"/>
      <c r="F39"/>
      <c r="G39"/>
      <c r="H39" s="60"/>
      <c r="I39" s="14"/>
      <c r="J39" s="77"/>
      <c r="K39" s="19" t="s">
        <v>44</v>
      </c>
      <c r="L39" s="20" t="s">
        <v>45</v>
      </c>
      <c r="M39" s="52" t="s">
        <v>46</v>
      </c>
      <c r="N39" s="53" t="s">
        <v>46</v>
      </c>
      <c r="O39" s="53" t="s">
        <v>46</v>
      </c>
      <c r="P39" s="53" t="s">
        <v>46</v>
      </c>
      <c r="Q39" s="54" t="s">
        <v>46</v>
      </c>
      <c r="R39" s="55"/>
      <c r="S39" s="55"/>
      <c r="T39" s="55"/>
      <c r="U39" s="55"/>
      <c r="V39" s="55"/>
    </row>
    <row r="40" spans="1:20" ht="12.75">
      <c r="A40" s="25" t="s">
        <v>54</v>
      </c>
      <c r="B40" s="70">
        <f>IF($D$25="yes",IF($E$23="yes",$B$23+($G$35*2/3)+(ABS($C$40)*$G$35/$B$11),$B$23+($G$35*$H$23)+(ABS($C$40)*$G$35/$B$11)),"")</f>
        <v>12808.19689972973</v>
      </c>
      <c r="C40" s="88">
        <v>-0.016</v>
      </c>
      <c r="D40" s="60"/>
      <c r="E40" s="60"/>
      <c r="F40" s="60"/>
      <c r="G40" s="60"/>
      <c r="H40" s="60"/>
      <c r="J40" s="77"/>
      <c r="K40" s="56">
        <v>0.25</v>
      </c>
      <c r="L40" s="23">
        <v>22918.312</v>
      </c>
      <c r="M40" s="90">
        <v>0.016</v>
      </c>
      <c r="N40" s="90">
        <v>0.016</v>
      </c>
      <c r="O40" s="90">
        <v>0.016</v>
      </c>
      <c r="P40" s="90">
        <v>0.016</v>
      </c>
      <c r="Q40" s="91">
        <v>0.016</v>
      </c>
      <c r="T40" s="79"/>
    </row>
    <row r="41" spans="1:20" ht="12.75">
      <c r="A41" s="60"/>
      <c r="B41" s="60"/>
      <c r="C41" s="60"/>
      <c r="D41" s="60"/>
      <c r="E41" s="60"/>
      <c r="F41" s="60"/>
      <c r="G41" s="60"/>
      <c r="H41" s="60"/>
      <c r="J41" s="60"/>
      <c r="K41" s="56">
        <v>0.5</v>
      </c>
      <c r="L41" s="23">
        <v>11459.156</v>
      </c>
      <c r="M41" s="90">
        <v>0.016</v>
      </c>
      <c r="N41" s="90">
        <v>0.016</v>
      </c>
      <c r="O41" s="90">
        <v>0.016</v>
      </c>
      <c r="P41" s="90">
        <v>0.016</v>
      </c>
      <c r="Q41" s="91">
        <v>0.018</v>
      </c>
      <c r="T41" s="79"/>
    </row>
    <row r="42" spans="1:20" ht="12.75">
      <c r="A42" s="67" t="s">
        <v>59</v>
      </c>
      <c r="B42" s="67"/>
      <c r="C42" s="60"/>
      <c r="D42" s="60"/>
      <c r="E42" s="60"/>
      <c r="F42" s="60"/>
      <c r="G42" s="60"/>
      <c r="H42" s="60"/>
      <c r="J42" s="60"/>
      <c r="K42" s="56"/>
      <c r="L42" s="23"/>
      <c r="M42" s="90"/>
      <c r="N42" s="90"/>
      <c r="O42" s="90"/>
      <c r="P42" s="90"/>
      <c r="Q42" s="91"/>
      <c r="T42" s="79"/>
    </row>
    <row r="43" spans="1:20" ht="12.75">
      <c r="A43" s="71"/>
      <c r="B43" s="71"/>
      <c r="C43" s="97" t="s">
        <v>60</v>
      </c>
      <c r="D43" s="97" t="s">
        <v>74</v>
      </c>
      <c r="E43" s="60"/>
      <c r="F43" s="71"/>
      <c r="G43" s="97" t="s">
        <v>60</v>
      </c>
      <c r="H43" s="97" t="s">
        <v>75</v>
      </c>
      <c r="J43" s="60"/>
      <c r="K43" s="56">
        <v>0.75</v>
      </c>
      <c r="L43" s="23">
        <v>7639.437333333334</v>
      </c>
      <c r="M43" s="90">
        <v>0.016</v>
      </c>
      <c r="N43" s="90">
        <v>0.018</v>
      </c>
      <c r="O43" s="90">
        <v>0.021</v>
      </c>
      <c r="P43" s="90">
        <v>0.024</v>
      </c>
      <c r="Q43" s="91">
        <v>0.026</v>
      </c>
      <c r="T43" s="79"/>
    </row>
    <row r="44" spans="1:20" ht="12.75" customHeight="1">
      <c r="A44" s="60"/>
      <c r="B44" s="58" t="s">
        <v>52</v>
      </c>
      <c r="C44" s="97"/>
      <c r="D44" s="97"/>
      <c r="E44" s="60"/>
      <c r="F44" s="58" t="s">
        <v>52</v>
      </c>
      <c r="G44" s="97"/>
      <c r="H44" s="97"/>
      <c r="J44" s="60"/>
      <c r="K44" s="56">
        <v>1</v>
      </c>
      <c r="L44" s="23">
        <v>5729.578</v>
      </c>
      <c r="M44" s="90">
        <v>0.02</v>
      </c>
      <c r="N44" s="90">
        <v>0.023</v>
      </c>
      <c r="O44" s="90">
        <v>0.027</v>
      </c>
      <c r="P44" s="90">
        <v>0.03</v>
      </c>
      <c r="Q44" s="91">
        <v>0.033</v>
      </c>
      <c r="T44" s="79"/>
    </row>
    <row r="45" spans="1:20" ht="12.75">
      <c r="A45" s="60" t="s">
        <v>61</v>
      </c>
      <c r="B45" s="70">
        <f>IF(C45="","",$B$33-($B$11-C45)/$B$11*$G$35)</f>
      </c>
      <c r="C45" s="26">
        <f>IF($C$33&gt;=0.04,0.04,"")</f>
      </c>
      <c r="D45" s="30">
        <f>IF(C45="","",C45)</f>
      </c>
      <c r="E45" s="60"/>
      <c r="F45" s="70">
        <f>IF(G45="","",$B$33-($B$11-G45)/$B$11*$G$35)</f>
        <v>11816.552117243244</v>
      </c>
      <c r="G45" s="26">
        <f>IF($B$11&gt;0.03,0.03,"")</f>
        <v>0.03</v>
      </c>
      <c r="H45" s="30">
        <f>IF(G45="","",0.07-G45)</f>
        <v>0.04000000000000001</v>
      </c>
      <c r="J45" s="60"/>
      <c r="K45" s="56">
        <v>1.5</v>
      </c>
      <c r="L45" s="23">
        <v>3819.718666666667</v>
      </c>
      <c r="M45" s="90">
        <v>0.028</v>
      </c>
      <c r="N45" s="90">
        <v>0.032</v>
      </c>
      <c r="O45" s="90">
        <v>0.037</v>
      </c>
      <c r="P45" s="90">
        <v>0.041</v>
      </c>
      <c r="Q45" s="91">
        <v>0.046</v>
      </c>
      <c r="T45" s="79"/>
    </row>
    <row r="46" spans="1:20" ht="12.75">
      <c r="A46" s="60"/>
      <c r="B46" s="70">
        <f>IF(C46="","",$B$33)</f>
      </c>
      <c r="C46" s="26">
        <f>IF($C$33&gt;0.04,$C$33,"")</f>
      </c>
      <c r="D46" s="30">
        <f>IF(C46="","",C46)</f>
      </c>
      <c r="E46" s="60"/>
      <c r="F46" s="70">
        <f>IF(G46="","",$B$33)</f>
        <v>11873.308874</v>
      </c>
      <c r="G46" s="26">
        <f>IF($C$33&gt;0.03,$C$33,"")</f>
        <v>0.037</v>
      </c>
      <c r="H46" s="30">
        <f>IF(G46="","",0.07-G46)</f>
        <v>0.03300000000000001</v>
      </c>
      <c r="J46" s="60"/>
      <c r="K46" s="56"/>
      <c r="L46" s="23"/>
      <c r="M46" s="90"/>
      <c r="N46" s="90"/>
      <c r="O46" s="90"/>
      <c r="P46" s="90"/>
      <c r="Q46" s="91"/>
      <c r="T46" s="79"/>
    </row>
    <row r="47" spans="1:20" ht="12.75">
      <c r="A47" s="60"/>
      <c r="B47" s="76"/>
      <c r="C47" s="26"/>
      <c r="D47" s="58"/>
      <c r="E47" s="60"/>
      <c r="F47" s="76"/>
      <c r="G47" s="26"/>
      <c r="H47" s="58"/>
      <c r="J47" s="60"/>
      <c r="K47" s="56">
        <v>2</v>
      </c>
      <c r="L47" s="23">
        <v>2864.789</v>
      </c>
      <c r="M47" s="90">
        <v>0.035</v>
      </c>
      <c r="N47" s="90">
        <v>0.04</v>
      </c>
      <c r="O47" s="90">
        <v>0.045</v>
      </c>
      <c r="P47" s="90">
        <v>0.05</v>
      </c>
      <c r="Q47" s="91">
        <v>0.055</v>
      </c>
      <c r="T47" s="79"/>
    </row>
    <row r="48" spans="1:20" ht="12.75">
      <c r="A48" s="60" t="s">
        <v>62</v>
      </c>
      <c r="B48" s="70">
        <f>IF(C48="","",$B$37)</f>
      </c>
      <c r="C48" s="26">
        <f>IF($B$11&lt;0.04,"",$B$11)</f>
      </c>
      <c r="D48" s="30">
        <f>IF(C48="","",C48)</f>
      </c>
      <c r="E48" s="60"/>
      <c r="F48" s="70">
        <f>IF(G48="","",$B$37)</f>
        <v>12378.46717</v>
      </c>
      <c r="G48" s="26">
        <f>IF($B$11&lt;0.03,"",$B$11)</f>
        <v>0.037</v>
      </c>
      <c r="H48" s="30">
        <f>IF(G48="","",0.07-G48)</f>
        <v>0.03300000000000001</v>
      </c>
      <c r="J48" s="60"/>
      <c r="K48" s="56">
        <v>2.5</v>
      </c>
      <c r="L48" s="23">
        <v>2291.8312</v>
      </c>
      <c r="M48" s="90">
        <v>0.04</v>
      </c>
      <c r="N48" s="90">
        <v>0.045</v>
      </c>
      <c r="O48" s="90">
        <v>0.051</v>
      </c>
      <c r="P48" s="90">
        <v>0.056</v>
      </c>
      <c r="Q48" s="91">
        <v>0.059</v>
      </c>
      <c r="T48" s="79"/>
    </row>
    <row r="49" spans="1:20" ht="12.75">
      <c r="A49" s="60"/>
      <c r="B49" s="70">
        <f>IF(C49="","",$B$37+($B$11-C49)/$B$11*$G$35)</f>
      </c>
      <c r="C49" s="26">
        <f>IF($B$11&gt;0.04,0.04,"")</f>
      </c>
      <c r="D49" s="30">
        <f>IF(C49="","",C49)</f>
      </c>
      <c r="E49" s="60"/>
      <c r="F49" s="70">
        <f>IF(G49="","",$B$37+($B$11-G49)/$B$11*$G$35)</f>
        <v>12435.223926756757</v>
      </c>
      <c r="G49" s="26">
        <f>IF(G48=0.03,"",IF(G48="","",0.03))</f>
        <v>0.03</v>
      </c>
      <c r="H49" s="30">
        <f>IF(G49="","",0.07-G49)</f>
        <v>0.04000000000000001</v>
      </c>
      <c r="J49" s="60"/>
      <c r="K49" s="56">
        <v>3</v>
      </c>
      <c r="L49" s="23">
        <v>1909.8593333333336</v>
      </c>
      <c r="M49" s="90">
        <v>0.045</v>
      </c>
      <c r="N49" s="90">
        <v>0.05</v>
      </c>
      <c r="O49" s="90">
        <v>0.055</v>
      </c>
      <c r="P49" s="90">
        <v>0.059</v>
      </c>
      <c r="Q49" s="92"/>
      <c r="T49" s="79"/>
    </row>
    <row r="50" spans="1:20" ht="12.75">
      <c r="A50" s="60"/>
      <c r="B50" s="76"/>
      <c r="C50" s="26"/>
      <c r="D50" s="58"/>
      <c r="E50" s="60"/>
      <c r="F50" s="76"/>
      <c r="G50" s="26"/>
      <c r="H50" s="58"/>
      <c r="J50" s="60"/>
      <c r="K50" s="56">
        <v>3.5</v>
      </c>
      <c r="L50" s="23">
        <v>1637.0222857142858</v>
      </c>
      <c r="M50" s="90">
        <v>0.048</v>
      </c>
      <c r="N50" s="90">
        <v>0.054</v>
      </c>
      <c r="O50" s="90">
        <v>0.058</v>
      </c>
      <c r="P50" s="90">
        <v>0.06</v>
      </c>
      <c r="Q50" s="92"/>
      <c r="T50" s="79"/>
    </row>
    <row r="51" spans="1:20" ht="12.75">
      <c r="A51" s="60"/>
      <c r="B51" s="60"/>
      <c r="C51" s="60"/>
      <c r="D51" s="60"/>
      <c r="E51" s="60"/>
      <c r="F51" s="60"/>
      <c r="G51" s="60"/>
      <c r="H51" s="60"/>
      <c r="J51" s="60"/>
      <c r="K51" s="56">
        <v>4</v>
      </c>
      <c r="L51" s="23">
        <v>1432.3945</v>
      </c>
      <c r="M51" s="90">
        <v>0.052</v>
      </c>
      <c r="N51" s="90">
        <v>0.057</v>
      </c>
      <c r="O51" s="90">
        <v>0.06</v>
      </c>
      <c r="P51" s="93"/>
      <c r="Q51" s="92"/>
      <c r="T51" s="79"/>
    </row>
    <row r="52" spans="1:20" ht="12.75">
      <c r="A52" s="67" t="s">
        <v>63</v>
      </c>
      <c r="B52" s="73"/>
      <c r="C52" s="60"/>
      <c r="E52" s="60"/>
      <c r="F52" s="60"/>
      <c r="G52" s="60"/>
      <c r="H52" s="60"/>
      <c r="J52" s="60"/>
      <c r="K52" s="56">
        <v>4.5</v>
      </c>
      <c r="L52" s="23">
        <v>1273.2395555555556</v>
      </c>
      <c r="M52" s="90">
        <v>0.054</v>
      </c>
      <c r="N52" s="90">
        <v>0.059</v>
      </c>
      <c r="O52" s="93"/>
      <c r="P52" s="93"/>
      <c r="Q52" s="92"/>
      <c r="T52" s="79"/>
    </row>
    <row r="53" spans="1:20" ht="12.75">
      <c r="A53" s="60"/>
      <c r="B53"/>
      <c r="C53"/>
      <c r="D53" s="98" t="s">
        <v>78</v>
      </c>
      <c r="E53" s="98" t="s">
        <v>74</v>
      </c>
      <c r="F53" s="98" t="s">
        <v>75</v>
      </c>
      <c r="G53" s="60"/>
      <c r="H53" s="60"/>
      <c r="J53" s="60"/>
      <c r="K53" s="56">
        <v>5</v>
      </c>
      <c r="L53" s="23">
        <v>1145.9156</v>
      </c>
      <c r="M53" s="90">
        <v>0.056</v>
      </c>
      <c r="N53" s="90">
        <v>0.06</v>
      </c>
      <c r="O53" s="93"/>
      <c r="P53" s="93"/>
      <c r="Q53" s="92"/>
      <c r="T53" s="79"/>
    </row>
    <row r="54" spans="1:20" ht="12.75">
      <c r="A54" s="60"/>
      <c r="B54" s="58" t="s">
        <v>52</v>
      </c>
      <c r="C54" s="69" t="s">
        <v>53</v>
      </c>
      <c r="D54" s="98"/>
      <c r="E54" s="98"/>
      <c r="F54" s="98"/>
      <c r="G54" s="60"/>
      <c r="H54" s="60"/>
      <c r="J54" s="60"/>
      <c r="K54" s="56">
        <v>5.5</v>
      </c>
      <c r="L54" s="23">
        <v>1041.7414545454546</v>
      </c>
      <c r="M54" s="90">
        <v>0.058</v>
      </c>
      <c r="N54" s="90">
        <v>0.06</v>
      </c>
      <c r="O54" s="93"/>
      <c r="P54" s="93"/>
      <c r="Q54" s="92"/>
      <c r="T54" s="79"/>
    </row>
    <row r="55" spans="1:20" ht="12.75">
      <c r="A55" s="86">
        <f>IF(B55="","",IF($D$25="no",IF(OR(AND($D$25="no",B55&lt;$B$32),AND($D$25="no",B55&gt;$B$38)),"ERROR: OUT OF RANGE",""),IF(OR(B55&lt;$B$30,B55&gt;$B$40),"ERROR: OUT OF RANGE","")))</f>
      </c>
      <c r="B55" s="85"/>
      <c r="C55" s="72">
        <f>IF(A55="",IF(AND($B$33&lt;$B55,$B55&lt;$B$37),$B$11,IF($B55="","",IF($D$25="yes",IF(AND($B$30&lt;=$B55,$B55&lt;=$B$33),$C$30+($B55-$B$30)/$G$35*$B$11,$C$37-($B55-$B$37)/$G$35*$B$11),IF(AND($B$32&lt;=$B55,$B55&lt;=$B$33),$C$32+($B55-$B$32)/$G$35*$B$11,$C$37-($B55-$B$37)/$G$35*$B$11)))),"ERROR")</f>
      </c>
      <c r="D55" s="83">
        <f>IF(C55="","",C55/$B$11)</f>
      </c>
      <c r="E55" s="26">
        <f>IF(C55="","",IF(C55&lt;=0.04,0.04,C55))</f>
      </c>
      <c r="F55" s="26">
        <f>IF(C55="","",IF(C55&lt;=0.03,0.04,0.07-C55))</f>
      </c>
      <c r="G55" s="60"/>
      <c r="H55" s="60"/>
      <c r="J55" s="60"/>
      <c r="K55" s="56">
        <v>6</v>
      </c>
      <c r="L55" s="23">
        <v>954.9296666666668</v>
      </c>
      <c r="M55" s="90">
        <v>0.059</v>
      </c>
      <c r="N55" s="93"/>
      <c r="O55" s="93"/>
      <c r="P55" s="93"/>
      <c r="Q55" s="92"/>
      <c r="T55" s="79"/>
    </row>
    <row r="56" spans="1:20" ht="13.5" thickBot="1">
      <c r="A56" s="86">
        <f>IF(B56="","",IF($D$25="no",IF(OR(AND($D$25="no",B56&lt;$B$32),AND($D$25="no",B56&gt;$B$38)),"ERROR: OUT OF RANGE",""),IF(OR(B56&lt;$B$30,B56&gt;$B$40),"ERROR: OUT OF RANGE","")))</f>
      </c>
      <c r="B56" s="85"/>
      <c r="C56" s="72">
        <f>IF(A56="",IF(AND($B$33&lt;B56,B56&lt;$B$37),$B$11,IF($B56="","",IF($D$25="yes",IF(AND($B$30&lt;=$B56,$B56&lt;=$B$33),$C$30+($B56-$B$30)/CEILING($B$16,5)*$B$11,$C$37-($B56-$B$37)/CEILING($B$16,5)*$B$11),IF(AND($B$32&lt;=$B56,$B56&lt;=$B$33),$C$32+($B56-$B$32)/CEILING($B$16,5)*$B$11,$C$37-($B56-$B$37)/CEILING($B$16,5)*$B$11)))),"ERROR")</f>
      </c>
      <c r="D56" s="83">
        <f>IF(C56="","",C56/$B$11)</f>
      </c>
      <c r="E56" s="26">
        <f>IF(C56="","",IF(C56&lt;=0.04,0.04,C56))</f>
      </c>
      <c r="F56" s="26">
        <f>IF(C56="","",IF(C56&lt;=0.03,0.04,0.07-C56))</f>
      </c>
      <c r="G56" s="60"/>
      <c r="H56" s="60"/>
      <c r="J56" s="60"/>
      <c r="K56" s="80">
        <v>6.5</v>
      </c>
      <c r="L56" s="33">
        <v>881.4735384615385</v>
      </c>
      <c r="M56" s="94">
        <v>0.06</v>
      </c>
      <c r="N56" s="95"/>
      <c r="O56" s="95"/>
      <c r="P56" s="95"/>
      <c r="Q56" s="96"/>
      <c r="T56" s="79"/>
    </row>
    <row r="57" spans="1:10" ht="13.5" thickTop="1">
      <c r="A57" s="86">
        <f>IF(B57="","",IF($D$25="no",IF(OR(AND($D$25="no",B57&lt;$B$32),AND($D$25="no",B57&gt;$B$38)),"ERROR: OUT OF RANGE",""),IF(OR(B57&lt;$B$30,B57&gt;$B$40),"ERROR: OUT OF RANGE","")))</f>
      </c>
      <c r="B57" s="85"/>
      <c r="C57" s="72">
        <f>IF(A57="",IF(AND($B$33&lt;B57,B57&lt;$B$37),$B$11,IF($B57="","",IF($D$25="yes",IF(AND($B$30&lt;=$B57,$B57&lt;=$B$33),$C$30+($B57-$B$30)/CEILING($B$16,5)*$B$11,$C$37-($B57-$B$37)/CEILING($B$16,5)*$B$11),IF(AND($B$32&lt;=$B57,$B57&lt;=$B$33),$C$32+($B57-$B$32)/CEILING($B$16,5)*$B$11,$C$37-($B57-$B$37)/CEILING($B$16,5)*$B$11)))),"ERROR")</f>
      </c>
      <c r="D57" s="83">
        <f>IF(C57="","",C57/$B$11)</f>
      </c>
      <c r="E57" s="26">
        <f>IF(C57="","",IF(C57&lt;=0.04,0.04,C57))</f>
      </c>
      <c r="F57" s="26">
        <f>IF(C57="","",IF(C57&lt;=0.03,0.04,0.07-C57))</f>
      </c>
      <c r="G57" s="60"/>
      <c r="H57" s="60"/>
      <c r="J57" s="60"/>
    </row>
    <row r="58" spans="1:10" ht="12.75">
      <c r="A58" s="60"/>
      <c r="B58" s="60"/>
      <c r="C58" s="60"/>
      <c r="D58" s="60"/>
      <c r="E58" s="60"/>
      <c r="F58" s="60"/>
      <c r="G58" s="60"/>
      <c r="H58" s="60"/>
      <c r="J58" s="60"/>
    </row>
    <row r="59" spans="1:10" ht="12.75">
      <c r="A59" s="60"/>
      <c r="B59" s="60"/>
      <c r="C59" s="60"/>
      <c r="D59" s="60"/>
      <c r="E59" s="60"/>
      <c r="F59" s="60"/>
      <c r="G59" s="60"/>
      <c r="H59" s="60"/>
      <c r="I59"/>
      <c r="J59" s="60"/>
    </row>
    <row r="60" spans="1:10" ht="12.75">
      <c r="A60" s="60"/>
      <c r="B60" s="60"/>
      <c r="C60" s="60"/>
      <c r="D60" s="60"/>
      <c r="E60" s="60"/>
      <c r="F60" s="60"/>
      <c r="G60" s="60"/>
      <c r="H60" s="60"/>
      <c r="I60"/>
      <c r="J60" s="60"/>
    </row>
    <row r="61" spans="1:10" ht="12.75">
      <c r="A61"/>
      <c r="B61"/>
      <c r="C61"/>
      <c r="D61"/>
      <c r="E61"/>
      <c r="F61"/>
      <c r="G61"/>
      <c r="H61"/>
      <c r="I61"/>
      <c r="J61" s="60"/>
    </row>
    <row r="62" spans="1:10" ht="12.75">
      <c r="A62" s="60"/>
      <c r="B62" s="60"/>
      <c r="C62" s="60"/>
      <c r="D62" s="60"/>
      <c r="E62" s="60"/>
      <c r="F62" s="60"/>
      <c r="G62" s="60"/>
      <c r="H62" s="60"/>
      <c r="I62"/>
      <c r="J62" s="60"/>
    </row>
    <row r="63" spans="1:10" ht="12.75">
      <c r="A63" s="60"/>
      <c r="B63" s="60"/>
      <c r="C63" s="60"/>
      <c r="D63" s="60"/>
      <c r="E63" s="60"/>
      <c r="F63" s="60"/>
      <c r="G63" s="60"/>
      <c r="H63" s="60"/>
      <c r="I63"/>
      <c r="J63" s="74"/>
    </row>
    <row r="64" spans="1:10" ht="12.75">
      <c r="A64" s="74"/>
      <c r="B64" s="74"/>
      <c r="C64" s="74"/>
      <c r="D64" s="74"/>
      <c r="E64" s="74"/>
      <c r="F64" s="74"/>
      <c r="G64" s="74"/>
      <c r="H64" s="74"/>
      <c r="I64"/>
      <c r="J64" s="74"/>
    </row>
    <row r="65" spans="1:10" ht="12.75">
      <c r="A65" s="74"/>
      <c r="B65" s="74"/>
      <c r="C65" s="74"/>
      <c r="D65" s="74"/>
      <c r="E65" s="74"/>
      <c r="F65" s="74"/>
      <c r="G65" s="74"/>
      <c r="H65" s="74"/>
      <c r="I65" s="74"/>
      <c r="J65" s="74"/>
    </row>
    <row r="66" spans="1:10" ht="12.75">
      <c r="A66" s="74"/>
      <c r="B66" s="74"/>
      <c r="C66" s="74"/>
      <c r="D66" s="74"/>
      <c r="E66" s="74"/>
      <c r="F66" s="74"/>
      <c r="G66" s="74"/>
      <c r="H66" s="74"/>
      <c r="I66" s="74"/>
      <c r="J66" s="74"/>
    </row>
    <row r="67" spans="1:10" ht="12.75">
      <c r="A67" s="74"/>
      <c r="B67" s="74"/>
      <c r="C67" s="74"/>
      <c r="D67" s="74"/>
      <c r="E67" s="74"/>
      <c r="F67" s="74"/>
      <c r="G67" s="74"/>
      <c r="H67" s="74"/>
      <c r="I67" s="74"/>
      <c r="J67" s="75"/>
    </row>
    <row r="68" spans="1:9" ht="12.75">
      <c r="A68" s="74"/>
      <c r="B68" s="74"/>
      <c r="C68" s="74"/>
      <c r="D68" s="74"/>
      <c r="E68" s="74"/>
      <c r="F68" s="74"/>
      <c r="G68" s="74"/>
      <c r="H68" s="74"/>
      <c r="I68" s="74"/>
    </row>
    <row r="69" spans="1:9" ht="12.75">
      <c r="A69" s="75"/>
      <c r="B69" s="75"/>
      <c r="C69" s="75"/>
      <c r="D69" s="75"/>
      <c r="E69" s="75"/>
      <c r="F69" s="75"/>
      <c r="G69" s="75"/>
      <c r="H69" s="75"/>
      <c r="I69" s="75"/>
    </row>
  </sheetData>
  <sheetProtection/>
  <mergeCells count="16">
    <mergeCell ref="E36:F36"/>
    <mergeCell ref="E37:F37"/>
    <mergeCell ref="H43:H44"/>
    <mergeCell ref="D53:D54"/>
    <mergeCell ref="E53:E54"/>
    <mergeCell ref="F53:F54"/>
    <mergeCell ref="E30:F30"/>
    <mergeCell ref="C43:C44"/>
    <mergeCell ref="D43:D44"/>
    <mergeCell ref="G43:G44"/>
    <mergeCell ref="M37:Q37"/>
    <mergeCell ref="E31:F31"/>
    <mergeCell ref="E32:F32"/>
    <mergeCell ref="E33:F33"/>
    <mergeCell ref="E34:F34"/>
    <mergeCell ref="E35:F35"/>
  </mergeCells>
  <printOptions/>
  <pageMargins left="0.5" right="0.5" top="0.75" bottom="0.75" header="0.5" footer="0.5"/>
  <pageSetup horizontalDpi="600" verticalDpi="600" orientation="portrait" scale="90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69"/>
  <sheetViews>
    <sheetView tabSelected="1" zoomScalePageLayoutView="0" workbookViewId="0" topLeftCell="A1">
      <selection activeCell="B56" sqref="B56"/>
    </sheetView>
  </sheetViews>
  <sheetFormatPr defaultColWidth="9.140625" defaultRowHeight="12.75"/>
  <cols>
    <col min="1" max="1" width="21.140625" style="2" customWidth="1"/>
    <col min="2" max="2" width="13.421875" style="2" customWidth="1"/>
    <col min="3" max="4" width="12.140625" style="2" customWidth="1"/>
    <col min="5" max="5" width="11.8515625" style="2" customWidth="1"/>
    <col min="6" max="6" width="12.8515625" style="2" customWidth="1"/>
    <col min="7" max="7" width="11.140625" style="2" customWidth="1"/>
    <col min="8" max="8" width="11.7109375" style="2" customWidth="1"/>
    <col min="9" max="10" width="9.421875" style="2" bestFit="1" customWidth="1"/>
    <col min="11" max="11" width="16.421875" style="2" customWidth="1"/>
    <col min="12" max="13" width="9.421875" style="2" bestFit="1" customWidth="1"/>
    <col min="14" max="15" width="9.28125" style="2" bestFit="1" customWidth="1"/>
    <col min="16" max="19" width="9.140625" style="2" customWidth="1"/>
    <col min="20" max="20" width="9.57421875" style="2" bestFit="1" customWidth="1"/>
    <col min="21" max="16384" width="9.140625" style="2" customWidth="1"/>
  </cols>
  <sheetData>
    <row r="1" ht="15.75">
      <c r="A1" s="1" t="s">
        <v>65</v>
      </c>
    </row>
    <row r="2" spans="1:11" ht="12.75">
      <c r="A2" s="2" t="s">
        <v>66</v>
      </c>
      <c r="K2" s="3" t="s">
        <v>0</v>
      </c>
    </row>
    <row r="3" spans="1:11" ht="12.75">
      <c r="A3" s="4" t="s">
        <v>1</v>
      </c>
      <c r="B3" s="4"/>
      <c r="C3" s="4"/>
      <c r="K3" s="3"/>
    </row>
    <row r="4" spans="1:13" ht="13.5" thickBot="1">
      <c r="A4" s="5" t="s">
        <v>2</v>
      </c>
      <c r="K4" s="6" t="s">
        <v>3</v>
      </c>
      <c r="L4" s="7"/>
      <c r="M4" s="7"/>
    </row>
    <row r="5" spans="1:13" ht="13.5" thickTop="1">
      <c r="A5" s="8" t="s">
        <v>4</v>
      </c>
      <c r="B5" s="9">
        <v>60</v>
      </c>
      <c r="C5" s="2" t="s">
        <v>5</v>
      </c>
      <c r="D5" s="2" t="s">
        <v>6</v>
      </c>
      <c r="K5" s="10"/>
      <c r="L5" s="11" t="s">
        <v>7</v>
      </c>
      <c r="M5" s="12" t="s">
        <v>7</v>
      </c>
    </row>
    <row r="6" spans="1:13" ht="12.75">
      <c r="A6" s="8" t="s">
        <v>8</v>
      </c>
      <c r="B6" s="13">
        <v>1.5</v>
      </c>
      <c r="D6" s="2" t="s">
        <v>9</v>
      </c>
      <c r="I6" s="2">
        <f>COUNTIF($K$40:$K$56,B6)</f>
        <v>1</v>
      </c>
      <c r="K6" s="10"/>
      <c r="L6" s="11" t="s">
        <v>10</v>
      </c>
      <c r="M6" s="12" t="s">
        <v>10</v>
      </c>
    </row>
    <row r="7" spans="1:13" ht="12.75">
      <c r="A7" s="15" t="s">
        <v>11</v>
      </c>
      <c r="B7" s="16">
        <f>5729.578/B6</f>
        <v>3819.718666666667</v>
      </c>
      <c r="C7" s="2" t="s">
        <v>12</v>
      </c>
      <c r="D7" s="2" t="s">
        <v>13</v>
      </c>
      <c r="I7" s="2">
        <f>LOOKUP(B6,$K$40:$K$56)</f>
        <v>1.5</v>
      </c>
      <c r="J7" s="26">
        <f>VLOOKUP(I7,$K$40:$Q$56,IF($B$5=50,3,IF($B$5=55,4,IF($B$5=60,5,IF($B$5=65,6,IF($B$5=70,7,8))))),TRUE)</f>
        <v>0.037</v>
      </c>
      <c r="K7" s="17" t="s">
        <v>14</v>
      </c>
      <c r="L7" s="11" t="s">
        <v>15</v>
      </c>
      <c r="M7" s="12" t="s">
        <v>16</v>
      </c>
    </row>
    <row r="8" spans="1:13" ht="13.5" thickBot="1">
      <c r="A8" s="15" t="s">
        <v>17</v>
      </c>
      <c r="B8" s="9">
        <v>12</v>
      </c>
      <c r="C8" s="2" t="s">
        <v>12</v>
      </c>
      <c r="I8" s="2">
        <f>IF(I7&gt;0.99,I7+0.5,I7+0.25)</f>
        <v>2</v>
      </c>
      <c r="J8" s="26">
        <f>VLOOKUP(I8,$K$40:$Q$56,IF($B$5=50,3,IF($B$5=55,4,IF($B$5=60,5,IF($B$5=65,6,IF($B$5=70,7,8))))),TRUE)</f>
        <v>0.045</v>
      </c>
      <c r="K8" s="19" t="s">
        <v>18</v>
      </c>
      <c r="L8" s="20" t="s">
        <v>19</v>
      </c>
      <c r="M8" s="21" t="s">
        <v>20</v>
      </c>
    </row>
    <row r="9" spans="1:13" ht="12.75">
      <c r="A9" s="8"/>
      <c r="B9" s="9" t="s">
        <v>49</v>
      </c>
      <c r="C9" s="2" t="s">
        <v>21</v>
      </c>
      <c r="D9" s="2" t="s">
        <v>22</v>
      </c>
      <c r="J9" s="78">
        <f>J8-(((I8-B6)/(I8-I7))*(J8-J7))</f>
        <v>0.037</v>
      </c>
      <c r="K9" s="22">
        <v>20</v>
      </c>
      <c r="L9" s="23">
        <v>0.74</v>
      </c>
      <c r="M9" s="24">
        <v>135</v>
      </c>
    </row>
    <row r="10" spans="1:13" ht="12.75">
      <c r="A10" s="8" t="s">
        <v>23</v>
      </c>
      <c r="B10" s="9">
        <v>3</v>
      </c>
      <c r="C10" s="2" t="s">
        <v>24</v>
      </c>
      <c r="K10" s="22">
        <v>25</v>
      </c>
      <c r="L10" s="23">
        <v>0.7</v>
      </c>
      <c r="M10" s="24">
        <v>143</v>
      </c>
    </row>
    <row r="11" spans="1:13" ht="12.75">
      <c r="A11" s="25" t="s">
        <v>25</v>
      </c>
      <c r="B11" s="26">
        <f>IF(I6=1,VLOOKUP(B6,$K$40:$Q$56,IF($B$5=50,3,IF($B$5=55,4,IF($B$5=60,5,IF($B$5=65,6,IF($B$5=70,7,8))))),TRUE),J9)</f>
        <v>0.037</v>
      </c>
      <c r="D11" s="27" t="s">
        <v>26</v>
      </c>
      <c r="K11" s="22">
        <v>30</v>
      </c>
      <c r="L11" s="23">
        <v>0.66</v>
      </c>
      <c r="M11" s="24">
        <v>152</v>
      </c>
    </row>
    <row r="12" spans="1:13" ht="12.75">
      <c r="A12" s="15" t="s">
        <v>27</v>
      </c>
      <c r="B12" s="28">
        <f>VLOOKUP(B10,$K$27:$M$32,IF($B$9="yes",2,3))</f>
        <v>1</v>
      </c>
      <c r="D12" s="2" t="s">
        <v>28</v>
      </c>
      <c r="K12" s="22">
        <v>35</v>
      </c>
      <c r="L12" s="23">
        <v>0.62</v>
      </c>
      <c r="M12" s="24">
        <v>161</v>
      </c>
    </row>
    <row r="13" spans="1:13" ht="12.75">
      <c r="A13" s="15" t="s">
        <v>29</v>
      </c>
      <c r="B13" s="28">
        <f>VLOOKUP(B5,$K$9:$M$19,2,TRUE)</f>
        <v>0.45</v>
      </c>
      <c r="D13" s="2" t="s">
        <v>30</v>
      </c>
      <c r="K13" s="22">
        <v>40</v>
      </c>
      <c r="L13" s="23">
        <v>0.58</v>
      </c>
      <c r="M13" s="24">
        <v>172</v>
      </c>
    </row>
    <row r="14" spans="1:13" ht="12.75">
      <c r="A14" s="15" t="s">
        <v>31</v>
      </c>
      <c r="B14" s="28">
        <f>VLOOKUP(B5,$K9:M19,3,TRUE)</f>
        <v>222</v>
      </c>
      <c r="D14" s="2" t="s">
        <v>32</v>
      </c>
      <c r="K14" s="22">
        <v>45</v>
      </c>
      <c r="L14" s="23">
        <v>0.54</v>
      </c>
      <c r="M14" s="24">
        <v>185</v>
      </c>
    </row>
    <row r="15" spans="11:13" ht="12.75">
      <c r="K15" s="22">
        <v>50</v>
      </c>
      <c r="L15" s="23">
        <v>0.5</v>
      </c>
      <c r="M15" s="24">
        <v>200</v>
      </c>
    </row>
    <row r="16" spans="1:13" ht="12.75">
      <c r="A16" s="29" t="s">
        <v>33</v>
      </c>
      <c r="B16" s="30">
        <f>((($B$8*$B$10)*($B$11))*($B$14)*($B$12))</f>
        <v>295.70399999999995</v>
      </c>
      <c r="C16" s="31" t="s">
        <v>12</v>
      </c>
      <c r="D16" s="31" t="s">
        <v>34</v>
      </c>
      <c r="E16" s="31"/>
      <c r="F16" s="31"/>
      <c r="K16" s="22">
        <v>55</v>
      </c>
      <c r="L16" s="23">
        <v>0.47</v>
      </c>
      <c r="M16" s="24">
        <v>213</v>
      </c>
    </row>
    <row r="17" spans="1:13" ht="12.75">
      <c r="A17" s="29" t="s">
        <v>35</v>
      </c>
      <c r="B17" s="30">
        <f>((0.0156)/$B$11)*B16</f>
        <v>124.67519999999999</v>
      </c>
      <c r="C17" s="31" t="s">
        <v>12</v>
      </c>
      <c r="D17" s="31" t="s">
        <v>36</v>
      </c>
      <c r="E17" s="31"/>
      <c r="F17" s="31"/>
      <c r="K17" s="22">
        <v>60</v>
      </c>
      <c r="L17" s="23">
        <v>0.45</v>
      </c>
      <c r="M17" s="24">
        <v>222</v>
      </c>
    </row>
    <row r="18" spans="1:13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2">
        <v>65</v>
      </c>
      <c r="L18" s="23">
        <v>0.43</v>
      </c>
      <c r="M18" s="24">
        <v>233</v>
      </c>
    </row>
    <row r="19" spans="1:13" ht="13.5" thickBo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32">
        <v>70</v>
      </c>
      <c r="L19" s="33">
        <v>0.4</v>
      </c>
      <c r="M19" s="34">
        <v>250</v>
      </c>
    </row>
    <row r="20" spans="1:10" ht="13.5" thickTop="1">
      <c r="A20" s="60" t="s">
        <v>80</v>
      </c>
      <c r="B20" s="63"/>
      <c r="C20" s="57" t="s">
        <v>64</v>
      </c>
      <c r="D20" s="43"/>
      <c r="E20" s="43"/>
      <c r="F20" s="43"/>
      <c r="G20" s="43"/>
      <c r="H20" s="43"/>
      <c r="I20" s="27"/>
      <c r="J20" s="27"/>
    </row>
    <row r="21" spans="1:10" ht="12.75">
      <c r="A21" s="27"/>
      <c r="B21" s="27"/>
      <c r="C21" s="27"/>
      <c r="D21" s="27"/>
      <c r="E21" s="59" t="s">
        <v>47</v>
      </c>
      <c r="F21" s="27"/>
      <c r="G21" s="27"/>
      <c r="H21" s="27"/>
      <c r="J21" s="60"/>
    </row>
    <row r="22" spans="1:11" ht="12.75">
      <c r="A22" s="60" t="str">
        <f>IF($C$20="yes","ERROR: SPREADSHEET NOT VALID","P.C. Station")</f>
        <v>P.C. Station</v>
      </c>
      <c r="B22" s="61">
        <v>14217.190106</v>
      </c>
      <c r="C22" s="60"/>
      <c r="D22" s="60" t="s">
        <v>48</v>
      </c>
      <c r="E22" s="57" t="s">
        <v>49</v>
      </c>
      <c r="F22" s="60" t="s">
        <v>81</v>
      </c>
      <c r="G22" s="60"/>
      <c r="H22" s="62">
        <v>0.5</v>
      </c>
      <c r="J22" s="60"/>
      <c r="K22" s="35" t="s">
        <v>37</v>
      </c>
    </row>
    <row r="23" spans="1:11" ht="12.75">
      <c r="A23" s="60" t="str">
        <f>IF($C$20="yes","ERROR: SPREADSHEET NOT VALID","P.T. Station")</f>
        <v>P.T. Station</v>
      </c>
      <c r="B23" s="61">
        <v>17601.652034</v>
      </c>
      <c r="C23" s="60"/>
      <c r="D23" s="60" t="s">
        <v>48</v>
      </c>
      <c r="E23" s="57" t="s">
        <v>64</v>
      </c>
      <c r="F23" s="60" t="s">
        <v>81</v>
      </c>
      <c r="G23" s="60"/>
      <c r="H23" s="62">
        <v>0.7</v>
      </c>
      <c r="J23" s="60"/>
      <c r="K23" s="35"/>
    </row>
    <row r="24" spans="1:11" ht="13.5" thickBot="1">
      <c r="A24" s="86">
        <f>IF($C$20="yes","ERROR: SPREADSHEET NOT VALID; ERROR SPREADSHEET NOT VALID; ERROR: SPREADSHEET NOT VALID; ERROR: SPREADSHEET NOT VALID","")</f>
      </c>
      <c r="B24" s="61"/>
      <c r="C24" s="60"/>
      <c r="D24" s="60"/>
      <c r="E24" s="57"/>
      <c r="F24" s="60"/>
      <c r="G24" s="60"/>
      <c r="H24" s="62"/>
      <c r="I24" s="14"/>
      <c r="J24" s="60"/>
      <c r="K24" s="35"/>
    </row>
    <row r="25" spans="1:13" ht="13.5" thickTop="1">
      <c r="A25" s="60" t="s">
        <v>50</v>
      </c>
      <c r="B25" s="63"/>
      <c r="C25" s="60"/>
      <c r="D25" s="57" t="s">
        <v>49</v>
      </c>
      <c r="E25" s="64"/>
      <c r="F25" s="60"/>
      <c r="G25" s="60"/>
      <c r="H25" s="65"/>
      <c r="I25" s="14"/>
      <c r="J25" s="60"/>
      <c r="K25" s="36" t="s">
        <v>38</v>
      </c>
      <c r="L25" s="37" t="s">
        <v>39</v>
      </c>
      <c r="M25" s="38" t="s">
        <v>40</v>
      </c>
    </row>
    <row r="26" spans="1:13" ht="13.5" thickBot="1">
      <c r="A26" s="60" t="str">
        <f>IF($E$23="no","Is there a spiral for super transition at the end of this curve? (yes or no)","")</f>
        <v>Is there a spiral for super transition at the end of this curve? (yes or no)</v>
      </c>
      <c r="B26" s="63"/>
      <c r="C26" s="60"/>
      <c r="D26" s="57"/>
      <c r="E26" s="57" t="s">
        <v>64</v>
      </c>
      <c r="F26"/>
      <c r="G26" s="60"/>
      <c r="H26" s="65"/>
      <c r="I26" s="18"/>
      <c r="J26" s="77"/>
      <c r="K26" s="19" t="s">
        <v>41</v>
      </c>
      <c r="L26" s="20" t="s">
        <v>42</v>
      </c>
      <c r="M26" s="21" t="s">
        <v>42</v>
      </c>
    </row>
    <row r="27" spans="1:13" ht="12.75">
      <c r="A27" s="86">
        <f>IF($C$20="yes","ERROR: SPREADSHEET NOT VALID; ERROR SPREADSHEET NOT VALID; ERROR: SPREADSHEET NOT VALID; ERROR: SPREADSHEET NOT VALID","")</f>
      </c>
      <c r="B27" s="66"/>
      <c r="C27" s="60"/>
      <c r="D27" s="60"/>
      <c r="E27" s="60"/>
      <c r="F27" s="60"/>
      <c r="G27" s="60"/>
      <c r="H27" s="60"/>
      <c r="I27" s="14"/>
      <c r="J27" s="77"/>
      <c r="K27" s="39">
        <v>1</v>
      </c>
      <c r="L27" s="23">
        <v>1</v>
      </c>
      <c r="M27" s="40">
        <v>1</v>
      </c>
    </row>
    <row r="28" spans="1:13" ht="12.75">
      <c r="A28" s="67" t="s">
        <v>51</v>
      </c>
      <c r="B28" s="68"/>
      <c r="C28" s="60"/>
      <c r="D28" s="60"/>
      <c r="E28" s="67" t="s">
        <v>68</v>
      </c>
      <c r="F28" s="67"/>
      <c r="G28" s="81"/>
      <c r="H28" s="60"/>
      <c r="J28" s="77"/>
      <c r="K28" s="39">
        <v>1.5</v>
      </c>
      <c r="L28" s="23">
        <v>1</v>
      </c>
      <c r="M28" s="40">
        <v>0.83</v>
      </c>
    </row>
    <row r="29" spans="1:13" ht="12.75">
      <c r="A29" s="60"/>
      <c r="B29" s="69" t="s">
        <v>52</v>
      </c>
      <c r="C29" s="69" t="s">
        <v>53</v>
      </c>
      <c r="D29" s="60"/>
      <c r="E29" s="60"/>
      <c r="F29" s="60"/>
      <c r="G29" s="60"/>
      <c r="H29" s="60"/>
      <c r="J29" s="60"/>
      <c r="K29" s="39">
        <v>2</v>
      </c>
      <c r="L29" s="23">
        <v>1</v>
      </c>
      <c r="M29" s="40">
        <v>0.75</v>
      </c>
    </row>
    <row r="30" spans="1:13" ht="12.75">
      <c r="A30" s="25" t="s">
        <v>54</v>
      </c>
      <c r="B30" s="70">
        <f>IF($D$25="yes",IF($E$22="yes",$B$22-($G$35*2/3)+($C$30*$G$35/$B$11),$B$22-($G$35*$H$22)+($C$30*$G$35/$B$11)),"")</f>
        <v>13887.46037627027</v>
      </c>
      <c r="C30" s="88">
        <v>-0.016</v>
      </c>
      <c r="D30" s="60"/>
      <c r="E30" s="102" t="s">
        <v>69</v>
      </c>
      <c r="F30" s="102"/>
      <c r="G30" s="82">
        <f>B37-B33</f>
        <v>3194.461927999999</v>
      </c>
      <c r="H30" s="60"/>
      <c r="J30" s="60"/>
      <c r="K30" s="39">
        <v>2.5</v>
      </c>
      <c r="L30" s="23">
        <v>1</v>
      </c>
      <c r="M30" s="40">
        <v>0.7</v>
      </c>
    </row>
    <row r="31" spans="1:13" ht="12.75">
      <c r="A31" s="25" t="s">
        <v>55</v>
      </c>
      <c r="B31" s="70">
        <f>IF($D$25="yes",IF($E$22="yes",$B$22-(2*$G$35/3),$B$22-($G$35*$H$22)),"")</f>
        <v>14017.190106</v>
      </c>
      <c r="C31" s="88">
        <v>0</v>
      </c>
      <c r="D31" s="60"/>
      <c r="E31" s="102" t="s">
        <v>71</v>
      </c>
      <c r="F31" s="102"/>
      <c r="G31" s="26">
        <f>IF($D$25="yes",$C$30+($B22-$B$30)/CEILING($B$16,5)*$B$11,$C$32+($B22-$B$32)/CEILING($B$16,5)*$B$11)</f>
        <v>0.024666666666666698</v>
      </c>
      <c r="H31" s="60"/>
      <c r="J31" s="60"/>
      <c r="K31" s="39">
        <v>3</v>
      </c>
      <c r="L31" s="23">
        <v>1</v>
      </c>
      <c r="M31" s="40">
        <v>0.67</v>
      </c>
    </row>
    <row r="32" spans="1:13" ht="13.5" thickBot="1">
      <c r="A32" s="25" t="s">
        <v>56</v>
      </c>
      <c r="B32" s="70">
        <f>IF($E$22="yes",$B$22-($G$35*2/3)+($C$32*$G$35/$B$11),IF($D$25="yes",$B$22-($G$35*$H$22)+($C$32*$G$35/$B$11),$B$33-($G$35*($B$11-$C$32)/$B$11)))</f>
        <v>14146.91983572973</v>
      </c>
      <c r="C32" s="88">
        <v>0.016</v>
      </c>
      <c r="D32" s="60"/>
      <c r="E32" s="103" t="s">
        <v>76</v>
      </c>
      <c r="F32" s="103"/>
      <c r="G32" s="87">
        <f>G31/$B$11</f>
        <v>0.6666666666666675</v>
      </c>
      <c r="H32" s="60"/>
      <c r="J32" s="60"/>
      <c r="K32" s="41">
        <v>3.5</v>
      </c>
      <c r="L32" s="33">
        <v>1</v>
      </c>
      <c r="M32" s="42">
        <v>0.64</v>
      </c>
    </row>
    <row r="33" spans="1:10" ht="13.5" thickTop="1">
      <c r="A33" s="25" t="s">
        <v>57</v>
      </c>
      <c r="B33" s="70">
        <f>IF($E$22="yes",$B$22+($G$35/3),$B$22+($G$35*(1-$H$22)))</f>
        <v>14317.190106</v>
      </c>
      <c r="C33" s="88">
        <f>$B$11</f>
        <v>0.037</v>
      </c>
      <c r="D33" s="60"/>
      <c r="E33" s="102" t="s">
        <v>70</v>
      </c>
      <c r="F33" s="102"/>
      <c r="G33" s="26">
        <f>IF($D$25="yes",$C$37-($B23-$B$37)*$G$37,$C$37-($B23-$B$37)/CEILING($B$16,5)*$B$11)</f>
        <v>0.0259</v>
      </c>
      <c r="H33" s="60"/>
      <c r="J33" s="60"/>
    </row>
    <row r="34" spans="1:10" ht="12.75">
      <c r="A34" s="60"/>
      <c r="B34" s="60"/>
      <c r="C34" s="60"/>
      <c r="D34" s="60"/>
      <c r="E34" s="103" t="s">
        <v>77</v>
      </c>
      <c r="F34" s="103"/>
      <c r="G34" s="87">
        <f>G33/$B$11</f>
        <v>0.7000000000000001</v>
      </c>
      <c r="H34" s="60"/>
      <c r="J34" s="60"/>
    </row>
    <row r="35" spans="1:11" ht="12.75">
      <c r="A35" s="67" t="s">
        <v>58</v>
      </c>
      <c r="B35" s="67"/>
      <c r="C35" s="60"/>
      <c r="D35" s="60"/>
      <c r="E35" s="102" t="s">
        <v>73</v>
      </c>
      <c r="F35" s="102"/>
      <c r="G35" s="84">
        <f>CEILING($B$16,5)</f>
        <v>300</v>
      </c>
      <c r="H35" s="60"/>
      <c r="J35" s="60"/>
      <c r="K35" s="35" t="s">
        <v>43</v>
      </c>
    </row>
    <row r="36" spans="1:11" ht="13.5" thickBot="1">
      <c r="A36" s="60"/>
      <c r="B36" s="58" t="s">
        <v>52</v>
      </c>
      <c r="C36" s="69" t="s">
        <v>53</v>
      </c>
      <c r="D36" s="60"/>
      <c r="E36" s="102" t="s">
        <v>72</v>
      </c>
      <c r="F36" s="102"/>
      <c r="G36" s="84">
        <f>CEILING($B$16,5)-CEILING($B$16,5)*($B$11-$C$32)/$B$11</f>
        <v>129.72972972972974</v>
      </c>
      <c r="H36" s="60"/>
      <c r="I36" s="14"/>
      <c r="J36" s="60"/>
      <c r="K36" s="3" t="s">
        <v>67</v>
      </c>
    </row>
    <row r="37" spans="1:22" ht="13.5" thickTop="1">
      <c r="A37" s="25" t="s">
        <v>57</v>
      </c>
      <c r="B37" s="70">
        <f>IF($E$23="yes",$B$23-($G$35/3),$B$23-($G$35*(1-$H$23)))</f>
        <v>17511.652034</v>
      </c>
      <c r="C37" s="88">
        <f>$B$11</f>
        <v>0.037</v>
      </c>
      <c r="D37" s="60"/>
      <c r="E37" s="102" t="s">
        <v>79</v>
      </c>
      <c r="F37" s="102"/>
      <c r="G37" s="89">
        <f>B11/G35</f>
        <v>0.00012333333333333334</v>
      </c>
      <c r="H37" s="60"/>
      <c r="I37" s="14"/>
      <c r="J37" s="60"/>
      <c r="K37" s="44"/>
      <c r="L37" s="45"/>
      <c r="M37" s="99" t="s">
        <v>14</v>
      </c>
      <c r="N37" s="100"/>
      <c r="O37" s="100"/>
      <c r="P37" s="100"/>
      <c r="Q37" s="101"/>
      <c r="R37" s="46"/>
      <c r="S37" s="46"/>
      <c r="T37" s="46"/>
      <c r="U37" s="46"/>
      <c r="V37" s="46"/>
    </row>
    <row r="38" spans="1:22" ht="12.75">
      <c r="A38" s="25" t="s">
        <v>56</v>
      </c>
      <c r="B38" s="70">
        <f>IF($E$23="yes",$B$23+($G$35*2/3)-($C$38*$G$35/$B$11),IF($E$26="yes","",$B$23-($G$35*(1-$H$23))+($B$11-$C$38)/$G$37))</f>
        <v>17681.92230427027</v>
      </c>
      <c r="C38" s="88">
        <v>0.016</v>
      </c>
      <c r="D38" s="60"/>
      <c r="E38" s="60"/>
      <c r="F38" s="60"/>
      <c r="G38" s="60"/>
      <c r="H38" s="60"/>
      <c r="I38" s="18"/>
      <c r="J38" s="77"/>
      <c r="K38" s="47"/>
      <c r="L38" s="48"/>
      <c r="M38" s="49">
        <v>50</v>
      </c>
      <c r="N38" s="50">
        <v>55</v>
      </c>
      <c r="O38" s="50">
        <v>60</v>
      </c>
      <c r="P38" s="50">
        <v>65</v>
      </c>
      <c r="Q38" s="51">
        <v>70</v>
      </c>
      <c r="R38" s="46"/>
      <c r="S38" s="46"/>
      <c r="T38" s="46"/>
      <c r="U38" s="46"/>
      <c r="V38" s="46"/>
    </row>
    <row r="39" spans="1:22" ht="13.5" thickBot="1">
      <c r="A39" s="25" t="s">
        <v>55</v>
      </c>
      <c r="B39" s="70">
        <f>IF($D$25="yes",IF($E$23="yes",$B$23+($G$35*2/3),$B$23+$G$35*$H$23),"")</f>
        <v>17811.652034</v>
      </c>
      <c r="C39" s="88">
        <v>0</v>
      </c>
      <c r="D39" s="60"/>
      <c r="E39"/>
      <c r="F39"/>
      <c r="G39"/>
      <c r="H39" s="60"/>
      <c r="I39" s="14"/>
      <c r="J39" s="77"/>
      <c r="K39" s="19" t="s">
        <v>44</v>
      </c>
      <c r="L39" s="20" t="s">
        <v>45</v>
      </c>
      <c r="M39" s="52" t="s">
        <v>46</v>
      </c>
      <c r="N39" s="53" t="s">
        <v>46</v>
      </c>
      <c r="O39" s="53" t="s">
        <v>46</v>
      </c>
      <c r="P39" s="53" t="s">
        <v>46</v>
      </c>
      <c r="Q39" s="54" t="s">
        <v>46</v>
      </c>
      <c r="R39" s="55"/>
      <c r="S39" s="55"/>
      <c r="T39" s="55"/>
      <c r="U39" s="55"/>
      <c r="V39" s="55"/>
    </row>
    <row r="40" spans="1:20" ht="12.75">
      <c r="A40" s="25" t="s">
        <v>54</v>
      </c>
      <c r="B40" s="70">
        <f>IF($D$25="yes",IF($E$23="yes",$B$23+($G$35*2/3)+(ABS($C$40)*$G$35/$B$11),$B$23+($G$35*$H$23)+(ABS($C$40)*$G$35/$B$11)),"")</f>
        <v>17941.38176372973</v>
      </c>
      <c r="C40" s="88">
        <v>-0.016</v>
      </c>
      <c r="D40" s="60"/>
      <c r="E40" s="60"/>
      <c r="F40" s="60"/>
      <c r="G40" s="60"/>
      <c r="H40" s="60"/>
      <c r="J40" s="77"/>
      <c r="K40" s="56">
        <v>0.25</v>
      </c>
      <c r="L40" s="23">
        <v>22918.312</v>
      </c>
      <c r="M40" s="90">
        <v>0.016</v>
      </c>
      <c r="N40" s="90">
        <v>0.016</v>
      </c>
      <c r="O40" s="90">
        <v>0.016</v>
      </c>
      <c r="P40" s="90">
        <v>0.016</v>
      </c>
      <c r="Q40" s="91">
        <v>0.016</v>
      </c>
      <c r="T40" s="79"/>
    </row>
    <row r="41" spans="1:20" ht="12.75">
      <c r="A41" s="60"/>
      <c r="B41" s="60"/>
      <c r="C41" s="60"/>
      <c r="D41" s="60"/>
      <c r="E41" s="60"/>
      <c r="F41" s="60"/>
      <c r="G41" s="60"/>
      <c r="H41" s="60"/>
      <c r="J41" s="60"/>
      <c r="K41" s="56">
        <v>0.5</v>
      </c>
      <c r="L41" s="23">
        <v>11459.156</v>
      </c>
      <c r="M41" s="90">
        <v>0.016</v>
      </c>
      <c r="N41" s="90">
        <v>0.016</v>
      </c>
      <c r="O41" s="90">
        <v>0.016</v>
      </c>
      <c r="P41" s="90">
        <v>0.016</v>
      </c>
      <c r="Q41" s="91">
        <v>0.018</v>
      </c>
      <c r="T41" s="79"/>
    </row>
    <row r="42" spans="1:20" ht="12.75">
      <c r="A42" s="67" t="s">
        <v>59</v>
      </c>
      <c r="B42" s="67"/>
      <c r="C42" s="60"/>
      <c r="D42" s="60"/>
      <c r="E42" s="60"/>
      <c r="F42" s="60"/>
      <c r="G42" s="60"/>
      <c r="H42" s="60"/>
      <c r="J42" s="60"/>
      <c r="K42" s="56"/>
      <c r="L42" s="23"/>
      <c r="M42" s="90"/>
      <c r="N42" s="90"/>
      <c r="O42" s="90"/>
      <c r="P42" s="90"/>
      <c r="Q42" s="91"/>
      <c r="T42" s="79"/>
    </row>
    <row r="43" spans="1:20" ht="12.75">
      <c r="A43" s="71"/>
      <c r="B43" s="71"/>
      <c r="C43" s="97" t="s">
        <v>60</v>
      </c>
      <c r="D43" s="97" t="s">
        <v>74</v>
      </c>
      <c r="E43" s="60"/>
      <c r="F43" s="71"/>
      <c r="G43" s="97" t="s">
        <v>60</v>
      </c>
      <c r="H43" s="97" t="s">
        <v>75</v>
      </c>
      <c r="J43" s="60"/>
      <c r="K43" s="56">
        <v>0.75</v>
      </c>
      <c r="L43" s="23">
        <v>7639.437333333334</v>
      </c>
      <c r="M43" s="90">
        <v>0.016</v>
      </c>
      <c r="N43" s="90">
        <v>0.018</v>
      </c>
      <c r="O43" s="90">
        <v>0.021</v>
      </c>
      <c r="P43" s="90">
        <v>0.024</v>
      </c>
      <c r="Q43" s="91">
        <v>0.026</v>
      </c>
      <c r="T43" s="79"/>
    </row>
    <row r="44" spans="1:20" ht="12.75" customHeight="1">
      <c r="A44" s="60"/>
      <c r="B44" s="58" t="s">
        <v>52</v>
      </c>
      <c r="C44" s="97"/>
      <c r="D44" s="97"/>
      <c r="E44" s="60"/>
      <c r="F44" s="58" t="s">
        <v>52</v>
      </c>
      <c r="G44" s="97"/>
      <c r="H44" s="97"/>
      <c r="J44" s="60"/>
      <c r="K44" s="56">
        <v>1</v>
      </c>
      <c r="L44" s="23">
        <v>5729.578</v>
      </c>
      <c r="M44" s="90">
        <v>0.02</v>
      </c>
      <c r="N44" s="90">
        <v>0.023</v>
      </c>
      <c r="O44" s="90">
        <v>0.027</v>
      </c>
      <c r="P44" s="90">
        <v>0.03</v>
      </c>
      <c r="Q44" s="91">
        <v>0.033</v>
      </c>
      <c r="T44" s="79"/>
    </row>
    <row r="45" spans="1:20" ht="12.75">
      <c r="A45" s="60" t="s">
        <v>61</v>
      </c>
      <c r="B45" s="70">
        <f>IF(C45="","",$B$33-($B$11-C45)/$B$11*$G$35)</f>
      </c>
      <c r="C45" s="26">
        <f>IF($C$33&gt;=0.04,0.04,"")</f>
      </c>
      <c r="D45" s="30">
        <f>IF(C45="","",C45)</f>
      </c>
      <c r="E45" s="60"/>
      <c r="F45" s="70">
        <f>IF(G45="","",$B$33-($B$11-G45)/$B$11*$G$35)</f>
        <v>14260.433349243243</v>
      </c>
      <c r="G45" s="26">
        <f>IF($B$11&gt;0.03,0.03,"")</f>
        <v>0.03</v>
      </c>
      <c r="H45" s="30">
        <f>IF(G45="","",0.07-G45)</f>
        <v>0.04000000000000001</v>
      </c>
      <c r="J45" s="60"/>
      <c r="K45" s="56">
        <v>1.5</v>
      </c>
      <c r="L45" s="23">
        <v>3819.718666666667</v>
      </c>
      <c r="M45" s="90">
        <v>0.028</v>
      </c>
      <c r="N45" s="90">
        <v>0.032</v>
      </c>
      <c r="O45" s="90">
        <v>0.037</v>
      </c>
      <c r="P45" s="90">
        <v>0.041</v>
      </c>
      <c r="Q45" s="91">
        <v>0.046</v>
      </c>
      <c r="T45" s="79"/>
    </row>
    <row r="46" spans="1:20" ht="12.75">
      <c r="A46" s="60"/>
      <c r="B46" s="70">
        <f>IF(C46="","",$B$33)</f>
      </c>
      <c r="C46" s="26">
        <f>IF($C$33&gt;0.04,$C$33,"")</f>
      </c>
      <c r="D46" s="30">
        <f>IF(C46="","",C46)</f>
      </c>
      <c r="E46" s="60"/>
      <c r="F46" s="70">
        <f>IF(G46="","",$B$33)</f>
        <v>14317.190106</v>
      </c>
      <c r="G46" s="26">
        <f>IF($C$33&gt;0.03,$C$33,"")</f>
        <v>0.037</v>
      </c>
      <c r="H46" s="30">
        <f>IF(G46="","",0.07-G46)</f>
        <v>0.03300000000000001</v>
      </c>
      <c r="J46" s="60"/>
      <c r="K46" s="56"/>
      <c r="L46" s="23"/>
      <c r="M46" s="90"/>
      <c r="N46" s="90"/>
      <c r="O46" s="90"/>
      <c r="P46" s="90"/>
      <c r="Q46" s="91"/>
      <c r="T46" s="79"/>
    </row>
    <row r="47" spans="1:20" ht="12.75">
      <c r="A47" s="60"/>
      <c r="B47" s="76"/>
      <c r="C47" s="26"/>
      <c r="D47" s="58"/>
      <c r="E47" s="60"/>
      <c r="F47" s="76"/>
      <c r="G47" s="26"/>
      <c r="H47" s="58"/>
      <c r="J47" s="60"/>
      <c r="K47" s="56">
        <v>2</v>
      </c>
      <c r="L47" s="23">
        <v>2864.789</v>
      </c>
      <c r="M47" s="90">
        <v>0.035</v>
      </c>
      <c r="N47" s="90">
        <v>0.04</v>
      </c>
      <c r="O47" s="90">
        <v>0.045</v>
      </c>
      <c r="P47" s="90">
        <v>0.05</v>
      </c>
      <c r="Q47" s="91">
        <v>0.055</v>
      </c>
      <c r="T47" s="79"/>
    </row>
    <row r="48" spans="1:20" ht="12.75">
      <c r="A48" s="60" t="s">
        <v>62</v>
      </c>
      <c r="B48" s="70">
        <f>IF(C48="","",$B$37)</f>
      </c>
      <c r="C48" s="26">
        <f>IF($B$11&lt;0.04,"",$B$11)</f>
      </c>
      <c r="D48" s="30">
        <f>IF(C48="","",C48)</f>
      </c>
      <c r="E48" s="60"/>
      <c r="F48" s="70">
        <f>IF(G48="","",$B$37)</f>
        <v>17511.652034</v>
      </c>
      <c r="G48" s="26">
        <f>IF($B$11&lt;0.03,"",$B$11)</f>
        <v>0.037</v>
      </c>
      <c r="H48" s="30">
        <f>IF(G48="","",0.07-G48)</f>
        <v>0.03300000000000001</v>
      </c>
      <c r="J48" s="60"/>
      <c r="K48" s="56">
        <v>2.5</v>
      </c>
      <c r="L48" s="23">
        <v>2291.8312</v>
      </c>
      <c r="M48" s="90">
        <v>0.04</v>
      </c>
      <c r="N48" s="90">
        <v>0.045</v>
      </c>
      <c r="O48" s="90">
        <v>0.051</v>
      </c>
      <c r="P48" s="90">
        <v>0.056</v>
      </c>
      <c r="Q48" s="91">
        <v>0.059</v>
      </c>
      <c r="T48" s="79"/>
    </row>
    <row r="49" spans="1:20" ht="12.75">
      <c r="A49" s="60"/>
      <c r="B49" s="70">
        <f>IF(C49="","",$B$37+($B$11-C49)/$B$11*$G$35)</f>
      </c>
      <c r="C49" s="26">
        <f>IF($B$11&gt;0.04,0.04,"")</f>
      </c>
      <c r="D49" s="30">
        <f>IF(C49="","",C49)</f>
      </c>
      <c r="E49" s="60"/>
      <c r="F49" s="70">
        <f>IF(G49="","",$B$37+($B$11-G49)/$B$11*$G$35)</f>
        <v>17568.408790756755</v>
      </c>
      <c r="G49" s="26">
        <f>IF(G48=0.03,"",IF(G48="","",0.03))</f>
        <v>0.03</v>
      </c>
      <c r="H49" s="30">
        <f>IF(G49="","",0.07-G49)</f>
        <v>0.04000000000000001</v>
      </c>
      <c r="J49" s="60"/>
      <c r="K49" s="56">
        <v>3</v>
      </c>
      <c r="L49" s="23">
        <v>1909.8593333333336</v>
      </c>
      <c r="M49" s="90">
        <v>0.045</v>
      </c>
      <c r="N49" s="90">
        <v>0.05</v>
      </c>
      <c r="O49" s="90">
        <v>0.055</v>
      </c>
      <c r="P49" s="90">
        <v>0.059</v>
      </c>
      <c r="Q49" s="92"/>
      <c r="T49" s="79"/>
    </row>
    <row r="50" spans="1:20" ht="12.75">
      <c r="A50" s="60"/>
      <c r="B50" s="76"/>
      <c r="C50" s="26"/>
      <c r="D50" s="58"/>
      <c r="E50" s="60"/>
      <c r="F50" s="76"/>
      <c r="G50" s="26"/>
      <c r="H50" s="58"/>
      <c r="J50" s="60"/>
      <c r="K50" s="56">
        <v>3.5</v>
      </c>
      <c r="L50" s="23">
        <v>1637.0222857142858</v>
      </c>
      <c r="M50" s="90">
        <v>0.048</v>
      </c>
      <c r="N50" s="90">
        <v>0.054</v>
      </c>
      <c r="O50" s="90">
        <v>0.058</v>
      </c>
      <c r="P50" s="90">
        <v>0.06</v>
      </c>
      <c r="Q50" s="92"/>
      <c r="T50" s="79"/>
    </row>
    <row r="51" spans="1:20" ht="12.75">
      <c r="A51" s="60"/>
      <c r="B51" s="60"/>
      <c r="C51" s="60"/>
      <c r="D51" s="60"/>
      <c r="E51" s="60"/>
      <c r="F51" s="60"/>
      <c r="G51" s="60"/>
      <c r="H51" s="60"/>
      <c r="J51" s="60"/>
      <c r="K51" s="56">
        <v>4</v>
      </c>
      <c r="L51" s="23">
        <v>1432.3945</v>
      </c>
      <c r="M51" s="90">
        <v>0.052</v>
      </c>
      <c r="N51" s="90">
        <v>0.057</v>
      </c>
      <c r="O51" s="90">
        <v>0.06</v>
      </c>
      <c r="P51" s="93"/>
      <c r="Q51" s="92"/>
      <c r="T51" s="79"/>
    </row>
    <row r="52" spans="1:20" ht="12.75">
      <c r="A52" s="67" t="s">
        <v>63</v>
      </c>
      <c r="B52" s="73"/>
      <c r="C52" s="60"/>
      <c r="E52" s="60"/>
      <c r="F52" s="60"/>
      <c r="G52" s="60"/>
      <c r="H52" s="60"/>
      <c r="J52" s="60"/>
      <c r="K52" s="56">
        <v>4.5</v>
      </c>
      <c r="L52" s="23">
        <v>1273.2395555555556</v>
      </c>
      <c r="M52" s="90">
        <v>0.054</v>
      </c>
      <c r="N52" s="90">
        <v>0.059</v>
      </c>
      <c r="O52" s="93"/>
      <c r="P52" s="93"/>
      <c r="Q52" s="92"/>
      <c r="T52" s="79"/>
    </row>
    <row r="53" spans="1:20" ht="12.75">
      <c r="A53" s="60"/>
      <c r="B53"/>
      <c r="C53"/>
      <c r="D53" s="98" t="s">
        <v>78</v>
      </c>
      <c r="E53" s="98" t="s">
        <v>74</v>
      </c>
      <c r="F53" s="98" t="s">
        <v>75</v>
      </c>
      <c r="G53" s="60"/>
      <c r="H53" s="60"/>
      <c r="J53" s="60"/>
      <c r="K53" s="56">
        <v>5</v>
      </c>
      <c r="L53" s="23">
        <v>1145.9156</v>
      </c>
      <c r="M53" s="90">
        <v>0.056</v>
      </c>
      <c r="N53" s="90">
        <v>0.06</v>
      </c>
      <c r="O53" s="93"/>
      <c r="P53" s="93"/>
      <c r="Q53" s="92"/>
      <c r="T53" s="79"/>
    </row>
    <row r="54" spans="1:20" ht="12.75">
      <c r="A54" s="60"/>
      <c r="B54" s="58" t="s">
        <v>52</v>
      </c>
      <c r="C54" s="69" t="s">
        <v>53</v>
      </c>
      <c r="D54" s="98"/>
      <c r="E54" s="98"/>
      <c r="F54" s="98"/>
      <c r="G54" s="60"/>
      <c r="H54" s="60"/>
      <c r="J54" s="60"/>
      <c r="K54" s="56">
        <v>5.5</v>
      </c>
      <c r="L54" s="23">
        <v>1041.7414545454546</v>
      </c>
      <c r="M54" s="90">
        <v>0.058</v>
      </c>
      <c r="N54" s="90">
        <v>0.06</v>
      </c>
      <c r="O54" s="93"/>
      <c r="P54" s="93"/>
      <c r="Q54" s="92"/>
      <c r="T54" s="79"/>
    </row>
    <row r="55" spans="1:20" ht="12.75">
      <c r="A55" s="86">
        <f>IF(B55="","",IF($D$25="no",IF(OR(AND($D$25="no",B55&lt;$B$32),AND($D$25="no",B55&gt;$B$38)),"ERROR: OUT OF RANGE",""),IF(OR(B55&lt;$B$30,B55&gt;$B$40),"ERROR: OUT OF RANGE","")))</f>
      </c>
      <c r="B55" s="85"/>
      <c r="C55" s="72">
        <f>IF(A55="",IF(AND($B$33&lt;$B55,$B55&lt;$B$37),$B$11,IF($B55="","",IF($D$25="yes",IF(AND($B$30&lt;=$B55,$B55&lt;=$B$33),$C$30+($B55-$B$30)/$G$35*$B$11,$C$37-($B55-$B$37)/$G$35*$B$11),IF(AND($B$32&lt;=$B55,$B55&lt;=$B$33),$C$32+($B55-$B$32)/$G$35*$B$11,$C$37-($B55-$B$37)/$G$35*$B$11)))),"ERROR")</f>
      </c>
      <c r="D55" s="83">
        <f>IF(C55="","",C55/$B$11)</f>
      </c>
      <c r="E55" s="26">
        <f>IF(C55="","",IF(C55&lt;=0.04,0.04,C55))</f>
      </c>
      <c r="F55" s="26">
        <f>IF(C55="","",IF(C55&lt;=0.03,0.04,0.07-C55))</f>
      </c>
      <c r="G55" s="60"/>
      <c r="H55" s="60"/>
      <c r="J55" s="60"/>
      <c r="K55" s="56">
        <v>6</v>
      </c>
      <c r="L55" s="23">
        <v>954.9296666666668</v>
      </c>
      <c r="M55" s="90">
        <v>0.059</v>
      </c>
      <c r="N55" s="93"/>
      <c r="O55" s="93"/>
      <c r="P55" s="93"/>
      <c r="Q55" s="92"/>
      <c r="T55" s="79"/>
    </row>
    <row r="56" spans="1:20" ht="13.5" thickBot="1">
      <c r="A56" s="86">
        <f>IF(B56="","",IF($D$25="no",IF(OR(AND($D$25="no",B56&lt;$B$32),AND($D$25="no",B56&gt;$B$38)),"ERROR: OUT OF RANGE",""),IF(OR(B56&lt;$B$30,B56&gt;$B$40),"ERROR: OUT OF RANGE","")))</f>
      </c>
      <c r="B56" s="85"/>
      <c r="C56" s="72">
        <f>IF(A56="",IF(AND($B$33&lt;B56,B56&lt;$B$37),$B$11,IF($B56="","",IF($D$25="yes",IF(AND($B$30&lt;=$B56,$B56&lt;=$B$33),$C$30+($B56-$B$30)/CEILING($B$16,5)*$B$11,$C$37-($B56-$B$37)/CEILING($B$16,5)*$B$11),IF(AND($B$32&lt;=$B56,$B56&lt;=$B$33),$C$32+($B56-$B$32)/CEILING($B$16,5)*$B$11,$C$37-($B56-$B$37)/CEILING($B$16,5)*$B$11)))),"ERROR")</f>
      </c>
      <c r="D56" s="83">
        <f>IF(C56="","",C56/$B$11)</f>
      </c>
      <c r="E56" s="26">
        <f>IF(C56="","",IF(C56&lt;=0.04,0.04,C56))</f>
      </c>
      <c r="F56" s="26">
        <f>IF(C56="","",IF(C56&lt;=0.03,0.04,0.07-C56))</f>
      </c>
      <c r="G56" s="60"/>
      <c r="H56" s="60"/>
      <c r="J56" s="60"/>
      <c r="K56" s="80">
        <v>6.5</v>
      </c>
      <c r="L56" s="33">
        <v>881.4735384615385</v>
      </c>
      <c r="M56" s="94">
        <v>0.06</v>
      </c>
      <c r="N56" s="95"/>
      <c r="O56" s="95"/>
      <c r="P56" s="95"/>
      <c r="Q56" s="96"/>
      <c r="T56" s="79"/>
    </row>
    <row r="57" spans="1:10" ht="13.5" thickTop="1">
      <c r="A57" s="86">
        <f>IF(B57="","",IF($D$25="no",IF(OR(AND($D$25="no",B57&lt;$B$32),AND($D$25="no",B57&gt;$B$38)),"ERROR: OUT OF RANGE",""),IF(OR(B57&lt;$B$30,B57&gt;$B$40),"ERROR: OUT OF RANGE","")))</f>
      </c>
      <c r="B57" s="85"/>
      <c r="C57" s="72">
        <f>IF(A57="",IF(AND($B$33&lt;B57,B57&lt;$B$37),$B$11,IF($B57="","",IF($D$25="yes",IF(AND($B$30&lt;=$B57,$B57&lt;=$B$33),$C$30+($B57-$B$30)/CEILING($B$16,5)*$B$11,$C$37-($B57-$B$37)/CEILING($B$16,5)*$B$11),IF(AND($B$32&lt;=$B57,$B57&lt;=$B$33),$C$32+($B57-$B$32)/CEILING($B$16,5)*$B$11,$C$37-($B57-$B$37)/CEILING($B$16,5)*$B$11)))),"ERROR")</f>
      </c>
      <c r="D57" s="83">
        <f>IF(C57="","",C57/$B$11)</f>
      </c>
      <c r="E57" s="26">
        <f>IF(C57="","",IF(C57&lt;=0.04,0.04,C57))</f>
      </c>
      <c r="F57" s="26">
        <f>IF(C57="","",IF(C57&lt;=0.03,0.04,0.07-C57))</f>
      </c>
      <c r="G57" s="60"/>
      <c r="H57" s="60"/>
      <c r="J57" s="60"/>
    </row>
    <row r="58" spans="1:10" ht="12.75">
      <c r="A58" s="60"/>
      <c r="B58" s="60"/>
      <c r="C58" s="60"/>
      <c r="D58" s="60"/>
      <c r="E58" s="60"/>
      <c r="F58" s="60"/>
      <c r="G58" s="60"/>
      <c r="H58" s="60"/>
      <c r="J58" s="60"/>
    </row>
    <row r="59" spans="1:10" ht="12.75">
      <c r="A59" s="60"/>
      <c r="B59" s="60"/>
      <c r="C59" s="60"/>
      <c r="D59" s="60"/>
      <c r="E59" s="60"/>
      <c r="F59" s="60"/>
      <c r="G59" s="60"/>
      <c r="H59" s="60"/>
      <c r="I59"/>
      <c r="J59" s="60"/>
    </row>
    <row r="60" spans="1:10" ht="12.75">
      <c r="A60" s="60"/>
      <c r="B60" s="60"/>
      <c r="C60" s="60"/>
      <c r="D60" s="60"/>
      <c r="E60" s="60"/>
      <c r="F60" s="60"/>
      <c r="G60" s="60"/>
      <c r="H60" s="60"/>
      <c r="I60"/>
      <c r="J60" s="60"/>
    </row>
    <row r="61" spans="1:10" ht="12.75">
      <c r="A61"/>
      <c r="B61"/>
      <c r="C61"/>
      <c r="D61"/>
      <c r="E61"/>
      <c r="F61"/>
      <c r="G61"/>
      <c r="H61"/>
      <c r="I61"/>
      <c r="J61" s="60"/>
    </row>
    <row r="62" spans="1:10" ht="12.75">
      <c r="A62" s="60"/>
      <c r="B62" s="60"/>
      <c r="C62" s="60"/>
      <c r="D62" s="60"/>
      <c r="E62" s="60"/>
      <c r="F62" s="60"/>
      <c r="G62" s="60"/>
      <c r="H62" s="60"/>
      <c r="I62"/>
      <c r="J62" s="60"/>
    </row>
    <row r="63" spans="1:10" ht="12.75">
      <c r="A63" s="60"/>
      <c r="B63" s="60"/>
      <c r="C63" s="60"/>
      <c r="D63" s="60"/>
      <c r="E63" s="60"/>
      <c r="F63" s="60"/>
      <c r="G63" s="60"/>
      <c r="H63" s="60"/>
      <c r="I63"/>
      <c r="J63" s="74"/>
    </row>
    <row r="64" spans="1:10" ht="12.75">
      <c r="A64" s="74"/>
      <c r="B64" s="74"/>
      <c r="C64" s="74"/>
      <c r="D64" s="74"/>
      <c r="E64" s="74"/>
      <c r="F64" s="74"/>
      <c r="G64" s="74"/>
      <c r="H64" s="74"/>
      <c r="I64"/>
      <c r="J64" s="74"/>
    </row>
    <row r="65" spans="1:10" ht="12.75">
      <c r="A65" s="74"/>
      <c r="B65" s="74"/>
      <c r="C65" s="74"/>
      <c r="D65" s="74"/>
      <c r="E65" s="74"/>
      <c r="F65" s="74"/>
      <c r="G65" s="74"/>
      <c r="H65" s="74"/>
      <c r="I65" s="74"/>
      <c r="J65" s="74"/>
    </row>
    <row r="66" spans="1:10" ht="12.75">
      <c r="A66" s="74"/>
      <c r="B66" s="74"/>
      <c r="C66" s="74"/>
      <c r="D66" s="74"/>
      <c r="E66" s="74"/>
      <c r="F66" s="74"/>
      <c r="G66" s="74"/>
      <c r="H66" s="74"/>
      <c r="I66" s="74"/>
      <c r="J66" s="74"/>
    </row>
    <row r="67" spans="1:10" ht="12.75">
      <c r="A67" s="74"/>
      <c r="B67" s="74"/>
      <c r="C67" s="74"/>
      <c r="D67" s="74"/>
      <c r="E67" s="74"/>
      <c r="F67" s="74"/>
      <c r="G67" s="74"/>
      <c r="H67" s="74"/>
      <c r="I67" s="74"/>
      <c r="J67" s="75"/>
    </row>
    <row r="68" spans="1:9" ht="12.75">
      <c r="A68" s="74"/>
      <c r="B68" s="74"/>
      <c r="C68" s="74"/>
      <c r="D68" s="74"/>
      <c r="E68" s="74"/>
      <c r="F68" s="74"/>
      <c r="G68" s="74"/>
      <c r="H68" s="74"/>
      <c r="I68" s="74"/>
    </row>
    <row r="69" spans="1:9" ht="12.75">
      <c r="A69" s="75"/>
      <c r="B69" s="75"/>
      <c r="C69" s="75"/>
      <c r="D69" s="75"/>
      <c r="E69" s="75"/>
      <c r="F69" s="75"/>
      <c r="G69" s="75"/>
      <c r="H69" s="75"/>
      <c r="I69" s="75"/>
    </row>
  </sheetData>
  <sheetProtection/>
  <mergeCells count="16">
    <mergeCell ref="E36:F36"/>
    <mergeCell ref="E37:F37"/>
    <mergeCell ref="H43:H44"/>
    <mergeCell ref="D53:D54"/>
    <mergeCell ref="E53:E54"/>
    <mergeCell ref="F53:F54"/>
    <mergeCell ref="E30:F30"/>
    <mergeCell ref="C43:C44"/>
    <mergeCell ref="D43:D44"/>
    <mergeCell ref="G43:G44"/>
    <mergeCell ref="M37:Q37"/>
    <mergeCell ref="E31:F31"/>
    <mergeCell ref="E32:F32"/>
    <mergeCell ref="E33:F33"/>
    <mergeCell ref="E34:F34"/>
    <mergeCell ref="E35:F35"/>
  </mergeCells>
  <printOptions/>
  <pageMargins left="0.5" right="0.5" top="0.75" bottom="0.75" header="0.5" footer="0.5"/>
  <pageSetup horizontalDpi="600" verticalDpi="600" orientation="portrait" scale="90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69"/>
  <sheetViews>
    <sheetView tabSelected="1" zoomScalePageLayoutView="0" workbookViewId="0" topLeftCell="A1">
      <selection activeCell="B56" sqref="B56"/>
    </sheetView>
  </sheetViews>
  <sheetFormatPr defaultColWidth="9.140625" defaultRowHeight="12.75"/>
  <cols>
    <col min="1" max="1" width="21.00390625" style="2" customWidth="1"/>
    <col min="2" max="2" width="13.421875" style="2" customWidth="1"/>
    <col min="3" max="4" width="12.140625" style="2" customWidth="1"/>
    <col min="5" max="5" width="11.8515625" style="2" customWidth="1"/>
    <col min="6" max="6" width="12.8515625" style="2" customWidth="1"/>
    <col min="7" max="7" width="11.140625" style="2" customWidth="1"/>
    <col min="8" max="8" width="11.7109375" style="2" customWidth="1"/>
    <col min="9" max="10" width="9.421875" style="2" bestFit="1" customWidth="1"/>
    <col min="11" max="11" width="16.421875" style="2" customWidth="1"/>
    <col min="12" max="13" width="9.421875" style="2" bestFit="1" customWidth="1"/>
    <col min="14" max="15" width="9.28125" style="2" bestFit="1" customWidth="1"/>
    <col min="16" max="19" width="9.140625" style="2" customWidth="1"/>
    <col min="20" max="20" width="9.57421875" style="2" bestFit="1" customWidth="1"/>
    <col min="21" max="16384" width="9.140625" style="2" customWidth="1"/>
  </cols>
  <sheetData>
    <row r="1" ht="15.75">
      <c r="A1" s="1" t="s">
        <v>65</v>
      </c>
    </row>
    <row r="2" spans="1:11" ht="12.75">
      <c r="A2" s="2" t="s">
        <v>66</v>
      </c>
      <c r="K2" s="3" t="s">
        <v>0</v>
      </c>
    </row>
    <row r="3" spans="1:11" ht="12.75">
      <c r="A3" s="4" t="s">
        <v>1</v>
      </c>
      <c r="B3" s="4"/>
      <c r="C3" s="4"/>
      <c r="K3" s="3"/>
    </row>
    <row r="4" spans="1:13" ht="13.5" thickBot="1">
      <c r="A4" s="5" t="s">
        <v>2</v>
      </c>
      <c r="K4" s="6" t="s">
        <v>3</v>
      </c>
      <c r="L4" s="7"/>
      <c r="M4" s="7"/>
    </row>
    <row r="5" spans="1:13" ht="13.5" thickTop="1">
      <c r="A5" s="8" t="s">
        <v>4</v>
      </c>
      <c r="B5" s="9">
        <v>60</v>
      </c>
      <c r="C5" s="2" t="s">
        <v>5</v>
      </c>
      <c r="D5" s="2" t="s">
        <v>6</v>
      </c>
      <c r="K5" s="10"/>
      <c r="L5" s="11" t="s">
        <v>7</v>
      </c>
      <c r="M5" s="12" t="s">
        <v>7</v>
      </c>
    </row>
    <row r="6" spans="1:13" ht="12.75">
      <c r="A6" s="8" t="s">
        <v>8</v>
      </c>
      <c r="B6" s="13">
        <v>2</v>
      </c>
      <c r="D6" s="2" t="s">
        <v>9</v>
      </c>
      <c r="I6" s="2">
        <f>COUNTIF($K$40:$K$56,B6)</f>
        <v>1</v>
      </c>
      <c r="K6" s="10"/>
      <c r="L6" s="11" t="s">
        <v>10</v>
      </c>
      <c r="M6" s="12" t="s">
        <v>10</v>
      </c>
    </row>
    <row r="7" spans="1:13" ht="12.75">
      <c r="A7" s="15" t="s">
        <v>11</v>
      </c>
      <c r="B7" s="16">
        <f>5729.578/B6</f>
        <v>2864.789</v>
      </c>
      <c r="C7" s="2" t="s">
        <v>12</v>
      </c>
      <c r="D7" s="2" t="s">
        <v>13</v>
      </c>
      <c r="I7" s="2">
        <f>LOOKUP(B6,$K$40:$K$56)</f>
        <v>2</v>
      </c>
      <c r="J7" s="26">
        <f>VLOOKUP(I7,$K$40:$Q$56,IF($B$5=50,3,IF($B$5=55,4,IF($B$5=60,5,IF($B$5=65,6,IF($B$5=70,7,8))))),TRUE)</f>
        <v>0.045</v>
      </c>
      <c r="K7" s="17" t="s">
        <v>14</v>
      </c>
      <c r="L7" s="11" t="s">
        <v>15</v>
      </c>
      <c r="M7" s="12" t="s">
        <v>16</v>
      </c>
    </row>
    <row r="8" spans="1:13" ht="13.5" thickBot="1">
      <c r="A8" s="15" t="s">
        <v>17</v>
      </c>
      <c r="B8" s="9">
        <v>12</v>
      </c>
      <c r="C8" s="2" t="s">
        <v>12</v>
      </c>
      <c r="I8" s="2">
        <f>IF(I7&gt;0.99,I7+0.5,I7+0.25)</f>
        <v>2.5</v>
      </c>
      <c r="J8" s="26">
        <f>VLOOKUP(I8,$K$40:$Q$56,IF($B$5=50,3,IF($B$5=55,4,IF($B$5=60,5,IF($B$5=65,6,IF($B$5=70,7,8))))),TRUE)</f>
        <v>0.051</v>
      </c>
      <c r="K8" s="19" t="s">
        <v>18</v>
      </c>
      <c r="L8" s="20" t="s">
        <v>19</v>
      </c>
      <c r="M8" s="21" t="s">
        <v>20</v>
      </c>
    </row>
    <row r="9" spans="1:13" ht="12.75">
      <c r="A9" s="8"/>
      <c r="B9" s="9" t="s">
        <v>49</v>
      </c>
      <c r="C9" s="2" t="s">
        <v>21</v>
      </c>
      <c r="D9" s="2" t="s">
        <v>22</v>
      </c>
      <c r="J9" s="78">
        <f>J8-(((I8-B6)/(I8-I7))*(J8-J7))</f>
        <v>0.045</v>
      </c>
      <c r="K9" s="22">
        <v>20</v>
      </c>
      <c r="L9" s="23">
        <v>0.74</v>
      </c>
      <c r="M9" s="24">
        <v>135</v>
      </c>
    </row>
    <row r="10" spans="1:13" ht="12.75">
      <c r="A10" s="8" t="s">
        <v>23</v>
      </c>
      <c r="B10" s="9">
        <v>2</v>
      </c>
      <c r="C10" s="2" t="s">
        <v>24</v>
      </c>
      <c r="K10" s="22">
        <v>25</v>
      </c>
      <c r="L10" s="23">
        <v>0.7</v>
      </c>
      <c r="M10" s="24">
        <v>143</v>
      </c>
    </row>
    <row r="11" spans="1:13" ht="12.75">
      <c r="A11" s="25" t="s">
        <v>25</v>
      </c>
      <c r="B11" s="26">
        <f>IF(I6=1,VLOOKUP(B6,$K$40:$Q$56,IF($B$5=50,3,IF($B$5=55,4,IF($B$5=60,5,IF($B$5=65,6,IF($B$5=70,7,8))))),TRUE),J9)</f>
        <v>0.045</v>
      </c>
      <c r="D11" s="27" t="s">
        <v>26</v>
      </c>
      <c r="K11" s="22">
        <v>30</v>
      </c>
      <c r="L11" s="23">
        <v>0.66</v>
      </c>
      <c r="M11" s="24">
        <v>152</v>
      </c>
    </row>
    <row r="12" spans="1:13" ht="12.75">
      <c r="A12" s="15" t="s">
        <v>27</v>
      </c>
      <c r="B12" s="28">
        <f>VLOOKUP(B10,$K$27:$M$32,IF($B$9="yes",2,3))</f>
        <v>1</v>
      </c>
      <c r="D12" s="2" t="s">
        <v>28</v>
      </c>
      <c r="K12" s="22">
        <v>35</v>
      </c>
      <c r="L12" s="23">
        <v>0.62</v>
      </c>
      <c r="M12" s="24">
        <v>161</v>
      </c>
    </row>
    <row r="13" spans="1:13" ht="12.75">
      <c r="A13" s="15" t="s">
        <v>29</v>
      </c>
      <c r="B13" s="28">
        <f>VLOOKUP(B5,$K$9:$M$19,2,TRUE)</f>
        <v>0.45</v>
      </c>
      <c r="D13" s="2" t="s">
        <v>30</v>
      </c>
      <c r="K13" s="22">
        <v>40</v>
      </c>
      <c r="L13" s="23">
        <v>0.58</v>
      </c>
      <c r="M13" s="24">
        <v>172</v>
      </c>
    </row>
    <row r="14" spans="1:13" ht="12.75">
      <c r="A14" s="15" t="s">
        <v>31</v>
      </c>
      <c r="B14" s="28">
        <f>VLOOKUP(B5,$K9:M19,3,TRUE)</f>
        <v>222</v>
      </c>
      <c r="D14" s="2" t="s">
        <v>32</v>
      </c>
      <c r="K14" s="22">
        <v>45</v>
      </c>
      <c r="L14" s="23">
        <v>0.54</v>
      </c>
      <c r="M14" s="24">
        <v>185</v>
      </c>
    </row>
    <row r="15" spans="11:13" ht="12.75">
      <c r="K15" s="22">
        <v>50</v>
      </c>
      <c r="L15" s="23">
        <v>0.5</v>
      </c>
      <c r="M15" s="24">
        <v>200</v>
      </c>
    </row>
    <row r="16" spans="1:13" ht="12.75">
      <c r="A16" s="29" t="s">
        <v>33</v>
      </c>
      <c r="B16" s="30">
        <f>((($B$8*$B$10)*($B$11))*($B$14)*($B$12))</f>
        <v>239.76000000000002</v>
      </c>
      <c r="C16" s="31" t="s">
        <v>12</v>
      </c>
      <c r="D16" s="31" t="s">
        <v>34</v>
      </c>
      <c r="E16" s="31"/>
      <c r="F16" s="31"/>
      <c r="K16" s="22">
        <v>55</v>
      </c>
      <c r="L16" s="23">
        <v>0.47</v>
      </c>
      <c r="M16" s="24">
        <v>213</v>
      </c>
    </row>
    <row r="17" spans="1:13" ht="12.75">
      <c r="A17" s="29" t="s">
        <v>35</v>
      </c>
      <c r="B17" s="30">
        <f>((0.0156)/$B$11)*B16</f>
        <v>83.11680000000001</v>
      </c>
      <c r="C17" s="31" t="s">
        <v>12</v>
      </c>
      <c r="D17" s="31" t="s">
        <v>36</v>
      </c>
      <c r="E17" s="31"/>
      <c r="F17" s="31"/>
      <c r="K17" s="22">
        <v>60</v>
      </c>
      <c r="L17" s="23">
        <v>0.45</v>
      </c>
      <c r="M17" s="24">
        <v>222</v>
      </c>
    </row>
    <row r="18" spans="1:13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2">
        <v>65</v>
      </c>
      <c r="L18" s="23">
        <v>0.43</v>
      </c>
      <c r="M18" s="24">
        <v>233</v>
      </c>
    </row>
    <row r="19" spans="1:13" ht="13.5" thickBo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32">
        <v>70</v>
      </c>
      <c r="L19" s="33">
        <v>0.4</v>
      </c>
      <c r="M19" s="34">
        <v>250</v>
      </c>
    </row>
    <row r="20" spans="1:10" ht="13.5" thickTop="1">
      <c r="A20" s="60" t="s">
        <v>80</v>
      </c>
      <c r="B20" s="63"/>
      <c r="C20" s="57" t="s">
        <v>64</v>
      </c>
      <c r="D20" s="43"/>
      <c r="E20" s="43"/>
      <c r="F20" s="43"/>
      <c r="G20" s="43"/>
      <c r="H20" s="43"/>
      <c r="I20" s="27"/>
      <c r="J20" s="27"/>
    </row>
    <row r="21" spans="1:10" ht="12.75">
      <c r="A21" s="27"/>
      <c r="B21" s="27"/>
      <c r="C21" s="27"/>
      <c r="D21" s="27"/>
      <c r="E21" s="59" t="s">
        <v>47</v>
      </c>
      <c r="F21" s="27"/>
      <c r="G21" s="27"/>
      <c r="H21" s="27"/>
      <c r="J21" s="60"/>
    </row>
    <row r="22" spans="1:11" ht="12.75">
      <c r="A22" s="60" t="str">
        <f>IF($C$20="yes","ERROR: SPREADSHEET NOT VALID","P.C. Station")</f>
        <v>P.C. Station</v>
      </c>
      <c r="B22" s="61">
        <v>17945.846554</v>
      </c>
      <c r="C22" s="60"/>
      <c r="D22" s="60" t="s">
        <v>48</v>
      </c>
      <c r="E22" s="57" t="s">
        <v>64</v>
      </c>
      <c r="F22" s="60" t="s">
        <v>81</v>
      </c>
      <c r="G22" s="60"/>
      <c r="H22" s="62">
        <v>0.7</v>
      </c>
      <c r="J22" s="60"/>
      <c r="K22" s="35" t="s">
        <v>37</v>
      </c>
    </row>
    <row r="23" spans="1:11" ht="12.75">
      <c r="A23" s="60" t="str">
        <f>IF($C$20="yes","ERROR: SPREADSHEET NOT VALID","P.T. Station")</f>
        <v>P.T. Station</v>
      </c>
      <c r="B23" s="61">
        <v>18726.735649</v>
      </c>
      <c r="C23" s="60"/>
      <c r="D23" s="60" t="s">
        <v>48</v>
      </c>
      <c r="E23" s="57" t="s">
        <v>64</v>
      </c>
      <c r="F23" s="60" t="s">
        <v>81</v>
      </c>
      <c r="G23" s="60"/>
      <c r="H23" s="62">
        <v>0.6</v>
      </c>
      <c r="J23" s="60"/>
      <c r="K23" s="35"/>
    </row>
    <row r="24" spans="1:11" ht="13.5" thickBot="1">
      <c r="A24" s="86">
        <f>IF($C$20="yes","ERROR: SPREADSHEET NOT VALID; ERROR SPREADSHEET NOT VALID; ERROR: SPREADSHEET NOT VALID; ERROR: SPREADSHEET NOT VALID","")</f>
      </c>
      <c r="B24" s="61"/>
      <c r="C24" s="60"/>
      <c r="D24" s="60"/>
      <c r="E24" s="57"/>
      <c r="F24" s="60"/>
      <c r="G24" s="60"/>
      <c r="H24" s="62"/>
      <c r="I24" s="14"/>
      <c r="J24" s="60"/>
      <c r="K24" s="35"/>
    </row>
    <row r="25" spans="1:13" ht="13.5" thickTop="1">
      <c r="A25" s="60" t="s">
        <v>50</v>
      </c>
      <c r="B25" s="63"/>
      <c r="C25" s="60"/>
      <c r="D25" s="57" t="s">
        <v>49</v>
      </c>
      <c r="E25" s="64"/>
      <c r="F25" s="60"/>
      <c r="G25" s="60"/>
      <c r="H25" s="65"/>
      <c r="I25" s="14"/>
      <c r="J25" s="60"/>
      <c r="K25" s="36" t="s">
        <v>38</v>
      </c>
      <c r="L25" s="37" t="s">
        <v>39</v>
      </c>
      <c r="M25" s="38" t="s">
        <v>40</v>
      </c>
    </row>
    <row r="26" spans="1:13" ht="13.5" thickBot="1">
      <c r="A26" s="60" t="str">
        <f>IF($E$23="no","Is there a spiral for super transition at the end of this curve? (yes or no)","")</f>
        <v>Is there a spiral for super transition at the end of this curve? (yes or no)</v>
      </c>
      <c r="B26" s="63"/>
      <c r="C26" s="60"/>
      <c r="D26" s="57"/>
      <c r="E26" s="57" t="s">
        <v>64</v>
      </c>
      <c r="F26"/>
      <c r="G26" s="60"/>
      <c r="H26" s="65"/>
      <c r="I26" s="18"/>
      <c r="J26" s="77"/>
      <c r="K26" s="19" t="s">
        <v>41</v>
      </c>
      <c r="L26" s="20" t="s">
        <v>42</v>
      </c>
      <c r="M26" s="21" t="s">
        <v>42</v>
      </c>
    </row>
    <row r="27" spans="1:13" ht="12.75">
      <c r="A27" s="86">
        <f>IF($C$20="yes","ERROR: SPREADSHEET NOT VALID; ERROR SPREADSHEET NOT VALID; ERROR: SPREADSHEET NOT VALID; ERROR: SPREADSHEET NOT VALID","")</f>
      </c>
      <c r="B27" s="66"/>
      <c r="C27" s="60"/>
      <c r="D27" s="60"/>
      <c r="E27" s="60"/>
      <c r="F27" s="60"/>
      <c r="G27" s="60"/>
      <c r="H27" s="60"/>
      <c r="I27" s="14"/>
      <c r="J27" s="77"/>
      <c r="K27" s="39">
        <v>1</v>
      </c>
      <c r="L27" s="23">
        <v>1</v>
      </c>
      <c r="M27" s="40">
        <v>1</v>
      </c>
    </row>
    <row r="28" spans="1:13" ht="12.75">
      <c r="A28" s="67" t="s">
        <v>51</v>
      </c>
      <c r="B28" s="68"/>
      <c r="C28" s="60"/>
      <c r="D28" s="60"/>
      <c r="E28" s="67" t="s">
        <v>68</v>
      </c>
      <c r="F28" s="67"/>
      <c r="G28" s="81"/>
      <c r="H28" s="60"/>
      <c r="J28" s="77"/>
      <c r="K28" s="39">
        <v>1.5</v>
      </c>
      <c r="L28" s="23">
        <v>1</v>
      </c>
      <c r="M28" s="40">
        <v>0.83</v>
      </c>
    </row>
    <row r="29" spans="1:13" ht="12.75">
      <c r="A29" s="60"/>
      <c r="B29" s="69" t="s">
        <v>52</v>
      </c>
      <c r="C29" s="69" t="s">
        <v>53</v>
      </c>
      <c r="D29" s="60"/>
      <c r="E29" s="60"/>
      <c r="F29" s="60"/>
      <c r="G29" s="60"/>
      <c r="H29" s="60"/>
      <c r="J29" s="60"/>
      <c r="K29" s="39">
        <v>2</v>
      </c>
      <c r="L29" s="23">
        <v>1</v>
      </c>
      <c r="M29" s="40">
        <v>0.75</v>
      </c>
    </row>
    <row r="30" spans="1:13" ht="12.75">
      <c r="A30" s="25" t="s">
        <v>54</v>
      </c>
      <c r="B30" s="70">
        <f>IF($D$25="yes",IF($E$22="yes",$B$22-($G$35*2/3)+($C$30*$G$35/$B$11),$B$22-($G$35*$H$22)+($C$30*$G$35/$B$11)),"")</f>
        <v>17692.513220666668</v>
      </c>
      <c r="C30" s="88">
        <v>-0.016</v>
      </c>
      <c r="D30" s="60"/>
      <c r="E30" s="102" t="s">
        <v>69</v>
      </c>
      <c r="F30" s="102"/>
      <c r="G30" s="82">
        <f>B37-B33</f>
        <v>612.8890949999986</v>
      </c>
      <c r="H30" s="60"/>
      <c r="J30" s="60"/>
      <c r="K30" s="39">
        <v>2.5</v>
      </c>
      <c r="L30" s="23">
        <v>1</v>
      </c>
      <c r="M30" s="40">
        <v>0.7</v>
      </c>
    </row>
    <row r="31" spans="1:13" ht="12.75">
      <c r="A31" s="25" t="s">
        <v>55</v>
      </c>
      <c r="B31" s="70">
        <f>IF($D$25="yes",IF($E$22="yes",$B$22-(2*$G$35/3),$B$22-($G$35*$H$22)),"")</f>
        <v>17777.846554</v>
      </c>
      <c r="C31" s="88">
        <v>0</v>
      </c>
      <c r="D31" s="60"/>
      <c r="E31" s="102" t="s">
        <v>71</v>
      </c>
      <c r="F31" s="102"/>
      <c r="G31" s="26">
        <f>IF($D$25="yes",$C$30+($B22-$B$30)/CEILING($B$16,5)*$B$11,$C$32+($B22-$B$32)/CEILING($B$16,5)*$B$11)</f>
        <v>0.03149999999999977</v>
      </c>
      <c r="H31" s="60"/>
      <c r="J31" s="60"/>
      <c r="K31" s="39">
        <v>3</v>
      </c>
      <c r="L31" s="23">
        <v>1</v>
      </c>
      <c r="M31" s="40">
        <v>0.67</v>
      </c>
    </row>
    <row r="32" spans="1:13" ht="13.5" thickBot="1">
      <c r="A32" s="25" t="s">
        <v>56</v>
      </c>
      <c r="B32" s="70">
        <f>IF($E$22="yes",$B$22-($G$35*2/3)+($C$32*$G$35/$B$11),IF($D$25="yes",$B$22-($G$35*$H$22)+($C$32*$G$35/$B$11),$B$33-($G$35*($B$11-$C$32)/$B$11)))</f>
        <v>17863.179887333332</v>
      </c>
      <c r="C32" s="88">
        <v>0.016</v>
      </c>
      <c r="D32" s="60"/>
      <c r="E32" s="103" t="s">
        <v>76</v>
      </c>
      <c r="F32" s="103"/>
      <c r="G32" s="87">
        <f>G31/$B$11</f>
        <v>0.699999999999995</v>
      </c>
      <c r="H32" s="60"/>
      <c r="J32" s="60"/>
      <c r="K32" s="41">
        <v>3.5</v>
      </c>
      <c r="L32" s="33">
        <v>1</v>
      </c>
      <c r="M32" s="42">
        <v>0.64</v>
      </c>
    </row>
    <row r="33" spans="1:10" ht="13.5" thickTop="1">
      <c r="A33" s="25" t="s">
        <v>57</v>
      </c>
      <c r="B33" s="70">
        <f>IF($E$22="yes",$B$22+($G$35/3),$B$22+($G$35*(1-$H$22)))</f>
        <v>18017.846554</v>
      </c>
      <c r="C33" s="88">
        <f>$B$11</f>
        <v>0.045</v>
      </c>
      <c r="D33" s="60"/>
      <c r="E33" s="102" t="s">
        <v>70</v>
      </c>
      <c r="F33" s="102"/>
      <c r="G33" s="26">
        <f>IF($D$25="yes",$C$37-($B23-$B$37)*$G$37,$C$37-($B23-$B$37)/CEILING($B$16,5)*$B$11)</f>
        <v>0.026999999999999996</v>
      </c>
      <c r="H33" s="60"/>
      <c r="J33" s="60"/>
    </row>
    <row r="34" spans="1:10" ht="12.75">
      <c r="A34" s="60"/>
      <c r="B34" s="60"/>
      <c r="C34" s="60"/>
      <c r="D34" s="60"/>
      <c r="E34" s="103" t="s">
        <v>77</v>
      </c>
      <c r="F34" s="103"/>
      <c r="G34" s="87">
        <f>G33/$B$11</f>
        <v>0.6</v>
      </c>
      <c r="H34" s="60"/>
      <c r="J34" s="60"/>
    </row>
    <row r="35" spans="1:11" ht="12.75">
      <c r="A35" s="67" t="s">
        <v>58</v>
      </c>
      <c r="B35" s="67"/>
      <c r="C35" s="60"/>
      <c r="D35" s="60"/>
      <c r="E35" s="102" t="s">
        <v>73</v>
      </c>
      <c r="F35" s="102"/>
      <c r="G35" s="84">
        <f>CEILING($B$16,5)</f>
        <v>240</v>
      </c>
      <c r="H35" s="60"/>
      <c r="J35" s="60"/>
      <c r="K35" s="35" t="s">
        <v>43</v>
      </c>
    </row>
    <row r="36" spans="1:11" ht="13.5" thickBot="1">
      <c r="A36" s="60"/>
      <c r="B36" s="58" t="s">
        <v>52</v>
      </c>
      <c r="C36" s="69" t="s">
        <v>53</v>
      </c>
      <c r="D36" s="60"/>
      <c r="E36" s="102" t="s">
        <v>72</v>
      </c>
      <c r="F36" s="102"/>
      <c r="G36" s="84">
        <f>CEILING($B$16,5)-CEILING($B$16,5)*($B$11-$C$32)/$B$11</f>
        <v>85.33333333333334</v>
      </c>
      <c r="H36" s="60"/>
      <c r="I36" s="14"/>
      <c r="J36" s="60"/>
      <c r="K36" s="3" t="s">
        <v>67</v>
      </c>
    </row>
    <row r="37" spans="1:22" ht="13.5" thickTop="1">
      <c r="A37" s="25" t="s">
        <v>57</v>
      </c>
      <c r="B37" s="70">
        <f>IF($E$23="yes",$B$23-($G$35/3),$B$23-($G$35*(1-$H$23)))</f>
        <v>18630.735649</v>
      </c>
      <c r="C37" s="88">
        <f>$B$11</f>
        <v>0.045</v>
      </c>
      <c r="D37" s="60"/>
      <c r="E37" s="102" t="s">
        <v>79</v>
      </c>
      <c r="F37" s="102"/>
      <c r="G37" s="89">
        <f>B11/G35</f>
        <v>0.0001875</v>
      </c>
      <c r="H37" s="60"/>
      <c r="I37" s="14"/>
      <c r="J37" s="60"/>
      <c r="K37" s="44"/>
      <c r="L37" s="45"/>
      <c r="M37" s="99" t="s">
        <v>14</v>
      </c>
      <c r="N37" s="100"/>
      <c r="O37" s="100"/>
      <c r="P37" s="100"/>
      <c r="Q37" s="101"/>
      <c r="R37" s="46"/>
      <c r="S37" s="46"/>
      <c r="T37" s="46"/>
      <c r="U37" s="46"/>
      <c r="V37" s="46"/>
    </row>
    <row r="38" spans="1:22" ht="12.75">
      <c r="A38" s="25" t="s">
        <v>56</v>
      </c>
      <c r="B38" s="70">
        <f>IF($E$23="yes",$B$23+($G$35*2/3)-($C$38*$G$35/$B$11),IF($E$26="yes","",$B$23-($G$35*(1-$H$23))+($B$11-$C$38)/$G$37))</f>
        <v>18785.402315666666</v>
      </c>
      <c r="C38" s="88">
        <v>0.016</v>
      </c>
      <c r="D38" s="60"/>
      <c r="E38" s="60"/>
      <c r="F38" s="60"/>
      <c r="G38" s="60"/>
      <c r="H38" s="60"/>
      <c r="I38" s="18"/>
      <c r="J38" s="77"/>
      <c r="K38" s="47"/>
      <c r="L38" s="48"/>
      <c r="M38" s="49">
        <v>50</v>
      </c>
      <c r="N38" s="50">
        <v>55</v>
      </c>
      <c r="O38" s="50">
        <v>60</v>
      </c>
      <c r="P38" s="50">
        <v>65</v>
      </c>
      <c r="Q38" s="51">
        <v>70</v>
      </c>
      <c r="R38" s="46"/>
      <c r="S38" s="46"/>
      <c r="T38" s="46"/>
      <c r="U38" s="46"/>
      <c r="V38" s="46"/>
    </row>
    <row r="39" spans="1:22" ht="13.5" thickBot="1">
      <c r="A39" s="25" t="s">
        <v>55</v>
      </c>
      <c r="B39" s="70">
        <f>IF($D$25="yes",IF($E$23="yes",$B$23+($G$35*2/3),$B$23+$G$35*$H$23),"")</f>
        <v>18870.735649</v>
      </c>
      <c r="C39" s="88">
        <v>0</v>
      </c>
      <c r="D39" s="60"/>
      <c r="E39"/>
      <c r="F39"/>
      <c r="G39"/>
      <c r="H39" s="60"/>
      <c r="I39" s="14"/>
      <c r="J39" s="77"/>
      <c r="K39" s="19" t="s">
        <v>44</v>
      </c>
      <c r="L39" s="20" t="s">
        <v>45</v>
      </c>
      <c r="M39" s="52" t="s">
        <v>46</v>
      </c>
      <c r="N39" s="53" t="s">
        <v>46</v>
      </c>
      <c r="O39" s="53" t="s">
        <v>46</v>
      </c>
      <c r="P39" s="53" t="s">
        <v>46</v>
      </c>
      <c r="Q39" s="54" t="s">
        <v>46</v>
      </c>
      <c r="R39" s="55"/>
      <c r="S39" s="55"/>
      <c r="T39" s="55"/>
      <c r="U39" s="55"/>
      <c r="V39" s="55"/>
    </row>
    <row r="40" spans="1:20" ht="12.75">
      <c r="A40" s="25" t="s">
        <v>54</v>
      </c>
      <c r="B40" s="70">
        <f>IF($D$25="yes",IF($E$23="yes",$B$23+($G$35*2/3)+(ABS($C$40)*$G$35/$B$11),$B$23+($G$35*$H$23)+(ABS($C$40)*$G$35/$B$11)),"")</f>
        <v>18956.06898233333</v>
      </c>
      <c r="C40" s="88">
        <v>-0.016</v>
      </c>
      <c r="D40" s="60"/>
      <c r="E40" s="60"/>
      <c r="F40" s="60"/>
      <c r="G40" s="60"/>
      <c r="H40" s="60"/>
      <c r="J40" s="77"/>
      <c r="K40" s="56">
        <v>0.25</v>
      </c>
      <c r="L40" s="23">
        <v>22918.312</v>
      </c>
      <c r="M40" s="90">
        <v>0.016</v>
      </c>
      <c r="N40" s="90">
        <v>0.016</v>
      </c>
      <c r="O40" s="90">
        <v>0.016</v>
      </c>
      <c r="P40" s="90">
        <v>0.016</v>
      </c>
      <c r="Q40" s="91">
        <v>0.016</v>
      </c>
      <c r="T40" s="79"/>
    </row>
    <row r="41" spans="1:20" ht="12.75">
      <c r="A41" s="60"/>
      <c r="B41" s="60"/>
      <c r="C41" s="60"/>
      <c r="D41" s="60"/>
      <c r="E41" s="60"/>
      <c r="F41" s="60"/>
      <c r="G41" s="60"/>
      <c r="H41" s="60"/>
      <c r="J41" s="60"/>
      <c r="K41" s="56">
        <v>0.5</v>
      </c>
      <c r="L41" s="23">
        <v>11459.156</v>
      </c>
      <c r="M41" s="90">
        <v>0.016</v>
      </c>
      <c r="N41" s="90">
        <v>0.016</v>
      </c>
      <c r="O41" s="90">
        <v>0.016</v>
      </c>
      <c r="P41" s="90">
        <v>0.016</v>
      </c>
      <c r="Q41" s="91">
        <v>0.018</v>
      </c>
      <c r="T41" s="79"/>
    </row>
    <row r="42" spans="1:20" ht="12.75">
      <c r="A42" s="67" t="s">
        <v>59</v>
      </c>
      <c r="B42" s="67"/>
      <c r="C42" s="60"/>
      <c r="D42" s="60"/>
      <c r="E42" s="60"/>
      <c r="F42" s="60"/>
      <c r="G42" s="60"/>
      <c r="H42" s="60"/>
      <c r="J42" s="60"/>
      <c r="K42" s="56"/>
      <c r="L42" s="23"/>
      <c r="M42" s="90"/>
      <c r="N42" s="90"/>
      <c r="O42" s="90"/>
      <c r="P42" s="90"/>
      <c r="Q42" s="91"/>
      <c r="T42" s="79"/>
    </row>
    <row r="43" spans="1:20" ht="12.75">
      <c r="A43" s="71"/>
      <c r="B43" s="71"/>
      <c r="C43" s="97" t="s">
        <v>60</v>
      </c>
      <c r="D43" s="97" t="s">
        <v>74</v>
      </c>
      <c r="E43" s="60"/>
      <c r="F43" s="71"/>
      <c r="G43" s="97" t="s">
        <v>60</v>
      </c>
      <c r="H43" s="97" t="s">
        <v>75</v>
      </c>
      <c r="J43" s="60"/>
      <c r="K43" s="56">
        <v>0.75</v>
      </c>
      <c r="L43" s="23">
        <v>7639.437333333334</v>
      </c>
      <c r="M43" s="90">
        <v>0.016</v>
      </c>
      <c r="N43" s="90">
        <v>0.018</v>
      </c>
      <c r="O43" s="90">
        <v>0.021</v>
      </c>
      <c r="P43" s="90">
        <v>0.024</v>
      </c>
      <c r="Q43" s="91">
        <v>0.026</v>
      </c>
      <c r="T43" s="79"/>
    </row>
    <row r="44" spans="1:20" ht="12.75" customHeight="1">
      <c r="A44" s="60"/>
      <c r="B44" s="58" t="s">
        <v>52</v>
      </c>
      <c r="C44" s="97"/>
      <c r="D44" s="97"/>
      <c r="E44" s="60"/>
      <c r="F44" s="58" t="s">
        <v>52</v>
      </c>
      <c r="G44" s="97"/>
      <c r="H44" s="97"/>
      <c r="J44" s="60"/>
      <c r="K44" s="56">
        <v>1</v>
      </c>
      <c r="L44" s="23">
        <v>5729.578</v>
      </c>
      <c r="M44" s="90">
        <v>0.02</v>
      </c>
      <c r="N44" s="90">
        <v>0.023</v>
      </c>
      <c r="O44" s="90">
        <v>0.027</v>
      </c>
      <c r="P44" s="90">
        <v>0.03</v>
      </c>
      <c r="Q44" s="91">
        <v>0.033</v>
      </c>
      <c r="T44" s="79"/>
    </row>
    <row r="45" spans="1:20" ht="12.75">
      <c r="A45" s="60" t="s">
        <v>61</v>
      </c>
      <c r="B45" s="70">
        <f>IF(C45="","",$B$33-($B$11-C45)/$B$11*$G$35)</f>
        <v>17991.179887333332</v>
      </c>
      <c r="C45" s="26">
        <f>IF($C$33&gt;=0.04,0.04,"")</f>
        <v>0.04</v>
      </c>
      <c r="D45" s="30">
        <f>IF(C45="","",C45)</f>
        <v>0.04</v>
      </c>
      <c r="E45" s="60"/>
      <c r="F45" s="70">
        <f>IF(G45="","",$B$33-($B$11-G45)/$B$11*$G$35)</f>
        <v>17937.846554</v>
      </c>
      <c r="G45" s="26">
        <f>IF($B$11&gt;0.03,0.03,"")</f>
        <v>0.03</v>
      </c>
      <c r="H45" s="30">
        <f>IF(G45="","",0.07-G45)</f>
        <v>0.04000000000000001</v>
      </c>
      <c r="J45" s="60"/>
      <c r="K45" s="56">
        <v>1.5</v>
      </c>
      <c r="L45" s="23">
        <v>3819.718666666667</v>
      </c>
      <c r="M45" s="90">
        <v>0.028</v>
      </c>
      <c r="N45" s="90">
        <v>0.032</v>
      </c>
      <c r="O45" s="90">
        <v>0.037</v>
      </c>
      <c r="P45" s="90">
        <v>0.041</v>
      </c>
      <c r="Q45" s="91">
        <v>0.046</v>
      </c>
      <c r="T45" s="79"/>
    </row>
    <row r="46" spans="1:20" ht="12.75">
      <c r="A46" s="60"/>
      <c r="B46" s="70">
        <f>IF(C46="","",$B$33)</f>
        <v>18017.846554</v>
      </c>
      <c r="C46" s="26">
        <f>IF($C$33&gt;0.04,$C$33,"")</f>
        <v>0.045</v>
      </c>
      <c r="D46" s="30">
        <f>IF(C46="","",C46)</f>
        <v>0.045</v>
      </c>
      <c r="E46" s="60"/>
      <c r="F46" s="70">
        <f>IF(G46="","",$B$33)</f>
        <v>18017.846554</v>
      </c>
      <c r="G46" s="26">
        <f>IF($C$33&gt;0.03,$C$33,"")</f>
        <v>0.045</v>
      </c>
      <c r="H46" s="30">
        <f>IF(G46="","",0.07-G46)</f>
        <v>0.02500000000000001</v>
      </c>
      <c r="J46" s="60"/>
      <c r="K46" s="56"/>
      <c r="L46" s="23"/>
      <c r="M46" s="90"/>
      <c r="N46" s="90"/>
      <c r="O46" s="90"/>
      <c r="P46" s="90"/>
      <c r="Q46" s="91"/>
      <c r="T46" s="79"/>
    </row>
    <row r="47" spans="1:20" ht="12.75">
      <c r="A47" s="60"/>
      <c r="B47" s="76"/>
      <c r="C47" s="26"/>
      <c r="D47" s="58"/>
      <c r="E47" s="60"/>
      <c r="F47" s="76"/>
      <c r="G47" s="26"/>
      <c r="H47" s="58"/>
      <c r="J47" s="60"/>
      <c r="K47" s="56">
        <v>2</v>
      </c>
      <c r="L47" s="23">
        <v>2864.789</v>
      </c>
      <c r="M47" s="90">
        <v>0.035</v>
      </c>
      <c r="N47" s="90">
        <v>0.04</v>
      </c>
      <c r="O47" s="90">
        <v>0.045</v>
      </c>
      <c r="P47" s="90">
        <v>0.05</v>
      </c>
      <c r="Q47" s="91">
        <v>0.055</v>
      </c>
      <c r="T47" s="79"/>
    </row>
    <row r="48" spans="1:20" ht="12.75">
      <c r="A48" s="60" t="s">
        <v>62</v>
      </c>
      <c r="B48" s="70">
        <f>IF(C48="","",$B$37)</f>
        <v>18630.735649</v>
      </c>
      <c r="C48" s="26">
        <f>IF($B$11&lt;0.04,"",$B$11)</f>
        <v>0.045</v>
      </c>
      <c r="D48" s="30">
        <f>IF(C48="","",C48)</f>
        <v>0.045</v>
      </c>
      <c r="E48" s="60"/>
      <c r="F48" s="70">
        <f>IF(G48="","",$B$37)</f>
        <v>18630.735649</v>
      </c>
      <c r="G48" s="26">
        <f>IF($B$11&lt;0.03,"",$B$11)</f>
        <v>0.045</v>
      </c>
      <c r="H48" s="30">
        <f>IF(G48="","",0.07-G48)</f>
        <v>0.02500000000000001</v>
      </c>
      <c r="J48" s="60"/>
      <c r="K48" s="56">
        <v>2.5</v>
      </c>
      <c r="L48" s="23">
        <v>2291.8312</v>
      </c>
      <c r="M48" s="90">
        <v>0.04</v>
      </c>
      <c r="N48" s="90">
        <v>0.045</v>
      </c>
      <c r="O48" s="90">
        <v>0.051</v>
      </c>
      <c r="P48" s="90">
        <v>0.056</v>
      </c>
      <c r="Q48" s="91">
        <v>0.059</v>
      </c>
      <c r="T48" s="79"/>
    </row>
    <row r="49" spans="1:20" ht="12.75">
      <c r="A49" s="60"/>
      <c r="B49" s="70">
        <f>IF(C49="","",$B$37+($B$11-C49)/$B$11*$G$35)</f>
        <v>18657.402315666666</v>
      </c>
      <c r="C49" s="26">
        <f>IF($B$11&gt;0.04,0.04,"")</f>
        <v>0.04</v>
      </c>
      <c r="D49" s="30">
        <f>IF(C49="","",C49)</f>
        <v>0.04</v>
      </c>
      <c r="E49" s="60"/>
      <c r="F49" s="70">
        <f>IF(G49="","",$B$37+($B$11-G49)/$B$11*$G$35)</f>
        <v>18710.735649</v>
      </c>
      <c r="G49" s="26">
        <f>IF(G48=0.03,"",IF(G48="","",0.03))</f>
        <v>0.03</v>
      </c>
      <c r="H49" s="30">
        <f>IF(G49="","",0.07-G49)</f>
        <v>0.04000000000000001</v>
      </c>
      <c r="J49" s="60"/>
      <c r="K49" s="56">
        <v>3</v>
      </c>
      <c r="L49" s="23">
        <v>1909.8593333333336</v>
      </c>
      <c r="M49" s="90">
        <v>0.045</v>
      </c>
      <c r="N49" s="90">
        <v>0.05</v>
      </c>
      <c r="O49" s="90">
        <v>0.055</v>
      </c>
      <c r="P49" s="90">
        <v>0.059</v>
      </c>
      <c r="Q49" s="92"/>
      <c r="T49" s="79"/>
    </row>
    <row r="50" spans="1:20" ht="12.75">
      <c r="A50" s="60"/>
      <c r="B50" s="76"/>
      <c r="C50" s="26"/>
      <c r="D50" s="58"/>
      <c r="E50" s="60"/>
      <c r="F50" s="76"/>
      <c r="G50" s="26"/>
      <c r="H50" s="58"/>
      <c r="J50" s="60"/>
      <c r="K50" s="56">
        <v>3.5</v>
      </c>
      <c r="L50" s="23">
        <v>1637.0222857142858</v>
      </c>
      <c r="M50" s="90">
        <v>0.048</v>
      </c>
      <c r="N50" s="90">
        <v>0.054</v>
      </c>
      <c r="O50" s="90">
        <v>0.058</v>
      </c>
      <c r="P50" s="90">
        <v>0.06</v>
      </c>
      <c r="Q50" s="92"/>
      <c r="T50" s="79"/>
    </row>
    <row r="51" spans="1:20" ht="12.75">
      <c r="A51" s="60"/>
      <c r="B51" s="60"/>
      <c r="C51" s="60"/>
      <c r="D51" s="60"/>
      <c r="E51" s="60"/>
      <c r="F51" s="60"/>
      <c r="G51" s="60"/>
      <c r="H51" s="60"/>
      <c r="J51" s="60"/>
      <c r="K51" s="56">
        <v>4</v>
      </c>
      <c r="L51" s="23">
        <v>1432.3945</v>
      </c>
      <c r="M51" s="90">
        <v>0.052</v>
      </c>
      <c r="N51" s="90">
        <v>0.057</v>
      </c>
      <c r="O51" s="90">
        <v>0.06</v>
      </c>
      <c r="P51" s="93"/>
      <c r="Q51" s="92"/>
      <c r="T51" s="79"/>
    </row>
    <row r="52" spans="1:20" ht="12.75">
      <c r="A52" s="67" t="s">
        <v>63</v>
      </c>
      <c r="B52" s="73"/>
      <c r="C52" s="60"/>
      <c r="E52" s="60"/>
      <c r="F52" s="60"/>
      <c r="G52" s="60"/>
      <c r="H52" s="60"/>
      <c r="J52" s="60"/>
      <c r="K52" s="56">
        <v>4.5</v>
      </c>
      <c r="L52" s="23">
        <v>1273.2395555555556</v>
      </c>
      <c r="M52" s="90">
        <v>0.054</v>
      </c>
      <c r="N52" s="90">
        <v>0.059</v>
      </c>
      <c r="O52" s="93"/>
      <c r="P52" s="93"/>
      <c r="Q52" s="92"/>
      <c r="T52" s="79"/>
    </row>
    <row r="53" spans="1:20" ht="12.75">
      <c r="A53" s="60"/>
      <c r="B53"/>
      <c r="C53"/>
      <c r="D53" s="98" t="s">
        <v>78</v>
      </c>
      <c r="E53" s="98" t="s">
        <v>74</v>
      </c>
      <c r="F53" s="98" t="s">
        <v>75</v>
      </c>
      <c r="G53" s="60"/>
      <c r="H53" s="60"/>
      <c r="J53" s="60"/>
      <c r="K53" s="56">
        <v>5</v>
      </c>
      <c r="L53" s="23">
        <v>1145.9156</v>
      </c>
      <c r="M53" s="90">
        <v>0.056</v>
      </c>
      <c r="N53" s="90">
        <v>0.06</v>
      </c>
      <c r="O53" s="93"/>
      <c r="P53" s="93"/>
      <c r="Q53" s="92"/>
      <c r="T53" s="79"/>
    </row>
    <row r="54" spans="1:20" ht="12.75">
      <c r="A54" s="60"/>
      <c r="B54" s="58" t="s">
        <v>52</v>
      </c>
      <c r="C54" s="69" t="s">
        <v>53</v>
      </c>
      <c r="D54" s="98"/>
      <c r="E54" s="98"/>
      <c r="F54" s="98"/>
      <c r="G54" s="60"/>
      <c r="H54" s="60"/>
      <c r="J54" s="60"/>
      <c r="K54" s="56">
        <v>5.5</v>
      </c>
      <c r="L54" s="23">
        <v>1041.7414545454546</v>
      </c>
      <c r="M54" s="90">
        <v>0.058</v>
      </c>
      <c r="N54" s="90">
        <v>0.06</v>
      </c>
      <c r="O54" s="93"/>
      <c r="P54" s="93"/>
      <c r="Q54" s="92"/>
      <c r="T54" s="79"/>
    </row>
    <row r="55" spans="1:20" ht="12.75">
      <c r="A55" s="86">
        <f>IF(B55="","",IF($D$25="no",IF(OR(AND($D$25="no",B55&lt;$B$32),AND($D$25="no",B55&gt;$B$38)),"ERROR: OUT OF RANGE",""),IF(OR(B55&lt;$B$30,B55&gt;$B$40),"ERROR: OUT OF RANGE","")))</f>
      </c>
      <c r="B55" s="85"/>
      <c r="C55" s="72">
        <f>IF(A55="",IF(AND($B$33&lt;$B55,$B55&lt;$B$37),$B$11,IF($B55="","",IF($D$25="yes",IF(AND($B$30&lt;=$B55,$B55&lt;=$B$33),$C$30+($B55-$B$30)/$G$35*$B$11,$C$37-($B55-$B$37)/$G$35*$B$11),IF(AND($B$32&lt;=$B55,$B55&lt;=$B$33),$C$32+($B55-$B$32)/$G$35*$B$11,$C$37-($B55-$B$37)/$G$35*$B$11)))),"ERROR")</f>
      </c>
      <c r="D55" s="83">
        <f>IF(C55="","",C55/$B$11)</f>
      </c>
      <c r="E55" s="26">
        <f>IF(C55="","",IF(C55&lt;=0.04,0.04,C55))</f>
      </c>
      <c r="F55" s="26">
        <f>IF(C55="","",IF(C55&lt;=0.03,0.04,0.07-C55))</f>
      </c>
      <c r="G55" s="60"/>
      <c r="H55" s="60"/>
      <c r="J55" s="60"/>
      <c r="K55" s="56">
        <v>6</v>
      </c>
      <c r="L55" s="23">
        <v>954.9296666666668</v>
      </c>
      <c r="M55" s="90">
        <v>0.059</v>
      </c>
      <c r="N55" s="93"/>
      <c r="O55" s="93"/>
      <c r="P55" s="93"/>
      <c r="Q55" s="92"/>
      <c r="T55" s="79"/>
    </row>
    <row r="56" spans="1:20" ht="13.5" thickBot="1">
      <c r="A56" s="86">
        <f>IF(B56="","",IF($D$25="no",IF(OR(AND($D$25="no",B56&lt;$B$32),AND($D$25="no",B56&gt;$B$38)),"ERROR: OUT OF RANGE",""),IF(OR(B56&lt;$B$30,B56&gt;$B$40),"ERROR: OUT OF RANGE","")))</f>
      </c>
      <c r="B56" s="85"/>
      <c r="C56" s="72">
        <f>IF(A56="",IF(AND($B$33&lt;B56,B56&lt;$B$37),$B$11,IF($B56="","",IF($D$25="yes",IF(AND($B$30&lt;=$B56,$B56&lt;=$B$33),$C$30+($B56-$B$30)/CEILING($B$16,5)*$B$11,$C$37-($B56-$B$37)/CEILING($B$16,5)*$B$11),IF(AND($B$32&lt;=$B56,$B56&lt;=$B$33),$C$32+($B56-$B$32)/CEILING($B$16,5)*$B$11,$C$37-($B56-$B$37)/CEILING($B$16,5)*$B$11)))),"ERROR")</f>
      </c>
      <c r="D56" s="83">
        <f>IF(C56="","",C56/$B$11)</f>
      </c>
      <c r="E56" s="26">
        <f>IF(C56="","",IF(C56&lt;=0.04,0.04,C56))</f>
      </c>
      <c r="F56" s="26">
        <f>IF(C56="","",IF(C56&lt;=0.03,0.04,0.07-C56))</f>
      </c>
      <c r="G56" s="60"/>
      <c r="H56" s="60"/>
      <c r="J56" s="60"/>
      <c r="K56" s="80">
        <v>6.5</v>
      </c>
      <c r="L56" s="33">
        <v>881.4735384615385</v>
      </c>
      <c r="M56" s="94">
        <v>0.06</v>
      </c>
      <c r="N56" s="95"/>
      <c r="O56" s="95"/>
      <c r="P56" s="95"/>
      <c r="Q56" s="96"/>
      <c r="T56" s="79"/>
    </row>
    <row r="57" spans="1:10" ht="13.5" thickTop="1">
      <c r="A57" s="86">
        <f>IF(B57="","",IF($D$25="no",IF(OR(AND($D$25="no",B57&lt;$B$32),AND($D$25="no",B57&gt;$B$38)),"ERROR: OUT OF RANGE",""),IF(OR(B57&lt;$B$30,B57&gt;$B$40),"ERROR: OUT OF RANGE","")))</f>
      </c>
      <c r="B57" s="85"/>
      <c r="C57" s="72">
        <f>IF(A57="",IF(AND($B$33&lt;B57,B57&lt;$B$37),$B$11,IF($B57="","",IF($D$25="yes",IF(AND($B$30&lt;=$B57,$B57&lt;=$B$33),$C$30+($B57-$B$30)/CEILING($B$16,5)*$B$11,$C$37-($B57-$B$37)/CEILING($B$16,5)*$B$11),IF(AND($B$32&lt;=$B57,$B57&lt;=$B$33),$C$32+($B57-$B$32)/CEILING($B$16,5)*$B$11,$C$37-($B57-$B$37)/CEILING($B$16,5)*$B$11)))),"ERROR")</f>
      </c>
      <c r="D57" s="83">
        <f>IF(C57="","",C57/$B$11)</f>
      </c>
      <c r="E57" s="26">
        <f>IF(C57="","",IF(C57&lt;=0.04,0.04,C57))</f>
      </c>
      <c r="F57" s="26">
        <f>IF(C57="","",IF(C57&lt;=0.03,0.04,0.07-C57))</f>
      </c>
      <c r="G57" s="60"/>
      <c r="H57" s="60"/>
      <c r="J57" s="60"/>
    </row>
    <row r="58" spans="1:10" ht="12.75">
      <c r="A58" s="60"/>
      <c r="B58" s="60"/>
      <c r="C58" s="60"/>
      <c r="D58" s="60"/>
      <c r="E58" s="60"/>
      <c r="F58" s="60"/>
      <c r="G58" s="60"/>
      <c r="H58" s="60"/>
      <c r="J58" s="60"/>
    </row>
    <row r="59" spans="1:10" ht="12.75">
      <c r="A59" s="60"/>
      <c r="B59" s="60"/>
      <c r="C59" s="60"/>
      <c r="D59" s="60"/>
      <c r="E59" s="60"/>
      <c r="F59" s="60"/>
      <c r="G59" s="60"/>
      <c r="H59" s="60"/>
      <c r="I59"/>
      <c r="J59" s="60"/>
    </row>
    <row r="60" spans="1:10" ht="12.75">
      <c r="A60" s="60"/>
      <c r="B60" s="60"/>
      <c r="C60" s="60"/>
      <c r="D60" s="60"/>
      <c r="E60" s="60"/>
      <c r="F60" s="60"/>
      <c r="G60" s="60"/>
      <c r="H60" s="60"/>
      <c r="I60"/>
      <c r="J60" s="60"/>
    </row>
    <row r="61" spans="1:10" ht="12.75">
      <c r="A61"/>
      <c r="B61"/>
      <c r="C61"/>
      <c r="D61"/>
      <c r="E61"/>
      <c r="F61"/>
      <c r="G61"/>
      <c r="H61"/>
      <c r="I61"/>
      <c r="J61" s="60"/>
    </row>
    <row r="62" spans="1:10" ht="12.75">
      <c r="A62" s="60"/>
      <c r="B62" s="60"/>
      <c r="C62" s="60"/>
      <c r="D62" s="60"/>
      <c r="E62" s="60"/>
      <c r="F62" s="60"/>
      <c r="G62" s="60"/>
      <c r="H62" s="60"/>
      <c r="I62"/>
      <c r="J62" s="60"/>
    </row>
    <row r="63" spans="1:10" ht="12.75">
      <c r="A63" s="60"/>
      <c r="B63" s="60"/>
      <c r="C63" s="60"/>
      <c r="D63" s="60"/>
      <c r="E63" s="60"/>
      <c r="F63" s="60"/>
      <c r="G63" s="60"/>
      <c r="H63" s="60"/>
      <c r="I63"/>
      <c r="J63" s="74"/>
    </row>
    <row r="64" spans="1:10" ht="12.75">
      <c r="A64" s="74"/>
      <c r="B64" s="74"/>
      <c r="C64" s="74"/>
      <c r="D64" s="74"/>
      <c r="E64" s="74"/>
      <c r="F64" s="74"/>
      <c r="G64" s="74"/>
      <c r="H64" s="74"/>
      <c r="I64"/>
      <c r="J64" s="74"/>
    </row>
    <row r="65" spans="1:10" ht="12.75">
      <c r="A65" s="74"/>
      <c r="B65" s="74"/>
      <c r="C65" s="74"/>
      <c r="D65" s="74"/>
      <c r="E65" s="74"/>
      <c r="F65" s="74"/>
      <c r="G65" s="74"/>
      <c r="H65" s="74"/>
      <c r="I65" s="74"/>
      <c r="J65" s="74"/>
    </row>
    <row r="66" spans="1:10" ht="12.75">
      <c r="A66" s="74"/>
      <c r="B66" s="74"/>
      <c r="C66" s="74"/>
      <c r="D66" s="74"/>
      <c r="E66" s="74"/>
      <c r="F66" s="74"/>
      <c r="G66" s="74"/>
      <c r="H66" s="74"/>
      <c r="I66" s="74"/>
      <c r="J66" s="74"/>
    </row>
    <row r="67" spans="1:10" ht="12.75">
      <c r="A67" s="74"/>
      <c r="B67" s="74"/>
      <c r="C67" s="74"/>
      <c r="D67" s="74"/>
      <c r="E67" s="74"/>
      <c r="F67" s="74"/>
      <c r="G67" s="74"/>
      <c r="H67" s="74"/>
      <c r="I67" s="74"/>
      <c r="J67" s="75"/>
    </row>
    <row r="68" spans="1:9" ht="12.75">
      <c r="A68" s="74"/>
      <c r="B68" s="74"/>
      <c r="C68" s="74"/>
      <c r="D68" s="74"/>
      <c r="E68" s="74"/>
      <c r="F68" s="74"/>
      <c r="G68" s="74"/>
      <c r="H68" s="74"/>
      <c r="I68" s="74"/>
    </row>
    <row r="69" spans="1:9" ht="12.75">
      <c r="A69" s="75"/>
      <c r="B69" s="75"/>
      <c r="C69" s="75"/>
      <c r="D69" s="75"/>
      <c r="E69" s="75"/>
      <c r="F69" s="75"/>
      <c r="G69" s="75"/>
      <c r="H69" s="75"/>
      <c r="I69" s="75"/>
    </row>
  </sheetData>
  <sheetProtection/>
  <mergeCells count="16">
    <mergeCell ref="E36:F36"/>
    <mergeCell ref="E37:F37"/>
    <mergeCell ref="E30:F30"/>
    <mergeCell ref="C43:C44"/>
    <mergeCell ref="D43:D44"/>
    <mergeCell ref="G43:G44"/>
    <mergeCell ref="H43:H44"/>
    <mergeCell ref="D53:D54"/>
    <mergeCell ref="E53:E54"/>
    <mergeCell ref="F53:F54"/>
    <mergeCell ref="M37:Q37"/>
    <mergeCell ref="E31:F31"/>
    <mergeCell ref="E32:F32"/>
    <mergeCell ref="E33:F33"/>
    <mergeCell ref="E34:F34"/>
    <mergeCell ref="E35:F35"/>
  </mergeCells>
  <printOptions/>
  <pageMargins left="0.5" right="0.5" top="0.75" bottom="0.75" header="0.5" footer="0.5"/>
  <pageSetup horizontalDpi="600" verticalDpi="600" orientation="portrait" scale="90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69"/>
  <sheetViews>
    <sheetView tabSelected="1" zoomScalePageLayoutView="0" workbookViewId="0" topLeftCell="A1">
      <selection activeCell="B56" sqref="B56"/>
    </sheetView>
  </sheetViews>
  <sheetFormatPr defaultColWidth="9.140625" defaultRowHeight="12.75"/>
  <cols>
    <col min="1" max="1" width="20.421875" style="2" customWidth="1"/>
    <col min="2" max="2" width="13.421875" style="2" customWidth="1"/>
    <col min="3" max="4" width="12.140625" style="2" customWidth="1"/>
    <col min="5" max="5" width="11.8515625" style="2" customWidth="1"/>
    <col min="6" max="6" width="12.8515625" style="2" customWidth="1"/>
    <col min="7" max="7" width="11.140625" style="2" customWidth="1"/>
    <col min="8" max="8" width="11.7109375" style="2" customWidth="1"/>
    <col min="9" max="10" width="9.421875" style="2" bestFit="1" customWidth="1"/>
    <col min="11" max="11" width="16.421875" style="2" customWidth="1"/>
    <col min="12" max="13" width="9.421875" style="2" bestFit="1" customWidth="1"/>
    <col min="14" max="15" width="9.28125" style="2" bestFit="1" customWidth="1"/>
    <col min="16" max="19" width="9.140625" style="2" customWidth="1"/>
    <col min="20" max="20" width="9.57421875" style="2" bestFit="1" customWidth="1"/>
    <col min="21" max="16384" width="9.140625" style="2" customWidth="1"/>
  </cols>
  <sheetData>
    <row r="1" ht="15.75">
      <c r="A1" s="1" t="s">
        <v>65</v>
      </c>
    </row>
    <row r="2" spans="1:11" ht="12.75">
      <c r="A2" s="2" t="s">
        <v>66</v>
      </c>
      <c r="K2" s="3" t="s">
        <v>0</v>
      </c>
    </row>
    <row r="3" spans="1:11" ht="12.75">
      <c r="A3" s="4" t="s">
        <v>1</v>
      </c>
      <c r="B3" s="4"/>
      <c r="C3" s="4"/>
      <c r="K3" s="3"/>
    </row>
    <row r="4" spans="1:13" ht="13.5" thickBot="1">
      <c r="A4" s="5" t="s">
        <v>2</v>
      </c>
      <c r="K4" s="6" t="s">
        <v>3</v>
      </c>
      <c r="L4" s="7"/>
      <c r="M4" s="7"/>
    </row>
    <row r="5" spans="1:13" ht="13.5" thickTop="1">
      <c r="A5" s="8" t="s">
        <v>4</v>
      </c>
      <c r="B5" s="9">
        <v>60</v>
      </c>
      <c r="C5" s="2" t="s">
        <v>5</v>
      </c>
      <c r="D5" s="2" t="s">
        <v>6</v>
      </c>
      <c r="K5" s="10"/>
      <c r="L5" s="11" t="s">
        <v>7</v>
      </c>
      <c r="M5" s="12" t="s">
        <v>7</v>
      </c>
    </row>
    <row r="6" spans="1:13" ht="12.75">
      <c r="A6" s="8" t="s">
        <v>8</v>
      </c>
      <c r="B6" s="13">
        <v>1</v>
      </c>
      <c r="D6" s="2" t="s">
        <v>9</v>
      </c>
      <c r="I6" s="2">
        <f>COUNTIF($K$40:$K$56,B6)</f>
        <v>1</v>
      </c>
      <c r="K6" s="10"/>
      <c r="L6" s="11" t="s">
        <v>10</v>
      </c>
      <c r="M6" s="12" t="s">
        <v>10</v>
      </c>
    </row>
    <row r="7" spans="1:13" ht="12.75">
      <c r="A7" s="15" t="s">
        <v>11</v>
      </c>
      <c r="B7" s="16">
        <f>5729.578/B6</f>
        <v>5729.578</v>
      </c>
      <c r="C7" s="2" t="s">
        <v>12</v>
      </c>
      <c r="D7" s="2" t="s">
        <v>13</v>
      </c>
      <c r="I7" s="2">
        <f>LOOKUP(B6,$K$40:$K$56)</f>
        <v>1</v>
      </c>
      <c r="J7" s="26">
        <f>VLOOKUP(I7,$K$40:$Q$56,IF($B$5=50,3,IF($B$5=55,4,IF($B$5=60,5,IF($B$5=65,6,IF($B$5=70,7,8))))),TRUE)</f>
        <v>0.027</v>
      </c>
      <c r="K7" s="17" t="s">
        <v>14</v>
      </c>
      <c r="L7" s="11" t="s">
        <v>15</v>
      </c>
      <c r="M7" s="12" t="s">
        <v>16</v>
      </c>
    </row>
    <row r="8" spans="1:13" ht="13.5" thickBot="1">
      <c r="A8" s="15" t="s">
        <v>17</v>
      </c>
      <c r="B8" s="9">
        <v>12</v>
      </c>
      <c r="C8" s="2" t="s">
        <v>12</v>
      </c>
      <c r="I8" s="2">
        <f>IF(I7&gt;0.99,I7+0.5,I7+0.25)</f>
        <v>1.5</v>
      </c>
      <c r="J8" s="26">
        <f>VLOOKUP(I8,$K$40:$Q$56,IF($B$5=50,3,IF($B$5=55,4,IF($B$5=60,5,IF($B$5=65,6,IF($B$5=70,7,8))))),TRUE)</f>
        <v>0.037</v>
      </c>
      <c r="K8" s="19" t="s">
        <v>18</v>
      </c>
      <c r="L8" s="20" t="s">
        <v>19</v>
      </c>
      <c r="M8" s="21" t="s">
        <v>20</v>
      </c>
    </row>
    <row r="9" spans="1:13" ht="12.75">
      <c r="A9" s="8"/>
      <c r="B9" s="9" t="s">
        <v>49</v>
      </c>
      <c r="C9" s="2" t="s">
        <v>21</v>
      </c>
      <c r="D9" s="2" t="s">
        <v>22</v>
      </c>
      <c r="J9" s="78">
        <f>J8-(((I8-B6)/(I8-I7))*(J8-J7))</f>
        <v>0.027</v>
      </c>
      <c r="K9" s="22">
        <v>20</v>
      </c>
      <c r="L9" s="23">
        <v>0.74</v>
      </c>
      <c r="M9" s="24">
        <v>135</v>
      </c>
    </row>
    <row r="10" spans="1:13" ht="12.75">
      <c r="A10" s="8" t="s">
        <v>23</v>
      </c>
      <c r="B10" s="9">
        <v>3</v>
      </c>
      <c r="C10" s="2" t="s">
        <v>24</v>
      </c>
      <c r="K10" s="22">
        <v>25</v>
      </c>
      <c r="L10" s="23">
        <v>0.7</v>
      </c>
      <c r="M10" s="24">
        <v>143</v>
      </c>
    </row>
    <row r="11" spans="1:13" ht="12.75">
      <c r="A11" s="25" t="s">
        <v>25</v>
      </c>
      <c r="B11" s="26">
        <f>IF(I6=1,VLOOKUP(B6,$K$40:$Q$56,IF($B$5=50,3,IF($B$5=55,4,IF($B$5=60,5,IF($B$5=65,6,IF($B$5=70,7,8))))),TRUE),J9)</f>
        <v>0.027</v>
      </c>
      <c r="D11" s="27" t="s">
        <v>26</v>
      </c>
      <c r="K11" s="22">
        <v>30</v>
      </c>
      <c r="L11" s="23">
        <v>0.66</v>
      </c>
      <c r="M11" s="24">
        <v>152</v>
      </c>
    </row>
    <row r="12" spans="1:13" ht="12.75">
      <c r="A12" s="15" t="s">
        <v>27</v>
      </c>
      <c r="B12" s="28">
        <f>VLOOKUP(B10,$K$27:$M$32,IF($B$9="yes",2,3))</f>
        <v>1</v>
      </c>
      <c r="D12" s="2" t="s">
        <v>28</v>
      </c>
      <c r="K12" s="22">
        <v>35</v>
      </c>
      <c r="L12" s="23">
        <v>0.62</v>
      </c>
      <c r="M12" s="24">
        <v>161</v>
      </c>
    </row>
    <row r="13" spans="1:13" ht="12.75">
      <c r="A13" s="15" t="s">
        <v>29</v>
      </c>
      <c r="B13" s="28">
        <f>VLOOKUP(B5,$K$9:$M$19,2,TRUE)</f>
        <v>0.45</v>
      </c>
      <c r="D13" s="2" t="s">
        <v>30</v>
      </c>
      <c r="K13" s="22">
        <v>40</v>
      </c>
      <c r="L13" s="23">
        <v>0.58</v>
      </c>
      <c r="M13" s="24">
        <v>172</v>
      </c>
    </row>
    <row r="14" spans="1:13" ht="12.75">
      <c r="A14" s="15" t="s">
        <v>31</v>
      </c>
      <c r="B14" s="28">
        <f>VLOOKUP(B5,$K9:M19,3,TRUE)</f>
        <v>222</v>
      </c>
      <c r="D14" s="2" t="s">
        <v>32</v>
      </c>
      <c r="K14" s="22">
        <v>45</v>
      </c>
      <c r="L14" s="23">
        <v>0.54</v>
      </c>
      <c r="M14" s="24">
        <v>185</v>
      </c>
    </row>
    <row r="15" spans="11:13" ht="12.75">
      <c r="K15" s="22">
        <v>50</v>
      </c>
      <c r="L15" s="23">
        <v>0.5</v>
      </c>
      <c r="M15" s="24">
        <v>200</v>
      </c>
    </row>
    <row r="16" spans="1:13" ht="12.75">
      <c r="A16" s="29" t="s">
        <v>33</v>
      </c>
      <c r="B16" s="30">
        <f>((($B$8*$B$10)*($B$11))*($B$14)*($B$12))</f>
        <v>215.784</v>
      </c>
      <c r="C16" s="31" t="s">
        <v>12</v>
      </c>
      <c r="D16" s="31" t="s">
        <v>34</v>
      </c>
      <c r="E16" s="31"/>
      <c r="F16" s="31"/>
      <c r="K16" s="22">
        <v>55</v>
      </c>
      <c r="L16" s="23">
        <v>0.47</v>
      </c>
      <c r="M16" s="24">
        <v>213</v>
      </c>
    </row>
    <row r="17" spans="1:13" ht="12.75">
      <c r="A17" s="29" t="s">
        <v>35</v>
      </c>
      <c r="B17" s="30">
        <f>((0.0156)/$B$11)*B16</f>
        <v>124.67519999999999</v>
      </c>
      <c r="C17" s="31" t="s">
        <v>12</v>
      </c>
      <c r="D17" s="31" t="s">
        <v>36</v>
      </c>
      <c r="E17" s="31"/>
      <c r="F17" s="31"/>
      <c r="K17" s="22">
        <v>60</v>
      </c>
      <c r="L17" s="23">
        <v>0.45</v>
      </c>
      <c r="M17" s="24">
        <v>222</v>
      </c>
    </row>
    <row r="18" spans="1:13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2">
        <v>65</v>
      </c>
      <c r="L18" s="23">
        <v>0.43</v>
      </c>
      <c r="M18" s="24">
        <v>233</v>
      </c>
    </row>
    <row r="19" spans="1:13" ht="13.5" thickBo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32">
        <v>70</v>
      </c>
      <c r="L19" s="33">
        <v>0.4</v>
      </c>
      <c r="M19" s="34">
        <v>250</v>
      </c>
    </row>
    <row r="20" spans="1:10" ht="13.5" thickTop="1">
      <c r="A20" s="60" t="s">
        <v>80</v>
      </c>
      <c r="B20" s="63"/>
      <c r="C20" s="57" t="s">
        <v>64</v>
      </c>
      <c r="D20" s="43"/>
      <c r="E20" s="43"/>
      <c r="F20" s="43"/>
      <c r="G20" s="43"/>
      <c r="H20" s="43"/>
      <c r="I20" s="27"/>
      <c r="J20" s="27"/>
    </row>
    <row r="21" spans="1:10" ht="12.75">
      <c r="A21" s="27"/>
      <c r="B21" s="27"/>
      <c r="C21" s="27"/>
      <c r="D21" s="27"/>
      <c r="E21" s="59" t="s">
        <v>47</v>
      </c>
      <c r="F21" s="27"/>
      <c r="G21" s="27"/>
      <c r="H21" s="27"/>
      <c r="J21" s="60"/>
    </row>
    <row r="22" spans="1:11" ht="12.75">
      <c r="A22" s="60" t="str">
        <f>IF($C$20="yes","ERROR: SPREADSHEET NOT VALID","P.C. Station")</f>
        <v>P.C. Station</v>
      </c>
      <c r="B22" s="61">
        <v>19045.571765</v>
      </c>
      <c r="C22" s="60"/>
      <c r="D22" s="60" t="s">
        <v>48</v>
      </c>
      <c r="E22" s="57" t="s">
        <v>49</v>
      </c>
      <c r="F22" s="60" t="s">
        <v>81</v>
      </c>
      <c r="G22" s="60"/>
      <c r="H22" s="62">
        <v>0.7</v>
      </c>
      <c r="J22" s="60"/>
      <c r="K22" s="35" t="s">
        <v>37</v>
      </c>
    </row>
    <row r="23" spans="1:11" ht="12.75">
      <c r="A23" s="60" t="str">
        <f>IF($C$20="yes","ERROR: SPREADSHEET NOT VALID","P.T. Station")</f>
        <v>P.T. Station</v>
      </c>
      <c r="B23" s="61">
        <v>20237.483366</v>
      </c>
      <c r="C23" s="60"/>
      <c r="D23" s="60" t="s">
        <v>48</v>
      </c>
      <c r="E23" s="57" t="s">
        <v>49</v>
      </c>
      <c r="F23" s="60" t="s">
        <v>81</v>
      </c>
      <c r="G23" s="60"/>
      <c r="H23" s="62">
        <v>0.5</v>
      </c>
      <c r="J23" s="60"/>
      <c r="K23" s="35"/>
    </row>
    <row r="24" spans="1:11" ht="13.5" thickBot="1">
      <c r="A24" s="86">
        <f>IF($C$20="yes","ERROR: SPREADSHEET NOT VALID; ERROR SPREADSHEET NOT VALID; ERROR: SPREADSHEET NOT VALID; ERROR: SPREADSHEET NOT VALID","")</f>
      </c>
      <c r="B24" s="61"/>
      <c r="C24" s="60"/>
      <c r="D24" s="60"/>
      <c r="E24" s="57"/>
      <c r="F24" s="60"/>
      <c r="G24" s="60"/>
      <c r="H24" s="62"/>
      <c r="I24" s="14"/>
      <c r="J24" s="60"/>
      <c r="K24" s="35"/>
    </row>
    <row r="25" spans="1:13" ht="13.5" thickTop="1">
      <c r="A25" s="60" t="s">
        <v>50</v>
      </c>
      <c r="B25" s="63"/>
      <c r="C25" s="60"/>
      <c r="D25" s="57" t="s">
        <v>49</v>
      </c>
      <c r="E25" s="64"/>
      <c r="F25" s="60"/>
      <c r="G25" s="60"/>
      <c r="H25" s="65"/>
      <c r="I25" s="14"/>
      <c r="J25" s="60"/>
      <c r="K25" s="36" t="s">
        <v>38</v>
      </c>
      <c r="L25" s="37" t="s">
        <v>39</v>
      </c>
      <c r="M25" s="38" t="s">
        <v>40</v>
      </c>
    </row>
    <row r="26" spans="1:13" ht="13.5" thickBot="1">
      <c r="A26" s="60">
        <f>IF($E$23="no","Is there a spiral for super transition at the end of this curve? (yes or no)","")</f>
      </c>
      <c r="B26" s="63"/>
      <c r="C26" s="60"/>
      <c r="D26" s="57"/>
      <c r="E26" s="57" t="s">
        <v>64</v>
      </c>
      <c r="F26"/>
      <c r="G26" s="60"/>
      <c r="H26" s="65"/>
      <c r="I26" s="18"/>
      <c r="J26" s="77"/>
      <c r="K26" s="19" t="s">
        <v>41</v>
      </c>
      <c r="L26" s="20" t="s">
        <v>42</v>
      </c>
      <c r="M26" s="21" t="s">
        <v>42</v>
      </c>
    </row>
    <row r="27" spans="1:13" ht="12.75">
      <c r="A27" s="86">
        <f>IF($C$20="yes","ERROR: SPREADSHEET NOT VALID; ERROR SPREADSHEET NOT VALID; ERROR: SPREADSHEET NOT VALID; ERROR: SPREADSHEET NOT VALID","")</f>
      </c>
      <c r="B27" s="66"/>
      <c r="C27" s="60"/>
      <c r="D27" s="60"/>
      <c r="E27" s="60"/>
      <c r="F27" s="60"/>
      <c r="G27" s="60"/>
      <c r="H27" s="60"/>
      <c r="I27" s="14"/>
      <c r="J27" s="77"/>
      <c r="K27" s="39">
        <v>1</v>
      </c>
      <c r="L27" s="23">
        <v>1</v>
      </c>
      <c r="M27" s="40">
        <v>1</v>
      </c>
    </row>
    <row r="28" spans="1:13" ht="12.75">
      <c r="A28" s="67" t="s">
        <v>51</v>
      </c>
      <c r="B28" s="68"/>
      <c r="C28" s="60"/>
      <c r="D28" s="60"/>
      <c r="E28" s="67" t="s">
        <v>68</v>
      </c>
      <c r="F28" s="67"/>
      <c r="G28" s="81"/>
      <c r="H28" s="60"/>
      <c r="J28" s="77"/>
      <c r="K28" s="39">
        <v>1.5</v>
      </c>
      <c r="L28" s="23">
        <v>1</v>
      </c>
      <c r="M28" s="40">
        <v>0.83</v>
      </c>
    </row>
    <row r="29" spans="1:13" ht="12.75">
      <c r="A29" s="60"/>
      <c r="B29" s="69" t="s">
        <v>52</v>
      </c>
      <c r="C29" s="69" t="s">
        <v>53</v>
      </c>
      <c r="D29" s="60"/>
      <c r="E29" s="60"/>
      <c r="F29" s="60"/>
      <c r="G29" s="60"/>
      <c r="H29" s="60"/>
      <c r="J29" s="60"/>
      <c r="K29" s="39">
        <v>2</v>
      </c>
      <c r="L29" s="23">
        <v>1</v>
      </c>
      <c r="M29" s="40">
        <v>0.75</v>
      </c>
    </row>
    <row r="30" spans="1:13" ht="12.75">
      <c r="A30" s="25" t="s">
        <v>54</v>
      </c>
      <c r="B30" s="70">
        <f>IF($D$25="yes",IF($E$22="yes",$B$22-($G$35*2/3)+($C$30*$G$35/$B$11),$B$22-($G$35*$H$22)+($C$30*$G$35/$B$11)),"")</f>
        <v>18768.534727962964</v>
      </c>
      <c r="C30" s="88">
        <v>-0.016</v>
      </c>
      <c r="D30" s="60"/>
      <c r="E30" s="102" t="s">
        <v>69</v>
      </c>
      <c r="F30" s="102"/>
      <c r="G30" s="82">
        <f>B37-B33</f>
        <v>1045.2449343333356</v>
      </c>
      <c r="H30" s="60"/>
      <c r="J30" s="60"/>
      <c r="K30" s="39">
        <v>2.5</v>
      </c>
      <c r="L30" s="23">
        <v>1</v>
      </c>
      <c r="M30" s="40">
        <v>0.7</v>
      </c>
    </row>
    <row r="31" spans="1:13" ht="12.75">
      <c r="A31" s="25" t="s">
        <v>55</v>
      </c>
      <c r="B31" s="70">
        <f>IF($D$25="yes",IF($E$22="yes",$B$22-(2*$G$35/3),$B$22-($G$35*$H$22)),"")</f>
        <v>18898.905098333333</v>
      </c>
      <c r="C31" s="88">
        <v>0</v>
      </c>
      <c r="D31" s="60"/>
      <c r="E31" s="102" t="s">
        <v>71</v>
      </c>
      <c r="F31" s="102"/>
      <c r="G31" s="26">
        <f>IF($D$25="yes",$C$30+($B22-$B$30)/CEILING($B$16,5)*$B$11,$C$32+($B22-$B$32)/CEILING($B$16,5)*$B$11)</f>
        <v>0.017999999999999933</v>
      </c>
      <c r="H31" s="60"/>
      <c r="J31" s="60"/>
      <c r="K31" s="39">
        <v>3</v>
      </c>
      <c r="L31" s="23">
        <v>1</v>
      </c>
      <c r="M31" s="40">
        <v>0.67</v>
      </c>
    </row>
    <row r="32" spans="1:13" ht="13.5" thickBot="1">
      <c r="A32" s="25" t="s">
        <v>56</v>
      </c>
      <c r="B32" s="70">
        <f>IF($E$22="yes",$B$22-($G$35*2/3)+($C$32*$G$35/$B$11),IF($D$25="yes",$B$22-($G$35*$H$22)+($C$32*$G$35/$B$11),$B$33-($G$35*($B$11-$C$32)/$B$11)))</f>
        <v>19029.2754687037</v>
      </c>
      <c r="C32" s="88">
        <v>0.016</v>
      </c>
      <c r="D32" s="60"/>
      <c r="E32" s="103" t="s">
        <v>76</v>
      </c>
      <c r="F32" s="103"/>
      <c r="G32" s="87">
        <f>G31/$B$11</f>
        <v>0.6666666666666642</v>
      </c>
      <c r="H32" s="60"/>
      <c r="J32" s="60"/>
      <c r="K32" s="41">
        <v>3.5</v>
      </c>
      <c r="L32" s="33">
        <v>1</v>
      </c>
      <c r="M32" s="42">
        <v>0.64</v>
      </c>
    </row>
    <row r="33" spans="1:10" ht="13.5" thickTop="1">
      <c r="A33" s="25" t="s">
        <v>57</v>
      </c>
      <c r="B33" s="70">
        <f>IF($E$22="yes",$B$22+($G$35/3),$B$22+($G$35*(1-$H$22)))</f>
        <v>19118.905098333333</v>
      </c>
      <c r="C33" s="88">
        <f>$B$11</f>
        <v>0.027</v>
      </c>
      <c r="D33" s="60"/>
      <c r="E33" s="102" t="s">
        <v>70</v>
      </c>
      <c r="F33" s="102"/>
      <c r="G33" s="26">
        <f>IF($D$25="yes",$C$37-($B23-$B$37)*$G$37,$C$37-($B23-$B$37)/CEILING($B$16,5)*$B$11)</f>
        <v>0.018000000000000148</v>
      </c>
      <c r="H33" s="60"/>
      <c r="J33" s="60"/>
    </row>
    <row r="34" spans="1:10" ht="12.75">
      <c r="A34" s="60"/>
      <c r="B34" s="60"/>
      <c r="C34" s="60"/>
      <c r="D34" s="60"/>
      <c r="E34" s="103" t="s">
        <v>77</v>
      </c>
      <c r="F34" s="103"/>
      <c r="G34" s="87">
        <f>G33/$B$11</f>
        <v>0.6666666666666722</v>
      </c>
      <c r="H34" s="60"/>
      <c r="J34" s="60"/>
    </row>
    <row r="35" spans="1:11" ht="12.75">
      <c r="A35" s="67" t="s">
        <v>58</v>
      </c>
      <c r="B35" s="67"/>
      <c r="C35" s="60"/>
      <c r="D35" s="60"/>
      <c r="E35" s="102" t="s">
        <v>73</v>
      </c>
      <c r="F35" s="102"/>
      <c r="G35" s="84">
        <f>CEILING($B$16,5)</f>
        <v>220</v>
      </c>
      <c r="H35" s="60"/>
      <c r="J35" s="60"/>
      <c r="K35" s="35" t="s">
        <v>43</v>
      </c>
    </row>
    <row r="36" spans="1:11" ht="13.5" thickBot="1">
      <c r="A36" s="60"/>
      <c r="B36" s="58" t="s">
        <v>52</v>
      </c>
      <c r="C36" s="69" t="s">
        <v>53</v>
      </c>
      <c r="D36" s="60"/>
      <c r="E36" s="102" t="s">
        <v>72</v>
      </c>
      <c r="F36" s="102"/>
      <c r="G36" s="84">
        <f>CEILING($B$16,5)-CEILING($B$16,5)*($B$11-$C$32)/$B$11</f>
        <v>130.37037037037038</v>
      </c>
      <c r="H36" s="60"/>
      <c r="I36" s="14"/>
      <c r="J36" s="60"/>
      <c r="K36" s="3" t="s">
        <v>67</v>
      </c>
    </row>
    <row r="37" spans="1:22" ht="13.5" thickTop="1">
      <c r="A37" s="25" t="s">
        <v>57</v>
      </c>
      <c r="B37" s="70">
        <f>IF($E$23="yes",$B$23-($G$35/3),$B$23-($G$35*(1-$H$23)))</f>
        <v>20164.15003266667</v>
      </c>
      <c r="C37" s="88">
        <f>$B$11</f>
        <v>0.027</v>
      </c>
      <c r="D37" s="60"/>
      <c r="E37" s="102" t="s">
        <v>79</v>
      </c>
      <c r="F37" s="102"/>
      <c r="G37" s="89">
        <f>B11/G35</f>
        <v>0.00012272727272727272</v>
      </c>
      <c r="H37" s="60"/>
      <c r="I37" s="14"/>
      <c r="J37" s="60"/>
      <c r="K37" s="44"/>
      <c r="L37" s="45"/>
      <c r="M37" s="99" t="s">
        <v>14</v>
      </c>
      <c r="N37" s="100"/>
      <c r="O37" s="100"/>
      <c r="P37" s="100"/>
      <c r="Q37" s="101"/>
      <c r="R37" s="46"/>
      <c r="S37" s="46"/>
      <c r="T37" s="46"/>
      <c r="U37" s="46"/>
      <c r="V37" s="46"/>
    </row>
    <row r="38" spans="1:22" ht="12.75">
      <c r="A38" s="25" t="s">
        <v>56</v>
      </c>
      <c r="B38" s="70">
        <f>IF($E$23="yes",$B$23+($G$35*2/3)-($C$38*$G$35/$B$11),IF($E$26="yes","",$B$23-($G$35*(1-$H$23))+($B$11-$C$38)/$G$37))</f>
        <v>20253.7796622963</v>
      </c>
      <c r="C38" s="88">
        <v>0.016</v>
      </c>
      <c r="D38" s="60"/>
      <c r="E38" s="60"/>
      <c r="F38" s="60"/>
      <c r="G38" s="60"/>
      <c r="H38" s="60"/>
      <c r="I38" s="18"/>
      <c r="J38" s="77"/>
      <c r="K38" s="47"/>
      <c r="L38" s="48"/>
      <c r="M38" s="49">
        <v>50</v>
      </c>
      <c r="N38" s="50">
        <v>55</v>
      </c>
      <c r="O38" s="50">
        <v>60</v>
      </c>
      <c r="P38" s="50">
        <v>65</v>
      </c>
      <c r="Q38" s="51">
        <v>70</v>
      </c>
      <c r="R38" s="46"/>
      <c r="S38" s="46"/>
      <c r="T38" s="46"/>
      <c r="U38" s="46"/>
      <c r="V38" s="46"/>
    </row>
    <row r="39" spans="1:22" ht="13.5" thickBot="1">
      <c r="A39" s="25" t="s">
        <v>55</v>
      </c>
      <c r="B39" s="70">
        <f>IF($D$25="yes",IF($E$23="yes",$B$23+($G$35*2/3),$B$23+$G$35*$H$23),"")</f>
        <v>20384.15003266667</v>
      </c>
      <c r="C39" s="88">
        <v>0</v>
      </c>
      <c r="D39" s="60"/>
      <c r="E39"/>
      <c r="F39"/>
      <c r="G39"/>
      <c r="H39" s="60"/>
      <c r="I39" s="14"/>
      <c r="J39" s="77"/>
      <c r="K39" s="19" t="s">
        <v>44</v>
      </c>
      <c r="L39" s="20" t="s">
        <v>45</v>
      </c>
      <c r="M39" s="52" t="s">
        <v>46</v>
      </c>
      <c r="N39" s="53" t="s">
        <v>46</v>
      </c>
      <c r="O39" s="53" t="s">
        <v>46</v>
      </c>
      <c r="P39" s="53" t="s">
        <v>46</v>
      </c>
      <c r="Q39" s="54" t="s">
        <v>46</v>
      </c>
      <c r="R39" s="55"/>
      <c r="S39" s="55"/>
      <c r="T39" s="55"/>
      <c r="U39" s="55"/>
      <c r="V39" s="55"/>
    </row>
    <row r="40" spans="1:20" ht="12.75">
      <c r="A40" s="25" t="s">
        <v>54</v>
      </c>
      <c r="B40" s="70">
        <f>IF($D$25="yes",IF($E$23="yes",$B$23+($G$35*2/3)+(ABS($C$40)*$G$35/$B$11),$B$23+($G$35*$H$23)+(ABS($C$40)*$G$35/$B$11)),"")</f>
        <v>20514.520403037037</v>
      </c>
      <c r="C40" s="88">
        <v>-0.016</v>
      </c>
      <c r="D40" s="60"/>
      <c r="E40" s="60"/>
      <c r="F40" s="60"/>
      <c r="G40" s="60"/>
      <c r="H40" s="60"/>
      <c r="J40" s="77"/>
      <c r="K40" s="56">
        <v>0.25</v>
      </c>
      <c r="L40" s="23">
        <v>22918.312</v>
      </c>
      <c r="M40" s="90">
        <v>0.016</v>
      </c>
      <c r="N40" s="90">
        <v>0.016</v>
      </c>
      <c r="O40" s="90">
        <v>0.016</v>
      </c>
      <c r="P40" s="90">
        <v>0.016</v>
      </c>
      <c r="Q40" s="91">
        <v>0.016</v>
      </c>
      <c r="T40" s="79"/>
    </row>
    <row r="41" spans="1:20" ht="12.75">
      <c r="A41" s="60"/>
      <c r="B41" s="60"/>
      <c r="C41" s="60"/>
      <c r="D41" s="60"/>
      <c r="E41" s="60"/>
      <c r="F41" s="60"/>
      <c r="G41" s="60"/>
      <c r="H41" s="60"/>
      <c r="J41" s="60"/>
      <c r="K41" s="56">
        <v>0.5</v>
      </c>
      <c r="L41" s="23">
        <v>11459.156</v>
      </c>
      <c r="M41" s="90">
        <v>0.016</v>
      </c>
      <c r="N41" s="90">
        <v>0.016</v>
      </c>
      <c r="O41" s="90">
        <v>0.016</v>
      </c>
      <c r="P41" s="90">
        <v>0.016</v>
      </c>
      <c r="Q41" s="91">
        <v>0.018</v>
      </c>
      <c r="T41" s="79"/>
    </row>
    <row r="42" spans="1:20" ht="12.75">
      <c r="A42" s="67" t="s">
        <v>59</v>
      </c>
      <c r="B42" s="67"/>
      <c r="C42" s="60"/>
      <c r="D42" s="60"/>
      <c r="E42" s="60"/>
      <c r="F42" s="60"/>
      <c r="G42" s="60"/>
      <c r="H42" s="60"/>
      <c r="J42" s="60"/>
      <c r="K42" s="56"/>
      <c r="L42" s="23"/>
      <c r="M42" s="90"/>
      <c r="N42" s="90"/>
      <c r="O42" s="90"/>
      <c r="P42" s="90"/>
      <c r="Q42" s="91"/>
      <c r="T42" s="79"/>
    </row>
    <row r="43" spans="1:20" ht="12.75">
      <c r="A43" s="71"/>
      <c r="B43" s="71"/>
      <c r="C43" s="97" t="s">
        <v>60</v>
      </c>
      <c r="D43" s="97" t="s">
        <v>74</v>
      </c>
      <c r="E43" s="60"/>
      <c r="F43" s="71"/>
      <c r="G43" s="97" t="s">
        <v>60</v>
      </c>
      <c r="H43" s="97" t="s">
        <v>75</v>
      </c>
      <c r="J43" s="60"/>
      <c r="K43" s="56">
        <v>0.75</v>
      </c>
      <c r="L43" s="23">
        <v>7639.437333333334</v>
      </c>
      <c r="M43" s="90">
        <v>0.016</v>
      </c>
      <c r="N43" s="90">
        <v>0.018</v>
      </c>
      <c r="O43" s="90">
        <v>0.021</v>
      </c>
      <c r="P43" s="90">
        <v>0.024</v>
      </c>
      <c r="Q43" s="91">
        <v>0.026</v>
      </c>
      <c r="T43" s="79"/>
    </row>
    <row r="44" spans="1:20" ht="12.75" customHeight="1">
      <c r="A44" s="60"/>
      <c r="B44" s="58" t="s">
        <v>52</v>
      </c>
      <c r="C44" s="97"/>
      <c r="D44" s="97"/>
      <c r="E44" s="60"/>
      <c r="F44" s="58" t="s">
        <v>52</v>
      </c>
      <c r="G44" s="97"/>
      <c r="H44" s="97"/>
      <c r="J44" s="60"/>
      <c r="K44" s="56">
        <v>1</v>
      </c>
      <c r="L44" s="23">
        <v>5729.578</v>
      </c>
      <c r="M44" s="90">
        <v>0.02</v>
      </c>
      <c r="N44" s="90">
        <v>0.023</v>
      </c>
      <c r="O44" s="90">
        <v>0.027</v>
      </c>
      <c r="P44" s="90">
        <v>0.03</v>
      </c>
      <c r="Q44" s="91">
        <v>0.033</v>
      </c>
      <c r="T44" s="79"/>
    </row>
    <row r="45" spans="1:20" ht="12.75">
      <c r="A45" s="60" t="s">
        <v>61</v>
      </c>
      <c r="B45" s="70">
        <f>IF(C45="","",$B$33-($B$11-C45)/$B$11*$G$35)</f>
      </c>
      <c r="C45" s="26">
        <f>IF($C$33&gt;=0.04,0.04,"")</f>
      </c>
      <c r="D45" s="30">
        <f>IF(C45="","",C45)</f>
      </c>
      <c r="E45" s="60"/>
      <c r="F45" s="70">
        <f>IF(G45="","",$B$33-($B$11-G45)/$B$11*$G$35)</f>
      </c>
      <c r="G45" s="26">
        <f>IF($B$11&gt;0.03,0.03,"")</f>
      </c>
      <c r="H45" s="30">
        <f>IF(G45="","",0.07-G45)</f>
      </c>
      <c r="J45" s="60"/>
      <c r="K45" s="56">
        <v>1.5</v>
      </c>
      <c r="L45" s="23">
        <v>3819.718666666667</v>
      </c>
      <c r="M45" s="90">
        <v>0.028</v>
      </c>
      <c r="N45" s="90">
        <v>0.032</v>
      </c>
      <c r="O45" s="90">
        <v>0.037</v>
      </c>
      <c r="P45" s="90">
        <v>0.041</v>
      </c>
      <c r="Q45" s="91">
        <v>0.046</v>
      </c>
      <c r="T45" s="79"/>
    </row>
    <row r="46" spans="1:20" ht="12.75">
      <c r="A46" s="60"/>
      <c r="B46" s="70">
        <f>IF(C46="","",$B$33)</f>
      </c>
      <c r="C46" s="26">
        <f>IF($C$33&gt;0.04,$C$33,"")</f>
      </c>
      <c r="D46" s="30">
        <f>IF(C46="","",C46)</f>
      </c>
      <c r="E46" s="60"/>
      <c r="F46" s="70">
        <f>IF(G46="","",$B$33)</f>
      </c>
      <c r="G46" s="26">
        <f>IF($C$33&gt;0.03,$C$33,"")</f>
      </c>
      <c r="H46" s="30">
        <f>IF(G46="","",0.07-G46)</f>
      </c>
      <c r="J46" s="60"/>
      <c r="K46" s="56"/>
      <c r="L46" s="23"/>
      <c r="M46" s="90"/>
      <c r="N46" s="90"/>
      <c r="O46" s="90"/>
      <c r="P46" s="90"/>
      <c r="Q46" s="91"/>
      <c r="T46" s="79"/>
    </row>
    <row r="47" spans="1:20" ht="12.75">
      <c r="A47" s="60"/>
      <c r="B47" s="76"/>
      <c r="C47" s="26"/>
      <c r="D47" s="58"/>
      <c r="E47" s="60"/>
      <c r="F47" s="76"/>
      <c r="G47" s="26"/>
      <c r="H47" s="58"/>
      <c r="J47" s="60"/>
      <c r="K47" s="56">
        <v>2</v>
      </c>
      <c r="L47" s="23">
        <v>2864.789</v>
      </c>
      <c r="M47" s="90">
        <v>0.035</v>
      </c>
      <c r="N47" s="90">
        <v>0.04</v>
      </c>
      <c r="O47" s="90">
        <v>0.045</v>
      </c>
      <c r="P47" s="90">
        <v>0.05</v>
      </c>
      <c r="Q47" s="91">
        <v>0.055</v>
      </c>
      <c r="T47" s="79"/>
    </row>
    <row r="48" spans="1:20" ht="12.75">
      <c r="A48" s="60" t="s">
        <v>62</v>
      </c>
      <c r="B48" s="70">
        <f>IF(C48="","",$B$37)</f>
      </c>
      <c r="C48" s="26">
        <f>IF($B$11&lt;0.04,"",$B$11)</f>
      </c>
      <c r="D48" s="30">
        <f>IF(C48="","",C48)</f>
      </c>
      <c r="E48" s="60"/>
      <c r="F48" s="70">
        <f>IF(G48="","",$B$37)</f>
      </c>
      <c r="G48" s="26">
        <f>IF($B$11&lt;0.03,"",$B$11)</f>
      </c>
      <c r="H48" s="30">
        <f>IF(G48="","",0.07-G48)</f>
      </c>
      <c r="J48" s="60"/>
      <c r="K48" s="56">
        <v>2.5</v>
      </c>
      <c r="L48" s="23">
        <v>2291.8312</v>
      </c>
      <c r="M48" s="90">
        <v>0.04</v>
      </c>
      <c r="N48" s="90">
        <v>0.045</v>
      </c>
      <c r="O48" s="90">
        <v>0.051</v>
      </c>
      <c r="P48" s="90">
        <v>0.056</v>
      </c>
      <c r="Q48" s="91">
        <v>0.059</v>
      </c>
      <c r="T48" s="79"/>
    </row>
    <row r="49" spans="1:20" ht="12.75">
      <c r="A49" s="60"/>
      <c r="B49" s="70">
        <f>IF(C49="","",$B$37+($B$11-C49)/$B$11*$G$35)</f>
      </c>
      <c r="C49" s="26">
        <f>IF($B$11&gt;0.04,0.04,"")</f>
      </c>
      <c r="D49" s="30">
        <f>IF(C49="","",C49)</f>
      </c>
      <c r="E49" s="60"/>
      <c r="F49" s="70">
        <f>IF(G49="","",$B$37+($B$11-G49)/$B$11*$G$35)</f>
      </c>
      <c r="G49" s="26">
        <f>IF(G48=0.03,"",IF(G48="","",0.03))</f>
      </c>
      <c r="H49" s="30">
        <f>IF(G49="","",0.07-G49)</f>
      </c>
      <c r="J49" s="60"/>
      <c r="K49" s="56">
        <v>3</v>
      </c>
      <c r="L49" s="23">
        <v>1909.8593333333336</v>
      </c>
      <c r="M49" s="90">
        <v>0.045</v>
      </c>
      <c r="N49" s="90">
        <v>0.05</v>
      </c>
      <c r="O49" s="90">
        <v>0.055</v>
      </c>
      <c r="P49" s="90">
        <v>0.059</v>
      </c>
      <c r="Q49" s="92"/>
      <c r="T49" s="79"/>
    </row>
    <row r="50" spans="1:20" ht="12.75">
      <c r="A50" s="60"/>
      <c r="B50" s="76"/>
      <c r="C50" s="26"/>
      <c r="D50" s="58"/>
      <c r="E50" s="60"/>
      <c r="F50" s="76"/>
      <c r="G50" s="26"/>
      <c r="H50" s="58"/>
      <c r="J50" s="60"/>
      <c r="K50" s="56">
        <v>3.5</v>
      </c>
      <c r="L50" s="23">
        <v>1637.0222857142858</v>
      </c>
      <c r="M50" s="90">
        <v>0.048</v>
      </c>
      <c r="N50" s="90">
        <v>0.054</v>
      </c>
      <c r="O50" s="90">
        <v>0.058</v>
      </c>
      <c r="P50" s="90">
        <v>0.06</v>
      </c>
      <c r="Q50" s="92"/>
      <c r="T50" s="79"/>
    </row>
    <row r="51" spans="1:20" ht="12.75">
      <c r="A51" s="60"/>
      <c r="B51" s="60"/>
      <c r="C51" s="60"/>
      <c r="D51" s="60"/>
      <c r="E51" s="60"/>
      <c r="F51" s="60"/>
      <c r="G51" s="60"/>
      <c r="H51" s="60"/>
      <c r="J51" s="60"/>
      <c r="K51" s="56">
        <v>4</v>
      </c>
      <c r="L51" s="23">
        <v>1432.3945</v>
      </c>
      <c r="M51" s="90">
        <v>0.052</v>
      </c>
      <c r="N51" s="90">
        <v>0.057</v>
      </c>
      <c r="O51" s="90">
        <v>0.06</v>
      </c>
      <c r="P51" s="93"/>
      <c r="Q51" s="92"/>
      <c r="T51" s="79"/>
    </row>
    <row r="52" spans="1:20" ht="12.75">
      <c r="A52" s="67" t="s">
        <v>63</v>
      </c>
      <c r="B52" s="73"/>
      <c r="C52" s="60"/>
      <c r="E52" s="60"/>
      <c r="F52" s="60"/>
      <c r="G52" s="60"/>
      <c r="H52" s="60"/>
      <c r="J52" s="60"/>
      <c r="K52" s="56">
        <v>4.5</v>
      </c>
      <c r="L52" s="23">
        <v>1273.2395555555556</v>
      </c>
      <c r="M52" s="90">
        <v>0.054</v>
      </c>
      <c r="N52" s="90">
        <v>0.059</v>
      </c>
      <c r="O52" s="93"/>
      <c r="P52" s="93"/>
      <c r="Q52" s="92"/>
      <c r="T52" s="79"/>
    </row>
    <row r="53" spans="1:20" ht="12.75">
      <c r="A53" s="60"/>
      <c r="B53"/>
      <c r="C53"/>
      <c r="D53" s="98" t="s">
        <v>78</v>
      </c>
      <c r="E53" s="98" t="s">
        <v>74</v>
      </c>
      <c r="F53" s="98" t="s">
        <v>75</v>
      </c>
      <c r="G53" s="60"/>
      <c r="H53" s="60"/>
      <c r="J53" s="60"/>
      <c r="K53" s="56">
        <v>5</v>
      </c>
      <c r="L53" s="23">
        <v>1145.9156</v>
      </c>
      <c r="M53" s="90">
        <v>0.056</v>
      </c>
      <c r="N53" s="90">
        <v>0.06</v>
      </c>
      <c r="O53" s="93"/>
      <c r="P53" s="93"/>
      <c r="Q53" s="92"/>
      <c r="T53" s="79"/>
    </row>
    <row r="54" spans="1:20" ht="12.75">
      <c r="A54" s="60"/>
      <c r="B54" s="58" t="s">
        <v>52</v>
      </c>
      <c r="C54" s="69" t="s">
        <v>53</v>
      </c>
      <c r="D54" s="98"/>
      <c r="E54" s="98"/>
      <c r="F54" s="98"/>
      <c r="G54" s="60"/>
      <c r="H54" s="60"/>
      <c r="J54" s="60"/>
      <c r="K54" s="56">
        <v>5.5</v>
      </c>
      <c r="L54" s="23">
        <v>1041.7414545454546</v>
      </c>
      <c r="M54" s="90">
        <v>0.058</v>
      </c>
      <c r="N54" s="90">
        <v>0.06</v>
      </c>
      <c r="O54" s="93"/>
      <c r="P54" s="93"/>
      <c r="Q54" s="92"/>
      <c r="T54" s="79"/>
    </row>
    <row r="55" spans="1:20" ht="12.75">
      <c r="A55" s="86">
        <f>IF(B55="","",IF($D$25="no",IF(OR(AND($D$25="no",B55&lt;$B$32),AND($D$25="no",B55&gt;$B$38)),"ERROR: OUT OF RANGE",""),IF(OR(B55&lt;$B$30,B55&gt;$B$40),"ERROR: OUT OF RANGE","")))</f>
      </c>
      <c r="B55" s="85"/>
      <c r="C55" s="72">
        <f>IF(A55="",IF(AND($B$33&lt;$B55,$B55&lt;$B$37),$B$11,IF($B55="","",IF($D$25="yes",IF(AND($B$30&lt;=$B55,$B55&lt;=$B$33),$C$30+($B55-$B$30)/$G$35*$B$11,$C$37-($B55-$B$37)/$G$35*$B$11),IF(AND($B$32&lt;=$B55,$B55&lt;=$B$33),$C$32+($B55-$B$32)/$G$35*$B$11,$C$37-($B55-$B$37)/$G$35*$B$11)))),"ERROR")</f>
      </c>
      <c r="D55" s="83">
        <f>IF(C55="","",C55/$B$11)</f>
      </c>
      <c r="E55" s="26">
        <f>IF(C55="","",IF(C55&lt;=0.04,0.04,C55))</f>
      </c>
      <c r="F55" s="26">
        <f>IF(C55="","",IF(C55&lt;=0.03,0.04,0.07-C55))</f>
      </c>
      <c r="G55" s="60"/>
      <c r="H55" s="60"/>
      <c r="J55" s="60"/>
      <c r="K55" s="56">
        <v>6</v>
      </c>
      <c r="L55" s="23">
        <v>954.9296666666668</v>
      </c>
      <c r="M55" s="90">
        <v>0.059</v>
      </c>
      <c r="N55" s="93"/>
      <c r="O55" s="93"/>
      <c r="P55" s="93"/>
      <c r="Q55" s="92"/>
      <c r="T55" s="79"/>
    </row>
    <row r="56" spans="1:20" ht="13.5" thickBot="1">
      <c r="A56" s="86">
        <f>IF(B56="","",IF($D$25="no",IF(OR(AND($D$25="no",B56&lt;$B$32),AND($D$25="no",B56&gt;$B$38)),"ERROR: OUT OF RANGE",""),IF(OR(B56&lt;$B$30,B56&gt;$B$40),"ERROR: OUT OF RANGE","")))</f>
      </c>
      <c r="B56" s="85"/>
      <c r="C56" s="72">
        <f>IF(A56="",IF(AND($B$33&lt;B56,B56&lt;$B$37),$B$11,IF($B56="","",IF($D$25="yes",IF(AND($B$30&lt;=$B56,$B56&lt;=$B$33),$C$30+($B56-$B$30)/CEILING($B$16,5)*$B$11,$C$37-($B56-$B$37)/CEILING($B$16,5)*$B$11),IF(AND($B$32&lt;=$B56,$B56&lt;=$B$33),$C$32+($B56-$B$32)/CEILING($B$16,5)*$B$11,$C$37-($B56-$B$37)/CEILING($B$16,5)*$B$11)))),"ERROR")</f>
      </c>
      <c r="D56" s="83">
        <f>IF(C56="","",C56/$B$11)</f>
      </c>
      <c r="E56" s="26">
        <f>IF(C56="","",IF(C56&lt;=0.04,0.04,C56))</f>
      </c>
      <c r="F56" s="26">
        <f>IF(C56="","",IF(C56&lt;=0.03,0.04,0.07-C56))</f>
      </c>
      <c r="G56" s="60"/>
      <c r="H56" s="60"/>
      <c r="J56" s="60"/>
      <c r="K56" s="80">
        <v>6.5</v>
      </c>
      <c r="L56" s="33">
        <v>881.4735384615385</v>
      </c>
      <c r="M56" s="94">
        <v>0.06</v>
      </c>
      <c r="N56" s="95"/>
      <c r="O56" s="95"/>
      <c r="P56" s="95"/>
      <c r="Q56" s="96"/>
      <c r="T56" s="79"/>
    </row>
    <row r="57" spans="1:10" ht="13.5" thickTop="1">
      <c r="A57" s="86">
        <f>IF(B57="","",IF($D$25="no",IF(OR(AND($D$25="no",B57&lt;$B$32),AND($D$25="no",B57&gt;$B$38)),"ERROR: OUT OF RANGE",""),IF(OR(B57&lt;$B$30,B57&gt;$B$40),"ERROR: OUT OF RANGE","")))</f>
      </c>
      <c r="B57" s="85"/>
      <c r="C57" s="72">
        <f>IF(A57="",IF(AND($B$33&lt;B57,B57&lt;$B$37),$B$11,IF($B57="","",IF($D$25="yes",IF(AND($B$30&lt;=$B57,$B57&lt;=$B$33),$C$30+($B57-$B$30)/CEILING($B$16,5)*$B$11,$C$37-($B57-$B$37)/CEILING($B$16,5)*$B$11),IF(AND($B$32&lt;=$B57,$B57&lt;=$B$33),$C$32+($B57-$B$32)/CEILING($B$16,5)*$B$11,$C$37-($B57-$B$37)/CEILING($B$16,5)*$B$11)))),"ERROR")</f>
      </c>
      <c r="D57" s="83">
        <f>IF(C57="","",C57/$B$11)</f>
      </c>
      <c r="E57" s="26">
        <f>IF(C57="","",IF(C57&lt;=0.04,0.04,C57))</f>
      </c>
      <c r="F57" s="26">
        <f>IF(C57="","",IF(C57&lt;=0.03,0.04,0.07-C57))</f>
      </c>
      <c r="G57" s="60"/>
      <c r="H57" s="60"/>
      <c r="J57" s="60"/>
    </row>
    <row r="58" spans="1:10" ht="12.75">
      <c r="A58" s="60"/>
      <c r="B58" s="60"/>
      <c r="C58" s="60"/>
      <c r="D58" s="60"/>
      <c r="E58" s="60"/>
      <c r="F58" s="60"/>
      <c r="G58" s="60"/>
      <c r="H58" s="60"/>
      <c r="J58" s="60"/>
    </row>
    <row r="59" spans="1:10" ht="12.75">
      <c r="A59" s="60"/>
      <c r="B59" s="60"/>
      <c r="C59" s="60"/>
      <c r="D59" s="60"/>
      <c r="E59" s="60"/>
      <c r="F59" s="60"/>
      <c r="G59" s="60"/>
      <c r="H59" s="60"/>
      <c r="I59"/>
      <c r="J59" s="60"/>
    </row>
    <row r="60" spans="1:10" ht="12.75">
      <c r="A60" s="60"/>
      <c r="B60" s="60"/>
      <c r="C60" s="60"/>
      <c r="D60" s="60"/>
      <c r="E60" s="60"/>
      <c r="F60" s="60"/>
      <c r="G60" s="60"/>
      <c r="H60" s="60"/>
      <c r="I60"/>
      <c r="J60" s="60"/>
    </row>
    <row r="61" spans="1:10" ht="12.75">
      <c r="A61"/>
      <c r="B61"/>
      <c r="C61"/>
      <c r="D61"/>
      <c r="E61"/>
      <c r="F61"/>
      <c r="G61"/>
      <c r="H61"/>
      <c r="I61"/>
      <c r="J61" s="60"/>
    </row>
    <row r="62" spans="1:10" ht="12.75">
      <c r="A62" s="60"/>
      <c r="B62" s="60"/>
      <c r="C62" s="60"/>
      <c r="D62" s="60"/>
      <c r="E62" s="60"/>
      <c r="F62" s="60"/>
      <c r="G62" s="60"/>
      <c r="H62" s="60"/>
      <c r="I62"/>
      <c r="J62" s="60"/>
    </row>
    <row r="63" spans="1:10" ht="12.75">
      <c r="A63" s="60"/>
      <c r="B63" s="60"/>
      <c r="C63" s="60"/>
      <c r="D63" s="60"/>
      <c r="E63" s="60"/>
      <c r="F63" s="60"/>
      <c r="G63" s="60"/>
      <c r="H63" s="60"/>
      <c r="I63"/>
      <c r="J63" s="74"/>
    </row>
    <row r="64" spans="1:10" ht="12.75">
      <c r="A64" s="74"/>
      <c r="B64" s="74"/>
      <c r="C64" s="74"/>
      <c r="D64" s="74"/>
      <c r="E64" s="74"/>
      <c r="F64" s="74"/>
      <c r="G64" s="74"/>
      <c r="H64" s="74"/>
      <c r="I64"/>
      <c r="J64" s="74"/>
    </row>
    <row r="65" spans="1:10" ht="12.75">
      <c r="A65" s="74"/>
      <c r="B65" s="74"/>
      <c r="C65" s="74"/>
      <c r="D65" s="74"/>
      <c r="E65" s="74"/>
      <c r="F65" s="74"/>
      <c r="G65" s="74"/>
      <c r="H65" s="74"/>
      <c r="I65" s="74"/>
      <c r="J65" s="74"/>
    </row>
    <row r="66" spans="1:10" ht="12.75">
      <c r="A66" s="74"/>
      <c r="B66" s="74"/>
      <c r="C66" s="74"/>
      <c r="D66" s="74"/>
      <c r="E66" s="74"/>
      <c r="F66" s="74"/>
      <c r="G66" s="74"/>
      <c r="H66" s="74"/>
      <c r="I66" s="74"/>
      <c r="J66" s="74"/>
    </row>
    <row r="67" spans="1:10" ht="12.75">
      <c r="A67" s="74"/>
      <c r="B67" s="74"/>
      <c r="C67" s="74"/>
      <c r="D67" s="74"/>
      <c r="E67" s="74"/>
      <c r="F67" s="74"/>
      <c r="G67" s="74"/>
      <c r="H67" s="74"/>
      <c r="I67" s="74"/>
      <c r="J67" s="75"/>
    </row>
    <row r="68" spans="1:9" ht="12.75">
      <c r="A68" s="74"/>
      <c r="B68" s="74"/>
      <c r="C68" s="74"/>
      <c r="D68" s="74"/>
      <c r="E68" s="74"/>
      <c r="F68" s="74"/>
      <c r="G68" s="74"/>
      <c r="H68" s="74"/>
      <c r="I68" s="74"/>
    </row>
    <row r="69" spans="1:9" ht="12.75">
      <c r="A69" s="75"/>
      <c r="B69" s="75"/>
      <c r="C69" s="75"/>
      <c r="D69" s="75"/>
      <c r="E69" s="75"/>
      <c r="F69" s="75"/>
      <c r="G69" s="75"/>
      <c r="H69" s="75"/>
      <c r="I69" s="75"/>
    </row>
  </sheetData>
  <sheetProtection/>
  <mergeCells count="16">
    <mergeCell ref="E36:F36"/>
    <mergeCell ref="E37:F37"/>
    <mergeCell ref="H43:H44"/>
    <mergeCell ref="D53:D54"/>
    <mergeCell ref="E53:E54"/>
    <mergeCell ref="F53:F54"/>
    <mergeCell ref="E30:F30"/>
    <mergeCell ref="C43:C44"/>
    <mergeCell ref="D43:D44"/>
    <mergeCell ref="G43:G44"/>
    <mergeCell ref="M37:Q37"/>
    <mergeCell ref="E31:F31"/>
    <mergeCell ref="E32:F32"/>
    <mergeCell ref="E33:F33"/>
    <mergeCell ref="E34:F34"/>
    <mergeCell ref="E35:F35"/>
  </mergeCells>
  <printOptions/>
  <pageMargins left="0.5" right="0.5" top="0.75" bottom="0.75" header="0.5" footer="0.5"/>
  <pageSetup horizontalDpi="600" verticalDpi="600" orientation="portrait" scale="90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Burgess &amp; Niple,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lenzer</dc:creator>
  <cp:keywords/>
  <dc:description/>
  <cp:lastModifiedBy>David Lenzer</cp:lastModifiedBy>
  <cp:lastPrinted>2009-10-26T23:03:40Z</cp:lastPrinted>
  <dcterms:created xsi:type="dcterms:W3CDTF">2006-03-02T20:25:35Z</dcterms:created>
  <dcterms:modified xsi:type="dcterms:W3CDTF">2009-10-26T23:04:24Z</dcterms:modified>
  <cp:category/>
  <cp:version/>
  <cp:contentType/>
  <cp:contentStatus/>
</cp:coreProperties>
</file>