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<sst xmlns="http://schemas.openxmlformats.org/spreadsheetml/2006/main" count="94" uniqueCount="66">
  <si>
    <t xml:space="preserve">Structure ID </t>
  </si>
  <si>
    <t>SUM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</si>
  <si>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</si>
  <si>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</si>
  <si>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</si>
  <si>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</si>
  <si>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</si>
  <si>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</si>
  <si>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</si>
  <si>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</si>
  <si>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</si>
  <si>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</si>
  <si>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</si>
  <si>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</si>
  <si>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</si>
  <si>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</si>
  <si>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</si>
  <si>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</si>
  <si>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</si>
  <si>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</si>
  <si>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</si>
  <si>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</si>
  <si>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0377</t>
  </si>
  <si>
    <t>Graybill Rd</t>
  </si>
  <si>
    <t>Ft</t>
  </si>
  <si>
    <t>In</t>
  </si>
  <si>
    <t>Num</t>
  </si>
  <si>
    <t>Denom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</si>
  <si>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</si>
  <si>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</si>
  <si>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</si>
  <si>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</si>
  <si>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</si>
  <si>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</si>
  <si>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</si>
  <si>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</si>
  <si>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</si>
  <si>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</si>
  <si>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</si>
  <si>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</si>
  <si>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</si>
  <si>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</si>
  <si>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</si>
  <si>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</si>
  <si>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</si>
  <si>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</si>
  <si>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</si>
  <si>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</si>
  <si>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Total PCS area</t>
  </si>
  <si>
    <t>Beams added 2008</t>
  </si>
  <si>
    <t>Plate Girder Area</t>
  </si>
  <si>
    <t>Total Area</t>
  </si>
  <si>
    <t>1-8</t>
  </si>
  <si>
    <t>H</t>
  </si>
  <si>
    <t>I</t>
  </si>
  <si>
    <t>J</t>
  </si>
  <si>
    <t>K</t>
  </si>
  <si>
    <t>M</t>
  </si>
  <si>
    <t>PIER</t>
  </si>
  <si>
    <t>ADD 20%</t>
  </si>
  <si>
    <t>UNIT 2</t>
  </si>
  <si>
    <t>N</t>
  </si>
  <si>
    <t>O</t>
  </si>
  <si>
    <t>P</t>
  </si>
  <si>
    <t>Q</t>
  </si>
  <si>
    <t>times 6 girders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</si>
</sst>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  <numFmt numFmtId="175" formatCode="#\ ??/16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11.28125" style="0" bestFit="1" customWidth="1"/>
  </cols>
  <sheetData>
    <row r="2" ht="12.75">
      <c r="A2" t="s">
        <v>0</v>
      </c>
    </row>
    <row r="4" spans="1:4" ht="12.75">
      <c r="A4" t="s">
        <v>1</v>
      </c>
      <c r="B4">
        <v>8</v>
      </c>
      <c r="C4">
        <v>1709</v>
      </c>
      <c r="D4" t="s">
        <v>40</v>
      </c>
    </row>
    <row r="5" spans="1:2" ht="12.75">
      <c r="A5" t="s">
        <v>2</v>
      </c>
      <c r="B5">
        <v>7700768</v>
      </c>
    </row>
    <row r="8" spans="1:3" ht="12.75">
      <c r="A8" t="s">
        <v>50</v>
      </c>
      <c r="C8" s="5">
        <f>'Plate Girder'!M30</f>
        <v>111625.4669375</v>
      </c>
    </row>
    <row r="9" ht="13.5" thickBot="1"/>
    <row r="10" spans="1:3" ht="13.5" thickBot="1">
      <c r="A10" t="s">
        <v>51</v>
      </c>
      <c r="C10" s="12">
        <f>SUM(C7:C9)</f>
        <v>111625.4669375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zoomScale="80" zoomScaleNormal="80" zoomScalePageLayoutView="0" workbookViewId="0" topLeftCell="A13">
      <selection activeCell="M26" sqref="M26"/>
    </sheetView>
  </sheetViews>
  <sheetFormatPr defaultColWidth="9.140625" defaultRowHeight="12.75"/>
  <cols>
    <col min="9" max="9" width="2.140625" style="0" customWidth="1"/>
    <col min="11" max="11" width="3.28125" style="0" customWidth="1"/>
  </cols>
  <sheetData>
    <row r="2" ht="12.75">
      <c r="L2" t="s">
        <v>29</v>
      </c>
    </row>
    <row r="3" spans="1:13" ht="12.75">
      <c r="A3" t="s">
        <v>30</v>
      </c>
      <c r="C3" t="s">
        <v>31</v>
      </c>
      <c r="E3" t="s">
        <v>32</v>
      </c>
      <c r="G3" t="s">
        <v>33</v>
      </c>
      <c r="J3" t="s">
        <v>3</v>
      </c>
      <c r="L3" t="s">
        <v>34</v>
      </c>
      <c r="M3" t="s">
        <v>5</v>
      </c>
    </row>
    <row r="4" spans="2:13" ht="12.75">
      <c r="B4" t="s">
        <v>3</v>
      </c>
      <c r="C4" t="s">
        <v>35</v>
      </c>
      <c r="D4" t="s">
        <v>36</v>
      </c>
      <c r="E4" t="s">
        <v>35</v>
      </c>
      <c r="F4" t="s">
        <v>36</v>
      </c>
      <c r="G4" t="s">
        <v>37</v>
      </c>
      <c r="H4" t="s">
        <v>36</v>
      </c>
      <c r="J4" t="s">
        <v>38</v>
      </c>
      <c r="L4" t="s">
        <v>39</v>
      </c>
      <c r="M4" t="s">
        <v>6</v>
      </c>
    </row>
    <row r="5" spans="1:13" ht="12.75">
      <c r="A5" s="7" t="s">
        <v>52</v>
      </c>
      <c r="B5" t="s">
        <v>40</v>
      </c>
      <c r="C5">
        <v>20</v>
      </c>
      <c r="D5">
        <v>0.875</v>
      </c>
      <c r="E5">
        <v>20</v>
      </c>
      <c r="F5">
        <v>0.875</v>
      </c>
      <c r="G5">
        <v>69</v>
      </c>
      <c r="H5" s="8">
        <v>0.625</v>
      </c>
      <c r="J5">
        <f>20+1.25</f>
        <v>21.25</v>
      </c>
      <c r="L5">
        <f>+C5-2*H5+2*G5+2*E5+D5+F5</f>
        <v>198.5</v>
      </c>
      <c r="M5">
        <f>+L5/12*J5</f>
        <v>351.5104166666667</v>
      </c>
    </row>
    <row r="6" spans="2:13" ht="12.75">
      <c r="B6" t="s">
        <v>41</v>
      </c>
      <c r="C6">
        <v>20</v>
      </c>
      <c r="D6">
        <v>0.875</v>
      </c>
      <c r="E6">
        <v>20</v>
      </c>
      <c r="F6">
        <v>2</v>
      </c>
      <c r="G6">
        <v>69</v>
      </c>
      <c r="H6" s="8">
        <v>0.625</v>
      </c>
      <c r="J6" s="11">
        <f>126.91-20</f>
        <v>106.91</v>
      </c>
      <c r="L6">
        <f aca="true" t="shared" si="0" ref="L6:L17">+C6-2*H6+2*G6+2*E6+D6+F6</f>
        <v>199.625</v>
      </c>
      <c r="M6">
        <f aca="true" t="shared" si="1" ref="M6:M17">+L6/12*J6</f>
        <v>1778.4923958333334</v>
      </c>
    </row>
    <row r="7" spans="2:13" ht="12.75">
      <c r="B7" t="s">
        <v>42</v>
      </c>
      <c r="C7">
        <v>20</v>
      </c>
      <c r="D7">
        <v>0.875</v>
      </c>
      <c r="E7">
        <v>20</v>
      </c>
      <c r="F7">
        <v>1.125</v>
      </c>
      <c r="G7">
        <v>69</v>
      </c>
      <c r="H7" s="10">
        <f>11/16</f>
        <v>0.6875</v>
      </c>
      <c r="J7" s="11">
        <f>37-20</f>
        <v>17</v>
      </c>
      <c r="L7">
        <f t="shared" si="0"/>
        <v>198.625</v>
      </c>
      <c r="M7">
        <f t="shared" si="1"/>
        <v>281.38541666666663</v>
      </c>
    </row>
    <row r="8" spans="2:13" ht="12.75">
      <c r="B8" t="s">
        <v>43</v>
      </c>
      <c r="C8">
        <v>20</v>
      </c>
      <c r="D8">
        <v>1.875</v>
      </c>
      <c r="E8">
        <v>20</v>
      </c>
      <c r="F8">
        <v>2.75</v>
      </c>
      <c r="G8">
        <v>69</v>
      </c>
      <c r="H8" s="10">
        <f>11/16</f>
        <v>0.6875</v>
      </c>
      <c r="J8">
        <v>40</v>
      </c>
      <c r="L8">
        <f t="shared" si="0"/>
        <v>201.25</v>
      </c>
      <c r="M8">
        <f t="shared" si="1"/>
        <v>670.8333333333333</v>
      </c>
    </row>
    <row r="9" spans="2:13" ht="12.75">
      <c r="B9" t="s">
        <v>44</v>
      </c>
      <c r="C9">
        <v>20</v>
      </c>
      <c r="D9">
        <v>0.875</v>
      </c>
      <c r="E9">
        <v>20</v>
      </c>
      <c r="F9">
        <v>1.25</v>
      </c>
      <c r="G9">
        <v>69</v>
      </c>
      <c r="H9" s="10">
        <f>11/16</f>
        <v>0.6875</v>
      </c>
      <c r="J9" s="11">
        <f>50-20</f>
        <v>30</v>
      </c>
      <c r="L9">
        <f t="shared" si="0"/>
        <v>198.75</v>
      </c>
      <c r="M9">
        <f t="shared" si="1"/>
        <v>496.875</v>
      </c>
    </row>
    <row r="10" spans="2:13" ht="12.75">
      <c r="B10" t="s">
        <v>45</v>
      </c>
      <c r="C10">
        <v>20</v>
      </c>
      <c r="D10">
        <v>0.875</v>
      </c>
      <c r="E10">
        <v>20</v>
      </c>
      <c r="F10">
        <v>0.875</v>
      </c>
      <c r="G10">
        <v>69</v>
      </c>
      <c r="H10" s="10">
        <v>0.5625</v>
      </c>
      <c r="J10" s="11">
        <v>81.94</v>
      </c>
      <c r="L10">
        <f t="shared" si="0"/>
        <v>198.625</v>
      </c>
      <c r="M10">
        <f t="shared" si="1"/>
        <v>1356.2777083333333</v>
      </c>
    </row>
    <row r="11" spans="2:13" ht="12.75">
      <c r="B11" t="s">
        <v>46</v>
      </c>
      <c r="C11">
        <v>20</v>
      </c>
      <c r="D11">
        <v>0.875</v>
      </c>
      <c r="E11">
        <v>20</v>
      </c>
      <c r="F11">
        <v>1.125</v>
      </c>
      <c r="G11">
        <v>69</v>
      </c>
      <c r="H11" s="10">
        <f>11/16</f>
        <v>0.6875</v>
      </c>
      <c r="J11" s="11">
        <f>43.97-20</f>
        <v>23.97</v>
      </c>
      <c r="L11">
        <f t="shared" si="0"/>
        <v>198.625</v>
      </c>
      <c r="M11">
        <f t="shared" si="1"/>
        <v>396.75343749999996</v>
      </c>
    </row>
    <row r="12" spans="2:13" ht="12.75">
      <c r="B12" t="s">
        <v>53</v>
      </c>
      <c r="C12">
        <v>20</v>
      </c>
      <c r="D12">
        <v>1.75</v>
      </c>
      <c r="E12">
        <v>20</v>
      </c>
      <c r="F12">
        <v>2.5</v>
      </c>
      <c r="G12">
        <v>69</v>
      </c>
      <c r="H12" s="10">
        <f>11/16</f>
        <v>0.6875</v>
      </c>
      <c r="J12" s="11">
        <v>40</v>
      </c>
      <c r="L12">
        <f t="shared" si="0"/>
        <v>200.875</v>
      </c>
      <c r="M12">
        <f t="shared" si="1"/>
        <v>669.5833333333333</v>
      </c>
    </row>
    <row r="13" spans="2:13" ht="12.75">
      <c r="B13" t="s">
        <v>54</v>
      </c>
      <c r="C13">
        <v>20</v>
      </c>
      <c r="D13">
        <v>0.875</v>
      </c>
      <c r="E13">
        <v>20</v>
      </c>
      <c r="F13">
        <v>1.125</v>
      </c>
      <c r="G13">
        <v>69</v>
      </c>
      <c r="H13" s="10">
        <f>11/16</f>
        <v>0.6875</v>
      </c>
      <c r="J13" s="11">
        <f>43.97-20</f>
        <v>23.97</v>
      </c>
      <c r="L13">
        <f t="shared" si="0"/>
        <v>198.625</v>
      </c>
      <c r="M13">
        <f t="shared" si="1"/>
        <v>396.75343749999996</v>
      </c>
    </row>
    <row r="14" spans="2:13" ht="12.75">
      <c r="B14" t="s">
        <v>55</v>
      </c>
      <c r="C14">
        <v>20</v>
      </c>
      <c r="D14">
        <v>0.875</v>
      </c>
      <c r="E14">
        <v>20</v>
      </c>
      <c r="F14">
        <v>1.5</v>
      </c>
      <c r="G14">
        <v>69</v>
      </c>
      <c r="H14" s="10">
        <v>0.5625</v>
      </c>
      <c r="J14" s="11">
        <v>100.93</v>
      </c>
      <c r="L14">
        <f t="shared" si="0"/>
        <v>199.25</v>
      </c>
      <c r="M14">
        <f t="shared" si="1"/>
        <v>1675.858541666667</v>
      </c>
    </row>
    <row r="15" spans="2:13" ht="12.75">
      <c r="B15" t="s">
        <v>56</v>
      </c>
      <c r="C15">
        <v>20</v>
      </c>
      <c r="D15">
        <v>1.25</v>
      </c>
      <c r="E15">
        <v>20</v>
      </c>
      <c r="F15">
        <v>0.875</v>
      </c>
      <c r="G15">
        <v>69</v>
      </c>
      <c r="H15" s="8">
        <v>0.625</v>
      </c>
      <c r="J15">
        <f>33-20</f>
        <v>13</v>
      </c>
      <c r="L15">
        <f t="shared" si="0"/>
        <v>198.875</v>
      </c>
      <c r="M15">
        <f t="shared" si="1"/>
        <v>215.44791666666669</v>
      </c>
    </row>
    <row r="16" spans="2:13" ht="12.75">
      <c r="B16" t="s">
        <v>28</v>
      </c>
      <c r="C16">
        <v>20</v>
      </c>
      <c r="D16">
        <v>1.25</v>
      </c>
      <c r="E16">
        <v>20</v>
      </c>
      <c r="F16">
        <v>2</v>
      </c>
      <c r="G16">
        <v>69</v>
      </c>
      <c r="H16" s="8">
        <v>0.625</v>
      </c>
      <c r="J16">
        <v>40</v>
      </c>
      <c r="L16">
        <f t="shared" si="0"/>
        <v>200</v>
      </c>
      <c r="M16">
        <f t="shared" si="1"/>
        <v>666.6666666666667</v>
      </c>
    </row>
    <row r="17" spans="2:13" ht="12.75">
      <c r="B17" t="s">
        <v>57</v>
      </c>
      <c r="C17">
        <v>20</v>
      </c>
      <c r="D17">
        <v>0.875</v>
      </c>
      <c r="E17">
        <v>20</v>
      </c>
      <c r="F17">
        <v>1</v>
      </c>
      <c r="G17">
        <v>69</v>
      </c>
      <c r="H17" s="8">
        <v>0.625</v>
      </c>
      <c r="J17">
        <f>44-20</f>
        <v>24</v>
      </c>
      <c r="L17">
        <f t="shared" si="0"/>
        <v>198.625</v>
      </c>
      <c r="M17">
        <f t="shared" si="1"/>
        <v>397.25</v>
      </c>
    </row>
    <row r="18" spans="2:13" ht="12.75">
      <c r="B18" t="s">
        <v>61</v>
      </c>
      <c r="C18">
        <v>20</v>
      </c>
      <c r="D18">
        <v>0.875</v>
      </c>
      <c r="E18">
        <v>20</v>
      </c>
      <c r="F18">
        <v>0.875</v>
      </c>
      <c r="G18">
        <v>69</v>
      </c>
      <c r="H18" s="10">
        <v>0.5625</v>
      </c>
      <c r="J18" s="11">
        <v>65.95</v>
      </c>
      <c r="L18">
        <f>+C18-2*H18+2*G18+2*E18+D18+F18</f>
        <v>198.625</v>
      </c>
      <c r="M18">
        <f>+L18/12*J18</f>
        <v>1091.6098958333332</v>
      </c>
    </row>
    <row r="19" spans="2:13" ht="12.75">
      <c r="B19" t="s">
        <v>62</v>
      </c>
      <c r="C19">
        <v>20</v>
      </c>
      <c r="D19">
        <v>0.875</v>
      </c>
      <c r="E19">
        <v>20</v>
      </c>
      <c r="F19">
        <v>1.125</v>
      </c>
      <c r="G19">
        <v>69</v>
      </c>
      <c r="H19" s="10">
        <v>0.5625</v>
      </c>
      <c r="J19" s="11">
        <v>49.96</v>
      </c>
      <c r="L19">
        <f>+C19-2*H19+2*G19+2*E19+D19+F19</f>
        <v>198.875</v>
      </c>
      <c r="M19">
        <f>+L19/12*J19</f>
        <v>827.9829166666667</v>
      </c>
    </row>
    <row r="20" spans="2:13" ht="12.75">
      <c r="B20" t="s">
        <v>63</v>
      </c>
      <c r="C20">
        <v>20</v>
      </c>
      <c r="D20">
        <v>0.875</v>
      </c>
      <c r="E20">
        <v>20</v>
      </c>
      <c r="F20">
        <v>0.875</v>
      </c>
      <c r="G20">
        <v>69</v>
      </c>
      <c r="H20" s="10">
        <v>0.5625</v>
      </c>
      <c r="J20" s="11">
        <f>73.69+1.25</f>
        <v>74.94</v>
      </c>
      <c r="L20">
        <f>+C20-2*H20+2*G20+2*E20+D20+F20</f>
        <v>198.625</v>
      </c>
      <c r="M20">
        <f>+L20/12*J20</f>
        <v>1240.4131249999998</v>
      </c>
    </row>
    <row r="21" spans="1:13" ht="12.75">
      <c r="A21" s="11" t="s">
        <v>60</v>
      </c>
      <c r="B21" t="s">
        <v>64</v>
      </c>
      <c r="C21">
        <v>24</v>
      </c>
      <c r="D21">
        <v>1.125</v>
      </c>
      <c r="E21">
        <v>24</v>
      </c>
      <c r="F21">
        <v>2.125</v>
      </c>
      <c r="G21">
        <v>90</v>
      </c>
      <c r="H21" s="8">
        <v>0.75</v>
      </c>
      <c r="J21">
        <v>192.865</v>
      </c>
      <c r="L21">
        <f>+C21-2*H21+2*G21+2*E21+D21+F21</f>
        <v>253.75</v>
      </c>
      <c r="M21">
        <f>+L21/12*J21</f>
        <v>4078.2911458333333</v>
      </c>
    </row>
    <row r="22" ht="12.75">
      <c r="H22" s="8"/>
    </row>
    <row r="23" ht="12.75">
      <c r="H23" s="8"/>
    </row>
    <row r="25" spans="10:14" ht="12.75">
      <c r="J25">
        <f>SUM(J5:J24)</f>
        <v>946.6850000000002</v>
      </c>
      <c r="M25">
        <f>SUM(M5:M21)</f>
        <v>16591.984687499997</v>
      </c>
      <c r="N25" t="s">
        <v>47</v>
      </c>
    </row>
    <row r="27" spans="13:14" ht="12.75">
      <c r="M27">
        <f>+M25*6</f>
        <v>99551.90812499999</v>
      </c>
      <c r="N27" t="s">
        <v>65</v>
      </c>
    </row>
    <row r="28" spans="13:14" ht="12.75">
      <c r="M28">
        <f>+M27*0.1</f>
        <v>9955.190812499999</v>
      </c>
      <c r="N28" t="s">
        <v>18</v>
      </c>
    </row>
    <row r="29" ht="13.5" thickBot="1"/>
    <row r="30" spans="12:14" ht="13.5" thickBot="1">
      <c r="L30" t="s">
        <v>48</v>
      </c>
      <c r="M30" s="9">
        <f>+M27+M28+M35</f>
        <v>111625.4669375</v>
      </c>
      <c r="N30" t="s">
        <v>21</v>
      </c>
    </row>
    <row r="32" ht="12.75">
      <c r="A32" t="s">
        <v>58</v>
      </c>
    </row>
    <row r="33" spans="3:13" ht="12.75">
      <c r="C33">
        <v>30</v>
      </c>
      <c r="D33">
        <v>1.875</v>
      </c>
      <c r="E33">
        <v>30</v>
      </c>
      <c r="F33">
        <v>1.87</v>
      </c>
      <c r="G33">
        <v>120</v>
      </c>
      <c r="H33" s="8">
        <v>1.375</v>
      </c>
      <c r="J33">
        <v>64</v>
      </c>
      <c r="L33">
        <f>+C33-2*H33+2*G33+2*E33+D33+F33</f>
        <v>330.995</v>
      </c>
      <c r="M33">
        <f>+L33/12*J33</f>
        <v>1765.3066666666666</v>
      </c>
    </row>
    <row r="35" spans="13:14" ht="12.75">
      <c r="M35">
        <f>M33*1.2</f>
        <v>2118.368</v>
      </c>
      <c r="N35" t="s">
        <v>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8"/>
  <sheetViews>
    <sheetView zoomScalePageLayoutView="0" workbookViewId="0" topLeftCell="A1">
      <selection activeCell="J28" sqref="J28"/>
    </sheetView>
  </sheetViews>
  <sheetFormatPr defaultColWidth="9.140625" defaultRowHeight="12.75"/>
  <cols>
    <col min="3" max="3" width="5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</cols>
  <sheetData>
    <row r="3" ht="12.75">
      <c r="A3" t="s">
        <v>0</v>
      </c>
    </row>
    <row r="5" spans="1:6" ht="12.75">
      <c r="A5" t="s">
        <v>1</v>
      </c>
      <c r="B5">
        <v>77</v>
      </c>
      <c r="C5" s="1" t="s">
        <v>22</v>
      </c>
      <c r="D5" s="1"/>
      <c r="F5" t="s">
        <v>23</v>
      </c>
    </row>
    <row r="6" spans="1:2" ht="12.75">
      <c r="A6" t="s">
        <v>2</v>
      </c>
      <c r="B6">
        <v>7702256</v>
      </c>
    </row>
    <row r="8" ht="12.75">
      <c r="A8" t="s">
        <v>49</v>
      </c>
    </row>
    <row r="12" spans="6:10" ht="12.75">
      <c r="F12" s="2" t="s">
        <v>15</v>
      </c>
      <c r="J12" s="2"/>
    </row>
    <row r="13" spans="1:10" ht="12.75">
      <c r="A13" t="s">
        <v>7</v>
      </c>
      <c r="C13" s="13" t="s">
        <v>9</v>
      </c>
      <c r="D13" s="13"/>
      <c r="E13" s="13"/>
      <c r="F13" s="2" t="s">
        <v>14</v>
      </c>
      <c r="H13" t="s">
        <v>4</v>
      </c>
      <c r="I13" t="s">
        <v>19</v>
      </c>
      <c r="J13" s="2" t="s">
        <v>5</v>
      </c>
    </row>
    <row r="14" spans="1:17" ht="12.75">
      <c r="A14" t="s">
        <v>8</v>
      </c>
      <c r="B14" t="s">
        <v>3</v>
      </c>
      <c r="C14" t="s">
        <v>10</v>
      </c>
      <c r="E14" s="3" t="s">
        <v>11</v>
      </c>
      <c r="F14" s="2" t="s">
        <v>13</v>
      </c>
      <c r="H14" t="s">
        <v>17</v>
      </c>
      <c r="J14" s="2" t="s">
        <v>6</v>
      </c>
      <c r="N14" t="s">
        <v>24</v>
      </c>
      <c r="O14" t="s">
        <v>25</v>
      </c>
      <c r="P14" t="s">
        <v>26</v>
      </c>
      <c r="Q14" t="s">
        <v>27</v>
      </c>
    </row>
    <row r="15" spans="1:18" ht="12.75">
      <c r="A15">
        <v>1</v>
      </c>
      <c r="C15" t="s">
        <v>12</v>
      </c>
      <c r="D15" s="2" t="s">
        <v>16</v>
      </c>
      <c r="E15">
        <v>135</v>
      </c>
      <c r="F15" s="2">
        <f>IF(C15="W36",VLOOKUP(E15,'Lookup Table'!$B$4:$C$25,2,FALSE),"no value")</f>
        <v>8.71</v>
      </c>
      <c r="H15" s="4">
        <f>35.55+1+39.29+1</f>
        <v>76.84</v>
      </c>
      <c r="I15" s="5">
        <v>1</v>
      </c>
      <c r="J15" s="5">
        <f>+F15*H15*I15</f>
        <v>669.2764000000001</v>
      </c>
      <c r="N15">
        <v>45</v>
      </c>
      <c r="O15">
        <v>0</v>
      </c>
      <c r="P15">
        <v>12</v>
      </c>
      <c r="Q15">
        <v>16</v>
      </c>
      <c r="R15" s="4">
        <f>(+P15/Q15+O15)/12+N15</f>
        <v>45.0625</v>
      </c>
    </row>
    <row r="16" spans="1:18" ht="12.75">
      <c r="A16">
        <v>2</v>
      </c>
      <c r="C16" t="s">
        <v>12</v>
      </c>
      <c r="D16" s="2" t="s">
        <v>16</v>
      </c>
      <c r="E16">
        <v>135</v>
      </c>
      <c r="F16" s="2">
        <f>IF(C16="W36",VLOOKUP(E16,'Lookup Table'!$B$4:$C$25,2,FALSE),"no value")</f>
        <v>8.71</v>
      </c>
      <c r="H16" s="4">
        <f>35.55+1+38.33+1</f>
        <v>75.88</v>
      </c>
      <c r="I16" s="5">
        <v>1</v>
      </c>
      <c r="J16" s="5">
        <f aca="true" t="shared" si="0" ref="J16:J22">+F16*H16*I16</f>
        <v>660.9148</v>
      </c>
      <c r="N16">
        <v>1</v>
      </c>
      <c r="O16">
        <v>8</v>
      </c>
      <c r="P16">
        <v>0</v>
      </c>
      <c r="Q16">
        <v>16</v>
      </c>
      <c r="R16" s="4">
        <f>(+P16/Q16+O16)/12+N16</f>
        <v>1.6666666666666665</v>
      </c>
    </row>
    <row r="17" spans="1:18" ht="12.75">
      <c r="A17">
        <v>3</v>
      </c>
      <c r="C17" t="s">
        <v>12</v>
      </c>
      <c r="D17" s="2" t="s">
        <v>16</v>
      </c>
      <c r="E17">
        <v>135</v>
      </c>
      <c r="F17" s="2">
        <f>IF(C17="W36",VLOOKUP(E17,'Lookup Table'!$B$4:$C$25,2,FALSE),"no value")</f>
        <v>8.71</v>
      </c>
      <c r="H17" s="4">
        <f aca="true" t="shared" si="1" ref="H17:H22">35.55+1+37.38+1</f>
        <v>74.93</v>
      </c>
      <c r="I17" s="5">
        <v>1</v>
      </c>
      <c r="J17" s="5">
        <f t="shared" si="0"/>
        <v>652.6403000000001</v>
      </c>
      <c r="Q17">
        <v>16</v>
      </c>
      <c r="R17" s="4">
        <f>(+P17/Q17+O17)/12+N17</f>
        <v>0</v>
      </c>
    </row>
    <row r="18" spans="1:18" ht="12.75">
      <c r="A18">
        <v>4</v>
      </c>
      <c r="C18" t="s">
        <v>12</v>
      </c>
      <c r="D18" s="2" t="s">
        <v>16</v>
      </c>
      <c r="E18">
        <v>135</v>
      </c>
      <c r="F18" s="2">
        <f>IF(C18="W36",VLOOKUP(E18,'Lookup Table'!$B$4:$C$25,2,FALSE),"no value")</f>
        <v>8.71</v>
      </c>
      <c r="H18" s="4">
        <f t="shared" si="1"/>
        <v>74.93</v>
      </c>
      <c r="I18" s="5">
        <v>1</v>
      </c>
      <c r="J18" s="5">
        <f t="shared" si="0"/>
        <v>652.6403000000001</v>
      </c>
      <c r="Q18">
        <v>16</v>
      </c>
      <c r="R18" s="4">
        <f>(+P18/Q18+O18)/12+N18</f>
        <v>0</v>
      </c>
    </row>
    <row r="19" spans="1:18" ht="12.75">
      <c r="A19">
        <v>5</v>
      </c>
      <c r="C19" t="s">
        <v>12</v>
      </c>
      <c r="D19" s="2" t="s">
        <v>16</v>
      </c>
      <c r="E19">
        <v>135</v>
      </c>
      <c r="F19" s="2">
        <f>IF(C19="W36",VLOOKUP(E19,'Lookup Table'!$B$4:$C$25,2,FALSE),"no value")</f>
        <v>8.71</v>
      </c>
      <c r="H19" s="4">
        <f t="shared" si="1"/>
        <v>74.93</v>
      </c>
      <c r="I19" s="5">
        <v>1</v>
      </c>
      <c r="J19" s="5">
        <f t="shared" si="0"/>
        <v>652.6403000000001</v>
      </c>
      <c r="R19" s="4"/>
    </row>
    <row r="20" spans="1:18" ht="12.75">
      <c r="A20">
        <v>6</v>
      </c>
      <c r="C20" t="s">
        <v>12</v>
      </c>
      <c r="D20" s="2" t="s">
        <v>16</v>
      </c>
      <c r="E20">
        <v>135</v>
      </c>
      <c r="F20" s="2">
        <f>IF(C20="W36",VLOOKUP(E20,'Lookup Table'!$B$4:$C$25,2,FALSE),"no value")</f>
        <v>8.71</v>
      </c>
      <c r="H20" s="4">
        <f t="shared" si="1"/>
        <v>74.93</v>
      </c>
      <c r="I20" s="5">
        <v>1</v>
      </c>
      <c r="J20" s="5">
        <f t="shared" si="0"/>
        <v>652.6403000000001</v>
      </c>
      <c r="R20" s="4"/>
    </row>
    <row r="21" spans="1:18" ht="12.75">
      <c r="A21">
        <v>7</v>
      </c>
      <c r="C21" t="s">
        <v>12</v>
      </c>
      <c r="D21" s="2" t="s">
        <v>16</v>
      </c>
      <c r="E21">
        <v>135</v>
      </c>
      <c r="F21" s="2">
        <f>IF(C21="W36",VLOOKUP(E21,'Lookup Table'!$B$4:$C$25,2,FALSE),"no value")</f>
        <v>8.71</v>
      </c>
      <c r="H21" s="4">
        <f t="shared" si="1"/>
        <v>74.93</v>
      </c>
      <c r="I21" s="5">
        <v>1</v>
      </c>
      <c r="J21" s="5">
        <f t="shared" si="0"/>
        <v>652.6403000000001</v>
      </c>
      <c r="R21" s="4">
        <f>SUM(R15:R20)</f>
        <v>46.729166666666664</v>
      </c>
    </row>
    <row r="22" spans="1:10" ht="12.75">
      <c r="A22">
        <v>8</v>
      </c>
      <c r="C22" t="s">
        <v>12</v>
      </c>
      <c r="D22" s="2" t="s">
        <v>16</v>
      </c>
      <c r="E22">
        <v>135</v>
      </c>
      <c r="F22" s="2">
        <f>IF(C22="W36",VLOOKUP(E22,'Lookup Table'!$B$4:$C$25,2,FALSE),"no value")</f>
        <v>8.71</v>
      </c>
      <c r="H22" s="4">
        <f t="shared" si="1"/>
        <v>74.93</v>
      </c>
      <c r="I22" s="5">
        <v>1</v>
      </c>
      <c r="J22" s="5">
        <f t="shared" si="0"/>
        <v>652.6403000000001</v>
      </c>
    </row>
    <row r="23" spans="4:13" ht="12.75">
      <c r="D23" s="2"/>
      <c r="F23" s="2"/>
      <c r="I23" s="5"/>
      <c r="J23" s="5"/>
      <c r="M23" s="4"/>
    </row>
    <row r="24" ht="12.75">
      <c r="F24" s="2"/>
    </row>
    <row r="25" spans="6:10" ht="12.75">
      <c r="F25" s="2"/>
      <c r="J25" s="5">
        <f>SUM(J15:J24)</f>
        <v>5246.033</v>
      </c>
    </row>
    <row r="26" spans="10:11" ht="12.75">
      <c r="J26" s="5">
        <f>+J25*0.1</f>
        <v>524.6033000000001</v>
      </c>
      <c r="K26" t="s">
        <v>18</v>
      </c>
    </row>
    <row r="28" spans="9:11" ht="12.75">
      <c r="I28" s="3" t="s">
        <v>20</v>
      </c>
      <c r="J28" s="6">
        <f>+J25+J26</f>
        <v>5770.6363</v>
      </c>
      <c r="K28" t="s">
        <v>21</v>
      </c>
    </row>
  </sheetData>
  <sheetProtection/>
  <mergeCells count="1">
    <mergeCell ref="C13:E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26" sqref="C26"/>
    </sheetView>
  </sheetViews>
  <sheetFormatPr defaultColWidth="9.140625" defaultRowHeight="12.75"/>
  <sheetData>
    <row r="4" spans="1:3" ht="12.75">
      <c r="A4" t="s">
        <v>12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2020-10-06T17:05:54Z</dcterms:modified>
  <cp:category/>
  <cp:version/>
  <cp:contentType/>
  <cp:contentStatus/>
</cp:coreProperties>
</file>