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<sst xmlns="http://schemas.openxmlformats.org/spreadsheetml/2006/main" count="210" uniqueCount="64">
  <si>
    <t xml:space="preserve">Structure ID </t>
  </si>
  <si>
    <t>SUM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</si>
  <si>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</si>
  <si>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</si>
  <si>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</si>
  <si>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</si>
  <si>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</si>
  <si>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</si>
  <si>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</si>
  <si>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</si>
  <si>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</si>
  <si>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</si>
  <si>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</si>
  <si>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</si>
  <si>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</si>
  <si>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</si>
  <si>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</si>
  <si>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</si>
  <si>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Number</t>
  </si>
  <si>
    <t>Total PCS Area</t>
  </si>
  <si>
    <t>square feet</t>
  </si>
  <si>
    <t>Ft</t>
  </si>
  <si>
    <t>In</t>
  </si>
  <si>
    <t>Num</t>
  </si>
  <si>
    <t>Denom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</si>
  <si>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</si>
  <si>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</si>
  <si>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</si>
  <si>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</si>
  <si>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</si>
  <si>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</si>
  <si>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</si>
  <si>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</si>
  <si>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</si>
  <si>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</si>
  <si>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</si>
  <si>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</si>
  <si>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</si>
  <si>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</si>
  <si>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</si>
  <si>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</si>
  <si>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</si>
  <si>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</si>
  <si>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</si>
  <si>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</si>
  <si>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</si>
  <si>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Rolled beam Area</t>
  </si>
  <si>
    <t>Plate Girder Area</t>
  </si>
  <si>
    <t>Total Area</t>
  </si>
  <si>
    <t>1365</t>
  </si>
  <si>
    <t>B/G1</t>
  </si>
  <si>
    <t>B/G3</t>
  </si>
  <si>
    <t>B/G2</t>
  </si>
  <si>
    <t>B/G4</t>
  </si>
  <si>
    <t>B/G5</t>
  </si>
  <si>
    <t>B/G6-B/G11</t>
  </si>
  <si>
    <t>B/G12-B/G19</t>
  </si>
  <si>
    <t>5L</t>
  </si>
  <si>
    <t>6L</t>
  </si>
  <si>
    <t>7L</t>
  </si>
  <si>
    <t>8L</t>
  </si>
  <si>
    <t>4R</t>
  </si>
  <si>
    <t>5R</t>
  </si>
  <si>
    <t>Pier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</si>
</sst>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11.28125" style="0" bestFit="1" customWidth="1"/>
  </cols>
  <sheetData>
    <row r="2" ht="12.75">
      <c r="A2" t="s">
        <v>0</v>
      </c>
    </row>
    <row r="4" spans="1:3" ht="12.75">
      <c r="A4" t="s">
        <v>1</v>
      </c>
      <c r="B4">
        <v>76</v>
      </c>
      <c r="C4">
        <v>1365</v>
      </c>
    </row>
    <row r="5" spans="1:2" ht="12.75">
      <c r="A5" t="s">
        <v>2</v>
      </c>
      <c r="B5">
        <v>7706456</v>
      </c>
    </row>
    <row r="7" spans="1:3" ht="12.75">
      <c r="A7" t="s">
        <v>63</v>
      </c>
      <c r="C7">
        <f>'Plate Girder'!M80</f>
        <v>5928.7948125</v>
      </c>
    </row>
    <row r="8" spans="1:3" ht="12.75">
      <c r="A8" t="s">
        <v>46</v>
      </c>
      <c r="C8">
        <f>'Rolled Beams'!J79</f>
        <v>212777.03902999999</v>
      </c>
    </row>
    <row r="9" spans="1:3" ht="12.75">
      <c r="A9" t="s">
        <v>47</v>
      </c>
      <c r="C9">
        <f>'Plate Girder'!M66</f>
        <v>174023.42129166663</v>
      </c>
    </row>
    <row r="10" ht="13.5" thickBot="1"/>
    <row r="11" spans="1:3" ht="13.5" thickBot="1">
      <c r="A11" t="s">
        <v>48</v>
      </c>
      <c r="C11" s="14">
        <f>SUM(C7:C10)</f>
        <v>392729.2551341666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C58">
      <selection activeCell="L72" sqref="L72"/>
    </sheetView>
  </sheetViews>
  <sheetFormatPr defaultColWidth="9.140625" defaultRowHeight="12.75"/>
  <cols>
    <col min="1" max="1" width="12.140625" style="0" customWidth="1"/>
    <col min="9" max="9" width="2.8515625" style="0" customWidth="1"/>
    <col min="11" max="11" width="2.00390625" style="0" customWidth="1"/>
    <col min="13" max="13" width="11.28125" style="0" bestFit="1" customWidth="1"/>
  </cols>
  <sheetData>
    <row r="2" spans="1:3" ht="12.75">
      <c r="A2" t="s">
        <v>1</v>
      </c>
      <c r="B2">
        <v>76</v>
      </c>
      <c r="C2" s="1" t="s">
        <v>49</v>
      </c>
    </row>
    <row r="3" spans="1:2" ht="12.75">
      <c r="A3" t="s">
        <v>2</v>
      </c>
      <c r="B3">
        <v>7706456</v>
      </c>
    </row>
    <row r="5" ht="12.75">
      <c r="L5" t="s">
        <v>25</v>
      </c>
    </row>
    <row r="6" spans="1:13" ht="12.75">
      <c r="A6" t="s">
        <v>26</v>
      </c>
      <c r="C6" t="s">
        <v>27</v>
      </c>
      <c r="E6" t="s">
        <v>28</v>
      </c>
      <c r="G6" t="s">
        <v>29</v>
      </c>
      <c r="J6" t="s">
        <v>3</v>
      </c>
      <c r="L6" t="s">
        <v>30</v>
      </c>
      <c r="M6" t="s">
        <v>5</v>
      </c>
    </row>
    <row r="7" spans="2:13" ht="12.75">
      <c r="B7" t="s">
        <v>3</v>
      </c>
      <c r="C7" t="s">
        <v>31</v>
      </c>
      <c r="D7" t="s">
        <v>32</v>
      </c>
      <c r="E7" t="s">
        <v>31</v>
      </c>
      <c r="F7" t="s">
        <v>32</v>
      </c>
      <c r="G7" t="s">
        <v>33</v>
      </c>
      <c r="H7" t="s">
        <v>32</v>
      </c>
      <c r="J7" t="s">
        <v>34</v>
      </c>
      <c r="L7" t="s">
        <v>35</v>
      </c>
      <c r="M7" t="s">
        <v>6</v>
      </c>
    </row>
    <row r="8" spans="1:13" ht="12.75">
      <c r="A8" s="13" t="s">
        <v>50</v>
      </c>
      <c r="B8" s="11" t="s">
        <v>36</v>
      </c>
      <c r="C8">
        <v>14</v>
      </c>
      <c r="D8">
        <v>1</v>
      </c>
      <c r="E8">
        <v>18</v>
      </c>
      <c r="F8">
        <v>1.125</v>
      </c>
      <c r="G8" s="9">
        <v>38</v>
      </c>
      <c r="H8" s="7">
        <v>0.375</v>
      </c>
      <c r="J8" s="9">
        <v>20</v>
      </c>
      <c r="L8">
        <f>+C8-2*H8+2*G8+2*E8+D8+F8</f>
        <v>127.375</v>
      </c>
      <c r="M8">
        <f>+L8/12*J8</f>
        <v>212.29166666666669</v>
      </c>
    </row>
    <row r="9" spans="2:13" ht="12.75">
      <c r="B9" s="11" t="s">
        <v>37</v>
      </c>
      <c r="C9">
        <v>14</v>
      </c>
      <c r="D9">
        <v>1</v>
      </c>
      <c r="E9">
        <v>18</v>
      </c>
      <c r="F9">
        <v>1.125</v>
      </c>
      <c r="G9">
        <v>42</v>
      </c>
      <c r="H9" s="7">
        <v>0.375</v>
      </c>
      <c r="J9">
        <v>88</v>
      </c>
      <c r="L9">
        <f>+C9-2*H9+2*G9+2*E9+D9+F9</f>
        <v>135.375</v>
      </c>
      <c r="M9">
        <f>+L9/12*J9</f>
        <v>992.75</v>
      </c>
    </row>
    <row r="10" spans="2:13" ht="12.75">
      <c r="B10" t="s">
        <v>38</v>
      </c>
      <c r="C10">
        <v>16</v>
      </c>
      <c r="D10">
        <v>1.5</v>
      </c>
      <c r="E10">
        <v>20</v>
      </c>
      <c r="F10">
        <v>1.625</v>
      </c>
      <c r="G10">
        <v>42</v>
      </c>
      <c r="H10" s="7">
        <v>0.375</v>
      </c>
      <c r="J10">
        <v>53</v>
      </c>
      <c r="L10">
        <f>+C10-2*H10+2*G10+2*E10+D10+F10</f>
        <v>142.375</v>
      </c>
      <c r="M10">
        <f>+L10/12*J10</f>
        <v>628.8229166666667</v>
      </c>
    </row>
    <row r="11" spans="2:13" ht="12.75">
      <c r="B11" t="s">
        <v>39</v>
      </c>
      <c r="C11">
        <v>14</v>
      </c>
      <c r="D11">
        <v>0.875</v>
      </c>
      <c r="E11">
        <v>16</v>
      </c>
      <c r="F11">
        <v>1</v>
      </c>
      <c r="G11">
        <v>42</v>
      </c>
      <c r="H11" s="7">
        <v>0.375</v>
      </c>
      <c r="J11">
        <v>82.43</v>
      </c>
      <c r="L11">
        <f>+C11-2*H11+2*G11+2*E11+D11+F11</f>
        <v>131.125</v>
      </c>
      <c r="M11">
        <f>+L11/12*J11</f>
        <v>900.7194791666668</v>
      </c>
    </row>
    <row r="12" spans="2:13" ht="12.75">
      <c r="B12" t="s">
        <v>40</v>
      </c>
      <c r="C12">
        <v>12</v>
      </c>
      <c r="D12">
        <v>0.75</v>
      </c>
      <c r="E12">
        <v>12</v>
      </c>
      <c r="F12">
        <v>1</v>
      </c>
      <c r="G12">
        <v>42</v>
      </c>
      <c r="H12" s="7">
        <v>0.375</v>
      </c>
      <c r="J12">
        <v>53.1</v>
      </c>
      <c r="L12">
        <f>+C12-2*H12+2*G12+2*E12+D12+F12</f>
        <v>121</v>
      </c>
      <c r="M12">
        <f>+L12/12*J12</f>
        <v>535.4250000000001</v>
      </c>
    </row>
    <row r="13" ht="12.75">
      <c r="H13" s="7"/>
    </row>
    <row r="14" spans="8:13" ht="12.75">
      <c r="H14" s="7"/>
      <c r="M14">
        <f>SUM(M8:M12)*2</f>
        <v>6540.0181250000005</v>
      </c>
    </row>
    <row r="15" ht="12.75">
      <c r="H15" s="7"/>
    </row>
    <row r="16" spans="1:13" ht="12.75">
      <c r="A16" s="12" t="s">
        <v>52</v>
      </c>
      <c r="B16" s="11" t="s">
        <v>37</v>
      </c>
      <c r="C16">
        <v>12</v>
      </c>
      <c r="D16">
        <v>0.75</v>
      </c>
      <c r="E16">
        <v>12</v>
      </c>
      <c r="F16">
        <v>0.75</v>
      </c>
      <c r="G16">
        <v>42</v>
      </c>
      <c r="H16" s="7">
        <v>0.375</v>
      </c>
      <c r="J16">
        <f>57+17.5+53.11</f>
        <v>127.61</v>
      </c>
      <c r="L16">
        <f>+C16-2*H16+2*G16+2*E16+D16+F16</f>
        <v>120.75</v>
      </c>
      <c r="M16">
        <f>+L16/12*J16</f>
        <v>1284.075625</v>
      </c>
    </row>
    <row r="17" ht="12.75">
      <c r="H17" s="7"/>
    </row>
    <row r="18" spans="8:13" ht="12.75">
      <c r="H18" s="7"/>
      <c r="M18">
        <f>M16*2</f>
        <v>2568.15125</v>
      </c>
    </row>
    <row r="19" ht="12.75">
      <c r="H19" s="7"/>
    </row>
    <row r="20" spans="1:13" ht="12.75">
      <c r="A20" s="12" t="s">
        <v>51</v>
      </c>
      <c r="B20" s="11" t="s">
        <v>36</v>
      </c>
      <c r="C20">
        <v>14</v>
      </c>
      <c r="D20">
        <v>1</v>
      </c>
      <c r="E20">
        <v>18</v>
      </c>
      <c r="F20">
        <v>1.125</v>
      </c>
      <c r="G20" s="9">
        <v>38</v>
      </c>
      <c r="H20" s="7">
        <v>0.375</v>
      </c>
      <c r="J20" s="9">
        <v>20</v>
      </c>
      <c r="L20">
        <f>+C20-2*H20+2*G20+2*E20+D20+F20</f>
        <v>127.375</v>
      </c>
      <c r="M20">
        <f>+L20/12*J20</f>
        <v>212.29166666666669</v>
      </c>
    </row>
    <row r="21" spans="2:13" ht="12.75">
      <c r="B21" s="11" t="s">
        <v>37</v>
      </c>
      <c r="C21">
        <v>14</v>
      </c>
      <c r="D21">
        <v>1</v>
      </c>
      <c r="E21">
        <v>18</v>
      </c>
      <c r="F21">
        <v>1.125</v>
      </c>
      <c r="G21">
        <v>42</v>
      </c>
      <c r="H21" s="7">
        <v>0.375</v>
      </c>
      <c r="J21">
        <v>89.03</v>
      </c>
      <c r="L21">
        <f>+C21-2*H21+2*G21+2*E21+D21+F21</f>
        <v>135.375</v>
      </c>
      <c r="M21">
        <f>+L21/12*J21</f>
        <v>1004.3696875</v>
      </c>
    </row>
    <row r="22" spans="2:13" ht="12.75">
      <c r="B22" t="s">
        <v>38</v>
      </c>
      <c r="C22">
        <v>16</v>
      </c>
      <c r="D22">
        <v>1.5</v>
      </c>
      <c r="E22">
        <v>20</v>
      </c>
      <c r="F22">
        <v>1.625</v>
      </c>
      <c r="G22">
        <v>42</v>
      </c>
      <c r="H22" s="7">
        <v>0.375</v>
      </c>
      <c r="J22">
        <v>53.3</v>
      </c>
      <c r="L22">
        <f>+C22-2*H22+2*G22+2*E22+D22+F22</f>
        <v>142.375</v>
      </c>
      <c r="M22">
        <f>+L22/12*J22</f>
        <v>632.3822916666667</v>
      </c>
    </row>
    <row r="23" spans="2:13" ht="12.75">
      <c r="B23" t="s">
        <v>39</v>
      </c>
      <c r="C23">
        <v>14</v>
      </c>
      <c r="D23">
        <v>0.875</v>
      </c>
      <c r="E23">
        <v>16</v>
      </c>
      <c r="F23">
        <v>1</v>
      </c>
      <c r="G23">
        <v>42</v>
      </c>
      <c r="H23" s="7">
        <v>0.375</v>
      </c>
      <c r="J23">
        <v>81.3</v>
      </c>
      <c r="L23">
        <f>+C23-2*H23+2*G23+2*E23+D23+F23</f>
        <v>131.125</v>
      </c>
      <c r="M23">
        <f>+L23/12*J23</f>
        <v>888.371875</v>
      </c>
    </row>
    <row r="24" spans="2:13" ht="12.75">
      <c r="B24" t="s">
        <v>40</v>
      </c>
      <c r="C24">
        <v>12</v>
      </c>
      <c r="D24">
        <v>0.75</v>
      </c>
      <c r="E24">
        <v>12</v>
      </c>
      <c r="F24">
        <v>1</v>
      </c>
      <c r="G24">
        <v>42</v>
      </c>
      <c r="H24" s="7">
        <v>0.375</v>
      </c>
      <c r="J24">
        <v>55.15</v>
      </c>
      <c r="L24">
        <f>+C24-2*H24+2*G24+2*E24+D24+F24</f>
        <v>121</v>
      </c>
      <c r="M24">
        <f>+L24/12*J24</f>
        <v>556.0958333333333</v>
      </c>
    </row>
    <row r="26" ht="12.75">
      <c r="M26">
        <f>SUM(M20:M24)*2</f>
        <v>6587.022708333333</v>
      </c>
    </row>
    <row r="28" spans="1:13" ht="12.75">
      <c r="A28" s="12" t="s">
        <v>53</v>
      </c>
      <c r="B28" s="11" t="s">
        <v>36</v>
      </c>
      <c r="C28">
        <v>14</v>
      </c>
      <c r="D28">
        <v>1.25</v>
      </c>
      <c r="E28">
        <v>16</v>
      </c>
      <c r="F28">
        <v>1.875</v>
      </c>
      <c r="G28" s="9">
        <v>38</v>
      </c>
      <c r="H28" s="7">
        <v>0.375</v>
      </c>
      <c r="J28" s="9">
        <v>20</v>
      </c>
      <c r="L28">
        <f>+C28-2*H28+2*G28+2*E28+D28+F28</f>
        <v>124.375</v>
      </c>
      <c r="M28">
        <f>+L28/12*J28</f>
        <v>207.29166666666669</v>
      </c>
    </row>
    <row r="29" spans="2:13" ht="12.75">
      <c r="B29" s="11" t="s">
        <v>37</v>
      </c>
      <c r="C29">
        <v>12</v>
      </c>
      <c r="D29">
        <v>1</v>
      </c>
      <c r="E29">
        <v>18</v>
      </c>
      <c r="F29">
        <v>1.25</v>
      </c>
      <c r="G29">
        <v>42</v>
      </c>
      <c r="H29" s="7">
        <v>0.375</v>
      </c>
      <c r="J29">
        <v>89.25</v>
      </c>
      <c r="L29">
        <f>+C29-2*H29+2*G29+2*E29+D29+F29</f>
        <v>133.5</v>
      </c>
      <c r="M29">
        <f>+L29/12*J29</f>
        <v>992.90625</v>
      </c>
    </row>
    <row r="30" spans="2:13" ht="12.75">
      <c r="B30" t="s">
        <v>38</v>
      </c>
      <c r="C30">
        <v>16</v>
      </c>
      <c r="D30">
        <v>1.375</v>
      </c>
      <c r="E30">
        <v>18</v>
      </c>
      <c r="F30">
        <v>1.875</v>
      </c>
      <c r="G30">
        <v>42</v>
      </c>
      <c r="H30" s="7">
        <v>0.375</v>
      </c>
      <c r="J30">
        <v>53.5</v>
      </c>
      <c r="L30">
        <f>+C30-2*H30+2*G30+2*E30+D30+F30</f>
        <v>138.5</v>
      </c>
      <c r="M30">
        <f>+L30/12*J30</f>
        <v>617.4791666666666</v>
      </c>
    </row>
    <row r="31" spans="2:13" ht="12.75">
      <c r="B31" t="s">
        <v>39</v>
      </c>
      <c r="C31">
        <v>12</v>
      </c>
      <c r="D31">
        <v>0.75</v>
      </c>
      <c r="E31">
        <v>14</v>
      </c>
      <c r="F31">
        <v>1.375</v>
      </c>
      <c r="G31">
        <v>42</v>
      </c>
      <c r="H31" s="7">
        <v>0.375</v>
      </c>
      <c r="J31">
        <v>81.5</v>
      </c>
      <c r="L31">
        <f>+C31-2*H31+2*G31+2*E31+D31+F31</f>
        <v>125.375</v>
      </c>
      <c r="M31">
        <f>+L31/12*J31</f>
        <v>851.5052083333333</v>
      </c>
    </row>
    <row r="32" spans="2:13" ht="12.75">
      <c r="B32" t="s">
        <v>40</v>
      </c>
      <c r="C32">
        <v>12</v>
      </c>
      <c r="D32">
        <v>0.75</v>
      </c>
      <c r="E32">
        <v>12</v>
      </c>
      <c r="F32">
        <v>1.375</v>
      </c>
      <c r="G32">
        <v>42</v>
      </c>
      <c r="H32" s="7">
        <v>0.375</v>
      </c>
      <c r="J32">
        <v>53.75</v>
      </c>
      <c r="L32">
        <f>+C32-2*H32+2*G32+2*E32+D32+F32</f>
        <v>121.375</v>
      </c>
      <c r="M32">
        <f>+L32/12*J32</f>
        <v>543.6588541666667</v>
      </c>
    </row>
    <row r="34" ht="12.75">
      <c r="M34">
        <f>SUM(M28:M32)*2</f>
        <v>6425.682291666668</v>
      </c>
    </row>
    <row r="36" spans="1:13" ht="12.75">
      <c r="A36" s="12" t="s">
        <v>54</v>
      </c>
      <c r="B36" s="11" t="s">
        <v>36</v>
      </c>
      <c r="C36">
        <v>14</v>
      </c>
      <c r="D36">
        <v>1.25</v>
      </c>
      <c r="E36">
        <v>16</v>
      </c>
      <c r="F36">
        <v>1.875</v>
      </c>
      <c r="G36" s="9">
        <v>38</v>
      </c>
      <c r="H36" s="7">
        <v>0.375</v>
      </c>
      <c r="J36" s="9">
        <v>20</v>
      </c>
      <c r="L36">
        <f>+C36-2*H36+2*G36+2*E36+D36+F36</f>
        <v>124.375</v>
      </c>
      <c r="M36">
        <f>+L36/12*J36</f>
        <v>207.29166666666669</v>
      </c>
    </row>
    <row r="37" spans="2:13" ht="12.75">
      <c r="B37" s="11" t="s">
        <v>37</v>
      </c>
      <c r="C37">
        <v>12</v>
      </c>
      <c r="D37">
        <v>1</v>
      </c>
      <c r="E37">
        <v>18</v>
      </c>
      <c r="F37">
        <v>1.25</v>
      </c>
      <c r="G37">
        <v>42</v>
      </c>
      <c r="H37" s="7">
        <v>0.375</v>
      </c>
      <c r="J37">
        <v>89.5</v>
      </c>
      <c r="L37">
        <f>+C37-2*H37+2*G37+2*E37+D37+F37</f>
        <v>133.5</v>
      </c>
      <c r="M37">
        <f>+L37/12*J37</f>
        <v>995.6875</v>
      </c>
    </row>
    <row r="38" spans="2:13" ht="12.75">
      <c r="B38" t="s">
        <v>38</v>
      </c>
      <c r="C38">
        <v>16</v>
      </c>
      <c r="D38">
        <v>1.375</v>
      </c>
      <c r="E38">
        <v>18</v>
      </c>
      <c r="F38">
        <v>1.875</v>
      </c>
      <c r="G38">
        <v>42</v>
      </c>
      <c r="H38" s="7">
        <v>0.375</v>
      </c>
      <c r="J38">
        <v>53.75</v>
      </c>
      <c r="L38">
        <f>+C38-2*H38+2*G38+2*E38+D38+F38</f>
        <v>138.5</v>
      </c>
      <c r="M38">
        <f>+L38/12*J38</f>
        <v>620.3645833333333</v>
      </c>
    </row>
    <row r="39" spans="2:13" ht="12.75">
      <c r="B39" t="s">
        <v>39</v>
      </c>
      <c r="C39">
        <v>12</v>
      </c>
      <c r="D39">
        <v>0.75</v>
      </c>
      <c r="E39">
        <v>14</v>
      </c>
      <c r="F39">
        <v>1.375</v>
      </c>
      <c r="G39">
        <v>42</v>
      </c>
      <c r="H39" s="7">
        <v>0.375</v>
      </c>
      <c r="J39">
        <v>81.7</v>
      </c>
      <c r="L39">
        <f>+C39-2*H39+2*G39+2*E39+D39+F39</f>
        <v>125.375</v>
      </c>
      <c r="M39">
        <f>+L39/12*J39</f>
        <v>853.5947916666667</v>
      </c>
    </row>
    <row r="40" spans="2:13" ht="12.75">
      <c r="B40" t="s">
        <v>40</v>
      </c>
      <c r="C40">
        <v>12</v>
      </c>
      <c r="D40">
        <v>0.75</v>
      </c>
      <c r="E40">
        <v>12</v>
      </c>
      <c r="F40">
        <v>1.375</v>
      </c>
      <c r="G40">
        <v>42</v>
      </c>
      <c r="H40" s="7">
        <v>0.375</v>
      </c>
      <c r="J40">
        <v>53.91</v>
      </c>
      <c r="L40">
        <f>+C40-2*H40+2*G40+2*E40+D40+F40</f>
        <v>121.375</v>
      </c>
      <c r="M40">
        <f>+L40/12*J40</f>
        <v>545.2771875</v>
      </c>
    </row>
    <row r="42" ht="12.75">
      <c r="M42">
        <f>SUM(M36:M40)*2</f>
        <v>6444.431458333333</v>
      </c>
    </row>
    <row r="44" spans="1:13" ht="12.75">
      <c r="A44" s="12" t="s">
        <v>55</v>
      </c>
      <c r="B44" s="11" t="s">
        <v>36</v>
      </c>
      <c r="C44">
        <v>14</v>
      </c>
      <c r="D44">
        <v>1.375</v>
      </c>
      <c r="E44">
        <v>18</v>
      </c>
      <c r="F44">
        <v>1.625</v>
      </c>
      <c r="G44" s="9">
        <v>40</v>
      </c>
      <c r="H44" s="7">
        <v>0.375</v>
      </c>
      <c r="J44" s="9">
        <v>20</v>
      </c>
      <c r="L44">
        <f>+C44-2*H44+2*G44+2*E44+D44+F44</f>
        <v>132.25</v>
      </c>
      <c r="M44">
        <f>+L44/12*J44</f>
        <v>220.41666666666669</v>
      </c>
    </row>
    <row r="45" spans="2:13" ht="12.75">
      <c r="B45" s="11" t="s">
        <v>37</v>
      </c>
      <c r="C45">
        <v>12</v>
      </c>
      <c r="D45">
        <v>1</v>
      </c>
      <c r="E45">
        <v>18</v>
      </c>
      <c r="F45">
        <v>1.25</v>
      </c>
      <c r="G45">
        <v>42</v>
      </c>
      <c r="H45" s="7">
        <v>0.375</v>
      </c>
      <c r="J45">
        <v>80</v>
      </c>
      <c r="L45">
        <f>+C45-2*H45+2*G45+2*E45+D45+F45</f>
        <v>133.5</v>
      </c>
      <c r="M45">
        <f>+L45/12*J45</f>
        <v>890</v>
      </c>
    </row>
    <row r="46" spans="2:13" ht="12.75">
      <c r="B46" t="s">
        <v>38</v>
      </c>
      <c r="C46">
        <v>18</v>
      </c>
      <c r="D46">
        <v>1.625</v>
      </c>
      <c r="E46">
        <v>20</v>
      </c>
      <c r="F46">
        <v>2</v>
      </c>
      <c r="G46">
        <v>42</v>
      </c>
      <c r="H46" s="7">
        <v>0.375</v>
      </c>
      <c r="J46">
        <v>54</v>
      </c>
      <c r="L46">
        <f>+C46-2*H46+2*G46+2*E46+D46+F46</f>
        <v>144.875</v>
      </c>
      <c r="M46">
        <f>+L46/12*J46</f>
        <v>651.9375</v>
      </c>
    </row>
    <row r="47" spans="2:13" ht="12.75">
      <c r="B47" t="s">
        <v>39</v>
      </c>
      <c r="C47">
        <v>12</v>
      </c>
      <c r="D47">
        <v>1</v>
      </c>
      <c r="E47">
        <v>18</v>
      </c>
      <c r="F47">
        <v>1.625</v>
      </c>
      <c r="G47">
        <v>42</v>
      </c>
      <c r="H47" s="7">
        <v>0.375</v>
      </c>
      <c r="J47">
        <v>82.3</v>
      </c>
      <c r="L47">
        <f>+C47-2*H47+2*G47+2*E47+D47+F47</f>
        <v>133.875</v>
      </c>
      <c r="M47">
        <f>+L47/12*J47</f>
        <v>918.159375</v>
      </c>
    </row>
    <row r="48" spans="2:13" ht="12.75">
      <c r="B48" t="s">
        <v>40</v>
      </c>
      <c r="C48">
        <v>16</v>
      </c>
      <c r="D48">
        <v>1.25</v>
      </c>
      <c r="E48">
        <v>18</v>
      </c>
      <c r="F48">
        <v>1.375</v>
      </c>
      <c r="G48">
        <v>42</v>
      </c>
      <c r="H48" s="7">
        <v>0.375</v>
      </c>
      <c r="J48">
        <v>54.5</v>
      </c>
      <c r="L48">
        <f>+C48-2*H48+2*G48+2*E48+D48+F48</f>
        <v>137.875</v>
      </c>
      <c r="M48">
        <f>+L48/12*J48</f>
        <v>626.1822916666667</v>
      </c>
    </row>
    <row r="50" ht="12.75">
      <c r="M50">
        <f>SUM(M44:M48)*12</f>
        <v>39680.35</v>
      </c>
    </row>
    <row r="52" spans="1:13" ht="12.75">
      <c r="A52" s="12" t="s">
        <v>56</v>
      </c>
      <c r="B52" s="11" t="s">
        <v>36</v>
      </c>
      <c r="C52">
        <v>14</v>
      </c>
      <c r="D52">
        <v>1.375</v>
      </c>
      <c r="E52">
        <v>18</v>
      </c>
      <c r="F52">
        <v>1.625</v>
      </c>
      <c r="G52" s="9">
        <v>40</v>
      </c>
      <c r="H52" s="7">
        <v>0.375</v>
      </c>
      <c r="J52" s="9">
        <v>88</v>
      </c>
      <c r="L52">
        <f>+C52-2*H52+2*G52+2*E52+D52+F52</f>
        <v>132.25</v>
      </c>
      <c r="M52">
        <f>+L52/12*J52</f>
        <v>969.8333333333334</v>
      </c>
    </row>
    <row r="53" spans="2:13" ht="12.75">
      <c r="B53" s="11" t="s">
        <v>37</v>
      </c>
      <c r="C53">
        <v>12</v>
      </c>
      <c r="D53">
        <v>1</v>
      </c>
      <c r="E53">
        <v>18</v>
      </c>
      <c r="F53">
        <v>1.25</v>
      </c>
      <c r="G53">
        <v>42</v>
      </c>
      <c r="H53" s="7">
        <v>0.375</v>
      </c>
      <c r="J53">
        <v>66.7</v>
      </c>
      <c r="L53">
        <f>+C53-2*H53+2*G53+2*E53+D53+F53</f>
        <v>133.5</v>
      </c>
      <c r="M53">
        <f>+L53/12*J53</f>
        <v>742.0375</v>
      </c>
    </row>
    <row r="54" spans="2:13" ht="12.75">
      <c r="B54" t="s">
        <v>38</v>
      </c>
      <c r="C54">
        <v>18</v>
      </c>
      <c r="D54">
        <v>1.625</v>
      </c>
      <c r="E54">
        <v>20</v>
      </c>
      <c r="F54">
        <v>2</v>
      </c>
      <c r="G54">
        <v>42</v>
      </c>
      <c r="H54" s="7">
        <v>0.375</v>
      </c>
      <c r="J54">
        <v>58.5</v>
      </c>
      <c r="L54">
        <f>+C54-2*H54+2*G54+2*E54+D54+F54</f>
        <v>144.875</v>
      </c>
      <c r="M54">
        <f>+L54/12*J54</f>
        <v>706.265625</v>
      </c>
    </row>
    <row r="55" spans="2:13" ht="12.75">
      <c r="B55" t="s">
        <v>39</v>
      </c>
      <c r="C55">
        <v>12</v>
      </c>
      <c r="D55">
        <v>1</v>
      </c>
      <c r="E55">
        <v>18</v>
      </c>
      <c r="F55">
        <v>1.625</v>
      </c>
      <c r="G55">
        <v>42</v>
      </c>
      <c r="H55" s="7">
        <v>0.375</v>
      </c>
      <c r="J55">
        <v>66.7</v>
      </c>
      <c r="L55">
        <f>+C55-2*H55+2*G55+2*E55+D55+F55</f>
        <v>133.875</v>
      </c>
      <c r="M55">
        <f>+L55/12*J55</f>
        <v>744.121875</v>
      </c>
    </row>
    <row r="56" spans="2:13" ht="12.75">
      <c r="B56" t="s">
        <v>40</v>
      </c>
      <c r="C56">
        <v>16</v>
      </c>
      <c r="D56">
        <v>1.25</v>
      </c>
      <c r="E56">
        <v>18</v>
      </c>
      <c r="F56">
        <v>1.625</v>
      </c>
      <c r="G56">
        <v>42</v>
      </c>
      <c r="H56" s="7">
        <v>0.375</v>
      </c>
      <c r="J56">
        <v>46.55</v>
      </c>
      <c r="L56">
        <f>+C56-2*H56+2*G56+2*E56+D56+F56</f>
        <v>138.125</v>
      </c>
      <c r="M56">
        <f>+L56/12*J56</f>
        <v>535.8098958333333</v>
      </c>
    </row>
    <row r="57" spans="2:13" ht="12.75">
      <c r="B57" t="s">
        <v>41</v>
      </c>
      <c r="C57">
        <v>12</v>
      </c>
      <c r="D57">
        <v>0.875</v>
      </c>
      <c r="E57">
        <v>14</v>
      </c>
      <c r="F57">
        <v>1.5</v>
      </c>
      <c r="G57">
        <v>42</v>
      </c>
      <c r="H57" s="7">
        <v>0.375</v>
      </c>
      <c r="J57">
        <v>89.8</v>
      </c>
      <c r="L57">
        <f>+C57-2*H57+2*G57+2*E57+D57+F57</f>
        <v>125.625</v>
      </c>
      <c r="M57">
        <f>+L57/12*J57</f>
        <v>940.09375</v>
      </c>
    </row>
    <row r="58" spans="2:13" ht="12.75">
      <c r="B58" t="s">
        <v>42</v>
      </c>
      <c r="C58">
        <v>12</v>
      </c>
      <c r="D58">
        <v>0.75</v>
      </c>
      <c r="E58">
        <v>12</v>
      </c>
      <c r="F58">
        <v>1.375</v>
      </c>
      <c r="G58">
        <v>42</v>
      </c>
      <c r="H58" s="7">
        <v>0.375</v>
      </c>
      <c r="J58">
        <v>54.8</v>
      </c>
      <c r="L58">
        <f>+C58-2*H58+2*G58+2*E58+D58+F58</f>
        <v>121.375</v>
      </c>
      <c r="M58">
        <f>+L58/12*J58</f>
        <v>554.2791666666667</v>
      </c>
    </row>
    <row r="60" ht="12.75">
      <c r="M60">
        <f>SUM(M52:M58)*16</f>
        <v>83079.05833333332</v>
      </c>
    </row>
    <row r="62" spans="13:14" ht="12.75">
      <c r="M62">
        <f>SUM(M60,M50,M42,M34,M26,M18,M14)</f>
        <v>151324.71416666664</v>
      </c>
      <c r="N62" t="s">
        <v>43</v>
      </c>
    </row>
    <row r="64" spans="13:14" ht="12.75">
      <c r="M64">
        <f>M62*0.15</f>
        <v>22698.707124999997</v>
      </c>
      <c r="N64" t="s">
        <v>44</v>
      </c>
    </row>
    <row r="65" ht="13.5" thickBot="1"/>
    <row r="66" spans="12:14" ht="13.5" thickBot="1">
      <c r="L66" t="s">
        <v>45</v>
      </c>
      <c r="M66" s="14">
        <f>SUM(M62,M64)</f>
        <v>174023.42129166663</v>
      </c>
      <c r="N66" t="s">
        <v>20</v>
      </c>
    </row>
    <row r="69" spans="1:13" ht="12.75">
      <c r="A69" t="s">
        <v>57</v>
      </c>
      <c r="B69" s="11" t="s">
        <v>36</v>
      </c>
      <c r="C69">
        <v>18</v>
      </c>
      <c r="D69">
        <v>1.5</v>
      </c>
      <c r="E69">
        <v>18</v>
      </c>
      <c r="F69">
        <v>1.5</v>
      </c>
      <c r="G69">
        <v>42</v>
      </c>
      <c r="H69" s="7">
        <v>0.875</v>
      </c>
      <c r="J69">
        <v>68</v>
      </c>
      <c r="L69">
        <f>+C69-2*H69+2*G69+2*E69+D69+F69</f>
        <v>139.25</v>
      </c>
      <c r="M69">
        <f>+L69/12*J69</f>
        <v>789.0833333333333</v>
      </c>
    </row>
    <row r="70" spans="1:13" ht="12.75">
      <c r="A70" t="s">
        <v>58</v>
      </c>
      <c r="B70" t="s">
        <v>36</v>
      </c>
      <c r="C70">
        <v>24</v>
      </c>
      <c r="D70">
        <v>1.375</v>
      </c>
      <c r="E70">
        <v>24</v>
      </c>
      <c r="F70">
        <v>1.375</v>
      </c>
      <c r="G70">
        <v>42</v>
      </c>
      <c r="H70" s="7">
        <v>0.875</v>
      </c>
      <c r="J70">
        <v>71.33</v>
      </c>
      <c r="L70">
        <f>+C70-2*H70+2*G70+2*E70+D70+F70</f>
        <v>157</v>
      </c>
      <c r="M70">
        <f>+L70/12*J70</f>
        <v>933.2341666666667</v>
      </c>
    </row>
    <row r="71" spans="1:13" ht="12.75">
      <c r="A71" t="s">
        <v>59</v>
      </c>
      <c r="B71" t="s">
        <v>36</v>
      </c>
      <c r="C71">
        <v>18</v>
      </c>
      <c r="D71">
        <v>1.75</v>
      </c>
      <c r="E71">
        <v>18</v>
      </c>
      <c r="F71">
        <v>1.75</v>
      </c>
      <c r="G71">
        <v>42</v>
      </c>
      <c r="H71">
        <v>0.875</v>
      </c>
      <c r="J71">
        <v>74.25</v>
      </c>
      <c r="L71">
        <f>+C71-2*H71+2*G71+2*E71+D71+F71</f>
        <v>139.75</v>
      </c>
      <c r="M71">
        <f>+L71/12*J71</f>
        <v>864.703125</v>
      </c>
    </row>
    <row r="72" spans="1:13" ht="12.75">
      <c r="A72" t="s">
        <v>60</v>
      </c>
      <c r="B72" t="s">
        <v>36</v>
      </c>
      <c r="C72">
        <v>24</v>
      </c>
      <c r="D72">
        <v>1.5</v>
      </c>
      <c r="E72">
        <v>24</v>
      </c>
      <c r="F72">
        <v>1.5</v>
      </c>
      <c r="G72">
        <v>48</v>
      </c>
      <c r="H72">
        <v>0.875</v>
      </c>
      <c r="J72">
        <v>77</v>
      </c>
      <c r="L72">
        <f>+C72-2*H72+2*G72+2*E72+D72+F72</f>
        <v>169.25</v>
      </c>
      <c r="M72">
        <f>+L72/12*J72</f>
        <v>1086.0208333333333</v>
      </c>
    </row>
    <row r="73" spans="1:13" ht="12.75">
      <c r="A73" t="s">
        <v>61</v>
      </c>
      <c r="B73" t="s">
        <v>36</v>
      </c>
      <c r="C73">
        <v>18</v>
      </c>
      <c r="D73">
        <v>1.5</v>
      </c>
      <c r="E73">
        <v>18</v>
      </c>
      <c r="F73">
        <v>1.5</v>
      </c>
      <c r="G73">
        <v>42</v>
      </c>
      <c r="H73">
        <v>0.875</v>
      </c>
      <c r="J73">
        <v>66.25</v>
      </c>
      <c r="L73">
        <f>+C73-2*H73+2*G73+2*E73+D73+F73</f>
        <v>139.25</v>
      </c>
      <c r="M73">
        <f>+L73/12*J73</f>
        <v>768.7760416666666</v>
      </c>
    </row>
    <row r="74" spans="1:13" ht="12.75">
      <c r="A74" t="s">
        <v>62</v>
      </c>
      <c r="B74" t="s">
        <v>36</v>
      </c>
      <c r="C74">
        <v>18</v>
      </c>
      <c r="D74">
        <v>1.5</v>
      </c>
      <c r="E74">
        <v>18</v>
      </c>
      <c r="F74">
        <v>1.5</v>
      </c>
      <c r="G74">
        <v>42</v>
      </c>
      <c r="H74">
        <v>0.875</v>
      </c>
      <c r="J74">
        <v>61.5</v>
      </c>
      <c r="L74">
        <f>+C74-2*H74+2*G74+2*E74+D74+F74</f>
        <v>139.25</v>
      </c>
      <c r="M74">
        <f>+L74/12*J74</f>
        <v>713.65625</v>
      </c>
    </row>
    <row r="76" ht="12.75">
      <c r="M76">
        <f>SUM(M69:M74)</f>
        <v>5155.47375</v>
      </c>
    </row>
    <row r="78" ht="12.75">
      <c r="M78">
        <f>M76*0.15</f>
        <v>773.3210625</v>
      </c>
    </row>
    <row r="79" ht="13.5" thickBot="1"/>
    <row r="80" spans="12:14" ht="13.5" thickBot="1">
      <c r="L80" t="s">
        <v>45</v>
      </c>
      <c r="M80" s="14">
        <f>SUM(M76,M78)</f>
        <v>5928.7948125</v>
      </c>
      <c r="N80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79"/>
  <sheetViews>
    <sheetView zoomScalePageLayoutView="0" workbookViewId="0" topLeftCell="A1">
      <selection activeCell="J80" sqref="J80"/>
    </sheetView>
  </sheetViews>
  <sheetFormatPr defaultColWidth="9.140625" defaultRowHeight="12.75"/>
  <cols>
    <col min="1" max="1" width="12.00390625" style="0" customWidth="1"/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4" ht="12.75">
      <c r="A5" t="s">
        <v>1</v>
      </c>
      <c r="B5">
        <v>76</v>
      </c>
      <c r="C5" s="1" t="s">
        <v>49</v>
      </c>
      <c r="D5" s="1"/>
    </row>
    <row r="6" spans="1:2" ht="12.75">
      <c r="A6" t="s">
        <v>2</v>
      </c>
      <c r="B6">
        <v>7706456</v>
      </c>
    </row>
    <row r="9" spans="6:10" ht="12.75">
      <c r="F9" s="2" t="s">
        <v>15</v>
      </c>
      <c r="J9" s="2"/>
    </row>
    <row r="10" spans="1:10" ht="12.75">
      <c r="A10" t="s">
        <v>7</v>
      </c>
      <c r="C10" s="8" t="s">
        <v>9</v>
      </c>
      <c r="D10" s="8"/>
      <c r="E10" s="8"/>
      <c r="F10" s="2" t="s">
        <v>14</v>
      </c>
      <c r="H10" t="s">
        <v>4</v>
      </c>
      <c r="I10" t="s">
        <v>18</v>
      </c>
      <c r="J10" s="2" t="s">
        <v>5</v>
      </c>
    </row>
    <row r="11" spans="1:17" ht="12.75">
      <c r="A11" t="s">
        <v>8</v>
      </c>
      <c r="B11" t="s">
        <v>3</v>
      </c>
      <c r="C11" t="s">
        <v>10</v>
      </c>
      <c r="E11" s="3" t="s">
        <v>11</v>
      </c>
      <c r="F11" s="2" t="s">
        <v>13</v>
      </c>
      <c r="H11" t="s">
        <v>17</v>
      </c>
      <c r="J11" s="2" t="s">
        <v>6</v>
      </c>
      <c r="N11" t="s">
        <v>21</v>
      </c>
      <c r="O11" t="s">
        <v>22</v>
      </c>
      <c r="P11" t="s">
        <v>23</v>
      </c>
      <c r="Q11" t="s">
        <v>24</v>
      </c>
    </row>
    <row r="12" spans="1:18" ht="12.75">
      <c r="A12" s="12" t="s">
        <v>50</v>
      </c>
      <c r="C12" t="s">
        <v>12</v>
      </c>
      <c r="D12" s="2" t="s">
        <v>16</v>
      </c>
      <c r="E12">
        <v>160</v>
      </c>
      <c r="F12" s="2">
        <f>IF(C12="W36",VLOOKUP(E12,'Lookup Table'!$B$4:$C$25,2,FALSE),"no value")</f>
        <v>8.79</v>
      </c>
      <c r="H12" s="4">
        <v>57.16</v>
      </c>
      <c r="I12" s="5">
        <v>1</v>
      </c>
      <c r="J12" s="5">
        <f>+F12*H12*I12</f>
        <v>502.43639999999994</v>
      </c>
      <c r="N12">
        <v>45</v>
      </c>
      <c r="O12">
        <v>0</v>
      </c>
      <c r="P12">
        <v>12</v>
      </c>
      <c r="Q12">
        <v>16</v>
      </c>
      <c r="R12" s="4">
        <f>(+P12/Q12+O12)/12+N12</f>
        <v>45.0625</v>
      </c>
    </row>
    <row r="13" spans="3:18" ht="12.75">
      <c r="C13" t="s">
        <v>12</v>
      </c>
      <c r="D13" s="2" t="s">
        <v>16</v>
      </c>
      <c r="E13">
        <v>300</v>
      </c>
      <c r="F13" s="2">
        <f>IF(C13="W36",VLOOKUP(E13,'Lookup Table'!$B$4:$C$25,2,FALSE),"no value")</f>
        <v>9.99</v>
      </c>
      <c r="H13" s="4">
        <f>24.5+27</f>
        <v>51.5</v>
      </c>
      <c r="I13" s="5">
        <v>1</v>
      </c>
      <c r="J13" s="5">
        <f>+F13*H13*I13</f>
        <v>514.485</v>
      </c>
      <c r="N13">
        <v>1</v>
      </c>
      <c r="O13">
        <v>8</v>
      </c>
      <c r="P13">
        <v>0</v>
      </c>
      <c r="Q13">
        <v>16</v>
      </c>
      <c r="R13" s="4">
        <f>(+P13/Q13+O13)/12+N13</f>
        <v>1.6666666666666665</v>
      </c>
    </row>
    <row r="14" spans="3:18" ht="12.75">
      <c r="C14" t="s">
        <v>12</v>
      </c>
      <c r="D14" s="2" t="s">
        <v>16</v>
      </c>
      <c r="E14">
        <v>230</v>
      </c>
      <c r="F14" s="2">
        <f>IF(C14="W36",VLOOKUP(E14,'Lookup Table'!$B$4:$C$25,2,FALSE),"no value")</f>
        <v>9.84</v>
      </c>
      <c r="H14" s="4">
        <v>84.25</v>
      </c>
      <c r="I14" s="5">
        <v>1</v>
      </c>
      <c r="J14" s="5">
        <f>+F14*H14*I14</f>
        <v>829.02</v>
      </c>
      <c r="Q14">
        <v>16</v>
      </c>
      <c r="R14" s="4">
        <f>(+P14/Q14+O14)/12+N14</f>
        <v>0</v>
      </c>
    </row>
    <row r="15" spans="3:18" ht="12.75">
      <c r="C15" t="s">
        <v>12</v>
      </c>
      <c r="D15" s="2" t="s">
        <v>16</v>
      </c>
      <c r="E15">
        <v>170</v>
      </c>
      <c r="F15" s="2">
        <f>IF(C15="W36",VLOOKUP(E15,'Lookup Table'!$B$4:$C$25,2,FALSE),"no value")</f>
        <v>8.82</v>
      </c>
      <c r="H15" s="4">
        <v>68</v>
      </c>
      <c r="I15" s="5">
        <v>1</v>
      </c>
      <c r="J15" s="5">
        <f>+F15*H15*I15</f>
        <v>599.76</v>
      </c>
      <c r="Q15">
        <v>16</v>
      </c>
      <c r="R15" s="4">
        <f>(+P15/Q15+O15)/12+N15</f>
        <v>0</v>
      </c>
    </row>
    <row r="16" spans="3:18" ht="12.75">
      <c r="C16" t="s">
        <v>12</v>
      </c>
      <c r="D16" s="2" t="s">
        <v>16</v>
      </c>
      <c r="E16">
        <v>135</v>
      </c>
      <c r="F16" s="2">
        <f>IF(C16="W36",VLOOKUP(E16,'Lookup Table'!$B$4:$C$25,2,FALSE),"no value")</f>
        <v>8.71</v>
      </c>
      <c r="H16" s="4">
        <v>47</v>
      </c>
      <c r="I16" s="5">
        <v>1</v>
      </c>
      <c r="J16" s="5">
        <f>+F16*H16*I16</f>
        <v>409.37000000000006</v>
      </c>
      <c r="R16" s="4"/>
    </row>
    <row r="17" spans="3:18" ht="12.75">
      <c r="C17" t="s">
        <v>12</v>
      </c>
      <c r="D17" s="2" t="s">
        <v>16</v>
      </c>
      <c r="E17">
        <v>230</v>
      </c>
      <c r="F17" s="2">
        <f>IF(C17="W36",VLOOKUP(E17,'Lookup Table'!$B$4:$C$25,2,FALSE),"no value")</f>
        <v>9.84</v>
      </c>
      <c r="H17" s="4">
        <v>44</v>
      </c>
      <c r="I17" s="5">
        <v>1</v>
      </c>
      <c r="J17" s="5">
        <f>+F17*H17*I17</f>
        <v>432.96</v>
      </c>
      <c r="R17" s="4">
        <f>SUM(R12:R16)</f>
        <v>46.729166666666664</v>
      </c>
    </row>
    <row r="18" spans="3:18" ht="12.75">
      <c r="C18" t="s">
        <v>12</v>
      </c>
      <c r="D18" s="2" t="s">
        <v>16</v>
      </c>
      <c r="E18">
        <v>170</v>
      </c>
      <c r="F18" s="2">
        <f>IF(C18="W36",VLOOKUP(E18,'Lookup Table'!$B$4:$C$25,2,FALSE),"no value")</f>
        <v>8.82</v>
      </c>
      <c r="H18" s="10">
        <v>67.5</v>
      </c>
      <c r="I18" s="5">
        <v>1</v>
      </c>
      <c r="J18" s="5">
        <f>+F18*H18*I18</f>
        <v>595.35</v>
      </c>
      <c r="R18" s="4"/>
    </row>
    <row r="19" spans="3:18" ht="12.75">
      <c r="C19" t="s">
        <v>12</v>
      </c>
      <c r="D19" s="2" t="s">
        <v>16</v>
      </c>
      <c r="E19">
        <v>210</v>
      </c>
      <c r="F19" s="2">
        <f>IF(C19="W36",VLOOKUP(E19,'Lookup Table'!$B$4:$C$25,2,FALSE),"no value")</f>
        <v>8.91</v>
      </c>
      <c r="H19" s="10">
        <v>87.86</v>
      </c>
      <c r="I19" s="5">
        <v>1</v>
      </c>
      <c r="J19" s="5">
        <f>+F19*H19*I19</f>
        <v>782.8326</v>
      </c>
      <c r="R19" s="4"/>
    </row>
    <row r="20" spans="3:18" ht="12.75">
      <c r="C20" t="s">
        <v>12</v>
      </c>
      <c r="D20" s="2" t="s">
        <v>16</v>
      </c>
      <c r="E20">
        <v>182</v>
      </c>
      <c r="F20" s="2">
        <f>IF(C20="W36",VLOOKUP(E20,'Lookup Table'!$B$4:$C$25,2,FALSE),"no value")</f>
        <v>8.85</v>
      </c>
      <c r="H20" s="10">
        <v>82.5</v>
      </c>
      <c r="I20" s="5">
        <v>1</v>
      </c>
      <c r="J20" s="5">
        <f>+F20*H20*I20</f>
        <v>730.125</v>
      </c>
      <c r="R20" s="4"/>
    </row>
    <row r="21" spans="3:18" ht="12.75">
      <c r="C21" t="s">
        <v>12</v>
      </c>
      <c r="D21" s="2" t="s">
        <v>16</v>
      </c>
      <c r="E21">
        <v>135</v>
      </c>
      <c r="F21" s="2">
        <f>IF(C21="W36",VLOOKUP(E21,'Lookup Table'!$B$4:$C$25,2,FALSE),"no value")</f>
        <v>8.71</v>
      </c>
      <c r="H21" s="10">
        <v>67.72</v>
      </c>
      <c r="I21" s="5">
        <v>1</v>
      </c>
      <c r="J21" s="5">
        <f>+F21*H21*I21</f>
        <v>589.8412000000001</v>
      </c>
      <c r="R21" s="4"/>
    </row>
    <row r="22" spans="4:18" ht="12.75">
      <c r="D22" s="2"/>
      <c r="F22" s="2"/>
      <c r="H22" s="4"/>
      <c r="I22" s="5"/>
      <c r="J22" s="5"/>
      <c r="R22" s="4"/>
    </row>
    <row r="23" spans="4:18" ht="12.75">
      <c r="D23" s="2"/>
      <c r="F23" s="2"/>
      <c r="H23" s="4"/>
      <c r="I23" s="5"/>
      <c r="J23" s="5">
        <f>SUM(J12:J21)*2</f>
        <v>11972.3604</v>
      </c>
      <c r="R23" s="4"/>
    </row>
    <row r="24" spans="4:18" ht="12.75">
      <c r="D24" s="2"/>
      <c r="F24" s="2"/>
      <c r="H24" s="4"/>
      <c r="I24" s="5"/>
      <c r="J24" s="5"/>
      <c r="R24" s="4"/>
    </row>
    <row r="25" spans="1:18" ht="12.75">
      <c r="A25" s="12" t="s">
        <v>51</v>
      </c>
      <c r="C25" t="s">
        <v>12</v>
      </c>
      <c r="D25" s="2" t="s">
        <v>16</v>
      </c>
      <c r="E25">
        <v>135</v>
      </c>
      <c r="F25" s="2">
        <f>IF(C25="W36",VLOOKUP(E25,'Lookup Table'!$B$4:$C$25,2,FALSE),"no value")</f>
        <v>8.71</v>
      </c>
      <c r="H25" s="4">
        <v>142.93</v>
      </c>
      <c r="I25" s="5">
        <v>1</v>
      </c>
      <c r="J25" s="5">
        <f>+F25*H25*I25</f>
        <v>1244.9203000000002</v>
      </c>
      <c r="R25" s="4"/>
    </row>
    <row r="26" spans="4:18" ht="12.75">
      <c r="D26" s="2"/>
      <c r="F26" s="2"/>
      <c r="H26" s="4"/>
      <c r="I26" s="5"/>
      <c r="J26" s="5"/>
      <c r="R26" s="4"/>
    </row>
    <row r="27" spans="4:18" ht="12.75">
      <c r="D27" s="2"/>
      <c r="F27" s="2"/>
      <c r="H27" s="4"/>
      <c r="I27" s="5"/>
      <c r="J27" s="5">
        <f>J25*2</f>
        <v>2489.8406000000004</v>
      </c>
      <c r="R27" s="4"/>
    </row>
    <row r="28" spans="4:18" ht="12.75">
      <c r="D28" s="2"/>
      <c r="F28" s="2"/>
      <c r="H28" s="4"/>
      <c r="I28" s="5"/>
      <c r="J28" s="5"/>
      <c r="R28" s="4"/>
    </row>
    <row r="29" spans="1:18" ht="12.75">
      <c r="A29" s="12" t="s">
        <v>53</v>
      </c>
      <c r="C29" t="s">
        <v>12</v>
      </c>
      <c r="D29" s="2" t="s">
        <v>16</v>
      </c>
      <c r="E29">
        <v>170</v>
      </c>
      <c r="F29" s="2">
        <f>IF(C29="W36",VLOOKUP(E29,'Lookup Table'!$B$4:$C$25,2,FALSE),"no value")</f>
        <v>8.82</v>
      </c>
      <c r="H29" s="4">
        <v>76</v>
      </c>
      <c r="I29" s="5">
        <v>1</v>
      </c>
      <c r="J29" s="5">
        <f aca="true" t="shared" si="0" ref="J29:J35">+F29*H29*I29</f>
        <v>670.32</v>
      </c>
      <c r="R29" s="4"/>
    </row>
    <row r="30" spans="3:18" ht="12.75">
      <c r="C30" t="s">
        <v>12</v>
      </c>
      <c r="D30" s="2" t="s">
        <v>16</v>
      </c>
      <c r="E30">
        <v>135</v>
      </c>
      <c r="F30" s="2">
        <f>IF(C30="W36",VLOOKUP(E30,'Lookup Table'!$B$4:$C$25,2,FALSE),"no value")</f>
        <v>8.71</v>
      </c>
      <c r="H30" s="4">
        <v>47</v>
      </c>
      <c r="I30" s="5">
        <v>1</v>
      </c>
      <c r="J30" s="5">
        <f t="shared" si="0"/>
        <v>409.37000000000006</v>
      </c>
      <c r="R30" s="4"/>
    </row>
    <row r="31" spans="3:18" ht="12.75">
      <c r="C31" t="s">
        <v>12</v>
      </c>
      <c r="D31" s="2" t="s">
        <v>16</v>
      </c>
      <c r="E31">
        <v>230</v>
      </c>
      <c r="F31" s="2">
        <f>IF(C31="W36",VLOOKUP(E31,'Lookup Table'!$B$4:$C$25,2,FALSE),"no value")</f>
        <v>9.84</v>
      </c>
      <c r="H31" s="4">
        <v>44</v>
      </c>
      <c r="I31" s="5">
        <v>1</v>
      </c>
      <c r="J31" s="5">
        <f t="shared" si="0"/>
        <v>432.96</v>
      </c>
      <c r="R31" s="4"/>
    </row>
    <row r="32" spans="3:18" ht="12.75">
      <c r="C32" t="s">
        <v>12</v>
      </c>
      <c r="D32" s="2" t="s">
        <v>16</v>
      </c>
      <c r="E32">
        <v>170</v>
      </c>
      <c r="F32" s="2">
        <f>IF(C32="W36",VLOOKUP(E32,'Lookup Table'!$B$4:$C$25,2,FALSE),"no value")</f>
        <v>8.82</v>
      </c>
      <c r="H32" s="4">
        <v>67.5</v>
      </c>
      <c r="I32" s="5">
        <v>1</v>
      </c>
      <c r="J32" s="5">
        <f t="shared" si="0"/>
        <v>595.35</v>
      </c>
      <c r="R32" s="4"/>
    </row>
    <row r="33" spans="3:18" ht="12.75">
      <c r="C33" t="s">
        <v>12</v>
      </c>
      <c r="D33" s="2" t="s">
        <v>16</v>
      </c>
      <c r="E33">
        <v>210</v>
      </c>
      <c r="F33" s="2">
        <f>IF(C33="W36",VLOOKUP(E33,'Lookup Table'!$B$4:$C$25,2,FALSE),"no value")</f>
        <v>8.91</v>
      </c>
      <c r="H33" s="4">
        <v>88.1</v>
      </c>
      <c r="I33" s="5">
        <v>1</v>
      </c>
      <c r="J33" s="5">
        <f t="shared" si="0"/>
        <v>784.971</v>
      </c>
      <c r="R33" s="4"/>
    </row>
    <row r="34" spans="3:18" ht="12.75">
      <c r="C34" t="s">
        <v>12</v>
      </c>
      <c r="D34" s="2" t="s">
        <v>16</v>
      </c>
      <c r="E34">
        <v>194</v>
      </c>
      <c r="F34" s="2">
        <f>IF(C34="W36",VLOOKUP(E34,'Lookup Table'!$B$4:$C$25,2,FALSE),"no value")</f>
        <v>8.88</v>
      </c>
      <c r="H34" s="4">
        <v>88.1</v>
      </c>
      <c r="I34" s="5">
        <v>1</v>
      </c>
      <c r="J34" s="5">
        <f t="shared" si="0"/>
        <v>782.328</v>
      </c>
      <c r="R34" s="4"/>
    </row>
    <row r="35" spans="3:18" ht="12.75">
      <c r="C35" t="s">
        <v>12</v>
      </c>
      <c r="D35" s="2" t="s">
        <v>16</v>
      </c>
      <c r="E35">
        <v>170</v>
      </c>
      <c r="F35" s="2">
        <f>IF(C35="W36",VLOOKUP(E35,'Lookup Table'!$B$4:$C$25,2,FALSE),"no value")</f>
        <v>8.82</v>
      </c>
      <c r="H35" s="4">
        <v>68.1</v>
      </c>
      <c r="I35" s="5">
        <v>1</v>
      </c>
      <c r="J35" s="5">
        <f t="shared" si="0"/>
        <v>600.6419999999999</v>
      </c>
      <c r="R35" s="4"/>
    </row>
    <row r="36" spans="4:18" ht="12.75">
      <c r="D36" s="2"/>
      <c r="F36" s="2"/>
      <c r="H36" s="4"/>
      <c r="I36" s="5"/>
      <c r="J36" s="5"/>
      <c r="R36" s="4"/>
    </row>
    <row r="37" spans="4:18" ht="12.75">
      <c r="D37" s="2"/>
      <c r="F37" s="2"/>
      <c r="H37" s="4"/>
      <c r="I37" s="5"/>
      <c r="J37" s="5">
        <f>SUM(J29:J35)*2</f>
        <v>8551.882</v>
      </c>
      <c r="R37" s="4"/>
    </row>
    <row r="38" spans="4:18" ht="12.75">
      <c r="D38" s="2"/>
      <c r="F38" s="2"/>
      <c r="H38" s="4"/>
      <c r="I38" s="5"/>
      <c r="J38" s="5"/>
      <c r="R38" s="4"/>
    </row>
    <row r="39" spans="1:18" ht="12.75">
      <c r="A39" s="12" t="s">
        <v>54</v>
      </c>
      <c r="C39" t="s">
        <v>12</v>
      </c>
      <c r="D39" s="2" t="s">
        <v>16</v>
      </c>
      <c r="E39">
        <v>160</v>
      </c>
      <c r="F39" s="2">
        <f>IF(C39="W36",VLOOKUP(E39,'Lookup Table'!$B$4:$C$25,2,FALSE),"no value")</f>
        <v>8.79</v>
      </c>
      <c r="H39" s="4">
        <v>57</v>
      </c>
      <c r="I39" s="5">
        <v>1</v>
      </c>
      <c r="J39" s="5">
        <f aca="true" t="shared" si="1" ref="J39:J45">+F39*H39*I39</f>
        <v>501.03</v>
      </c>
      <c r="R39" s="4"/>
    </row>
    <row r="40" spans="3:18" ht="12.75">
      <c r="C40" t="s">
        <v>12</v>
      </c>
      <c r="D40" s="2" t="s">
        <v>16</v>
      </c>
      <c r="E40">
        <v>300</v>
      </c>
      <c r="F40" s="2">
        <f>IF(C40="W36",VLOOKUP(E40,'Lookup Table'!$B$4:$C$25,2,FALSE),"no value")</f>
        <v>9.99</v>
      </c>
      <c r="H40" s="4">
        <v>51.66</v>
      </c>
      <c r="I40" s="5">
        <v>1</v>
      </c>
      <c r="J40" s="5">
        <f t="shared" si="1"/>
        <v>516.0834</v>
      </c>
      <c r="R40" s="4"/>
    </row>
    <row r="41" spans="3:18" ht="12.75">
      <c r="C41" t="s">
        <v>12</v>
      </c>
      <c r="D41" s="2" t="s">
        <v>16</v>
      </c>
      <c r="E41">
        <v>230</v>
      </c>
      <c r="F41" s="2">
        <f>IF(C41="W36",VLOOKUP(E41,'Lookup Table'!$B$4:$C$25,2,FALSE),"no value")</f>
        <v>9.84</v>
      </c>
      <c r="H41" s="4">
        <f>8+13+63</f>
        <v>84</v>
      </c>
      <c r="I41" s="5">
        <v>1</v>
      </c>
      <c r="J41" s="5">
        <f t="shared" si="1"/>
        <v>826.56</v>
      </c>
      <c r="R41" s="4"/>
    </row>
    <row r="42" spans="3:18" ht="12.75">
      <c r="C42" t="s">
        <v>12</v>
      </c>
      <c r="D42" s="2" t="s">
        <v>16</v>
      </c>
      <c r="E42">
        <v>230</v>
      </c>
      <c r="F42" s="2">
        <f>IF(C42="W36",VLOOKUP(E42,'Lookup Table'!$B$4:$C$25,2,FALSE),"no value")</f>
        <v>9.84</v>
      </c>
      <c r="H42" s="4">
        <f>51+17</f>
        <v>68</v>
      </c>
      <c r="I42" s="5">
        <v>1</v>
      </c>
      <c r="J42" s="5">
        <f t="shared" si="1"/>
        <v>669.12</v>
      </c>
      <c r="R42" s="4"/>
    </row>
    <row r="43" spans="3:18" ht="12.75">
      <c r="C43" t="s">
        <v>12</v>
      </c>
      <c r="D43" s="2" t="s">
        <v>16</v>
      </c>
      <c r="E43">
        <v>150</v>
      </c>
      <c r="F43" s="2">
        <f>IF(C43="W36",VLOOKUP(E43,'Lookup Table'!$B$4:$C$25,2,FALSE),"no value")</f>
        <v>8.76</v>
      </c>
      <c r="H43" s="4">
        <v>47</v>
      </c>
      <c r="I43" s="5">
        <v>1</v>
      </c>
      <c r="J43" s="5">
        <f t="shared" si="1"/>
        <v>411.71999999999997</v>
      </c>
      <c r="R43" s="4"/>
    </row>
    <row r="44" spans="3:18" ht="12.75">
      <c r="C44" t="s">
        <v>12</v>
      </c>
      <c r="D44" s="2" t="s">
        <v>16</v>
      </c>
      <c r="E44">
        <v>245</v>
      </c>
      <c r="F44" s="2">
        <f>IF(C44="W36",VLOOKUP(E44,'Lookup Table'!$B$4:$C$25,2,FALSE),"no value")</f>
        <v>9.87</v>
      </c>
      <c r="H44" s="4">
        <v>44</v>
      </c>
      <c r="I44" s="5">
        <v>1</v>
      </c>
      <c r="J44" s="5">
        <f t="shared" si="1"/>
        <v>434.28</v>
      </c>
      <c r="R44" s="4"/>
    </row>
    <row r="45" spans="3:18" ht="12.75">
      <c r="C45" t="s">
        <v>12</v>
      </c>
      <c r="D45" s="2" t="s">
        <v>16</v>
      </c>
      <c r="E45">
        <v>182</v>
      </c>
      <c r="F45" s="2">
        <f>IF(C45="W36",VLOOKUP(E45,'Lookup Table'!$B$4:$C$25,2,FALSE),"no value")</f>
        <v>8.85</v>
      </c>
      <c r="H45" s="4">
        <v>67.6</v>
      </c>
      <c r="I45" s="5">
        <v>1</v>
      </c>
      <c r="J45" s="5">
        <f t="shared" si="1"/>
        <v>598.2599999999999</v>
      </c>
      <c r="R45" s="4"/>
    </row>
    <row r="46" spans="3:18" ht="12.75">
      <c r="C46" t="s">
        <v>12</v>
      </c>
      <c r="D46" s="2" t="s">
        <v>16</v>
      </c>
      <c r="E46">
        <v>194</v>
      </c>
      <c r="F46" s="2">
        <f>IF(C46="W36",VLOOKUP(E46,'Lookup Table'!$B$4:$C$25,2,FALSE),"no value")</f>
        <v>8.88</v>
      </c>
      <c r="H46" s="4">
        <v>88.37</v>
      </c>
      <c r="I46" s="5">
        <v>1</v>
      </c>
      <c r="J46" s="5">
        <f>+F46*H46*I46</f>
        <v>784.7256000000001</v>
      </c>
      <c r="R46" s="4"/>
    </row>
    <row r="47" spans="3:18" ht="12.75">
      <c r="C47" t="s">
        <v>12</v>
      </c>
      <c r="D47" s="2" t="s">
        <v>16</v>
      </c>
      <c r="E47">
        <v>194</v>
      </c>
      <c r="F47" s="2">
        <f>IF(C47="W36",VLOOKUP(E47,'Lookup Table'!$B$4:$C$25,2,FALSE),"no value")</f>
        <v>8.88</v>
      </c>
      <c r="H47" s="4">
        <v>88.37</v>
      </c>
      <c r="I47" s="5">
        <v>1</v>
      </c>
      <c r="J47" s="5">
        <f>+F47*H47*I47</f>
        <v>784.7256000000001</v>
      </c>
      <c r="R47" s="4"/>
    </row>
    <row r="48" spans="3:18" ht="12.75">
      <c r="C48" t="s">
        <v>12</v>
      </c>
      <c r="D48" s="2" t="s">
        <v>16</v>
      </c>
      <c r="E48">
        <v>182</v>
      </c>
      <c r="F48" s="2">
        <f>IF(C48="W36",VLOOKUP(E48,'Lookup Table'!$B$4:$C$25,2,FALSE),"no value")</f>
        <v>8.85</v>
      </c>
      <c r="H48" s="4">
        <v>68.36</v>
      </c>
      <c r="I48" s="5">
        <v>1</v>
      </c>
      <c r="J48" s="5">
        <f>+F48*H48*I48</f>
        <v>604.986</v>
      </c>
      <c r="R48" s="4"/>
    </row>
    <row r="49" spans="4:18" ht="12.75">
      <c r="D49" s="2"/>
      <c r="F49" s="2"/>
      <c r="H49" s="4"/>
      <c r="I49" s="5"/>
      <c r="J49" s="5"/>
      <c r="R49" s="4"/>
    </row>
    <row r="50" spans="4:18" ht="12.75">
      <c r="D50" s="2"/>
      <c r="F50" s="2"/>
      <c r="H50" s="4"/>
      <c r="I50" s="5"/>
      <c r="J50" s="5">
        <f>SUM(J39:J48)*2</f>
        <v>12262.981199999998</v>
      </c>
      <c r="R50" s="4"/>
    </row>
    <row r="51" spans="4:18" ht="12.75">
      <c r="D51" s="2"/>
      <c r="F51" s="2"/>
      <c r="H51" s="4"/>
      <c r="I51" s="5"/>
      <c r="J51" s="5"/>
      <c r="R51" s="4"/>
    </row>
    <row r="52" spans="1:18" ht="12.75">
      <c r="A52" t="s">
        <v>55</v>
      </c>
      <c r="C52" t="s">
        <v>12</v>
      </c>
      <c r="D52" s="2" t="s">
        <v>16</v>
      </c>
      <c r="E52">
        <v>160</v>
      </c>
      <c r="F52" s="2">
        <f>IF(C52="W36",VLOOKUP(E52,'Lookup Table'!$B$4:$C$25,2,FALSE),"no value")</f>
        <v>8.79</v>
      </c>
      <c r="H52" s="4">
        <v>56.5</v>
      </c>
      <c r="I52" s="5">
        <v>1</v>
      </c>
      <c r="J52" s="5">
        <f aca="true" t="shared" si="2" ref="J52:J61">+F52*H52*I52</f>
        <v>496.63499999999993</v>
      </c>
      <c r="R52" s="4"/>
    </row>
    <row r="53" spans="3:18" ht="12.75">
      <c r="C53" t="s">
        <v>12</v>
      </c>
      <c r="D53" s="2" t="s">
        <v>16</v>
      </c>
      <c r="E53">
        <v>300</v>
      </c>
      <c r="F53" s="2">
        <f>IF(C53="W36",VLOOKUP(E53,'Lookup Table'!$B$4:$C$25,2,FALSE),"no value")</f>
        <v>9.99</v>
      </c>
      <c r="H53" s="4">
        <v>51.1</v>
      </c>
      <c r="I53" s="5">
        <v>1</v>
      </c>
      <c r="J53" s="5">
        <f t="shared" si="2"/>
        <v>510.48900000000003</v>
      </c>
      <c r="R53" s="4"/>
    </row>
    <row r="54" spans="3:18" ht="12.75">
      <c r="C54" t="s">
        <v>12</v>
      </c>
      <c r="D54" s="2" t="s">
        <v>16</v>
      </c>
      <c r="E54">
        <v>210</v>
      </c>
      <c r="F54" s="2">
        <f>IF(C54="W36",VLOOKUP(E54,'Lookup Table'!$B$4:$C$25,2,FALSE),"no value")</f>
        <v>8.91</v>
      </c>
      <c r="H54" s="4">
        <v>74</v>
      </c>
      <c r="I54" s="5">
        <v>1</v>
      </c>
      <c r="J54" s="5">
        <f t="shared" si="2"/>
        <v>659.34</v>
      </c>
      <c r="R54" s="4"/>
    </row>
    <row r="55" spans="3:18" ht="12.75">
      <c r="C55" t="s">
        <v>12</v>
      </c>
      <c r="D55" s="2" t="s">
        <v>16</v>
      </c>
      <c r="E55">
        <v>230</v>
      </c>
      <c r="F55" s="2">
        <f>IF(C55="W36",VLOOKUP(E55,'Lookup Table'!$B$4:$C$25,2,FALSE),"no value")</f>
        <v>9.84</v>
      </c>
      <c r="H55" s="4">
        <f>51+17</f>
        <v>68</v>
      </c>
      <c r="I55" s="5">
        <v>1</v>
      </c>
      <c r="J55" s="5">
        <f t="shared" si="2"/>
        <v>669.12</v>
      </c>
      <c r="R55" s="4"/>
    </row>
    <row r="56" spans="3:18" ht="12.75">
      <c r="C56" t="s">
        <v>12</v>
      </c>
      <c r="D56" s="2" t="s">
        <v>16</v>
      </c>
      <c r="E56">
        <v>150</v>
      </c>
      <c r="F56" s="2">
        <f>IF(C56="W36",VLOOKUP(E56,'Lookup Table'!$B$4:$C$25,2,FALSE),"no value")</f>
        <v>8.76</v>
      </c>
      <c r="H56" s="4">
        <v>47</v>
      </c>
      <c r="I56" s="5">
        <v>1</v>
      </c>
      <c r="J56" s="5">
        <f t="shared" si="2"/>
        <v>411.71999999999997</v>
      </c>
      <c r="R56" s="4"/>
    </row>
    <row r="57" spans="3:18" ht="12.75">
      <c r="C57" t="s">
        <v>12</v>
      </c>
      <c r="D57" s="2" t="s">
        <v>16</v>
      </c>
      <c r="E57">
        <v>245</v>
      </c>
      <c r="F57" s="2">
        <f>IF(C57="W36",VLOOKUP(E57,'Lookup Table'!$B$4:$C$25,2,FALSE),"no value")</f>
        <v>9.87</v>
      </c>
      <c r="H57" s="4">
        <v>44</v>
      </c>
      <c r="I57" s="5">
        <v>1</v>
      </c>
      <c r="J57" s="5">
        <f t="shared" si="2"/>
        <v>434.28</v>
      </c>
      <c r="R57" s="4"/>
    </row>
    <row r="58" spans="3:18" ht="12.75">
      <c r="C58" t="s">
        <v>12</v>
      </c>
      <c r="D58" s="2" t="s">
        <v>16</v>
      </c>
      <c r="E58">
        <v>182</v>
      </c>
      <c r="F58" s="2">
        <f>IF(C58="W36",VLOOKUP(E58,'Lookup Table'!$B$4:$C$25,2,FALSE),"no value")</f>
        <v>8.85</v>
      </c>
      <c r="H58" s="4">
        <v>67.8</v>
      </c>
      <c r="I58" s="5">
        <v>1</v>
      </c>
      <c r="J58" s="5">
        <f t="shared" si="2"/>
        <v>600.03</v>
      </c>
      <c r="R58" s="4"/>
    </row>
    <row r="59" spans="3:18" ht="12.75">
      <c r="C59" t="s">
        <v>12</v>
      </c>
      <c r="D59" s="2" t="s">
        <v>16</v>
      </c>
      <c r="E59">
        <v>194</v>
      </c>
      <c r="F59" s="2">
        <f>IF(C59="W36",VLOOKUP(E59,'Lookup Table'!$B$4:$C$25,2,FALSE),"no value")</f>
        <v>8.88</v>
      </c>
      <c r="H59" s="4">
        <v>89.4</v>
      </c>
      <c r="I59" s="5">
        <v>1</v>
      </c>
      <c r="J59" s="5">
        <f t="shared" si="2"/>
        <v>793.8720000000001</v>
      </c>
      <c r="R59" s="4"/>
    </row>
    <row r="60" spans="3:18" ht="12.75">
      <c r="C60" t="s">
        <v>12</v>
      </c>
      <c r="D60" s="2" t="s">
        <v>16</v>
      </c>
      <c r="E60">
        <v>194</v>
      </c>
      <c r="F60" s="2">
        <f>IF(C60="W36",VLOOKUP(E60,'Lookup Table'!$B$4:$C$25,2,FALSE),"no value")</f>
        <v>8.88</v>
      </c>
      <c r="H60" s="4">
        <v>89</v>
      </c>
      <c r="I60" s="5">
        <v>1</v>
      </c>
      <c r="J60" s="5">
        <f t="shared" si="2"/>
        <v>790.32</v>
      </c>
      <c r="R60" s="4"/>
    </row>
    <row r="61" spans="3:18" ht="12.75">
      <c r="C61" t="s">
        <v>12</v>
      </c>
      <c r="D61" s="2" t="s">
        <v>16</v>
      </c>
      <c r="E61">
        <v>194</v>
      </c>
      <c r="F61" s="2">
        <f>IF(C61="W36",VLOOKUP(E61,'Lookup Table'!$B$4:$C$25,2,FALSE),"no value")</f>
        <v>8.88</v>
      </c>
      <c r="H61" s="4">
        <v>69.1</v>
      </c>
      <c r="I61" s="5">
        <v>1</v>
      </c>
      <c r="J61" s="5">
        <f t="shared" si="2"/>
        <v>613.608</v>
      </c>
      <c r="R61" s="4"/>
    </row>
    <row r="62" spans="4:18" ht="12.75">
      <c r="D62" s="2"/>
      <c r="F62" s="2"/>
      <c r="H62" s="4"/>
      <c r="I62" s="5"/>
      <c r="J62" s="5"/>
      <c r="R62" s="4"/>
    </row>
    <row r="63" spans="4:18" ht="12.75">
      <c r="D63" s="2"/>
      <c r="F63" s="2"/>
      <c r="H63" s="4"/>
      <c r="I63" s="5"/>
      <c r="J63" s="5">
        <f>SUM(J52:J61)*12</f>
        <v>71752.968</v>
      </c>
      <c r="R63" s="4"/>
    </row>
    <row r="64" spans="4:18" ht="12.75">
      <c r="D64" s="2"/>
      <c r="F64" s="2"/>
      <c r="H64" s="4"/>
      <c r="I64" s="5"/>
      <c r="J64" s="5"/>
      <c r="R64" s="4"/>
    </row>
    <row r="65" spans="1:18" ht="12.75">
      <c r="A65" t="s">
        <v>56</v>
      </c>
      <c r="C65" t="s">
        <v>12</v>
      </c>
      <c r="D65" s="2" t="s">
        <v>16</v>
      </c>
      <c r="E65">
        <v>160</v>
      </c>
      <c r="F65" s="2">
        <f>IF(C65="W36",VLOOKUP(E65,'Lookup Table'!$B$4:$C$25,2,FALSE),"no value")</f>
        <v>8.79</v>
      </c>
      <c r="H65" s="4">
        <v>59.3</v>
      </c>
      <c r="I65" s="5">
        <v>1</v>
      </c>
      <c r="J65" s="5">
        <f aca="true" t="shared" si="3" ref="J65:J72">+F65*H65*I65</f>
        <v>521.247</v>
      </c>
      <c r="R65" s="4"/>
    </row>
    <row r="66" spans="3:18" ht="12.75">
      <c r="C66" t="s">
        <v>12</v>
      </c>
      <c r="D66" s="2" t="s">
        <v>16</v>
      </c>
      <c r="E66">
        <v>300</v>
      </c>
      <c r="F66" s="2">
        <f>IF(C66="W36",VLOOKUP(E66,'Lookup Table'!$B$4:$C$25,2,FALSE),"no value")</f>
        <v>9.99</v>
      </c>
      <c r="H66" s="4">
        <v>43.67</v>
      </c>
      <c r="I66" s="5">
        <v>1</v>
      </c>
      <c r="J66" s="5">
        <f t="shared" si="3"/>
        <v>436.2633</v>
      </c>
      <c r="R66" s="4"/>
    </row>
    <row r="67" spans="3:18" ht="12.75">
      <c r="C67" t="s">
        <v>12</v>
      </c>
      <c r="D67" s="2" t="s">
        <v>16</v>
      </c>
      <c r="E67">
        <v>135</v>
      </c>
      <c r="F67" s="2">
        <f>IF(C67="W36",VLOOKUP(E67,'Lookup Table'!$B$4:$C$25,2,FALSE),"no value")</f>
        <v>8.71</v>
      </c>
      <c r="H67" s="4">
        <v>43.85</v>
      </c>
      <c r="I67" s="5">
        <v>1</v>
      </c>
      <c r="J67" s="5">
        <f t="shared" si="3"/>
        <v>381.93350000000004</v>
      </c>
      <c r="R67" s="4"/>
    </row>
    <row r="68" spans="3:18" ht="12.75">
      <c r="C68" t="s">
        <v>12</v>
      </c>
      <c r="D68" s="2" t="s">
        <v>16</v>
      </c>
      <c r="E68">
        <v>230</v>
      </c>
      <c r="F68" s="2">
        <f>IF(C68="W36",VLOOKUP(E68,'Lookup Table'!$B$4:$C$25,2,FALSE),"no value")</f>
        <v>9.84</v>
      </c>
      <c r="H68" s="4">
        <v>76</v>
      </c>
      <c r="I68" s="5">
        <v>1</v>
      </c>
      <c r="J68" s="5">
        <f t="shared" si="3"/>
        <v>747.84</v>
      </c>
      <c r="R68" s="4"/>
    </row>
    <row r="69" spans="3:18" ht="12.75">
      <c r="C69" t="s">
        <v>12</v>
      </c>
      <c r="D69" s="2" t="s">
        <v>16</v>
      </c>
      <c r="E69">
        <v>150</v>
      </c>
      <c r="F69" s="2">
        <f>IF(C69="W36",VLOOKUP(E69,'Lookup Table'!$B$4:$C$25,2,FALSE),"no value")</f>
        <v>8.76</v>
      </c>
      <c r="H69" s="4">
        <v>72</v>
      </c>
      <c r="I69" s="5">
        <v>1</v>
      </c>
      <c r="J69" s="5">
        <f t="shared" si="3"/>
        <v>630.72</v>
      </c>
      <c r="R69" s="4"/>
    </row>
    <row r="70" spans="3:18" ht="12.75">
      <c r="C70" t="s">
        <v>12</v>
      </c>
      <c r="D70" s="2" t="s">
        <v>16</v>
      </c>
      <c r="E70">
        <v>182</v>
      </c>
      <c r="F70" s="2">
        <f>IF(C70="W36",VLOOKUP(E70,'Lookup Table'!$B$4:$C$25,2,FALSE),"no value")</f>
        <v>8.85</v>
      </c>
      <c r="H70" s="4">
        <v>76</v>
      </c>
      <c r="I70" s="5">
        <v>1</v>
      </c>
      <c r="J70" s="5">
        <f t="shared" si="3"/>
        <v>672.6</v>
      </c>
      <c r="R70" s="4"/>
    </row>
    <row r="71" spans="3:18" ht="12.75">
      <c r="C71" t="s">
        <v>12</v>
      </c>
      <c r="D71" s="2" t="s">
        <v>16</v>
      </c>
      <c r="E71">
        <v>160</v>
      </c>
      <c r="F71" s="2">
        <f>IF(C71="W36",VLOOKUP(E71,'Lookup Table'!$B$4:$C$25,2,FALSE),"no value")</f>
        <v>8.79</v>
      </c>
      <c r="H71" s="4">
        <v>72.33</v>
      </c>
      <c r="I71" s="5">
        <v>1</v>
      </c>
      <c r="J71" s="5">
        <f t="shared" si="3"/>
        <v>635.7806999999999</v>
      </c>
      <c r="R71" s="4"/>
    </row>
    <row r="72" spans="3:18" ht="12.75">
      <c r="C72" t="s">
        <v>12</v>
      </c>
      <c r="D72" s="2" t="s">
        <v>16</v>
      </c>
      <c r="E72">
        <v>230</v>
      </c>
      <c r="F72" s="2">
        <f>IF(C72="W36",VLOOKUP(E72,'Lookup Table'!$B$4:$C$25,2,FALSE),"no value")</f>
        <v>9.84</v>
      </c>
      <c r="H72" s="4">
        <v>86.2</v>
      </c>
      <c r="I72" s="5">
        <v>1</v>
      </c>
      <c r="J72" s="5">
        <f t="shared" si="3"/>
        <v>848.208</v>
      </c>
      <c r="R72" s="4"/>
    </row>
    <row r="73" spans="4:13" ht="12.75">
      <c r="D73" s="2"/>
      <c r="F73" s="2"/>
      <c r="H73" s="4"/>
      <c r="I73" s="5"/>
      <c r="J73" s="5"/>
      <c r="M73" s="4"/>
    </row>
    <row r="74" spans="4:13" ht="12.75">
      <c r="D74" s="2"/>
      <c r="F74" s="2"/>
      <c r="H74" s="4"/>
      <c r="I74" s="5"/>
      <c r="J74" s="5">
        <f>SUM(J65:J72)*16</f>
        <v>77993.48</v>
      </c>
      <c r="M74" s="4"/>
    </row>
    <row r="75" ht="12.75">
      <c r="F75" s="2"/>
    </row>
    <row r="76" spans="6:10" ht="12.75">
      <c r="F76" s="2"/>
      <c r="J76" s="5">
        <f>SUM(J74,J63,J50,J37,J27,J23)</f>
        <v>185023.5122</v>
      </c>
    </row>
    <row r="77" spans="10:11" ht="12.75">
      <c r="J77" s="5">
        <f>J76*0.15</f>
        <v>27753.52683</v>
      </c>
      <c r="K77" t="s">
        <v>44</v>
      </c>
    </row>
    <row r="79" spans="9:11" ht="12.75">
      <c r="I79" s="3" t="s">
        <v>19</v>
      </c>
      <c r="J79" s="6">
        <f>+J76+J77</f>
        <v>212777.03902999999</v>
      </c>
      <c r="K79" t="s">
        <v>20</v>
      </c>
    </row>
  </sheetData>
  <sheetProtection/>
  <mergeCells count="1">
    <mergeCell ref="C10:E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26" sqref="C26"/>
    </sheetView>
  </sheetViews>
  <sheetFormatPr defaultColWidth="9.140625" defaultRowHeight="12.75"/>
  <sheetData>
    <row r="4" spans="1:3" ht="12.75">
      <c r="A4" t="s">
        <v>12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2020-08-28T19:22:58Z</dcterms:modified>
  <cp:category/>
  <cp:version/>
  <cp:contentType/>
  <cp:contentStatus/>
</cp:coreProperties>
</file>