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BridgeManagement\LRDMS\Data Files\3000877\BR100\"/>
    </mc:Choice>
  </mc:AlternateContent>
  <bookViews>
    <workbookView xWindow="0" yWindow="0" windowWidth="28800" windowHeight="12435"/>
  </bookViews>
  <sheets>
    <sheet name="BR-100" sheetId="1" r:id="rId1"/>
    <sheet name="SMS Coding Input" sheetId="4" r:id="rId2"/>
    <sheet name="Calcs &amp; Signs" sheetId="5" r:id="rId3"/>
    <sheet name="List" sheetId="2" state="hidden" r:id="rId4"/>
  </sheets>
  <definedNames>
    <definedName name="BlankSign">'Calcs &amp; Signs'!$P$6:$Q$13</definedName>
    <definedName name="ClosureSign">'Calcs &amp; Signs'!$V$6:$W$13</definedName>
    <definedName name="Design">List!$V$3:$V$15</definedName>
    <definedName name="DesignRF">'BR-100'!$I$21:$K$22</definedName>
    <definedName name="Disabled">'Calcs &amp; Signs'!$Y$6:$Z$13</definedName>
    <definedName name="EVSign">'Calcs &amp; Signs'!$S$6:$T$13</definedName>
    <definedName name="LegalPosting">INDIRECT('Calcs &amp; Signs'!$N$2)</definedName>
    <definedName name="LegalSign">'Calcs &amp; Signs'!$L$7:$N$13</definedName>
    <definedName name="LLResponce">List!$AB$3:$AB$4</definedName>
    <definedName name="Manual">'Calcs &amp; Signs'!$AB$7:$AD$13</definedName>
    <definedName name="Method">List!$P$3:$P$12</definedName>
    <definedName name="NoSign">#REF!</definedName>
    <definedName name="OpenPostedClosed">List!$Z$3:$Z$13</definedName>
    <definedName name="_xlnm.Print_Area" localSheetId="0">'BR-100'!$A$1:$K$45</definedName>
    <definedName name="_xlnm.Print_Area" localSheetId="1">'SMS Coding Input'!$B$2:$L$58</definedName>
    <definedName name="Purpose">List!$G$3:$G$10</definedName>
    <definedName name="Software">List!$J$3:$J$13</definedName>
    <definedName name="Source">List!$M$3:$M$7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8" i="5" l="1"/>
  <c r="G5" i="1"/>
  <c r="E51" i="5" l="1"/>
  <c r="J34" i="4" s="1"/>
  <c r="E53" i="5"/>
  <c r="J28" i="4" s="1"/>
  <c r="E48" i="5"/>
  <c r="E49" i="5"/>
  <c r="E40" i="4"/>
  <c r="E34" i="4"/>
  <c r="E28" i="4"/>
  <c r="D49" i="5"/>
  <c r="D48" i="5"/>
  <c r="C17" i="5" l="1"/>
  <c r="E17" i="5" s="1"/>
  <c r="A36" i="1"/>
  <c r="A35" i="1"/>
  <c r="A32" i="1"/>
  <c r="A31" i="1"/>
  <c r="A29" i="1"/>
  <c r="A28" i="1"/>
  <c r="A25" i="1"/>
  <c r="A24" i="1"/>
  <c r="A22" i="1"/>
  <c r="A21" i="1"/>
  <c r="D32" i="1" l="1"/>
  <c r="G17" i="5"/>
  <c r="D72" i="5"/>
  <c r="M72" i="5" s="1"/>
  <c r="D71" i="5"/>
  <c r="D70" i="5"/>
  <c r="M70" i="5" s="1"/>
  <c r="D69" i="5"/>
  <c r="M69" i="5" s="1"/>
  <c r="D68" i="5"/>
  <c r="M68" i="5" s="1"/>
  <c r="M71" i="5" l="1"/>
  <c r="M73" i="5" s="1"/>
  <c r="D4" i="5"/>
  <c r="D53" i="5"/>
  <c r="J26" i="4" s="1"/>
  <c r="D51" i="5"/>
  <c r="J32" i="4" s="1"/>
  <c r="D37" i="5"/>
  <c r="D32" i="5"/>
  <c r="D23" i="5"/>
  <c r="B36" i="1"/>
  <c r="B35" i="1"/>
  <c r="B32" i="1"/>
  <c r="B31" i="1"/>
  <c r="B29" i="1"/>
  <c r="B28" i="1"/>
  <c r="B25" i="1"/>
  <c r="B24" i="1"/>
  <c r="B22" i="1"/>
  <c r="B21" i="1"/>
  <c r="C14" i="5"/>
  <c r="C18" i="5"/>
  <c r="C15" i="5"/>
  <c r="C11" i="5"/>
  <c r="C9" i="5"/>
  <c r="C62" i="5"/>
  <c r="C19" i="5"/>
  <c r="C16" i="5"/>
  <c r="C13" i="5"/>
  <c r="C12" i="5"/>
  <c r="C10" i="5"/>
  <c r="E19" i="5" l="1"/>
  <c r="G19" i="5"/>
  <c r="E18" i="5"/>
  <c r="G18" i="5"/>
  <c r="F52" i="5"/>
  <c r="D52" i="5" s="1"/>
  <c r="E16" i="5"/>
  <c r="G16" i="5"/>
  <c r="G15" i="5"/>
  <c r="E15" i="5"/>
  <c r="F51" i="5" s="1"/>
  <c r="E14" i="5"/>
  <c r="D28" i="1" s="1"/>
  <c r="G14" i="5"/>
  <c r="E13" i="5"/>
  <c r="F53" i="5" s="1"/>
  <c r="G13" i="5"/>
  <c r="G12" i="5"/>
  <c r="E12" i="5"/>
  <c r="G11" i="5"/>
  <c r="E11" i="5"/>
  <c r="F49" i="5" s="1"/>
  <c r="G10" i="5"/>
  <c r="E10" i="5"/>
  <c r="I19" i="1"/>
  <c r="G16" i="4"/>
  <c r="G8" i="4"/>
  <c r="D21" i="1"/>
  <c r="D56" i="5"/>
  <c r="J18" i="4" s="1"/>
  <c r="D51" i="4"/>
  <c r="C63" i="5"/>
  <c r="C64" i="5" s="1"/>
  <c r="E8" i="4" s="1"/>
  <c r="N9" i="5"/>
  <c r="C51" i="5"/>
  <c r="J36" i="4" s="1"/>
  <c r="D57" i="5"/>
  <c r="D52" i="4"/>
  <c r="D58" i="5"/>
  <c r="E44" i="4" s="1"/>
  <c r="C53" i="5"/>
  <c r="J30" i="4" s="1"/>
  <c r="C49" i="5"/>
  <c r="E36" i="4" s="1"/>
  <c r="C48" i="5"/>
  <c r="D31" i="5"/>
  <c r="D36" i="5"/>
  <c r="D26" i="5"/>
  <c r="C52" i="5" l="1"/>
  <c r="F50" i="5"/>
  <c r="E50" i="5" s="1"/>
  <c r="C24" i="5"/>
  <c r="D22" i="1"/>
  <c r="N8" i="5"/>
  <c r="I24" i="1"/>
  <c r="J46" i="4"/>
  <c r="C23" i="5"/>
  <c r="E16" i="4"/>
  <c r="J38" i="4"/>
  <c r="E52" i="5"/>
  <c r="J40" i="4" s="1"/>
  <c r="E30" i="4"/>
  <c r="F48" i="5"/>
  <c r="N10" i="5"/>
  <c r="D36" i="1"/>
  <c r="N13" i="5"/>
  <c r="N12" i="5"/>
  <c r="D29" i="1"/>
  <c r="N11" i="5"/>
  <c r="D24" i="1"/>
  <c r="D35" i="1"/>
  <c r="F32" i="5"/>
  <c r="F33" i="5"/>
  <c r="F34" i="5"/>
  <c r="F39" i="5"/>
  <c r="E42" i="5" s="1"/>
  <c r="T11" i="5" s="1"/>
  <c r="F38" i="5"/>
  <c r="F37" i="5"/>
  <c r="D31" i="1"/>
  <c r="C22" i="5"/>
  <c r="J44" i="4" s="1"/>
  <c r="D25" i="1"/>
  <c r="D50" i="5" l="1"/>
  <c r="E38" i="4" s="1"/>
  <c r="C50" i="5"/>
  <c r="E42" i="4" s="1"/>
  <c r="E41" i="5"/>
  <c r="T10" i="5" s="1"/>
  <c r="E26" i="4"/>
  <c r="E32" i="4"/>
  <c r="J42" i="4"/>
  <c r="N2" i="5"/>
  <c r="D55" i="5"/>
  <c r="D27" i="5"/>
  <c r="I27" i="1" s="1"/>
  <c r="E18" i="4"/>
  <c r="J4" i="4" s="1"/>
  <c r="E10" i="4"/>
  <c r="E12" i="4" s="1"/>
  <c r="Z3" i="2" l="1"/>
  <c r="E20" i="4"/>
  <c r="J16" i="4"/>
  <c r="E14" i="4"/>
  <c r="E6" i="4"/>
  <c r="E4" i="4"/>
  <c r="J14" i="4"/>
  <c r="J6" i="4"/>
  <c r="H46" i="4"/>
  <c r="H44" i="4"/>
  <c r="H42" i="4"/>
  <c r="H40" i="4"/>
  <c r="H38" i="4"/>
  <c r="H36" i="4"/>
  <c r="H34" i="4"/>
  <c r="H32" i="4"/>
  <c r="H30" i="4"/>
  <c r="H26" i="4"/>
  <c r="H28" i="4"/>
  <c r="C44" i="4"/>
  <c r="C42" i="4"/>
  <c r="C40" i="4"/>
  <c r="C38" i="4"/>
  <c r="C36" i="4"/>
  <c r="C34" i="4"/>
  <c r="C32" i="4"/>
  <c r="C30" i="4"/>
  <c r="C28" i="4"/>
  <c r="C26" i="4"/>
  <c r="H18" i="4"/>
  <c r="H16" i="4"/>
  <c r="H14" i="4"/>
  <c r="H12" i="4"/>
  <c r="H10" i="4"/>
  <c r="H8" i="4"/>
  <c r="H6" i="4"/>
  <c r="H4" i="4"/>
  <c r="C20" i="4"/>
  <c r="C18" i="4"/>
  <c r="C16" i="4"/>
  <c r="C14" i="4"/>
  <c r="C12" i="4"/>
  <c r="C10" i="4"/>
  <c r="C8" i="4"/>
  <c r="C6" i="4"/>
  <c r="C4" i="4"/>
  <c r="C91" i="2" l="1"/>
</calcChain>
</file>

<file path=xl/sharedStrings.xml><?xml version="1.0" encoding="utf-8"?>
<sst xmlns="http://schemas.openxmlformats.org/spreadsheetml/2006/main" count="493" uniqueCount="432">
  <si>
    <t>Loading Type</t>
  </si>
  <si>
    <t>SU4</t>
  </si>
  <si>
    <t>SU5</t>
  </si>
  <si>
    <t>SU6</t>
  </si>
  <si>
    <t>SU7</t>
  </si>
  <si>
    <t>HS20 Loading</t>
  </si>
  <si>
    <t>BRIDGE LOAD RATING SUMMARY REPORT</t>
  </si>
  <si>
    <t>OFFICE OF STRUCTURAL ENGINEERING</t>
  </si>
  <si>
    <t>OHIO DEPARTMENT OF TRANSPORTATION</t>
  </si>
  <si>
    <t>SFN</t>
  </si>
  <si>
    <t>BRIDGE NUMBER</t>
  </si>
  <si>
    <t>DISTRICT</t>
  </si>
  <si>
    <t>ORIGINAL CONSTRUCTION YEAR</t>
  </si>
  <si>
    <t>REHABILITATION YEAR</t>
  </si>
  <si>
    <t>LOAD RATING PURPOSE:</t>
  </si>
  <si>
    <t>LOAD RATING SOFTWARE:</t>
  </si>
  <si>
    <t>RATING SOURCE:</t>
  </si>
  <si>
    <t>ORIGINAL DESIGN LOADING:</t>
  </si>
  <si>
    <t>PLEASE SELECT ON RIGHT, WHERE APPROPRIATE, BY USING THE DROP DOWN ARROW BUTTON</t>
  </si>
  <si>
    <t>STRUCTURE RATING SUMMARY</t>
  </si>
  <si>
    <t>EMAIL</t>
  </si>
  <si>
    <t>County Number</t>
  </si>
  <si>
    <t>County</t>
  </si>
  <si>
    <t>Abbr.</t>
  </si>
  <si>
    <t>District</t>
  </si>
  <si>
    <t>Adams</t>
  </si>
  <si>
    <t>Allen</t>
  </si>
  <si>
    <t>Ashland</t>
  </si>
  <si>
    <t>Athens</t>
  </si>
  <si>
    <t>Auglaize</t>
  </si>
  <si>
    <t>Belmont</t>
  </si>
  <si>
    <t>Brown</t>
  </si>
  <si>
    <t>Bulter</t>
  </si>
  <si>
    <t>Ashtabula</t>
  </si>
  <si>
    <t>Carroll</t>
  </si>
  <si>
    <t>Champaign</t>
  </si>
  <si>
    <t>Clark</t>
  </si>
  <si>
    <t>Clermont</t>
  </si>
  <si>
    <t>Clinton</t>
  </si>
  <si>
    <t>Columbia</t>
  </si>
  <si>
    <t>ADA</t>
  </si>
  <si>
    <t>ALL</t>
  </si>
  <si>
    <t>ASD</t>
  </si>
  <si>
    <t>ATB</t>
  </si>
  <si>
    <t>ATH</t>
  </si>
  <si>
    <t>AUG</t>
  </si>
  <si>
    <t>BEL</t>
  </si>
  <si>
    <t>BRO</t>
  </si>
  <si>
    <t>BUT</t>
  </si>
  <si>
    <t>CAR</t>
  </si>
  <si>
    <t>CHP</t>
  </si>
  <si>
    <t>CLA</t>
  </si>
  <si>
    <t>CLE</t>
  </si>
  <si>
    <t>CLI</t>
  </si>
  <si>
    <t>COL</t>
  </si>
  <si>
    <t>COS</t>
  </si>
  <si>
    <t>CRA</t>
  </si>
  <si>
    <t>CUY</t>
  </si>
  <si>
    <t>DAR</t>
  </si>
  <si>
    <t>DEF</t>
  </si>
  <si>
    <t>DEL</t>
  </si>
  <si>
    <t>ERI</t>
  </si>
  <si>
    <t>FAI</t>
  </si>
  <si>
    <t>FAY</t>
  </si>
  <si>
    <t>FRA</t>
  </si>
  <si>
    <t>FUL</t>
  </si>
  <si>
    <t>GAL</t>
  </si>
  <si>
    <t>GEA</t>
  </si>
  <si>
    <t>GRE</t>
  </si>
  <si>
    <t>GUE</t>
  </si>
  <si>
    <t>HAM</t>
  </si>
  <si>
    <t>HAN</t>
  </si>
  <si>
    <t>HAR</t>
  </si>
  <si>
    <t>HAS</t>
  </si>
  <si>
    <t>HEN</t>
  </si>
  <si>
    <t>HIG</t>
  </si>
  <si>
    <t>HOC</t>
  </si>
  <si>
    <t>HOL</t>
  </si>
  <si>
    <t>HUR</t>
  </si>
  <si>
    <t>JAC</t>
  </si>
  <si>
    <t>JEF</t>
  </si>
  <si>
    <t>KNO</t>
  </si>
  <si>
    <t>LAK</t>
  </si>
  <si>
    <t>LAW</t>
  </si>
  <si>
    <t>LIC</t>
  </si>
  <si>
    <t>LOG</t>
  </si>
  <si>
    <t>LOR</t>
  </si>
  <si>
    <t>LUC</t>
  </si>
  <si>
    <t>MAD</t>
  </si>
  <si>
    <t>MAH</t>
  </si>
  <si>
    <t>MAR</t>
  </si>
  <si>
    <t>MED</t>
  </si>
  <si>
    <t>MEG</t>
  </si>
  <si>
    <t>MER</t>
  </si>
  <si>
    <t>MIA</t>
  </si>
  <si>
    <t>MOE</t>
  </si>
  <si>
    <t>MOT</t>
  </si>
  <si>
    <t>MRG</t>
  </si>
  <si>
    <t>MRW</t>
  </si>
  <si>
    <t>MUS</t>
  </si>
  <si>
    <t>NOB</t>
  </si>
  <si>
    <t>OTT</t>
  </si>
  <si>
    <t>PAU</t>
  </si>
  <si>
    <t>PER</t>
  </si>
  <si>
    <t>PIC</t>
  </si>
  <si>
    <t>PIK</t>
  </si>
  <si>
    <t>POR</t>
  </si>
  <si>
    <t>PRE</t>
  </si>
  <si>
    <t>PUT</t>
  </si>
  <si>
    <t>RIC</t>
  </si>
  <si>
    <t>ROS</t>
  </si>
  <si>
    <t>SAN</t>
  </si>
  <si>
    <t>SCI</t>
  </si>
  <si>
    <t>SEN</t>
  </si>
  <si>
    <t>SHE</t>
  </si>
  <si>
    <t>STA</t>
  </si>
  <si>
    <t>SUM</t>
  </si>
  <si>
    <t>TRU</t>
  </si>
  <si>
    <t>TUS</t>
  </si>
  <si>
    <t>UNI</t>
  </si>
  <si>
    <t>VAN</t>
  </si>
  <si>
    <t>VIN</t>
  </si>
  <si>
    <t>WAR</t>
  </si>
  <si>
    <t>WAS</t>
  </si>
  <si>
    <t>WAY</t>
  </si>
  <si>
    <t>WIL</t>
  </si>
  <si>
    <t>WOO</t>
  </si>
  <si>
    <t>GVW (Tons)</t>
  </si>
  <si>
    <t>RATED BY</t>
  </si>
  <si>
    <t>OVERALL STRUCTURE LENGTH</t>
  </si>
  <si>
    <t>1 - Initial Load Rating</t>
  </si>
  <si>
    <t>2 - Rehabilitation</t>
  </si>
  <si>
    <t>3 - Dead Load Changed</t>
  </si>
  <si>
    <t>4 - Wearing Surface Added</t>
  </si>
  <si>
    <t>6 - Damage</t>
  </si>
  <si>
    <t>7 - Not Applicable</t>
  </si>
  <si>
    <t>8 - Update Analysis Model and Software</t>
  </si>
  <si>
    <t>1 - BARS</t>
  </si>
  <si>
    <t>2 - BRASS</t>
  </si>
  <si>
    <t>0 - No Plans or information available for load rating analysis</t>
  </si>
  <si>
    <t>1 - Plan information available for load rating analysis (Default)</t>
  </si>
  <si>
    <t>2 - Field measured information for load rating analysis</t>
  </si>
  <si>
    <t>N- Not Applicable</t>
  </si>
  <si>
    <t>X - Not Applicable (RR bridges, buildings, Non-highway, etc.)</t>
  </si>
  <si>
    <t>1 - H10</t>
  </si>
  <si>
    <t>2 - H15</t>
  </si>
  <si>
    <t>3 - HS15</t>
  </si>
  <si>
    <t>4 - H20</t>
  </si>
  <si>
    <t>5 - HS20</t>
  </si>
  <si>
    <t>6 - HS20-44 &amp; Alternate Military Loading</t>
  </si>
  <si>
    <t>Load Rating Purpose</t>
  </si>
  <si>
    <t>RATING METHOD:</t>
  </si>
  <si>
    <t>SPECIALIZED HAULING VEHICLES (SHV)</t>
  </si>
  <si>
    <t>HL93 Loading</t>
  </si>
  <si>
    <t>N/A</t>
  </si>
  <si>
    <t>SPECIAL ASSUMPTIONS &amp; COMMENTS</t>
  </si>
  <si>
    <t>REPORT DATE:</t>
  </si>
  <si>
    <t>REVIEWED BY</t>
  </si>
  <si>
    <t>5C1</t>
  </si>
  <si>
    <t>RF</t>
  </si>
  <si>
    <t>Sign Posting Recommendation:</t>
  </si>
  <si>
    <t>6+</t>
  </si>
  <si>
    <t>Legal Weight (Tons)</t>
  </si>
  <si>
    <t>3 - Field testing information (Non-destructive)</t>
  </si>
  <si>
    <t>#709 - Rating Source</t>
  </si>
  <si>
    <t>#63 &amp; 65 - Method of Rating</t>
  </si>
  <si>
    <t>7 - Pedestrian</t>
  </si>
  <si>
    <t>8 - Railroad</t>
  </si>
  <si>
    <t>9 - HS25 or Greater</t>
  </si>
  <si>
    <t>A - HL93</t>
  </si>
  <si>
    <t>C - Other (includes railroad bridges w/track removed)</t>
  </si>
  <si>
    <t>0 - Unknown</t>
  </si>
  <si>
    <t>B - Greater than HL93</t>
  </si>
  <si>
    <t>#31 - Original Design Load</t>
  </si>
  <si>
    <t>3 - AASHTO  BrR (VIRTIS)</t>
  </si>
  <si>
    <t>4 - Testing</t>
  </si>
  <si>
    <t>5 - Finite Element (FE) Program</t>
  </si>
  <si>
    <t>6 - In-House Program/Spreadsheet</t>
  </si>
  <si>
    <t>7 - Combination</t>
  </si>
  <si>
    <t>8 - Other program</t>
  </si>
  <si>
    <t>9 - Manual Calculations</t>
  </si>
  <si>
    <t>0 - Assigned rating (No calculations were done)</t>
  </si>
  <si>
    <t>X - Not Applicable</t>
  </si>
  <si>
    <t>#708 - Load Rating Software</t>
  </si>
  <si>
    <t xml:space="preserve">Rating Reported by </t>
  </si>
  <si>
    <t>Rating Vehicle</t>
  </si>
  <si>
    <t>Rating Type</t>
  </si>
  <si>
    <t>6 - Load Factor (LF) rating reported by rating factor (RF)</t>
  </si>
  <si>
    <t>7 - Allowable Stress (AS) rating reported by rating factor (RF)</t>
  </si>
  <si>
    <t>8 - Load &amp; Resistance Factor Rating (LRFR) reported by rating factor (RF)</t>
  </si>
  <si>
    <t>*This document is locked to prevent accidental changes, No password is required to unlock.</t>
  </si>
  <si>
    <t>Design Load:</t>
  </si>
  <si>
    <t>Operating Rating Factor:</t>
  </si>
  <si>
    <t>Operating Rating Load:</t>
  </si>
  <si>
    <t>Operating Rating Load GVW:</t>
  </si>
  <si>
    <t>Operation Rating Method:</t>
  </si>
  <si>
    <t>Inventory Rating Method:</t>
  </si>
  <si>
    <t>Inventory Rating Factor:</t>
  </si>
  <si>
    <t>Inventory Rating Load:</t>
  </si>
  <si>
    <t>LOAD RATING</t>
  </si>
  <si>
    <t>OHIO LEGAL LOADS</t>
  </si>
  <si>
    <t>Ohio Legal Load 1:</t>
  </si>
  <si>
    <t>Ohio Legal Load 1, Rating Factor:</t>
  </si>
  <si>
    <t>Ohio Legal Load 1, GVW:</t>
  </si>
  <si>
    <t>Ohio Legal Load 2:</t>
  </si>
  <si>
    <t>Ohio Legal Load 2, GVW:</t>
  </si>
  <si>
    <t>Ohio Legal Load 2, Rating Factor:</t>
  </si>
  <si>
    <t>Ohio Legal Load 3:</t>
  </si>
  <si>
    <t>Ohio Legal Load 3, GVW:</t>
  </si>
  <si>
    <t>Ohio Legal Load 3, Rating Factor:</t>
  </si>
  <si>
    <t>Ohio Legal Load 4:</t>
  </si>
  <si>
    <t>Ohio Legal Load 4, GVW:</t>
  </si>
  <si>
    <t>Ohio Legal Load 4, Rating Factor:</t>
  </si>
  <si>
    <t>Ohio Legal Load 5:</t>
  </si>
  <si>
    <t>Ohio Legal Load 5, GVW:</t>
  </si>
  <si>
    <t>Ohio Legal Load 5, Rating Factor:</t>
  </si>
  <si>
    <t>Ohio Legal Load 6:</t>
  </si>
  <si>
    <t>Ohio Legal Load 6, GVW:</t>
  </si>
  <si>
    <t>Ohio Legal Load 6, Rating Factor:</t>
  </si>
  <si>
    <t>Posting Required by Rating:</t>
  </si>
  <si>
    <t>Ohio Percent Legal:</t>
  </si>
  <si>
    <t>Bridge Posting:</t>
  </si>
  <si>
    <t>tons</t>
  </si>
  <si>
    <t>%</t>
  </si>
  <si>
    <t>Inventory Rating Load GVW:</t>
  </si>
  <si>
    <t>Load Rating Date:</t>
  </si>
  <si>
    <t>Load Rater First Name:</t>
  </si>
  <si>
    <t>Load Rater Last Name:</t>
  </si>
  <si>
    <t>Load Rater Ohio PE Number:</t>
  </si>
  <si>
    <t>Load Rating Software:</t>
  </si>
  <si>
    <t>Rating Source:</t>
  </si>
  <si>
    <t>#70 - Bridge Posting</t>
  </si>
  <si>
    <t>5 - Equal to or above legal loads</t>
  </si>
  <si>
    <t>4 - 0.1-9.9% below legal loads</t>
  </si>
  <si>
    <t>3 - 10-19.9% below legal loads</t>
  </si>
  <si>
    <t>2 - 20.0-29.9% below legal loads</t>
  </si>
  <si>
    <t>1 - 30.0-39.9% below legal loads</t>
  </si>
  <si>
    <t>0 - More than 39.9% below legal loads</t>
  </si>
  <si>
    <t>**Open, Posted or Closed:</t>
  </si>
  <si>
    <t>#41 - Open, Posted or Closed</t>
  </si>
  <si>
    <t>A - Open, No Restriction</t>
  </si>
  <si>
    <t>B - Open, Posting Recommended</t>
  </si>
  <si>
    <t>D - Open to Allow Unrestricted Traffic</t>
  </si>
  <si>
    <t>E - Open, Temporary Structure in Place</t>
  </si>
  <si>
    <t>K - Bridge Closed to All Traffic</t>
  </si>
  <si>
    <t>P - Posted for Load-Carrying Restriction</t>
  </si>
  <si>
    <t>X - Bridge Closed for Other Reasons</t>
  </si>
  <si>
    <t>#711 - Live Load Response</t>
  </si>
  <si>
    <t>S - Satisfactory</t>
  </si>
  <si>
    <t>E - Excessive</t>
  </si>
  <si>
    <t>G - New Structure Not Yet Open to Traffic</t>
  </si>
  <si>
    <t>R - Posted for Other Reasons</t>
  </si>
  <si>
    <t>C - Open, Half-Width construction</t>
  </si>
  <si>
    <t>GVW</t>
  </si>
  <si>
    <t>Vehicle</t>
  </si>
  <si>
    <t>D - Assigned rating based on Load Factor Rating (RF)</t>
  </si>
  <si>
    <t>E - Assigned rating based on Allowable Stress (RF)</t>
  </si>
  <si>
    <t>F - Assigned Load &amp; Resistance Factor Rating (LRFR) using HL93 loadings (RF)</t>
  </si>
  <si>
    <t>2 Axle</t>
  </si>
  <si>
    <t>3 Axle</t>
  </si>
  <si>
    <t>4 Axle</t>
  </si>
  <si>
    <t>5 Axle</t>
  </si>
  <si>
    <t>EV2</t>
  </si>
  <si>
    <t>EV3</t>
  </si>
  <si>
    <t>Governing Member (s)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</si>
  <si>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</si>
  <si>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</si>
  <si>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</si>
  <si>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</si>
  <si>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</si>
  <si>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</si>
  <si>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</si>
  <si>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</si>
  <si>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</si>
  <si>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</si>
  <si>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</si>
  <si>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</si>
  <si>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</si>
  <si>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</t>
  </si>
  <si>
    <t>Guernsey</t>
  </si>
  <si>
    <t>Hamilton</t>
  </si>
  <si>
    <t>Hancock</t>
  </si>
  <si>
    <t>Harrison</t>
  </si>
  <si>
    <t>Harden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</si>
  <si>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</si>
  <si>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</si>
  <si>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</si>
  <si>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</si>
  <si>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</si>
  <si>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</si>
  <si>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</si>
  <si>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</si>
  <si>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</si>
  <si>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</si>
  <si>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</si>
  <si>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</si>
  <si>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</si>
  <si>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</si>
  <si>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</si>
  <si>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</si>
  <si>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</si>
  <si>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</si>
  <si>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</si>
  <si>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</si>
  <si>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</si>
  <si>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</si>
  <si>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</si>
  <si>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</si>
  <si>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</si>
  <si>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Muckingum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</si>
  <si>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</si>
  <si>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</si>
  <si>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</si>
  <si>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</si>
  <si>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</si>
  <si>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</si>
  <si>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</si>
  <si>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</si>
  <si>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</si>
  <si>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</si>
  <si>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</si>
  <si>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</si>
  <si>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</si>
  <si>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</si>
  <si>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</si>
  <si>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</si>
  <si>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</si>
  <si>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</si>
  <si>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</si>
  <si>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</si>
  <si>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</si>
  <si>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</si>
  <si>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</si>
  <si>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</si>
  <si>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</si>
  <si>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</si>
  <si>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</si>
  <si>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</si>
  <si>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BR-100_SMS (3/2017)</t>
  </si>
  <si>
    <t>FEATURE INTERSECTED</t>
  </si>
  <si>
    <t>AGENCY/FIRM/OFFICE</t>
  </si>
  <si>
    <t>Operating</t>
  </si>
  <si>
    <t>OHIO LEGAL VEHICLES</t>
  </si>
  <si>
    <t>Inventory</t>
  </si>
  <si>
    <t>DESIGN VEHICLE</t>
  </si>
  <si>
    <t>BRIDGE POSTING RECOMMENDED BY RATING</t>
  </si>
  <si>
    <t>PHONE NUMBER</t>
  </si>
  <si>
    <t>PE NUMBER</t>
  </si>
  <si>
    <t>AXLE</t>
  </si>
  <si>
    <t>WEIGHT LIMIT          SINGLE UNIT</t>
  </si>
  <si>
    <t>Design Inv.</t>
  </si>
  <si>
    <t>Design Oper.</t>
  </si>
  <si>
    <t>GVW (TONS)</t>
  </si>
  <si>
    <t>Require Posting?</t>
  </si>
  <si>
    <t>Post for Legal Loads -</t>
  </si>
  <si>
    <t>Post for EV's -</t>
  </si>
  <si>
    <t>Bridge Closure -</t>
  </si>
  <si>
    <t>Posting/Closure Check by Weight</t>
  </si>
  <si>
    <t>Overall Posting Rating =</t>
  </si>
  <si>
    <t>Posting Recommendations =</t>
  </si>
  <si>
    <t>Check Box</t>
  </si>
  <si>
    <t>Check Box =</t>
  </si>
  <si>
    <t>Blank Sign</t>
  </si>
  <si>
    <t>EV Sign</t>
  </si>
  <si>
    <t>Sign Selection =</t>
  </si>
  <si>
    <t>Closure Sign</t>
  </si>
  <si>
    <t>Bridge          Closed</t>
  </si>
  <si>
    <t>EV2 Rating Factor =</t>
  </si>
  <si>
    <t>EV3 Rating Factor =</t>
  </si>
  <si>
    <t>Front Axle Max Weight =</t>
  </si>
  <si>
    <t>Rear Axle Max Weight =</t>
  </si>
  <si>
    <t>Max Gross Weight =</t>
  </si>
  <si>
    <t>Tanden Axle Max Weight =</t>
  </si>
  <si>
    <t>x RF =</t>
  </si>
  <si>
    <t>Posting Weight for Single Axle =</t>
  </si>
  <si>
    <t>Posting Weight for Tandem Axle =</t>
  </si>
  <si>
    <t>SMS Posting Table</t>
  </si>
  <si>
    <t>6 &amp; 7 Axle</t>
  </si>
  <si>
    <t>Design Inv. =</t>
  </si>
  <si>
    <t>Design Oper. =</t>
  </si>
  <si>
    <t>Is Error =</t>
  </si>
  <si>
    <t>Overall Percent Legal =</t>
  </si>
  <si>
    <t>EMERGENCY VEHICLE WEIGHT LIMIT</t>
  </si>
  <si>
    <t xml:space="preserve"> SINGLE AXLE</t>
  </si>
  <si>
    <t xml:space="preserve"> TANDEM</t>
  </si>
  <si>
    <t>Live Load Response =</t>
  </si>
  <si>
    <t>Open, Posted or Closed =</t>
  </si>
  <si>
    <t>Entered Manually</t>
  </si>
  <si>
    <t>Check for Manually Entered Data</t>
  </si>
  <si>
    <t>**User can select from dropdown list to modify</t>
  </si>
  <si>
    <t>Live Load Response:</t>
  </si>
  <si>
    <t>Sign</t>
  </si>
  <si>
    <t>Recommendation</t>
  </si>
  <si>
    <t>Disabled</t>
  </si>
  <si>
    <t>Overall Legal Posting Rating                                    (Does not include EV's)</t>
  </si>
  <si>
    <t>Manual</t>
  </si>
  <si>
    <t>Check box for Manual Sign</t>
  </si>
  <si>
    <t>Data Validation Checks</t>
  </si>
  <si>
    <t>Single Axle Calculations for EVs</t>
  </si>
  <si>
    <t>Recommend Bridge Closure At =</t>
  </si>
  <si>
    <t>LegalSign</t>
  </si>
  <si>
    <t>*Error if Design Inv. is &gt; Design Oper.</t>
  </si>
  <si>
    <t>SMS Input Data</t>
  </si>
  <si>
    <t>2F1</t>
  </si>
  <si>
    <t>3F1</t>
  </si>
  <si>
    <t>4F1</t>
  </si>
  <si>
    <t>Legal Weight</t>
  </si>
  <si>
    <r>
      <t>EMERGENCY VEHICLES (EV)</t>
    </r>
    <r>
      <rPr>
        <b/>
        <sz val="11"/>
        <color theme="1"/>
        <rFont val="Calibri"/>
        <family val="2"/>
        <scheme val="minor"/>
      </rPr>
      <t xml:space="preserve"> - Check box to include EV</t>
    </r>
  </si>
  <si>
    <t>*Maximum Legal Single Axle Weight of the EV2.</t>
  </si>
  <si>
    <t xml:space="preserve"> -minimum of 3F1 and EV3 will be included in the Weight Limit sign for "3 AXLE"</t>
  </si>
  <si>
    <t xml:space="preserve"> -minimum of 2F1 and EV2 will be included in the Weight Limit sign for "2 AXLE"</t>
  </si>
  <si>
    <t>If include EVs check box is checked the:</t>
  </si>
  <si>
    <t>Legal Weight (TONS)</t>
  </si>
  <si>
    <t xml:space="preserve"> *Lower Legal Weight of SU6 and SU7, if equal select SU6</t>
  </si>
  <si>
    <t xml:space="preserve"> *Lower Legal Weight of 4F1 and SU4, if equal select 4F1</t>
  </si>
  <si>
    <t>0 - Field Evaluation and Documented Engineering (Tons)</t>
  </si>
  <si>
    <t>Tons</t>
  </si>
  <si>
    <t>4 - Load Testing Reports (Tons)</t>
  </si>
  <si>
    <t>5 - No Rating Analysis or Evaluation Performed (Tons)</t>
  </si>
  <si>
    <t xml:space="preserve">Operating Rating </t>
  </si>
  <si>
    <t>Recommend Posting Below =</t>
  </si>
  <si>
    <t>5 - Deterioration or GA Dropped Below 5</t>
  </si>
  <si>
    <t>Jeremy.Fisher@dot.ohio.gov</t>
  </si>
  <si>
    <t>Amjad.Waheed@dot.ohio.gov</t>
  </si>
  <si>
    <t>614-752-9972</t>
  </si>
  <si>
    <t>614-466-2275</t>
  </si>
  <si>
    <t>ODOT- Office of Structural Engineering</t>
  </si>
  <si>
    <t>Amjad Waheed</t>
  </si>
  <si>
    <t>Jeremy Fisher</t>
  </si>
  <si>
    <t>Over Crooked Creek</t>
  </si>
  <si>
    <t>3 span (34', 42.5', 34' c/c bearings) continuous RC slab.  The slab has a thickness of 20.25" including 1.5" SDC overlay (1990) and a width of 42' o-o and 39' t-t of 32" parapets.  The analysis includes 5.5" of asphalt wearing surface (2015).  The bridge has a tangent alignment and a 30° LF skew. Design based on CF-2000(57) adaquate for Alternate Military loading.</t>
  </si>
  <si>
    <t>GUE-70-0248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</si>
</sst>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\ \f\t"/>
    <numFmt numFmtId="166" formatCode="0000000"/>
    <numFmt numFmtId="167" formatCode="0\ &quot; T&quot;"/>
    <numFmt numFmtId="168" formatCode="0.00\ &quot;kips&quot;"/>
    <numFmt numFmtId="169" formatCode="0\ &quot; T &quot;"/>
    <numFmt numFmtId="170" formatCode="0\ &quot;%&quot;"/>
    <numFmt numFmtId="171" formatCode="0.00\ &quot;tons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0" fontId="8" fillId="0" borderId="1" xfId="0" applyFont="1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/>
    <xf numFmtId="0" fontId="4" fillId="0" borderId="0" xfId="0" applyFont="1" applyAlignment="1" applyProtection="1">
      <alignment vertical="top"/>
      <protection hidden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18" xfId="0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29" xfId="0" applyFill="1" applyBorder="1" applyAlignment="1">
      <alignment horizontal="right" vertical="center"/>
    </xf>
    <xf numFmtId="0" fontId="0" fillId="4" borderId="28" xfId="0" applyFill="1" applyBorder="1" applyAlignment="1">
      <alignment vertical="center"/>
    </xf>
    <xf numFmtId="0" fontId="0" fillId="4" borderId="0" xfId="0" applyNumberFormat="1" applyFill="1" applyBorder="1" applyAlignment="1">
      <alignment horizontal="left" vertical="center"/>
    </xf>
    <xf numFmtId="0" fontId="0" fillId="4" borderId="19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4" fillId="0" borderId="0" xfId="0" applyFont="1" applyAlignment="1">
      <alignment vertical="top"/>
    </xf>
    <xf numFmtId="0" fontId="1" fillId="2" borderId="0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1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4" fontId="0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167" fontId="0" fillId="2" borderId="16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23" xfId="0" applyFill="1" applyBorder="1"/>
    <xf numFmtId="167" fontId="0" fillId="2" borderId="21" xfId="0" applyNumberFormat="1" applyFill="1" applyBorder="1" applyAlignment="1">
      <alignment horizontal="center"/>
    </xf>
    <xf numFmtId="0" fontId="0" fillId="2" borderId="0" xfId="0" applyFill="1"/>
    <xf numFmtId="0" fontId="0" fillId="2" borderId="1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25" xfId="0" applyFill="1" applyBorder="1" applyAlignment="1">
      <alignment horizontal="left"/>
    </xf>
    <xf numFmtId="2" fontId="0" fillId="2" borderId="25" xfId="0" applyNumberFormat="1" applyFill="1" applyBorder="1" applyAlignment="1">
      <alignment horizontal="left"/>
    </xf>
    <xf numFmtId="0" fontId="0" fillId="0" borderId="1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/>
    <xf numFmtId="0" fontId="0" fillId="0" borderId="19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21" xfId="0" applyFill="1" applyBorder="1"/>
    <xf numFmtId="0" fontId="0" fillId="2" borderId="0" xfId="0" applyFill="1" applyBorder="1" applyAlignment="1">
      <alignment horizontal="right"/>
    </xf>
    <xf numFmtId="0" fontId="0" fillId="0" borderId="24" xfId="0" applyBorder="1"/>
    <xf numFmtId="0" fontId="0" fillId="0" borderId="26" xfId="0" applyBorder="1"/>
    <xf numFmtId="0" fontId="0" fillId="0" borderId="25" xfId="0" applyBorder="1"/>
    <xf numFmtId="164" fontId="0" fillId="0" borderId="26" xfId="0" applyNumberForma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0" fillId="2" borderId="24" xfId="0" applyFill="1" applyBorder="1"/>
    <xf numFmtId="167" fontId="0" fillId="2" borderId="2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22" xfId="0" applyFill="1" applyBorder="1" applyAlignment="1">
      <alignment horizontal="right"/>
    </xf>
    <xf numFmtId="168" fontId="0" fillId="2" borderId="22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23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left"/>
    </xf>
    <xf numFmtId="0" fontId="0" fillId="2" borderId="22" xfId="0" applyFill="1" applyBorder="1"/>
    <xf numFmtId="164" fontId="0" fillId="2" borderId="16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169" fontId="0" fillId="2" borderId="16" xfId="0" applyNumberFormat="1" applyFill="1" applyBorder="1" applyAlignment="1">
      <alignment horizontal="right"/>
    </xf>
    <xf numFmtId="0" fontId="0" fillId="2" borderId="19" xfId="0" applyFill="1" applyBorder="1" applyAlignment="1"/>
    <xf numFmtId="0" fontId="0" fillId="2" borderId="2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1" fillId="0" borderId="33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26" xfId="0" applyFill="1" applyBorder="1" applyAlignment="1">
      <alignment horizontal="right"/>
    </xf>
    <xf numFmtId="0" fontId="0" fillId="0" borderId="0" xfId="0" applyAlignment="1">
      <alignment horizontal="center"/>
    </xf>
    <xf numFmtId="164" fontId="0" fillId="2" borderId="23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17" xfId="0" applyFill="1" applyBorder="1" applyAlignment="1"/>
    <xf numFmtId="0" fontId="0" fillId="2" borderId="23" xfId="0" applyFill="1" applyBorder="1" applyAlignment="1"/>
    <xf numFmtId="0" fontId="0" fillId="2" borderId="18" xfId="0" applyFill="1" applyBorder="1" applyAlignment="1">
      <alignment horizontal="right" vertical="center"/>
    </xf>
    <xf numFmtId="0" fontId="0" fillId="2" borderId="50" xfId="0" applyFill="1" applyBorder="1" applyAlignment="1">
      <alignment vertical="center"/>
    </xf>
    <xf numFmtId="0" fontId="0" fillId="2" borderId="42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51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>
      <alignment horizontal="right"/>
    </xf>
    <xf numFmtId="0" fontId="0" fillId="2" borderId="0" xfId="0" applyFill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67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167" fontId="0" fillId="2" borderId="21" xfId="0" applyNumberFormat="1" applyFill="1" applyBorder="1" applyAlignment="1" applyProtection="1">
      <alignment horizontal="center"/>
      <protection locked="0"/>
    </xf>
    <xf numFmtId="167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/>
    <xf numFmtId="0" fontId="10" fillId="2" borderId="23" xfId="0" applyFont="1" applyFill="1" applyBorder="1" applyAlignment="1">
      <alignment vertical="center" wrapText="1"/>
    </xf>
    <xf numFmtId="0" fontId="12" fillId="2" borderId="25" xfId="0" applyFont="1" applyFill="1" applyBorder="1" applyAlignment="1" applyProtection="1">
      <protection locked="0" hidden="1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52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wrapText="1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164" fontId="0" fillId="5" borderId="3" xfId="0" applyNumberFormat="1" applyFont="1" applyFill="1" applyBorder="1" applyAlignment="1" applyProtection="1">
      <alignment horizontal="center" vertical="center"/>
      <protection locked="0"/>
    </xf>
    <xf numFmtId="164" fontId="0" fillId="5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9" fillId="3" borderId="44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9" fontId="0" fillId="0" borderId="1" xfId="0" applyNumberFormat="1" applyFont="1" applyBorder="1" applyAlignment="1" applyProtection="1">
      <alignment horizontal="center" vertical="center"/>
    </xf>
    <xf numFmtId="9" fontId="0" fillId="0" borderId="34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top" wrapText="1"/>
    </xf>
    <xf numFmtId="0" fontId="1" fillId="0" borderId="41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1" fontId="0" fillId="0" borderId="3" xfId="0" applyNumberFormat="1" applyFont="1" applyBorder="1" applyAlignment="1" applyProtection="1">
      <alignment horizontal="center" vertical="center"/>
    </xf>
    <xf numFmtId="1" fontId="0" fillId="0" borderId="5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164" fontId="0" fillId="5" borderId="7" xfId="0" applyNumberFormat="1" applyFont="1" applyFill="1" applyBorder="1" applyAlignment="1" applyProtection="1">
      <alignment horizontal="center" vertical="center"/>
      <protection locked="0"/>
    </xf>
    <xf numFmtId="164" fontId="0" fillId="5" borderId="12" xfId="0" applyNumberFormat="1" applyFont="1" applyFill="1" applyBorder="1" applyAlignment="1" applyProtection="1">
      <alignment horizontal="center" vertical="center"/>
      <protection locked="0"/>
    </xf>
    <xf numFmtId="164" fontId="0" fillId="5" borderId="8" xfId="0" applyNumberFormat="1" applyFont="1" applyFill="1" applyBorder="1" applyAlignment="1" applyProtection="1">
      <alignment horizontal="center" vertical="center"/>
      <protection locked="0"/>
    </xf>
    <xf numFmtId="164" fontId="0" fillId="5" borderId="13" xfId="0" applyNumberFormat="1" applyFont="1" applyFill="1" applyBorder="1" applyAlignment="1" applyProtection="1">
      <alignment horizontal="center" vertical="center"/>
      <protection locked="0"/>
    </xf>
    <xf numFmtId="164" fontId="0" fillId="5" borderId="43" xfId="0" applyNumberFormat="1" applyFont="1" applyFill="1" applyBorder="1" applyAlignment="1" applyProtection="1">
      <alignment horizontal="center" vertical="center"/>
      <protection locked="0"/>
    </xf>
    <xf numFmtId="164" fontId="0" fillId="5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14" fontId="0" fillId="5" borderId="9" xfId="0" applyNumberFormat="1" applyFont="1" applyFill="1" applyBorder="1" applyAlignment="1" applyProtection="1">
      <alignment horizontal="center" vertical="center"/>
      <protection locked="0"/>
    </xf>
    <xf numFmtId="14" fontId="0" fillId="5" borderId="40" xfId="0" applyNumberFormat="1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 wrapText="1"/>
    </xf>
    <xf numFmtId="1" fontId="0" fillId="0" borderId="43" xfId="0" applyNumberFormat="1" applyFont="1" applyBorder="1" applyAlignment="1" applyProtection="1">
      <alignment horizontal="center" vertical="center" wrapText="1"/>
    </xf>
    <xf numFmtId="1" fontId="0" fillId="0" borderId="2" xfId="0" applyNumberFormat="1" applyFont="1" applyBorder="1" applyAlignment="1" applyProtection="1">
      <alignment horizontal="center" vertical="center" wrapText="1"/>
    </xf>
    <xf numFmtId="1" fontId="0" fillId="0" borderId="39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2" fontId="9" fillId="3" borderId="42" xfId="0" applyNumberFormat="1" applyFont="1" applyFill="1" applyBorder="1" applyAlignment="1" applyProtection="1">
      <alignment horizontal="center" vertical="center"/>
    </xf>
    <xf numFmtId="2" fontId="9" fillId="3" borderId="10" xfId="0" applyNumberFormat="1" applyFont="1" applyFill="1" applyBorder="1" applyAlignment="1" applyProtection="1">
      <alignment horizontal="center" vertical="center"/>
    </xf>
    <xf numFmtId="2" fontId="9" fillId="3" borderId="11" xfId="0" applyNumberFormat="1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5" fillId="5" borderId="9" xfId="1" applyFill="1" applyBorder="1" applyAlignment="1" applyProtection="1">
      <alignment horizontal="center" vertical="center"/>
      <protection locked="0"/>
    </xf>
    <xf numFmtId="0" fontId="5" fillId="5" borderId="10" xfId="1" applyFont="1" applyFill="1" applyBorder="1" applyAlignment="1" applyProtection="1">
      <alignment horizontal="center" vertical="center"/>
      <protection locked="0"/>
    </xf>
    <xf numFmtId="0" fontId="5" fillId="5" borderId="40" xfId="1" applyFont="1" applyFill="1" applyBorder="1" applyAlignment="1" applyProtection="1">
      <alignment horizontal="center" vertical="center"/>
      <protection locked="0"/>
    </xf>
    <xf numFmtId="0" fontId="5" fillId="5" borderId="45" xfId="1" applyFill="1" applyBorder="1" applyAlignment="1" applyProtection="1">
      <alignment horizontal="center" vertical="center"/>
      <protection locked="0"/>
    </xf>
    <xf numFmtId="0" fontId="5" fillId="5" borderId="46" xfId="1" applyFont="1" applyFill="1" applyBorder="1" applyAlignment="1" applyProtection="1">
      <alignment horizontal="center" vertical="center"/>
      <protection locked="0"/>
    </xf>
    <xf numFmtId="0" fontId="5" fillId="5" borderId="47" xfId="1" applyFont="1" applyFill="1" applyBorder="1" applyAlignment="1" applyProtection="1">
      <alignment horizontal="center" vertical="center"/>
      <protection locked="0"/>
    </xf>
    <xf numFmtId="0" fontId="0" fillId="5" borderId="9" xfId="0" applyFont="1" applyFill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 vertical="center"/>
      <protection locked="0"/>
    </xf>
    <xf numFmtId="0" fontId="0" fillId="5" borderId="1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0" fillId="5" borderId="33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0" fillId="5" borderId="35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40" xfId="0" applyFont="1" applyFill="1" applyBorder="1" applyAlignment="1" applyProtection="1">
      <alignment horizontal="left" vertical="center" wrapText="1"/>
      <protection locked="0"/>
    </xf>
    <xf numFmtId="166" fontId="0" fillId="5" borderId="33" xfId="0" applyNumberFormat="1" applyFont="1" applyFill="1" applyBorder="1" applyAlignment="1" applyProtection="1">
      <alignment horizontal="center" vertical="center"/>
      <protection locked="0"/>
    </xf>
    <xf numFmtId="166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 wrapText="1"/>
    </xf>
    <xf numFmtId="165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33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0" xfId="0" applyNumberFormat="1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164" fontId="0" fillId="0" borderId="9" xfId="0" applyNumberFormat="1" applyFill="1" applyBorder="1" applyAlignment="1">
      <alignment horizontal="left" vertical="center"/>
    </xf>
    <xf numFmtId="164" fontId="0" fillId="0" borderId="11" xfId="0" applyNumberFormat="1" applyFill="1" applyBorder="1" applyAlignment="1">
      <alignment horizontal="left" vertical="center"/>
    </xf>
    <xf numFmtId="0" fontId="0" fillId="0" borderId="9" xfId="0" applyNumberFormat="1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4" borderId="2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left" vertical="center"/>
    </xf>
    <xf numFmtId="2" fontId="0" fillId="0" borderId="11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14" fontId="0" fillId="0" borderId="11" xfId="0" applyNumberFormat="1" applyFill="1" applyBorder="1" applyAlignment="1">
      <alignment horizontal="left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0" xfId="0" applyFill="1" applyBorder="1"/>
    <xf numFmtId="0" fontId="0" fillId="2" borderId="16" xfId="0" applyFill="1" applyBorder="1"/>
    <xf numFmtId="170" fontId="0" fillId="2" borderId="0" xfId="0" applyNumberFormat="1" applyFill="1" applyBorder="1" applyAlignment="1">
      <alignment horizontal="left"/>
    </xf>
    <xf numFmtId="170" fontId="0" fillId="2" borderId="16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2" fontId="0" fillId="0" borderId="0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168" fontId="0" fillId="2" borderId="22" xfId="0" applyNumberFormat="1" applyFill="1" applyBorder="1" applyAlignment="1">
      <alignment horizontal="left"/>
    </xf>
    <xf numFmtId="168" fontId="0" fillId="2" borderId="20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4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16" fontId="0" fillId="0" borderId="36" xfId="0" applyNumberFormat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171" fontId="0" fillId="2" borderId="23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168" fontId="0" fillId="2" borderId="0" xfId="0" applyNumberFormat="1" applyFill="1" applyBorder="1" applyAlignment="1">
      <alignment horizontal="left"/>
    </xf>
    <xf numFmtId="168" fontId="0" fillId="2" borderId="16" xfId="0" applyNumberFormat="1" applyFill="1" applyBorder="1" applyAlignment="1">
      <alignment horizontal="left"/>
    </xf>
    <xf numFmtId="168" fontId="0" fillId="2" borderId="23" xfId="0" applyNumberFormat="1" applyFill="1" applyBorder="1" applyAlignment="1">
      <alignment horizontal="left"/>
    </xf>
    <xf numFmtId="168" fontId="0" fillId="2" borderId="21" xfId="0" applyNumberFormat="1" applyFill="1" applyBorder="1" applyAlignment="1">
      <alignment horizontal="left"/>
    </xf>
    <xf numFmtId="171" fontId="0" fillId="2" borderId="22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7" xfId="0" applyBorder="1" applyAlignment="1">
      <alignment horizont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16" xfId="0" applyFill="1" applyBorder="1" applyAlignment="1"/>
    <xf numFmtId="0" fontId="0" fillId="2" borderId="23" xfId="0" applyFill="1" applyBorder="1" applyAlignment="1"/>
    <xf numFmtId="0" fontId="0" fillId="2" borderId="21" xfId="0" applyFill="1" applyBorder="1" applyAlignment="1"/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/>
    <xf numFmtId="0" fontId="0" fillId="2" borderId="22" xfId="0" applyFill="1" applyBorder="1" applyAlignment="1"/>
    <xf numFmtId="0" fontId="0" fillId="2" borderId="20" xfId="0" applyFill="1" applyBorder="1" applyAlignment="1"/>
  </cellXfs>
  <cellStyles count="2">
    <cellStyle name="Hyperlink" xfId="1" builtinId="8"/>
    <cellStyle name="Normal" xfId="0" builtinId="0"/>
  </cellStyles>
  <dxfs count="4">
    <dxf>
      <font>
        <color rgb="FFFF0000"/>
      </font>
    </dxf>
    <dxf>
      <font>
        <color rgb="FFFF0000"/>
      </font>
    </dxf>
    <dxf>
      <numFmt numFmtId="171" formatCode="0.00\ &quot;tons&quot;"/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'Calcs &amp; Signs'!$I$2" lockText="1" noThreeD="1"/>
</file>

<file path=xl/ctrlProps/ctrlProp2.xml><?xml version="1.0" encoding="utf-8"?>
<formControlPr xmlns="http://schemas.microsoft.com/office/spreadsheetml/2009/9/main" objectType="CheckBox" fmlaLink="O3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319617</xdr:colOff>
      <xdr:row>0</xdr:row>
      <xdr:rowOff>66676</xdr:rowOff>
    </xdr:from>
    <xdr:to>
      <xdr:col>1</xdr:col>
      <xdr:colOff>39887</xdr:colOff>
      <xdr:row>2</xdr:row>
      <xdr:rowOff>238126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17" y="66676"/>
          <a:ext cx="768020" cy="800100"/>
        </a:xfrm>
        <a:prstGeom prst="rect">
          <a:avLst/>
        </a:prstGeom>
        <a:effectLst>
          <a:outerShdw sx="1000" sy="1000" algn="ctr" rotWithShape="0">
            <a:srgbClr val="000000"/>
          </a:outerShdw>
          <a:softEdge rad="0"/>
        </a:effectLst>
        <a:scene3d>
          <a:camera prst="orthographicFront"/>
          <a:lightRig rig="threePt" dir="t"/>
        </a:scene3d>
        <a:sp3d>
          <a:bevelB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32</xdr:row>
          <xdr:rowOff>38100</xdr:rowOff>
        </xdr:from>
        <xdr:to>
          <xdr:col>3</xdr:col>
          <xdr:colOff>828675</xdr:colOff>
          <xdr:row>34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28</xdr:row>
          <xdr:rowOff>47625</xdr:rowOff>
        </xdr:from>
        <xdr:to>
          <xdr:col>10</xdr:col>
          <xdr:colOff>533400</xdr:colOff>
          <xdr:row>38</xdr:row>
          <xdr:rowOff>9525</xdr:rowOff>
        </xdr:to>
        <xdr:pic>
          <xdr:nvPicPr>
            <xdr:cNvPr id="8" name="Picture 7"/>
            <xdr:cNvPicPr>
              <a:picLocks noChangeAspect="1"/>
              <a:extLst>
                <a:ext uri="{84589F7E-364E-4C9E-8A38-B11213B215E9}">
                  <a14:cameraTool cellRange="LegalPosting" spid="_x0000_s135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0300" y="7553325"/>
              <a:ext cx="1104900" cy="1590675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12</xdr:row>
      <xdr:rowOff>28575</xdr:rowOff>
    </xdr:from>
    <xdr:ext cx="476250" cy="1905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2371725"/>
          <a:ext cx="476250" cy="190500"/>
        </a:xfrm>
        <a:prstGeom prst="rect">
          <a:avLst/>
        </a:prstGeom>
      </xdr:spPr>
    </xdr:pic>
    <xdr:clientData/>
  </xdr:oneCellAnchor>
  <xdr:oneCellAnchor>
    <xdr:from>
      <xdr:col>27</xdr:col>
      <xdr:colOff>28575</xdr:colOff>
      <xdr:row>12</xdr:row>
      <xdr:rowOff>28575</xdr:rowOff>
    </xdr:from>
    <xdr:ext cx="476250" cy="1905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2409825"/>
          <a:ext cx="476250" cy="190500"/>
        </a:xfrm>
        <a:prstGeom prst="rect">
          <a:avLst/>
        </a:prstGeom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2</xdr:row>
          <xdr:rowOff>0</xdr:rowOff>
        </xdr:from>
        <xdr:to>
          <xdr:col>15</xdr:col>
          <xdr:colOff>0</xdr:colOff>
          <xdr:row>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7"/>
  <sheetViews>
    <sheetView tabSelected="1" topLeftCell="A10" zoomScaleNormal="100" workbookViewId="0">
      <selection activeCell="C8" sqref="C8:K8"/>
    </sheetView>
  </sheetViews>
  <sheetFormatPr defaultRowHeight="15" x14ac:dyDescent="0.25"/>
  <cols>
    <col min="1" max="1" width="15.7109375" customWidth="1"/>
    <col min="2" max="2" width="10.42578125" customWidth="1"/>
    <col min="3" max="3" width="20" customWidth="1"/>
    <col min="4" max="4" width="13.5703125" customWidth="1"/>
    <col min="5" max="5" width="1" customWidth="1"/>
    <col min="6" max="6" width="6.85546875" customWidth="1"/>
    <col min="7" max="7" width="7.140625" customWidth="1"/>
    <col min="8" max="8" width="11.28515625" customWidth="1"/>
    <col min="9" max="10" width="7.85546875" customWidth="1"/>
    <col min="11" max="11" width="15.7109375" customWidth="1"/>
  </cols>
  <sheetData>
    <row r="1" spans="1:11" ht="26.25" customHeight="1" x14ac:dyDescent="0.25">
      <c r="A1" s="254" t="s">
        <v>6</v>
      </c>
      <c r="B1" s="255"/>
      <c r="C1" s="255"/>
      <c r="D1" s="255"/>
      <c r="E1" s="255"/>
      <c r="F1" s="255"/>
      <c r="G1" s="255"/>
      <c r="H1" s="255"/>
      <c r="I1" s="255"/>
      <c r="J1" s="255"/>
      <c r="K1" s="256"/>
    </row>
    <row r="2" spans="1:11" ht="23.25" customHeight="1" x14ac:dyDescent="0.25">
      <c r="A2" s="257" t="s">
        <v>7</v>
      </c>
      <c r="B2" s="258"/>
      <c r="C2" s="258"/>
      <c r="D2" s="258"/>
      <c r="E2" s="258"/>
      <c r="F2" s="258"/>
      <c r="G2" s="258"/>
      <c r="H2" s="258"/>
      <c r="I2" s="258"/>
      <c r="J2" s="258"/>
      <c r="K2" s="259"/>
    </row>
    <row r="3" spans="1:11" ht="23.25" customHeight="1" x14ac:dyDescent="0.25">
      <c r="A3" s="260" t="s">
        <v>8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x14ac:dyDescent="0.25">
      <c r="A4" s="220" t="s">
        <v>9</v>
      </c>
      <c r="B4" s="221"/>
      <c r="C4" s="221" t="s">
        <v>10</v>
      </c>
      <c r="D4" s="221"/>
      <c r="E4" s="221"/>
      <c r="F4" s="221"/>
      <c r="G4" s="245" t="s">
        <v>11</v>
      </c>
      <c r="H4" s="248"/>
      <c r="I4" s="248"/>
      <c r="J4" s="248"/>
      <c r="K4" s="249"/>
    </row>
    <row r="5" spans="1:11" x14ac:dyDescent="0.25">
      <c r="A5" s="268">
        <v>3000877</v>
      </c>
      <c r="B5" s="269"/>
      <c r="C5" s="251" t="s">
        <v>431</v>
      </c>
      <c r="D5" s="251"/>
      <c r="E5" s="251"/>
      <c r="F5" s="251"/>
      <c r="G5" s="270">
        <f>IF(ISNA(VLOOKUP(MID(C5,1,3),List!C4:D91,2,FALSE))=TRUE,"From BRIDGE NUMBER or Enter District",VLOOKUP(MID(C5,1,3),List!C4:D91,2))</f>
        <v>5</v>
      </c>
      <c r="H5" s="271"/>
      <c r="I5" s="271"/>
      <c r="J5" s="271"/>
      <c r="K5" s="272"/>
    </row>
    <row r="6" spans="1:11" ht="30" customHeight="1" x14ac:dyDescent="0.25">
      <c r="A6" s="263" t="s">
        <v>12</v>
      </c>
      <c r="B6" s="264"/>
      <c r="C6" s="132" t="s">
        <v>13</v>
      </c>
      <c r="D6" s="264" t="s">
        <v>129</v>
      </c>
      <c r="E6" s="264"/>
      <c r="F6" s="264"/>
      <c r="G6" s="273" t="s">
        <v>339</v>
      </c>
      <c r="H6" s="274"/>
      <c r="I6" s="274"/>
      <c r="J6" s="274"/>
      <c r="K6" s="275"/>
    </row>
    <row r="7" spans="1:11" x14ac:dyDescent="0.25">
      <c r="A7" s="250">
        <v>1966</v>
      </c>
      <c r="B7" s="251"/>
      <c r="C7" s="130"/>
      <c r="D7" s="276">
        <v>112</v>
      </c>
      <c r="E7" s="276"/>
      <c r="F7" s="276"/>
      <c r="G7" s="242" t="s">
        <v>429</v>
      </c>
      <c r="H7" s="243"/>
      <c r="I7" s="243"/>
      <c r="J7" s="243"/>
      <c r="K7" s="265"/>
    </row>
    <row r="8" spans="1:11" ht="129.75" customHeight="1" x14ac:dyDescent="0.25">
      <c r="A8" s="263" t="s">
        <v>155</v>
      </c>
      <c r="B8" s="264"/>
      <c r="C8" s="266" t="s">
        <v>430</v>
      </c>
      <c r="D8" s="266"/>
      <c r="E8" s="266"/>
      <c r="F8" s="266"/>
      <c r="G8" s="266"/>
      <c r="H8" s="266"/>
      <c r="I8" s="266"/>
      <c r="J8" s="266"/>
      <c r="K8" s="267"/>
    </row>
    <row r="9" spans="1:11" ht="22.5" customHeight="1" x14ac:dyDescent="0.25">
      <c r="A9" s="277"/>
      <c r="B9" s="278"/>
      <c r="C9" s="245" t="s">
        <v>18</v>
      </c>
      <c r="D9" s="248"/>
      <c r="E9" s="248"/>
      <c r="F9" s="248"/>
      <c r="G9" s="248"/>
      <c r="H9" s="248"/>
      <c r="I9" s="248"/>
      <c r="J9" s="248"/>
      <c r="K9" s="249"/>
    </row>
    <row r="10" spans="1:11" ht="22.5" customHeight="1" x14ac:dyDescent="0.25">
      <c r="A10" s="279" t="s">
        <v>14</v>
      </c>
      <c r="B10" s="280"/>
      <c r="C10" s="281" t="s">
        <v>136</v>
      </c>
      <c r="D10" s="282"/>
      <c r="E10" s="282"/>
      <c r="F10" s="282"/>
      <c r="G10" s="282"/>
      <c r="H10" s="282"/>
      <c r="I10" s="282"/>
      <c r="J10" s="282"/>
      <c r="K10" s="283"/>
    </row>
    <row r="11" spans="1:11" ht="22.5" customHeight="1" x14ac:dyDescent="0.25">
      <c r="A11" s="279" t="s">
        <v>15</v>
      </c>
      <c r="B11" s="280"/>
      <c r="C11" s="281" t="s">
        <v>174</v>
      </c>
      <c r="D11" s="282"/>
      <c r="E11" s="282"/>
      <c r="F11" s="282"/>
      <c r="G11" s="282"/>
      <c r="H11" s="282"/>
      <c r="I11" s="282"/>
      <c r="J11" s="282"/>
      <c r="K11" s="283"/>
    </row>
    <row r="12" spans="1:11" ht="22.5" customHeight="1" x14ac:dyDescent="0.25">
      <c r="A12" s="279" t="s">
        <v>16</v>
      </c>
      <c r="B12" s="280"/>
      <c r="C12" s="281" t="s">
        <v>140</v>
      </c>
      <c r="D12" s="282"/>
      <c r="E12" s="282"/>
      <c r="F12" s="282"/>
      <c r="G12" s="282"/>
      <c r="H12" s="282"/>
      <c r="I12" s="282"/>
      <c r="J12" s="282"/>
      <c r="K12" s="283"/>
    </row>
    <row r="13" spans="1:11" ht="22.5" customHeight="1" x14ac:dyDescent="0.25">
      <c r="A13" s="279" t="s">
        <v>151</v>
      </c>
      <c r="B13" s="280"/>
      <c r="C13" s="281" t="s">
        <v>187</v>
      </c>
      <c r="D13" s="282"/>
      <c r="E13" s="282"/>
      <c r="F13" s="282"/>
      <c r="G13" s="282"/>
      <c r="H13" s="282"/>
      <c r="I13" s="282"/>
      <c r="J13" s="282"/>
      <c r="K13" s="283"/>
    </row>
    <row r="14" spans="1:11" ht="22.5" customHeight="1" x14ac:dyDescent="0.25">
      <c r="A14" s="287" t="s">
        <v>17</v>
      </c>
      <c r="B14" s="288"/>
      <c r="C14" s="281" t="s">
        <v>149</v>
      </c>
      <c r="D14" s="282"/>
      <c r="E14" s="282"/>
      <c r="F14" s="282"/>
      <c r="G14" s="282"/>
      <c r="H14" s="282"/>
      <c r="I14" s="282"/>
      <c r="J14" s="282"/>
      <c r="K14" s="283"/>
    </row>
    <row r="15" spans="1:11" ht="4.5" customHeight="1" thickBot="1" x14ac:dyDescent="0.3">
      <c r="A15" s="289"/>
      <c r="B15" s="290"/>
      <c r="C15" s="290"/>
      <c r="D15" s="290"/>
      <c r="E15" s="290"/>
      <c r="F15" s="290"/>
      <c r="G15" s="290"/>
      <c r="H15" s="290"/>
      <c r="I15" s="290"/>
      <c r="J15" s="290"/>
      <c r="K15" s="291"/>
    </row>
    <row r="16" spans="1:11" ht="22.5" customHeight="1" thickTop="1" thickBot="1" x14ac:dyDescent="0.3">
      <c r="A16" s="284" t="s">
        <v>19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4" ht="4.5" customHeight="1" thickTop="1" x14ac:dyDescent="0.25">
      <c r="A17" s="168"/>
      <c r="B17" s="169"/>
      <c r="C17" s="169"/>
      <c r="D17" s="169"/>
      <c r="E17" s="170"/>
      <c r="F17" s="169"/>
      <c r="G17" s="169"/>
      <c r="H17" s="169"/>
      <c r="I17" s="169"/>
      <c r="J17" s="169"/>
      <c r="K17" s="171"/>
    </row>
    <row r="18" spans="1:14" ht="18.75" customHeight="1" x14ac:dyDescent="0.25">
      <c r="A18" s="294" t="s">
        <v>342</v>
      </c>
      <c r="B18" s="295"/>
      <c r="C18" s="295"/>
      <c r="D18" s="296"/>
      <c r="E18" s="42"/>
      <c r="F18" s="292" t="s">
        <v>344</v>
      </c>
      <c r="G18" s="292"/>
      <c r="H18" s="292"/>
      <c r="I18" s="292"/>
      <c r="J18" s="292"/>
      <c r="K18" s="293"/>
    </row>
    <row r="19" spans="1:14" ht="15" customHeight="1" x14ac:dyDescent="0.25">
      <c r="A19" s="200" t="s">
        <v>0</v>
      </c>
      <c r="B19" s="297" t="s">
        <v>127</v>
      </c>
      <c r="C19" s="166" t="s">
        <v>419</v>
      </c>
      <c r="D19" s="299" t="s">
        <v>162</v>
      </c>
      <c r="E19" s="42"/>
      <c r="F19" s="302" t="s">
        <v>0</v>
      </c>
      <c r="G19" s="303"/>
      <c r="H19" s="303"/>
      <c r="I19" s="196" t="str">
        <f>CONCATENATE("Design Rating - ",'Calcs &amp; Signs'!D4)</f>
        <v>Design Rating - RF</v>
      </c>
      <c r="J19" s="196"/>
      <c r="K19" s="301"/>
    </row>
    <row r="20" spans="1:14" ht="15" customHeight="1" x14ac:dyDescent="0.25">
      <c r="A20" s="201"/>
      <c r="B20" s="298"/>
      <c r="C20" s="167" t="s">
        <v>159</v>
      </c>
      <c r="D20" s="300"/>
      <c r="E20" s="42"/>
      <c r="F20" s="304"/>
      <c r="G20" s="173"/>
      <c r="H20" s="173"/>
      <c r="I20" s="196" t="s">
        <v>341</v>
      </c>
      <c r="J20" s="196"/>
      <c r="K20" s="126" t="s">
        <v>343</v>
      </c>
      <c r="N20" s="35"/>
    </row>
    <row r="21" spans="1:14" ht="15" customHeight="1" x14ac:dyDescent="0.25">
      <c r="A21" s="41" t="str">
        <f>'Calcs &amp; Signs'!B10</f>
        <v>2F1</v>
      </c>
      <c r="B21" s="36">
        <f>'Calcs &amp; Signs'!D10</f>
        <v>15</v>
      </c>
      <c r="C21" s="39">
        <v>3.1019999999999999</v>
      </c>
      <c r="D21" s="34">
        <f>'Calcs &amp; Signs'!E10</f>
        <v>15</v>
      </c>
      <c r="E21" s="42"/>
      <c r="F21" s="212" t="str">
        <f>VLOOKUP(C13,List!P3:R20,3)</f>
        <v>HS20 Loading</v>
      </c>
      <c r="G21" s="213"/>
      <c r="H21" s="213"/>
      <c r="I21" s="206">
        <v>1.48</v>
      </c>
      <c r="J21" s="207"/>
      <c r="K21" s="210">
        <v>0.88600000000000001</v>
      </c>
    </row>
    <row r="22" spans="1:14" ht="10.5" customHeight="1" x14ac:dyDescent="0.25">
      <c r="A22" s="200" t="str">
        <f>'Calcs &amp; Signs'!B11</f>
        <v>3F1</v>
      </c>
      <c r="B22" s="202">
        <f>'Calcs &amp; Signs'!D11</f>
        <v>23</v>
      </c>
      <c r="C22" s="176">
        <v>2.1760000000000002</v>
      </c>
      <c r="D22" s="178">
        <f>'Calcs &amp; Signs'!E11</f>
        <v>23</v>
      </c>
      <c r="E22" s="43"/>
      <c r="F22" s="214"/>
      <c r="G22" s="215"/>
      <c r="H22" s="215"/>
      <c r="I22" s="208"/>
      <c r="J22" s="209"/>
      <c r="K22" s="211"/>
    </row>
    <row r="23" spans="1:14" ht="4.5" customHeight="1" x14ac:dyDescent="0.25">
      <c r="A23" s="201"/>
      <c r="B23" s="203"/>
      <c r="C23" s="177"/>
      <c r="D23" s="179"/>
      <c r="E23" s="43"/>
      <c r="F23" s="204"/>
      <c r="G23" s="204"/>
      <c r="H23" s="204"/>
      <c r="I23" s="204"/>
      <c r="J23" s="204"/>
      <c r="K23" s="205"/>
    </row>
    <row r="24" spans="1:14" ht="15" customHeight="1" x14ac:dyDescent="0.25">
      <c r="A24" s="41" t="str">
        <f>'Calcs &amp; Signs'!B12</f>
        <v>4F1</v>
      </c>
      <c r="B24" s="36">
        <f>'Calcs &amp; Signs'!D12</f>
        <v>27</v>
      </c>
      <c r="C24" s="39">
        <v>1.9750000000000001</v>
      </c>
      <c r="D24" s="34">
        <f>'Calcs &amp; Signs'!E12</f>
        <v>27</v>
      </c>
      <c r="E24" s="43"/>
      <c r="F24" s="199" t="s">
        <v>394</v>
      </c>
      <c r="G24" s="199"/>
      <c r="H24" s="199"/>
      <c r="I24" s="197">
        <f>'Calcs &amp; Signs'!D26</f>
        <v>1.4000000000000001</v>
      </c>
      <c r="J24" s="197"/>
      <c r="K24" s="198"/>
      <c r="M24" s="1"/>
    </row>
    <row r="25" spans="1:14" ht="15" customHeight="1" x14ac:dyDescent="0.25">
      <c r="A25" s="41" t="str">
        <f>'Calcs &amp; Signs'!B13</f>
        <v>5C1</v>
      </c>
      <c r="B25" s="36">
        <f>'Calcs &amp; Signs'!D13</f>
        <v>40</v>
      </c>
      <c r="C25" s="39">
        <v>1.4179999999999999</v>
      </c>
      <c r="D25" s="34">
        <f>'Calcs &amp; Signs'!E13</f>
        <v>40</v>
      </c>
      <c r="E25" s="43"/>
      <c r="F25" s="199"/>
      <c r="G25" s="199"/>
      <c r="H25" s="199"/>
      <c r="I25" s="197"/>
      <c r="J25" s="197"/>
      <c r="K25" s="198"/>
      <c r="M25" s="1"/>
    </row>
    <row r="26" spans="1:14" ht="4.5" customHeight="1" x14ac:dyDescent="0.25">
      <c r="A26" s="194"/>
      <c r="B26" s="195"/>
      <c r="C26" s="195"/>
      <c r="D26" s="195"/>
      <c r="E26" s="44"/>
      <c r="F26" s="189"/>
      <c r="G26" s="189"/>
      <c r="H26" s="189"/>
      <c r="I26" s="189"/>
      <c r="J26" s="189"/>
      <c r="K26" s="190"/>
      <c r="M26" s="1"/>
    </row>
    <row r="27" spans="1:14" ht="18.75" customHeight="1" x14ac:dyDescent="0.25">
      <c r="A27" s="191" t="s">
        <v>152</v>
      </c>
      <c r="B27" s="192"/>
      <c r="C27" s="192"/>
      <c r="D27" s="193"/>
      <c r="E27" s="43"/>
      <c r="F27" s="180" t="s">
        <v>345</v>
      </c>
      <c r="G27" s="181"/>
      <c r="H27" s="182"/>
      <c r="I27" s="224" t="str">
        <f>'Calcs &amp; Signs'!D27</f>
        <v>No Load Posting is Recommended</v>
      </c>
      <c r="J27" s="224"/>
      <c r="K27" s="225"/>
      <c r="M27" s="1"/>
    </row>
    <row r="28" spans="1:14" ht="15" customHeight="1" x14ac:dyDescent="0.25">
      <c r="A28" s="125" t="str">
        <f>'Calcs &amp; Signs'!B14</f>
        <v>SU4</v>
      </c>
      <c r="B28" s="37">
        <f>'Calcs &amp; Signs'!D14</f>
        <v>27</v>
      </c>
      <c r="C28" s="39">
        <v>1.96</v>
      </c>
      <c r="D28" s="34">
        <f>'Calcs &amp; Signs'!E14</f>
        <v>27</v>
      </c>
      <c r="E28" s="43"/>
      <c r="F28" s="186"/>
      <c r="G28" s="187"/>
      <c r="H28" s="188"/>
      <c r="I28" s="226"/>
      <c r="J28" s="226"/>
      <c r="K28" s="227"/>
      <c r="M28" s="1"/>
    </row>
    <row r="29" spans="1:14" ht="4.5" customHeight="1" x14ac:dyDescent="0.25">
      <c r="A29" s="200" t="str">
        <f>'Calcs &amp; Signs'!B15</f>
        <v>SU5</v>
      </c>
      <c r="B29" s="174">
        <f>'Calcs &amp; Signs'!D15</f>
        <v>31</v>
      </c>
      <c r="C29" s="176">
        <v>1.8009999999999999</v>
      </c>
      <c r="D29" s="178">
        <f>'Calcs &amp; Signs'!E15</f>
        <v>31</v>
      </c>
      <c r="E29" s="43"/>
      <c r="F29" s="222"/>
      <c r="G29" s="222"/>
      <c r="H29" s="222"/>
      <c r="I29" s="222"/>
      <c r="J29" s="222"/>
      <c r="K29" s="223"/>
      <c r="M29" s="1"/>
    </row>
    <row r="30" spans="1:14" ht="10.5" customHeight="1" x14ac:dyDescent="0.25">
      <c r="A30" s="201"/>
      <c r="B30" s="175"/>
      <c r="C30" s="177"/>
      <c r="D30" s="179"/>
      <c r="E30" s="44"/>
      <c r="F30" s="180" t="s">
        <v>160</v>
      </c>
      <c r="G30" s="181"/>
      <c r="H30" s="182"/>
      <c r="I30" s="233"/>
      <c r="J30" s="234"/>
      <c r="K30" s="235"/>
      <c r="M30" s="1"/>
    </row>
    <row r="31" spans="1:14" ht="15" customHeight="1" x14ac:dyDescent="0.25">
      <c r="A31" s="125" t="str">
        <f>'Calcs &amp; Signs'!B16</f>
        <v>SU6</v>
      </c>
      <c r="B31" s="38">
        <f>'Calcs &amp; Signs'!D16</f>
        <v>34.75</v>
      </c>
      <c r="C31" s="39">
        <v>1.629</v>
      </c>
      <c r="D31" s="34">
        <f>'Calcs &amp; Signs'!E16</f>
        <v>34.75</v>
      </c>
      <c r="E31" s="123"/>
      <c r="F31" s="183"/>
      <c r="G31" s="184"/>
      <c r="H31" s="185"/>
      <c r="I31" s="233"/>
      <c r="J31" s="234"/>
      <c r="K31" s="235"/>
      <c r="N31" s="2"/>
    </row>
    <row r="32" spans="1:14" ht="15" customHeight="1" x14ac:dyDescent="0.25">
      <c r="A32" s="127" t="str">
        <f>'Calcs &amp; Signs'!B17</f>
        <v>SU7</v>
      </c>
      <c r="B32" s="40">
        <f>'Calcs &amp; Signs'!D17</f>
        <v>38.75</v>
      </c>
      <c r="C32" s="39">
        <v>1.472</v>
      </c>
      <c r="D32" s="34">
        <f>'Calcs &amp; Signs'!E17</f>
        <v>38.75</v>
      </c>
      <c r="E32" s="123"/>
      <c r="F32" s="183"/>
      <c r="G32" s="184"/>
      <c r="H32" s="185"/>
      <c r="I32" s="233"/>
      <c r="J32" s="234"/>
      <c r="K32" s="235"/>
    </row>
    <row r="33" spans="1:11" ht="4.5" customHeight="1" x14ac:dyDescent="0.25">
      <c r="A33" s="172"/>
      <c r="B33" s="173"/>
      <c r="C33" s="173"/>
      <c r="D33" s="173"/>
      <c r="E33" s="123"/>
      <c r="F33" s="183"/>
      <c r="G33" s="184"/>
      <c r="H33" s="185"/>
      <c r="I33" s="233"/>
      <c r="J33" s="234"/>
      <c r="K33" s="235"/>
    </row>
    <row r="34" spans="1:11" ht="18.75" customHeight="1" x14ac:dyDescent="0.25">
      <c r="A34" s="230" t="s">
        <v>407</v>
      </c>
      <c r="B34" s="231"/>
      <c r="C34" s="231"/>
      <c r="D34" s="232"/>
      <c r="E34" s="123"/>
      <c r="F34" s="183"/>
      <c r="G34" s="184"/>
      <c r="H34" s="185"/>
      <c r="I34" s="233"/>
      <c r="J34" s="234"/>
      <c r="K34" s="235"/>
    </row>
    <row r="35" spans="1:11" ht="15" customHeight="1" x14ac:dyDescent="0.25">
      <c r="A35" s="97" t="str">
        <f>'Calcs &amp; Signs'!B18</f>
        <v>EV2</v>
      </c>
      <c r="B35" s="98">
        <f>'Calcs &amp; Signs'!D18</f>
        <v>28.75</v>
      </c>
      <c r="C35" s="39">
        <v>1.93</v>
      </c>
      <c r="D35" s="124">
        <f>'Calcs &amp; Signs'!E18</f>
        <v>28.75</v>
      </c>
      <c r="E35" s="123"/>
      <c r="F35" s="183"/>
      <c r="G35" s="184"/>
      <c r="H35" s="185"/>
      <c r="I35" s="233"/>
      <c r="J35" s="234"/>
      <c r="K35" s="235"/>
    </row>
    <row r="36" spans="1:11" ht="15" customHeight="1" x14ac:dyDescent="0.25">
      <c r="A36" s="41" t="str">
        <f>'Calcs &amp; Signs'!B19</f>
        <v>EV3</v>
      </c>
      <c r="B36" s="98">
        <f>'Calcs &amp; Signs'!D19</f>
        <v>43</v>
      </c>
      <c r="C36" s="39">
        <v>1.28</v>
      </c>
      <c r="D36" s="34">
        <f>'Calcs &amp; Signs'!E19</f>
        <v>43</v>
      </c>
      <c r="E36" s="123"/>
      <c r="F36" s="183"/>
      <c r="G36" s="184"/>
      <c r="H36" s="185"/>
      <c r="I36" s="233"/>
      <c r="J36" s="234"/>
      <c r="K36" s="235"/>
    </row>
    <row r="37" spans="1:11" ht="15" customHeight="1" x14ac:dyDescent="0.25">
      <c r="A37" s="45"/>
      <c r="B37" s="33"/>
      <c r="C37" s="33"/>
      <c r="D37" s="33"/>
      <c r="E37" s="123"/>
      <c r="F37" s="183"/>
      <c r="G37" s="184"/>
      <c r="H37" s="185"/>
      <c r="I37" s="233"/>
      <c r="J37" s="234"/>
      <c r="K37" s="235"/>
    </row>
    <row r="38" spans="1:11" ht="15" customHeight="1" x14ac:dyDescent="0.25">
      <c r="A38" s="45"/>
      <c r="B38" s="33"/>
      <c r="C38" s="33"/>
      <c r="D38" s="33"/>
      <c r="E38" s="170"/>
      <c r="F38" s="186"/>
      <c r="G38" s="187"/>
      <c r="H38" s="188"/>
      <c r="I38" s="233"/>
      <c r="J38" s="234"/>
      <c r="K38" s="235"/>
    </row>
    <row r="39" spans="1:11" ht="4.5" customHeight="1" x14ac:dyDescent="0.25">
      <c r="A39" s="172"/>
      <c r="B39" s="173"/>
      <c r="C39" s="173"/>
      <c r="D39" s="173"/>
      <c r="E39" s="169"/>
      <c r="F39" s="228"/>
      <c r="G39" s="228"/>
      <c r="H39" s="228"/>
      <c r="I39" s="228"/>
      <c r="J39" s="228"/>
      <c r="K39" s="229"/>
    </row>
    <row r="40" spans="1:11" ht="22.5" customHeight="1" x14ac:dyDescent="0.25">
      <c r="A40" s="216" t="s">
        <v>340</v>
      </c>
      <c r="B40" s="217"/>
      <c r="C40" s="242" t="s">
        <v>426</v>
      </c>
      <c r="D40" s="243"/>
      <c r="E40" s="243"/>
      <c r="F40" s="243"/>
      <c r="G40" s="244"/>
      <c r="H40" s="245" t="s">
        <v>156</v>
      </c>
      <c r="I40" s="246"/>
      <c r="J40" s="218">
        <v>43112</v>
      </c>
      <c r="K40" s="219"/>
    </row>
    <row r="41" spans="1:11" ht="22.5" customHeight="1" x14ac:dyDescent="0.25">
      <c r="A41" s="220" t="s">
        <v>128</v>
      </c>
      <c r="B41" s="221"/>
      <c r="C41" s="129" t="s">
        <v>347</v>
      </c>
      <c r="D41" s="245" t="s">
        <v>346</v>
      </c>
      <c r="E41" s="248"/>
      <c r="F41" s="248"/>
      <c r="G41" s="246"/>
      <c r="H41" s="245" t="s">
        <v>20</v>
      </c>
      <c r="I41" s="248"/>
      <c r="J41" s="248"/>
      <c r="K41" s="249"/>
    </row>
    <row r="42" spans="1:11" ht="22.5" customHeight="1" x14ac:dyDescent="0.25">
      <c r="A42" s="250" t="s">
        <v>428</v>
      </c>
      <c r="B42" s="251"/>
      <c r="C42" s="130"/>
      <c r="D42" s="251" t="s">
        <v>425</v>
      </c>
      <c r="E42" s="251"/>
      <c r="F42" s="251"/>
      <c r="G42" s="251"/>
      <c r="H42" s="236" t="s">
        <v>422</v>
      </c>
      <c r="I42" s="237"/>
      <c r="J42" s="237"/>
      <c r="K42" s="238"/>
    </row>
    <row r="43" spans="1:11" ht="22.5" customHeight="1" x14ac:dyDescent="0.25">
      <c r="A43" s="216" t="s">
        <v>157</v>
      </c>
      <c r="B43" s="217"/>
      <c r="C43" s="128" t="s">
        <v>347</v>
      </c>
      <c r="D43" s="245" t="s">
        <v>346</v>
      </c>
      <c r="E43" s="248"/>
      <c r="F43" s="248"/>
      <c r="G43" s="246"/>
      <c r="H43" s="245" t="s">
        <v>20</v>
      </c>
      <c r="I43" s="248"/>
      <c r="J43" s="248"/>
      <c r="K43" s="249"/>
    </row>
    <row r="44" spans="1:11" ht="22.5" customHeight="1" thickBot="1" x14ac:dyDescent="0.3">
      <c r="A44" s="253" t="s">
        <v>427</v>
      </c>
      <c r="B44" s="252"/>
      <c r="C44" s="131">
        <v>55865</v>
      </c>
      <c r="D44" s="252" t="s">
        <v>424</v>
      </c>
      <c r="E44" s="252"/>
      <c r="F44" s="252"/>
      <c r="G44" s="252"/>
      <c r="H44" s="239" t="s">
        <v>423</v>
      </c>
      <c r="I44" s="240"/>
      <c r="J44" s="240"/>
      <c r="K44" s="241"/>
    </row>
    <row r="45" spans="1:11" x14ac:dyDescent="0.25">
      <c r="J45" s="247" t="s">
        <v>338</v>
      </c>
      <c r="K45" s="247"/>
    </row>
    <row r="46" spans="1:11" x14ac:dyDescent="0.25">
      <c r="A46" s="13" t="s">
        <v>190</v>
      </c>
    </row>
    <row r="47" spans="1:11" x14ac:dyDescent="0.25">
      <c r="A47" s="32"/>
    </row>
  </sheetData>
  <sheetProtection sheet="1" objects="1" scenarios="1" selectLockedCells="1"/>
  <mergeCells count="84">
    <mergeCell ref="F18:K18"/>
    <mergeCell ref="A19:A20"/>
    <mergeCell ref="A18:D18"/>
    <mergeCell ref="B19:B20"/>
    <mergeCell ref="D19:D20"/>
    <mergeCell ref="I19:K19"/>
    <mergeCell ref="F19:H20"/>
    <mergeCell ref="A12:B12"/>
    <mergeCell ref="A16:K16"/>
    <mergeCell ref="C10:K10"/>
    <mergeCell ref="A13:B13"/>
    <mergeCell ref="A14:B14"/>
    <mergeCell ref="C12:K12"/>
    <mergeCell ref="C13:K13"/>
    <mergeCell ref="C14:K14"/>
    <mergeCell ref="A15:K15"/>
    <mergeCell ref="D6:F6"/>
    <mergeCell ref="A8:B8"/>
    <mergeCell ref="A9:B9"/>
    <mergeCell ref="A10:B10"/>
    <mergeCell ref="A11:B11"/>
    <mergeCell ref="C11:K11"/>
    <mergeCell ref="A4:B4"/>
    <mergeCell ref="C4:F4"/>
    <mergeCell ref="C9:K9"/>
    <mergeCell ref="A1:K1"/>
    <mergeCell ref="A2:K2"/>
    <mergeCell ref="A3:K3"/>
    <mergeCell ref="G4:K4"/>
    <mergeCell ref="A6:B6"/>
    <mergeCell ref="A7:B7"/>
    <mergeCell ref="G7:K7"/>
    <mergeCell ref="C8:K8"/>
    <mergeCell ref="A5:B5"/>
    <mergeCell ref="C5:F5"/>
    <mergeCell ref="G5:K5"/>
    <mergeCell ref="G6:K6"/>
    <mergeCell ref="D7:F7"/>
    <mergeCell ref="A42:B42"/>
    <mergeCell ref="D41:G41"/>
    <mergeCell ref="D43:G43"/>
    <mergeCell ref="D42:G42"/>
    <mergeCell ref="D44:G44"/>
    <mergeCell ref="A44:B44"/>
    <mergeCell ref="A43:B43"/>
    <mergeCell ref="H42:K42"/>
    <mergeCell ref="H44:K44"/>
    <mergeCell ref="C40:G40"/>
    <mergeCell ref="H40:I40"/>
    <mergeCell ref="J45:K45"/>
    <mergeCell ref="H41:K41"/>
    <mergeCell ref="H43:K43"/>
    <mergeCell ref="A40:B40"/>
    <mergeCell ref="J40:K40"/>
    <mergeCell ref="A41:B41"/>
    <mergeCell ref="F29:K29"/>
    <mergeCell ref="F27:H28"/>
    <mergeCell ref="I27:K28"/>
    <mergeCell ref="F39:K39"/>
    <mergeCell ref="A29:A30"/>
    <mergeCell ref="A34:D34"/>
    <mergeCell ref="I30:K38"/>
    <mergeCell ref="C22:C23"/>
    <mergeCell ref="D22:D23"/>
    <mergeCell ref="F23:K23"/>
    <mergeCell ref="I21:J22"/>
    <mergeCell ref="K21:K22"/>
    <mergeCell ref="F21:H22"/>
    <mergeCell ref="A17:K17"/>
    <mergeCell ref="A39:D39"/>
    <mergeCell ref="A33:D33"/>
    <mergeCell ref="E38:E39"/>
    <mergeCell ref="B29:B30"/>
    <mergeCell ref="C29:C30"/>
    <mergeCell ref="D29:D30"/>
    <mergeCell ref="F30:H38"/>
    <mergeCell ref="F26:K26"/>
    <mergeCell ref="A27:D27"/>
    <mergeCell ref="A26:D26"/>
    <mergeCell ref="I20:J20"/>
    <mergeCell ref="I24:K25"/>
    <mergeCell ref="F24:H25"/>
    <mergeCell ref="A22:A23"/>
    <mergeCell ref="B22:B23"/>
  </mergeCells>
  <dataValidations count="5">
    <dataValidation type="list" errorStyle="information" allowBlank="1" showInputMessage="1" showErrorMessage="1" error="If entered manually the sign posting recommendation will be disabled." sqref="C10:K10">
      <formula1>Purpose</formula1>
    </dataValidation>
    <dataValidation type="list" errorStyle="information" allowBlank="1" showInputMessage="1" showErrorMessage="1" error="If entered manually the sign posting recommendation will be disabled." sqref="C11:K11">
      <formula1>Software</formula1>
    </dataValidation>
    <dataValidation type="list" errorStyle="information" allowBlank="1" showInputMessage="1" showErrorMessage="1" error="If entered manually the sign posting recommendation will be disabled." sqref="C12:K12">
      <formula1>Source</formula1>
    </dataValidation>
    <dataValidation type="list" errorStyle="information" allowBlank="1" showInputMessage="1" showErrorMessage="1" error="If entered manually the sign posting recommendation will be disabled." sqref="C13:K13">
      <formula1>Method</formula1>
    </dataValidation>
    <dataValidation type="list" errorStyle="information" allowBlank="1" showInputMessage="1" showErrorMessage="1" error="If entered manually the sign posting recommendation will be disabled." sqref="C14:K14">
      <formula1>Design</formula1>
    </dataValidation>
  </dataValidations>
  <pageMargins left="0.66" right="0.55000000000000004" top="0.75" bottom="0.75" header="0.3" footer="0.3"/>
  <pageSetup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542925</xdr:colOff>
                    <xdr:row>32</xdr:row>
                    <xdr:rowOff>38100</xdr:rowOff>
                  </from>
                  <to>
                    <xdr:col>3</xdr:col>
                    <xdr:colOff>828675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5235E96-3F19-45D0-9E36-76822D58E4DE}">
            <xm:f>'Calcs &amp; Signs'!$C$64="Error"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9B7F6393-4A79-4719-9E78-D787F327EEAA}">
            <xm:f>'Calcs &amp; Signs'!$D$4="Tons"</xm:f>
            <x14:dxf>
              <numFmt numFmtId="171" formatCode="0.00\ &quot;tons&quot;"/>
            </x14:dxf>
          </x14:cfRule>
          <xm:sqref>I21:K22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L58"/>
  <sheetViews>
    <sheetView workbookViewId="0">
      <selection activeCell="D51" sqref="D51:E52"/>
    </sheetView>
  </sheetViews>
  <sheetFormatPr defaultRowHeight="15" x14ac:dyDescent="0.25"/>
  <cols>
    <col min="1" max="1" width="2.85546875" customWidth="1"/>
    <col min="2" max="2" width="1.42578125" customWidth="1"/>
    <col min="3" max="3" width="5.42578125" style="17" bestFit="1" customWidth="1"/>
    <col min="4" max="4" width="30" bestFit="1" customWidth="1"/>
    <col min="5" max="6" width="24.5703125" customWidth="1"/>
    <col min="7" max="7" width="4.85546875" customWidth="1"/>
    <col min="8" max="8" width="5.42578125" style="17" bestFit="1" customWidth="1"/>
    <col min="9" max="9" width="30" bestFit="1" customWidth="1"/>
    <col min="10" max="11" width="24.5703125" customWidth="1"/>
    <col min="12" max="12" width="6.42578125" customWidth="1"/>
  </cols>
  <sheetData>
    <row r="1" spans="2:12" ht="15.75" thickBot="1" x14ac:dyDescent="0.3"/>
    <row r="2" spans="2:12" ht="18.75" customHeight="1" thickBot="1" x14ac:dyDescent="0.3">
      <c r="B2" s="314" t="s">
        <v>199</v>
      </c>
      <c r="C2" s="315"/>
      <c r="D2" s="315"/>
      <c r="E2" s="315"/>
      <c r="F2" s="315"/>
      <c r="G2" s="315"/>
      <c r="H2" s="315"/>
      <c r="I2" s="315"/>
      <c r="J2" s="315"/>
      <c r="K2" s="315"/>
      <c r="L2" s="316"/>
    </row>
    <row r="3" spans="2:12" ht="18.75" customHeight="1" x14ac:dyDescent="0.25">
      <c r="B3" s="18"/>
      <c r="C3" s="19"/>
      <c r="D3" s="20"/>
      <c r="E3" s="20"/>
      <c r="F3" s="20"/>
      <c r="G3" s="20"/>
      <c r="H3" s="19"/>
      <c r="I3" s="20"/>
      <c r="J3" s="20"/>
      <c r="K3" s="20"/>
      <c r="L3" s="21"/>
    </row>
    <row r="4" spans="2:12" ht="18.75" customHeight="1" x14ac:dyDescent="0.25">
      <c r="B4" s="18"/>
      <c r="C4" s="22" t="str">
        <f>"(31)"</f>
        <v>(31)</v>
      </c>
      <c r="D4" s="23" t="s">
        <v>191</v>
      </c>
      <c r="E4" s="306" t="str">
        <f>'BR-100'!C14</f>
        <v>6 - HS20-44 &amp; Alternate Military Loading</v>
      </c>
      <c r="F4" s="307"/>
      <c r="G4" s="20"/>
      <c r="H4" s="19" t="str">
        <f>"(703)"</f>
        <v>(703)</v>
      </c>
      <c r="I4" s="20" t="s">
        <v>224</v>
      </c>
      <c r="J4" s="317">
        <f>IF(E18 = "HS20 Loading", 36, "")</f>
        <v>36</v>
      </c>
      <c r="K4" s="318"/>
      <c r="L4" s="21" t="s">
        <v>222</v>
      </c>
    </row>
    <row r="5" spans="2:12" ht="3" customHeight="1" x14ac:dyDescent="0.25">
      <c r="B5" s="18"/>
      <c r="C5" s="22"/>
      <c r="D5" s="23"/>
      <c r="E5" s="24"/>
      <c r="F5" s="25"/>
      <c r="G5" s="20"/>
      <c r="H5" s="19"/>
      <c r="I5" s="20"/>
      <c r="J5" s="25"/>
      <c r="K5" s="25"/>
      <c r="L5" s="21"/>
    </row>
    <row r="6" spans="2:12" ht="18.75" customHeight="1" x14ac:dyDescent="0.25">
      <c r="B6" s="18"/>
      <c r="C6" s="22" t="str">
        <f>"(63)"</f>
        <v>(63)</v>
      </c>
      <c r="D6" s="23" t="s">
        <v>195</v>
      </c>
      <c r="E6" s="306" t="str">
        <f>'BR-100'!C13</f>
        <v>6 - Load Factor (LF) rating reported by rating factor (RF)</v>
      </c>
      <c r="F6" s="307"/>
      <c r="G6" s="20"/>
      <c r="H6" s="22" t="str">
        <f>"(704)"</f>
        <v>(704)</v>
      </c>
      <c r="I6" s="23" t="s">
        <v>225</v>
      </c>
      <c r="J6" s="321">
        <f>'BR-100'!J40</f>
        <v>43112</v>
      </c>
      <c r="K6" s="322"/>
      <c r="L6" s="21"/>
    </row>
    <row r="7" spans="2:12" ht="3" customHeight="1" x14ac:dyDescent="0.25">
      <c r="B7" s="18"/>
      <c r="C7" s="22"/>
      <c r="D7" s="23"/>
      <c r="E7" s="24"/>
      <c r="F7" s="25"/>
      <c r="G7" s="20"/>
      <c r="H7" s="22"/>
      <c r="I7" s="23"/>
      <c r="J7" s="24"/>
      <c r="K7" s="25"/>
      <c r="L7" s="21"/>
    </row>
    <row r="8" spans="2:12" ht="18.75" customHeight="1" x14ac:dyDescent="0.25">
      <c r="B8" s="18"/>
      <c r="C8" s="22" t="str">
        <f>"(64)"</f>
        <v>(64)</v>
      </c>
      <c r="D8" s="23" t="s">
        <v>192</v>
      </c>
      <c r="E8" s="308">
        <f>IF('Calcs &amp; Signs'!C64="Error",CONCATENATE(TEXT(IF('Calcs &amp; Signs'!D4="RF",IF('Calcs &amp; Signs'!C9&gt;3,3,'Calcs &amp; Signs'!C9),'Calcs &amp; Signs'!C9),"0.000"), " - Inv. Factor &gt; Oper. Factor - Review Rating"),IF('Calcs &amp; Signs'!D4="RF",IF('Calcs &amp; Signs'!C9&gt;3,3,'Calcs &amp; Signs'!C9),'Calcs &amp; Signs'!C9))</f>
        <v>1.48</v>
      </c>
      <c r="F8" s="309"/>
      <c r="G8" s="20" t="str">
        <f>IF('Calcs &amp; Signs'!D4="RF","","tons")</f>
        <v/>
      </c>
      <c r="H8" s="19" t="str">
        <f>"(705)"</f>
        <v>(705)</v>
      </c>
      <c r="I8" s="20" t="s">
        <v>226</v>
      </c>
      <c r="J8" s="323"/>
      <c r="K8" s="324"/>
      <c r="L8" s="21"/>
    </row>
    <row r="9" spans="2:12" ht="3" customHeight="1" x14ac:dyDescent="0.25">
      <c r="B9" s="18"/>
      <c r="C9" s="22"/>
      <c r="D9" s="23"/>
      <c r="E9" s="24"/>
      <c r="F9" s="25"/>
      <c r="G9" s="20"/>
      <c r="H9" s="19"/>
      <c r="I9" s="20"/>
      <c r="J9" s="25"/>
      <c r="K9" s="25"/>
      <c r="L9" s="21"/>
    </row>
    <row r="10" spans="2:12" ht="18.75" customHeight="1" x14ac:dyDescent="0.25">
      <c r="B10" s="18"/>
      <c r="C10" s="22" t="str">
        <f>"(700)"</f>
        <v>(700)</v>
      </c>
      <c r="D10" s="23" t="s">
        <v>193</v>
      </c>
      <c r="E10" s="306" t="str">
        <f>'BR-100'!F21</f>
        <v>HS20 Loading</v>
      </c>
      <c r="F10" s="307"/>
      <c r="G10" s="20"/>
      <c r="H10" s="19" t="str">
        <f>"(706)"</f>
        <v>(706)</v>
      </c>
      <c r="I10" s="20" t="s">
        <v>227</v>
      </c>
      <c r="J10" s="323"/>
      <c r="K10" s="324"/>
      <c r="L10" s="21"/>
    </row>
    <row r="11" spans="2:12" ht="3" customHeight="1" x14ac:dyDescent="0.25">
      <c r="B11" s="18"/>
      <c r="C11" s="22"/>
      <c r="D11" s="23"/>
      <c r="E11" s="24"/>
      <c r="F11" s="25"/>
      <c r="G11" s="20"/>
      <c r="H11" s="19"/>
      <c r="I11" s="20"/>
      <c r="J11" s="25"/>
      <c r="K11" s="25"/>
      <c r="L11" s="21"/>
    </row>
    <row r="12" spans="2:12" ht="18.75" customHeight="1" x14ac:dyDescent="0.25">
      <c r="B12" s="18"/>
      <c r="C12" s="19" t="str">
        <f>"(701)"</f>
        <v>(701)</v>
      </c>
      <c r="D12" s="20" t="s">
        <v>194</v>
      </c>
      <c r="E12" s="317">
        <f>IF(E10 = "HS20 Loading", 36, "")</f>
        <v>36</v>
      </c>
      <c r="F12" s="318"/>
      <c r="G12" s="20" t="s">
        <v>222</v>
      </c>
      <c r="H12" s="19" t="str">
        <f>"(707)"</f>
        <v>(707)</v>
      </c>
      <c r="I12" s="20" t="s">
        <v>228</v>
      </c>
      <c r="J12" s="323"/>
      <c r="K12" s="324"/>
      <c r="L12" s="21"/>
    </row>
    <row r="13" spans="2:12" ht="3" customHeight="1" x14ac:dyDescent="0.25">
      <c r="B13" s="18"/>
      <c r="C13" s="19"/>
      <c r="D13" s="20"/>
      <c r="E13" s="25"/>
      <c r="F13" s="25"/>
      <c r="G13" s="20"/>
      <c r="H13" s="19"/>
      <c r="I13" s="20"/>
      <c r="J13" s="25"/>
      <c r="K13" s="25"/>
      <c r="L13" s="21"/>
    </row>
    <row r="14" spans="2:12" ht="18.75" customHeight="1" x14ac:dyDescent="0.25">
      <c r="B14" s="18"/>
      <c r="C14" s="22" t="str">
        <f>"(65)"</f>
        <v>(65)</v>
      </c>
      <c r="D14" s="23" t="s">
        <v>196</v>
      </c>
      <c r="E14" s="306" t="str">
        <f>'BR-100'!C13</f>
        <v>6 - Load Factor (LF) rating reported by rating factor (RF)</v>
      </c>
      <c r="F14" s="307"/>
      <c r="G14" s="20"/>
      <c r="H14" s="22" t="str">
        <f>"(708)"</f>
        <v>(708)</v>
      </c>
      <c r="I14" s="23" t="s">
        <v>229</v>
      </c>
      <c r="J14" s="306" t="str">
        <f>'BR-100'!C11</f>
        <v>3 - AASHTO  BrR (VIRTIS)</v>
      </c>
      <c r="K14" s="307"/>
      <c r="L14" s="21"/>
    </row>
    <row r="15" spans="2:12" ht="3" customHeight="1" x14ac:dyDescent="0.25">
      <c r="B15" s="18"/>
      <c r="C15" s="22"/>
      <c r="D15" s="23"/>
      <c r="E15" s="24"/>
      <c r="F15" s="25"/>
      <c r="G15" s="20"/>
      <c r="H15" s="22"/>
      <c r="I15" s="23"/>
      <c r="J15" s="24"/>
      <c r="K15" s="25"/>
      <c r="L15" s="21"/>
    </row>
    <row r="16" spans="2:12" ht="18.75" customHeight="1" x14ac:dyDescent="0.25">
      <c r="B16" s="18"/>
      <c r="C16" s="22" t="str">
        <f>"(66)"</f>
        <v>(66)</v>
      </c>
      <c r="D16" s="23" t="s">
        <v>197</v>
      </c>
      <c r="E16" s="308">
        <f>IF('Calcs &amp; Signs'!C64="Error",CONCATENATE(TEXT(IF('Calcs &amp; Signs'!D4="RF",IF('Calcs &amp; Signs'!C8&gt;3,3,'Calcs &amp; Signs'!C8),'Calcs &amp; Signs'!C8),"0.000"), " - Inv. Factor &gt; Oper. Factor - Review Rating"),IF('Calcs &amp; Signs'!D4="RF",IF('Calcs &amp; Signs'!C8&gt;3,3,'Calcs &amp; Signs'!C8),'Calcs &amp; Signs'!C8))</f>
        <v>0.88600000000000001</v>
      </c>
      <c r="F16" s="309"/>
      <c r="G16" s="20" t="str">
        <f>IF('Calcs &amp; Signs'!D4="RF","","tons")</f>
        <v/>
      </c>
      <c r="H16" s="19" t="str">
        <f>"(709)"</f>
        <v>(709)</v>
      </c>
      <c r="I16" s="20" t="s">
        <v>230</v>
      </c>
      <c r="J16" s="306" t="str">
        <f>'BR-100'!C12</f>
        <v>1 - Plan information available for load rating analysis (Default)</v>
      </c>
      <c r="K16" s="307"/>
      <c r="L16" s="21"/>
    </row>
    <row r="17" spans="2:12" ht="3" customHeight="1" x14ac:dyDescent="0.25">
      <c r="B17" s="18"/>
      <c r="C17" s="22"/>
      <c r="D17" s="23"/>
      <c r="E17" s="24"/>
      <c r="F17" s="25"/>
      <c r="G17" s="20"/>
      <c r="H17" s="19"/>
      <c r="I17" s="20"/>
      <c r="J17" s="25"/>
      <c r="K17" s="25"/>
      <c r="L17" s="21"/>
    </row>
    <row r="18" spans="2:12" ht="18.75" customHeight="1" x14ac:dyDescent="0.25">
      <c r="B18" s="18"/>
      <c r="C18" s="22" t="str">
        <f>"(702)"</f>
        <v>(702)</v>
      </c>
      <c r="D18" s="23" t="s">
        <v>198</v>
      </c>
      <c r="E18" s="306" t="str">
        <f>'BR-100'!F21</f>
        <v>HS20 Loading</v>
      </c>
      <c r="F18" s="307"/>
      <c r="G18" s="20"/>
      <c r="H18" s="19" t="str">
        <f>"(711)"</f>
        <v>(711)</v>
      </c>
      <c r="I18" s="20" t="s">
        <v>390</v>
      </c>
      <c r="J18" s="306" t="str">
        <f>'Calcs &amp; Signs'!D56</f>
        <v>S-Satisfactory</v>
      </c>
      <c r="K18" s="307"/>
      <c r="L18" s="21"/>
    </row>
    <row r="19" spans="2:12" ht="3" customHeight="1" thickBot="1" x14ac:dyDescent="0.3">
      <c r="B19" s="18"/>
      <c r="C19" s="22"/>
      <c r="D19" s="23"/>
      <c r="E19" s="24"/>
      <c r="F19" s="25"/>
      <c r="G19" s="20"/>
      <c r="H19" s="19"/>
      <c r="I19" s="20"/>
      <c r="J19" s="20"/>
      <c r="K19" s="25"/>
      <c r="L19" s="21"/>
    </row>
    <row r="20" spans="2:12" ht="18.75" customHeight="1" thickTop="1" thickBot="1" x14ac:dyDescent="0.3">
      <c r="B20" s="18"/>
      <c r="C20" s="26" t="str">
        <f>"(41)"</f>
        <v>(41)</v>
      </c>
      <c r="D20" s="27" t="s">
        <v>238</v>
      </c>
      <c r="E20" s="319" t="str">
        <f>'Calcs &amp; Signs'!D55</f>
        <v>A - Open, No Restriction</v>
      </c>
      <c r="F20" s="320"/>
      <c r="G20" s="20"/>
      <c r="H20" s="19"/>
      <c r="I20" s="20"/>
      <c r="J20" s="20"/>
      <c r="K20" s="20"/>
      <c r="L20" s="21"/>
    </row>
    <row r="21" spans="2:12" ht="7.5" customHeight="1" thickTop="1" thickBot="1" x14ac:dyDescent="0.3">
      <c r="B21" s="18"/>
      <c r="C21" s="19"/>
      <c r="D21" s="20"/>
      <c r="E21" s="20"/>
      <c r="F21" s="25"/>
      <c r="G21" s="20"/>
      <c r="H21" s="19"/>
      <c r="I21" s="20"/>
      <c r="J21" s="20"/>
      <c r="K21" s="20"/>
      <c r="L21" s="21"/>
    </row>
    <row r="22" spans="2:12" ht="18.75" customHeight="1" thickTop="1" thickBot="1" x14ac:dyDescent="0.3">
      <c r="B22" s="18"/>
      <c r="C22" s="20"/>
      <c r="D22" s="312" t="s">
        <v>389</v>
      </c>
      <c r="E22" s="313"/>
      <c r="F22" s="20"/>
      <c r="G22" s="20"/>
      <c r="H22" s="20"/>
      <c r="I22" s="20"/>
      <c r="J22" s="20"/>
      <c r="K22" s="20"/>
      <c r="L22" s="21"/>
    </row>
    <row r="23" spans="2:12" ht="7.5" customHeight="1" thickTop="1" thickBot="1" x14ac:dyDescent="0.3">
      <c r="B23" s="18"/>
      <c r="C23" s="19"/>
      <c r="D23" s="20"/>
      <c r="E23" s="20"/>
      <c r="F23" s="20"/>
      <c r="G23" s="20"/>
      <c r="H23" s="19"/>
      <c r="I23" s="20"/>
      <c r="J23" s="20"/>
      <c r="K23" s="20"/>
      <c r="L23" s="21"/>
    </row>
    <row r="24" spans="2:12" ht="18.75" customHeight="1" thickBot="1" x14ac:dyDescent="0.3">
      <c r="B24" s="314" t="s">
        <v>200</v>
      </c>
      <c r="C24" s="315"/>
      <c r="D24" s="315"/>
      <c r="E24" s="315"/>
      <c r="F24" s="315"/>
      <c r="G24" s="315"/>
      <c r="H24" s="315"/>
      <c r="I24" s="315"/>
      <c r="J24" s="315"/>
      <c r="K24" s="315"/>
      <c r="L24" s="316"/>
    </row>
    <row r="25" spans="2:12" ht="18.75" customHeight="1" x14ac:dyDescent="0.25">
      <c r="B25" s="18"/>
      <c r="C25" s="19"/>
      <c r="D25" s="20"/>
      <c r="E25" s="20"/>
      <c r="F25" s="20"/>
      <c r="G25" s="20"/>
      <c r="H25" s="19"/>
      <c r="I25" s="20"/>
      <c r="J25" s="20"/>
      <c r="K25" s="20"/>
      <c r="L25" s="21"/>
    </row>
    <row r="26" spans="2:12" ht="18.75" customHeight="1" x14ac:dyDescent="0.25">
      <c r="B26" s="18"/>
      <c r="C26" s="19" t="str">
        <f>"(715)"</f>
        <v>(715)</v>
      </c>
      <c r="D26" s="20" t="s">
        <v>201</v>
      </c>
      <c r="E26" s="306" t="str">
        <f>'Calcs &amp; Signs'!D48</f>
        <v>2F1</v>
      </c>
      <c r="F26" s="307"/>
      <c r="G26" s="20"/>
      <c r="H26" s="19" t="str">
        <f>"(724)"</f>
        <v>(724)</v>
      </c>
      <c r="I26" s="20" t="s">
        <v>210</v>
      </c>
      <c r="J26" s="306" t="str">
        <f>'Calcs &amp; Signs'!D53</f>
        <v>5C1</v>
      </c>
      <c r="K26" s="307"/>
      <c r="L26" s="21"/>
    </row>
    <row r="27" spans="2:12" ht="3" customHeight="1" x14ac:dyDescent="0.25">
      <c r="B27" s="18"/>
      <c r="C27" s="19"/>
      <c r="D27" s="20"/>
      <c r="E27" s="25"/>
      <c r="F27" s="25"/>
      <c r="G27" s="20"/>
      <c r="H27" s="19"/>
      <c r="I27" s="20"/>
      <c r="J27" s="25"/>
      <c r="K27" s="25"/>
      <c r="L27" s="21"/>
    </row>
    <row r="28" spans="2:12" ht="18.75" customHeight="1" x14ac:dyDescent="0.25">
      <c r="B28" s="18"/>
      <c r="C28" s="19" t="str">
        <f>"(716)"</f>
        <v>(716)</v>
      </c>
      <c r="D28" s="20" t="s">
        <v>203</v>
      </c>
      <c r="E28" s="306">
        <f>'Calcs &amp; Signs'!D10</f>
        <v>15</v>
      </c>
      <c r="F28" s="307"/>
      <c r="G28" s="20" t="s">
        <v>222</v>
      </c>
      <c r="H28" s="19" t="str">
        <f>"(725)"</f>
        <v>(725)</v>
      </c>
      <c r="I28" s="20" t="s">
        <v>211</v>
      </c>
      <c r="J28" s="306">
        <f>'Calcs &amp; Signs'!E53</f>
        <v>40</v>
      </c>
      <c r="K28" s="307"/>
      <c r="L28" s="21" t="s">
        <v>222</v>
      </c>
    </row>
    <row r="29" spans="2:12" ht="3" customHeight="1" x14ac:dyDescent="0.25">
      <c r="B29" s="18"/>
      <c r="C29" s="19"/>
      <c r="D29" s="20"/>
      <c r="E29" s="25"/>
      <c r="F29" s="25"/>
      <c r="G29" s="20"/>
      <c r="H29" s="19"/>
      <c r="I29" s="20"/>
      <c r="J29" s="25"/>
      <c r="K29" s="25"/>
      <c r="L29" s="21"/>
    </row>
    <row r="30" spans="2:12" ht="18.75" customHeight="1" x14ac:dyDescent="0.25">
      <c r="B30" s="18"/>
      <c r="C30" s="19" t="str">
        <f>"(717)"</f>
        <v>(717)</v>
      </c>
      <c r="D30" s="20" t="s">
        <v>202</v>
      </c>
      <c r="E30" s="308">
        <f>'Calcs &amp; Signs'!C48</f>
        <v>3.1019999999999999</v>
      </c>
      <c r="F30" s="309"/>
      <c r="G30" s="20"/>
      <c r="H30" s="19" t="str">
        <f>"(726)"</f>
        <v>(726)</v>
      </c>
      <c r="I30" s="20" t="s">
        <v>212</v>
      </c>
      <c r="J30" s="308">
        <f>'Calcs &amp; Signs'!C53</f>
        <v>1.4179999999999999</v>
      </c>
      <c r="K30" s="309"/>
      <c r="L30" s="21"/>
    </row>
    <row r="31" spans="2:12" ht="3" customHeight="1" x14ac:dyDescent="0.25">
      <c r="B31" s="18"/>
      <c r="C31" s="19"/>
      <c r="D31" s="20"/>
      <c r="E31" s="25"/>
      <c r="F31" s="25"/>
      <c r="G31" s="20"/>
      <c r="H31" s="19"/>
      <c r="I31" s="20"/>
      <c r="J31" s="25"/>
      <c r="K31" s="28"/>
      <c r="L31" s="21"/>
    </row>
    <row r="32" spans="2:12" ht="18.75" customHeight="1" x14ac:dyDescent="0.25">
      <c r="B32" s="18"/>
      <c r="C32" s="19" t="str">
        <f>"(718)"</f>
        <v>(718)</v>
      </c>
      <c r="D32" s="20" t="s">
        <v>204</v>
      </c>
      <c r="E32" s="306" t="str">
        <f>'Calcs &amp; Signs'!D49</f>
        <v>3F1</v>
      </c>
      <c r="F32" s="307"/>
      <c r="G32" s="20"/>
      <c r="H32" s="19" t="str">
        <f>"(727)"</f>
        <v>(727)</v>
      </c>
      <c r="I32" s="20" t="s">
        <v>213</v>
      </c>
      <c r="J32" s="306" t="str">
        <f>'Calcs &amp; Signs'!D51</f>
        <v>SU5</v>
      </c>
      <c r="K32" s="307"/>
      <c r="L32" s="21"/>
    </row>
    <row r="33" spans="2:12" ht="3" customHeight="1" x14ac:dyDescent="0.25">
      <c r="B33" s="18"/>
      <c r="C33" s="19"/>
      <c r="D33" s="20"/>
      <c r="E33" s="25"/>
      <c r="F33" s="25"/>
      <c r="G33" s="20"/>
      <c r="H33" s="19"/>
      <c r="I33" s="20"/>
      <c r="J33" s="25"/>
      <c r="K33" s="25"/>
      <c r="L33" s="21"/>
    </row>
    <row r="34" spans="2:12" ht="18.75" customHeight="1" x14ac:dyDescent="0.25">
      <c r="B34" s="18"/>
      <c r="C34" s="19" t="str">
        <f>"(719)"</f>
        <v>(719)</v>
      </c>
      <c r="D34" s="20" t="s">
        <v>205</v>
      </c>
      <c r="E34" s="306">
        <f>'Calcs &amp; Signs'!D11</f>
        <v>23</v>
      </c>
      <c r="F34" s="307"/>
      <c r="G34" s="20" t="s">
        <v>222</v>
      </c>
      <c r="H34" s="19" t="str">
        <f>"(728)"</f>
        <v>(728)</v>
      </c>
      <c r="I34" s="20" t="s">
        <v>214</v>
      </c>
      <c r="J34" s="306">
        <f>'Calcs &amp; Signs'!E51</f>
        <v>31</v>
      </c>
      <c r="K34" s="307"/>
      <c r="L34" s="21" t="s">
        <v>222</v>
      </c>
    </row>
    <row r="35" spans="2:12" ht="3" customHeight="1" x14ac:dyDescent="0.25">
      <c r="B35" s="18"/>
      <c r="C35" s="19"/>
      <c r="D35" s="20"/>
      <c r="E35" s="25"/>
      <c r="F35" s="25"/>
      <c r="G35" s="20"/>
      <c r="H35" s="19"/>
      <c r="I35" s="20"/>
      <c r="J35" s="25"/>
      <c r="K35" s="25"/>
      <c r="L35" s="21"/>
    </row>
    <row r="36" spans="2:12" ht="18.75" customHeight="1" x14ac:dyDescent="0.25">
      <c r="B36" s="18"/>
      <c r="C36" s="19" t="str">
        <f>"(720)"</f>
        <v>(720)</v>
      </c>
      <c r="D36" s="20" t="s">
        <v>206</v>
      </c>
      <c r="E36" s="308">
        <f>'Calcs &amp; Signs'!C49</f>
        <v>2.1760000000000002</v>
      </c>
      <c r="F36" s="309"/>
      <c r="G36" s="20"/>
      <c r="H36" s="19" t="str">
        <f>"(729)"</f>
        <v>(729)</v>
      </c>
      <c r="I36" s="20" t="s">
        <v>215</v>
      </c>
      <c r="J36" s="308">
        <f>'Calcs &amp; Signs'!C51</f>
        <v>1.8009999999999999</v>
      </c>
      <c r="K36" s="309"/>
      <c r="L36" s="21"/>
    </row>
    <row r="37" spans="2:12" ht="3" customHeight="1" x14ac:dyDescent="0.25">
      <c r="B37" s="18"/>
      <c r="C37" s="19"/>
      <c r="D37" s="20"/>
      <c r="E37" s="25"/>
      <c r="F37" s="25"/>
      <c r="G37" s="20"/>
      <c r="H37" s="19"/>
      <c r="I37" s="20"/>
      <c r="J37" s="25"/>
      <c r="K37" s="25"/>
      <c r="L37" s="21"/>
    </row>
    <row r="38" spans="2:12" ht="18.75" customHeight="1" x14ac:dyDescent="0.25">
      <c r="B38" s="18"/>
      <c r="C38" s="19" t="str">
        <f>"(721)"</f>
        <v>(721)</v>
      </c>
      <c r="D38" s="20" t="s">
        <v>207</v>
      </c>
      <c r="E38" s="306" t="str">
        <f>'Calcs &amp; Signs'!D50</f>
        <v>4F1</v>
      </c>
      <c r="F38" s="307"/>
      <c r="G38" s="20"/>
      <c r="H38" s="19" t="str">
        <f>"(730)"</f>
        <v>(730)</v>
      </c>
      <c r="I38" s="20" t="s">
        <v>216</v>
      </c>
      <c r="J38" s="306" t="str">
        <f>'Calcs &amp; Signs'!D52</f>
        <v>SU6</v>
      </c>
      <c r="K38" s="307"/>
      <c r="L38" s="21"/>
    </row>
    <row r="39" spans="2:12" ht="3" customHeight="1" x14ac:dyDescent="0.25">
      <c r="B39" s="18"/>
      <c r="C39" s="19"/>
      <c r="D39" s="20"/>
      <c r="E39" s="25"/>
      <c r="F39" s="25"/>
      <c r="G39" s="20"/>
      <c r="H39" s="19"/>
      <c r="I39" s="20"/>
      <c r="J39" s="25"/>
      <c r="K39" s="25"/>
      <c r="L39" s="21"/>
    </row>
    <row r="40" spans="2:12" ht="18.75" customHeight="1" x14ac:dyDescent="0.25">
      <c r="B40" s="18"/>
      <c r="C40" s="19" t="str">
        <f>"(722)"</f>
        <v>(722)</v>
      </c>
      <c r="D40" s="20" t="s">
        <v>208</v>
      </c>
      <c r="E40" s="306">
        <f>'Calcs &amp; Signs'!D12</f>
        <v>27</v>
      </c>
      <c r="F40" s="307"/>
      <c r="G40" s="20" t="s">
        <v>222</v>
      </c>
      <c r="H40" s="19" t="str">
        <f>"(731)"</f>
        <v>(731)</v>
      </c>
      <c r="I40" s="20" t="s">
        <v>217</v>
      </c>
      <c r="J40" s="306">
        <f>'Calcs &amp; Signs'!E52</f>
        <v>34.75</v>
      </c>
      <c r="K40" s="307"/>
      <c r="L40" s="21" t="s">
        <v>222</v>
      </c>
    </row>
    <row r="41" spans="2:12" ht="3" customHeight="1" x14ac:dyDescent="0.25">
      <c r="B41" s="18"/>
      <c r="C41" s="19"/>
      <c r="D41" s="20"/>
      <c r="E41" s="25"/>
      <c r="F41" s="25"/>
      <c r="G41" s="20"/>
      <c r="H41" s="19"/>
      <c r="I41" s="20"/>
      <c r="J41" s="25"/>
      <c r="K41" s="25"/>
      <c r="L41" s="21"/>
    </row>
    <row r="42" spans="2:12" ht="18.75" customHeight="1" x14ac:dyDescent="0.25">
      <c r="B42" s="18"/>
      <c r="C42" s="19" t="str">
        <f>"(723)"</f>
        <v>(723)</v>
      </c>
      <c r="D42" s="20" t="s">
        <v>209</v>
      </c>
      <c r="E42" s="308">
        <f>'Calcs &amp; Signs'!C50</f>
        <v>1.9750000000000001</v>
      </c>
      <c r="F42" s="309"/>
      <c r="G42" s="20"/>
      <c r="H42" s="19" t="str">
        <f>"(732)"</f>
        <v>(732)</v>
      </c>
      <c r="I42" s="20" t="s">
        <v>218</v>
      </c>
      <c r="J42" s="308">
        <f>'Calcs &amp; Signs'!C52</f>
        <v>1.629</v>
      </c>
      <c r="K42" s="309"/>
      <c r="L42" s="21"/>
    </row>
    <row r="43" spans="2:12" ht="3" customHeight="1" x14ac:dyDescent="0.25">
      <c r="B43" s="18"/>
      <c r="C43" s="19"/>
      <c r="D43" s="20"/>
      <c r="E43" s="25"/>
      <c r="F43" s="25"/>
      <c r="G43" s="20"/>
      <c r="H43" s="19"/>
      <c r="I43" s="20"/>
      <c r="J43" s="25"/>
      <c r="K43" s="25"/>
      <c r="L43" s="21"/>
    </row>
    <row r="44" spans="2:12" ht="18.75" customHeight="1" x14ac:dyDescent="0.25">
      <c r="B44" s="18"/>
      <c r="C44" s="22" t="str">
        <f>"(70)"</f>
        <v>(70)</v>
      </c>
      <c r="D44" s="23" t="s">
        <v>221</v>
      </c>
      <c r="E44" s="306" t="str">
        <f>'Calcs &amp; Signs'!D58</f>
        <v>5 - Equal to or above legal loads</v>
      </c>
      <c r="F44" s="307"/>
      <c r="G44" s="20"/>
      <c r="H44" s="19" t="str">
        <f>"(733)"</f>
        <v>(733)</v>
      </c>
      <c r="I44" s="20" t="s">
        <v>219</v>
      </c>
      <c r="J44" s="306" t="str">
        <f>IF('Calcs &amp; Signs'!C22="No","N","Y")</f>
        <v>N</v>
      </c>
      <c r="K44" s="307"/>
      <c r="L44" s="21"/>
    </row>
    <row r="45" spans="2:12" ht="3" customHeight="1" x14ac:dyDescent="0.25">
      <c r="B45" s="18"/>
      <c r="C45" s="22"/>
      <c r="D45" s="23"/>
      <c r="E45" s="23"/>
      <c r="F45" s="25"/>
      <c r="G45" s="20"/>
      <c r="H45" s="19"/>
      <c r="I45" s="20"/>
      <c r="J45" s="25"/>
      <c r="K45" s="25"/>
      <c r="L45" s="21"/>
    </row>
    <row r="46" spans="2:12" ht="18.75" customHeight="1" x14ac:dyDescent="0.25">
      <c r="B46" s="18"/>
      <c r="C46" s="19"/>
      <c r="D46" s="20"/>
      <c r="E46" s="20"/>
      <c r="F46" s="20"/>
      <c r="G46" s="20"/>
      <c r="H46" s="19" t="str">
        <f>"(734)"</f>
        <v>(734)</v>
      </c>
      <c r="I46" s="20" t="s">
        <v>220</v>
      </c>
      <c r="J46" s="310">
        <f>'Calcs &amp; Signs'!D26*100</f>
        <v>140</v>
      </c>
      <c r="K46" s="311"/>
      <c r="L46" s="21" t="s">
        <v>223</v>
      </c>
    </row>
    <row r="47" spans="2:12" ht="18.75" customHeight="1" x14ac:dyDescent="0.25">
      <c r="B47" s="18"/>
      <c r="C47" s="19"/>
      <c r="D47" s="20"/>
      <c r="E47" s="20"/>
      <c r="F47" s="20"/>
      <c r="G47" s="20"/>
      <c r="H47" s="19"/>
      <c r="I47" s="20"/>
      <c r="J47" s="20"/>
      <c r="K47" s="20"/>
      <c r="L47" s="21"/>
    </row>
    <row r="48" spans="2:12" x14ac:dyDescent="0.25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1"/>
    </row>
    <row r="49" spans="2:12" x14ac:dyDescent="0.25">
      <c r="B49" s="18"/>
      <c r="C49" s="20" t="s">
        <v>264</v>
      </c>
      <c r="D49" s="20"/>
      <c r="E49" s="20"/>
      <c r="F49" s="20"/>
      <c r="G49" s="20"/>
      <c r="H49" s="20"/>
      <c r="I49" s="20"/>
      <c r="J49" s="20"/>
      <c r="K49" s="20"/>
      <c r="L49" s="21"/>
    </row>
    <row r="50" spans="2:12" x14ac:dyDescent="0.25">
      <c r="B50" s="18"/>
      <c r="C50" s="150"/>
      <c r="D50" s="151"/>
      <c r="E50" s="151"/>
      <c r="F50" s="151"/>
      <c r="G50" s="151"/>
      <c r="H50" s="151"/>
      <c r="I50" s="151"/>
      <c r="J50" s="151"/>
      <c r="K50" s="152"/>
      <c r="L50" s="21"/>
    </row>
    <row r="51" spans="2:12" x14ac:dyDescent="0.25">
      <c r="B51" s="18"/>
      <c r="C51" s="153"/>
      <c r="D51" s="305" t="str">
        <f>CONCATENATE('Calcs &amp; Signs'!B18,":  GVW = ", TEXT('Calcs &amp; Signs'!D18, "0.00"), " tons, Rating Factor = ",TEXT('Calcs &amp; Signs'!C18, "0.000"))</f>
        <v>EV2:  GVW = 28.75 tons, Rating Factor = 1.930</v>
      </c>
      <c r="E51" s="305"/>
      <c r="F51" s="154"/>
      <c r="G51" s="154"/>
      <c r="H51" s="154"/>
      <c r="I51" s="154"/>
      <c r="J51" s="154"/>
      <c r="K51" s="155"/>
      <c r="L51" s="21"/>
    </row>
    <row r="52" spans="2:12" x14ac:dyDescent="0.25">
      <c r="B52" s="18"/>
      <c r="C52" s="153"/>
      <c r="D52" s="305" t="str">
        <f>CONCATENATE('Calcs &amp; Signs'!B19,":  GVW = ", TEXT('Calcs &amp; Signs'!D19, "0.00"), " tons, Rating Factor = ",TEXT('Calcs &amp; Signs'!C19, "0.000"))</f>
        <v>EV3:  GVW = 43.00 tons, Rating Factor = 1.280</v>
      </c>
      <c r="E52" s="305"/>
      <c r="F52" s="154"/>
      <c r="G52" s="154"/>
      <c r="H52" s="154"/>
      <c r="I52" s="154"/>
      <c r="J52" s="154"/>
      <c r="K52" s="155"/>
      <c r="L52" s="21"/>
    </row>
    <row r="53" spans="2:12" x14ac:dyDescent="0.25">
      <c r="B53" s="18"/>
      <c r="C53" s="153"/>
      <c r="D53" s="154"/>
      <c r="E53" s="154"/>
      <c r="F53" s="154"/>
      <c r="G53" s="154"/>
      <c r="H53" s="154"/>
      <c r="I53" s="154"/>
      <c r="J53" s="154"/>
      <c r="K53" s="155"/>
      <c r="L53" s="21"/>
    </row>
    <row r="54" spans="2:12" x14ac:dyDescent="0.25">
      <c r="B54" s="18"/>
      <c r="C54" s="153"/>
      <c r="D54" s="154"/>
      <c r="E54" s="154"/>
      <c r="F54" s="154"/>
      <c r="G54" s="154"/>
      <c r="H54" s="154"/>
      <c r="I54" s="154"/>
      <c r="J54" s="154"/>
      <c r="K54" s="155"/>
      <c r="L54" s="21"/>
    </row>
    <row r="55" spans="2:12" x14ac:dyDescent="0.25">
      <c r="B55" s="18"/>
      <c r="C55" s="153"/>
      <c r="D55" s="154"/>
      <c r="E55" s="154"/>
      <c r="F55" s="154"/>
      <c r="G55" s="154"/>
      <c r="H55" s="154"/>
      <c r="I55" s="154"/>
      <c r="J55" s="154"/>
      <c r="K55" s="155"/>
      <c r="L55" s="21"/>
    </row>
    <row r="56" spans="2:12" x14ac:dyDescent="0.25">
      <c r="B56" s="18"/>
      <c r="C56" s="153"/>
      <c r="D56" s="154"/>
      <c r="E56" s="154"/>
      <c r="F56" s="154"/>
      <c r="G56" s="154"/>
      <c r="H56" s="154"/>
      <c r="I56" s="154"/>
      <c r="J56" s="154"/>
      <c r="K56" s="155"/>
      <c r="L56" s="21"/>
    </row>
    <row r="57" spans="2:12" x14ac:dyDescent="0.25">
      <c r="B57" s="18"/>
      <c r="C57" s="156"/>
      <c r="D57" s="157"/>
      <c r="E57" s="157"/>
      <c r="F57" s="157"/>
      <c r="G57" s="157"/>
      <c r="H57" s="157"/>
      <c r="I57" s="157"/>
      <c r="J57" s="157"/>
      <c r="K57" s="158"/>
      <c r="L57" s="21"/>
    </row>
    <row r="58" spans="2:12" ht="15.75" thickBot="1" x14ac:dyDescent="0.3"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1"/>
    </row>
  </sheetData>
  <sheetProtection sheet="1" objects="1" scenarios="1"/>
  <mergeCells count="43">
    <mergeCell ref="B2:L2"/>
    <mergeCell ref="B24:L24"/>
    <mergeCell ref="E4:F4"/>
    <mergeCell ref="E6:F6"/>
    <mergeCell ref="E8:F8"/>
    <mergeCell ref="E10:F10"/>
    <mergeCell ref="E12:F12"/>
    <mergeCell ref="E14:F14"/>
    <mergeCell ref="E16:F16"/>
    <mergeCell ref="E18:F18"/>
    <mergeCell ref="E20:F20"/>
    <mergeCell ref="J4:K4"/>
    <mergeCell ref="J6:K6"/>
    <mergeCell ref="J8:K8"/>
    <mergeCell ref="J10:K10"/>
    <mergeCell ref="J12:K12"/>
    <mergeCell ref="J14:K14"/>
    <mergeCell ref="J16:K16"/>
    <mergeCell ref="J18:K18"/>
    <mergeCell ref="E26:F26"/>
    <mergeCell ref="J26:K26"/>
    <mergeCell ref="D22:E22"/>
    <mergeCell ref="E36:F36"/>
    <mergeCell ref="J46:K46"/>
    <mergeCell ref="J36:K36"/>
    <mergeCell ref="J38:K38"/>
    <mergeCell ref="J40:K40"/>
    <mergeCell ref="J42:K42"/>
    <mergeCell ref="J44:K44"/>
    <mergeCell ref="J28:K28"/>
    <mergeCell ref="J30:K30"/>
    <mergeCell ref="J32:K32"/>
    <mergeCell ref="J34:K34"/>
    <mergeCell ref="E28:F28"/>
    <mergeCell ref="E30:F30"/>
    <mergeCell ref="E32:F32"/>
    <mergeCell ref="E34:F34"/>
    <mergeCell ref="D51:E51"/>
    <mergeCell ref="D52:E52"/>
    <mergeCell ref="E38:F38"/>
    <mergeCell ref="E40:F40"/>
    <mergeCell ref="E42:F42"/>
    <mergeCell ref="E44:F44"/>
  </mergeCells>
  <conditionalFormatting sqref="E8:F8 E16:F16">
    <cfRule type="expression" dxfId="1" priority="2">
      <formula>#REF!="Yes"</formula>
    </cfRule>
  </conditionalFormatting>
  <dataValidations count="1">
    <dataValidation type="list" allowBlank="1" showInputMessage="1" showErrorMessage="1" sqref="E20:F20">
      <formula1>OpenPostedClosed</formula1>
    </dataValidation>
  </dataValidations>
  <pageMargins left="0.7" right="0.7" top="0.75" bottom="0.75" header="0.3" footer="0.3"/>
  <pageSetup scale="67" orientation="landscape" r:id="rId1"/>
  <cellWatches>
    <cellWatch r="E26"/>
    <cellWatch r="E30"/>
    <cellWatch r="E32"/>
    <cellWatch r="E36"/>
    <cellWatch r="E38"/>
    <cellWatch r="E42"/>
    <cellWatch r="J26"/>
    <cellWatch r="J30"/>
    <cellWatch r="J32"/>
    <cellWatch r="J36"/>
    <cellWatch r="J38"/>
    <cellWatch r="J42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B2661EA-468A-4384-A5EA-C62A48F05F7C}">
            <xm:f>'Calcs &amp; Signs'!$C$64="Error"</xm:f>
            <x14:dxf>
              <font>
                <color rgb="FFFF0000"/>
              </font>
            </x14:dxf>
          </x14:cfRule>
          <xm:sqref>E8:F8 E16:F16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73"/>
  <sheetViews>
    <sheetView zoomScale="75" zoomScaleNormal="75" workbookViewId="0">
      <selection activeCell="F37" sqref="F37:G37"/>
    </sheetView>
  </sheetViews>
  <sheetFormatPr defaultRowHeight="15" x14ac:dyDescent="0.25"/>
  <cols>
    <col min="2" max="2" width="23.5703125" customWidth="1"/>
    <col min="3" max="3" width="9" customWidth="1"/>
    <col min="4" max="4" width="10.28515625" customWidth="1"/>
    <col min="5" max="5" width="6.85546875" customWidth="1"/>
    <col min="6" max="6" width="5.42578125" customWidth="1"/>
    <col min="10" max="10" width="3.7109375" customWidth="1"/>
    <col min="11" max="11" width="8.5703125" customWidth="1"/>
    <col min="12" max="12" width="3.140625" customWidth="1"/>
    <col min="13" max="13" width="5.42578125" customWidth="1"/>
    <col min="14" max="14" width="7.140625" customWidth="1"/>
    <col min="15" max="15" width="2.85546875" customWidth="1"/>
    <col min="16" max="17" width="7.85546875" customWidth="1"/>
    <col min="18" max="18" width="2.85546875" customWidth="1"/>
    <col min="19" max="19" width="11.85546875" customWidth="1"/>
    <col min="20" max="20" width="7.85546875" customWidth="1"/>
    <col min="21" max="21" width="2.85546875" customWidth="1"/>
    <col min="22" max="23" width="8.140625" customWidth="1"/>
    <col min="24" max="24" width="2.85546875" customWidth="1"/>
    <col min="27" max="27" width="2.7109375" customWidth="1"/>
    <col min="28" max="28" width="3.140625" customWidth="1"/>
    <col min="29" max="29" width="5.42578125" customWidth="1"/>
    <col min="30" max="30" width="7.140625" customWidth="1"/>
  </cols>
  <sheetData>
    <row r="1" spans="2:30" ht="15.75" thickBot="1" x14ac:dyDescent="0.3"/>
    <row r="2" spans="2:30" ht="15.75" thickBot="1" x14ac:dyDescent="0.3">
      <c r="B2" s="354" t="s">
        <v>420</v>
      </c>
      <c r="C2" s="355"/>
      <c r="D2" s="60">
        <v>0.97499999999999998</v>
      </c>
      <c r="G2" s="76"/>
      <c r="H2" s="59" t="s">
        <v>361</v>
      </c>
      <c r="I2" s="160" t="b">
        <v>1</v>
      </c>
      <c r="K2" s="354" t="s">
        <v>364</v>
      </c>
      <c r="L2" s="355"/>
      <c r="M2" s="355"/>
      <c r="N2" s="358" t="str">
        <f>IF(M73&gt;0,"Disabled",IF(O3 = TRUE,"Manual",IF(C24="Yes","ClosureSign",IF(C22="Yes","LegalSign",IF(AND(C23="Yes",D23="Yes"),"EVSign","BlankSign")))))</f>
        <v>BlankSign</v>
      </c>
      <c r="O2" s="359"/>
    </row>
    <row r="3" spans="2:30" ht="15.75" thickBot="1" x14ac:dyDescent="0.3">
      <c r="B3" s="354" t="s">
        <v>399</v>
      </c>
      <c r="C3" s="355"/>
      <c r="D3" s="61">
        <v>2.99</v>
      </c>
      <c r="K3" s="352" t="s">
        <v>396</v>
      </c>
      <c r="L3" s="353"/>
      <c r="M3" s="353"/>
      <c r="N3" s="353"/>
      <c r="O3" s="149" t="b">
        <v>0</v>
      </c>
    </row>
    <row r="4" spans="2:30" ht="15.75" thickBot="1" x14ac:dyDescent="0.3">
      <c r="B4" s="354" t="s">
        <v>184</v>
      </c>
      <c r="C4" s="355"/>
      <c r="D4" s="61" t="str">
        <f>_xlfn.IFNA(VLOOKUP(D71,List!P3:R12,2,FALSE),"RF")</f>
        <v>RF</v>
      </c>
    </row>
    <row r="5" spans="2:30" ht="15.75" thickBot="1" x14ac:dyDescent="0.3">
      <c r="L5" s="360" t="s">
        <v>400</v>
      </c>
      <c r="M5" s="360"/>
      <c r="N5" s="360"/>
      <c r="P5" s="350" t="s">
        <v>362</v>
      </c>
      <c r="Q5" s="350"/>
      <c r="S5" s="350" t="s">
        <v>363</v>
      </c>
      <c r="T5" s="350"/>
      <c r="V5" s="401" t="s">
        <v>365</v>
      </c>
      <c r="W5" s="401"/>
      <c r="Y5" s="401" t="s">
        <v>393</v>
      </c>
      <c r="Z5" s="401"/>
      <c r="AB5" s="401" t="s">
        <v>395</v>
      </c>
      <c r="AC5" s="401"/>
      <c r="AD5" s="401"/>
    </row>
    <row r="6" spans="2:30" ht="15.75" thickBot="1" x14ac:dyDescent="0.3">
      <c r="B6" s="342" t="s">
        <v>254</v>
      </c>
      <c r="C6" s="342" t="s">
        <v>159</v>
      </c>
      <c r="D6" s="342" t="s">
        <v>352</v>
      </c>
      <c r="E6" s="344" t="s">
        <v>412</v>
      </c>
      <c r="F6" s="345"/>
      <c r="G6" s="345" t="s">
        <v>353</v>
      </c>
      <c r="H6" s="162"/>
      <c r="L6" s="406" t="s">
        <v>349</v>
      </c>
      <c r="M6" s="407"/>
      <c r="N6" s="408"/>
      <c r="P6" s="56"/>
      <c r="Q6" s="56"/>
      <c r="S6" s="114"/>
      <c r="T6" s="114"/>
      <c r="V6" s="134"/>
      <c r="W6" s="134"/>
      <c r="Y6" s="134"/>
      <c r="Z6" s="134"/>
      <c r="AB6" s="410" t="s">
        <v>349</v>
      </c>
      <c r="AC6" s="411"/>
      <c r="AD6" s="412"/>
    </row>
    <row r="7" spans="2:30" ht="15" customHeight="1" thickBot="1" x14ac:dyDescent="0.3">
      <c r="B7" s="343"/>
      <c r="C7" s="343"/>
      <c r="D7" s="343"/>
      <c r="E7" s="346"/>
      <c r="F7" s="347"/>
      <c r="G7" s="347"/>
      <c r="H7" s="162"/>
      <c r="L7" s="395"/>
      <c r="M7" s="409"/>
      <c r="N7" s="396"/>
      <c r="P7" s="46"/>
      <c r="Q7" s="46"/>
      <c r="S7" s="113"/>
      <c r="T7" s="147"/>
      <c r="V7" s="51"/>
      <c r="W7" s="148"/>
      <c r="Y7" s="51"/>
      <c r="Z7" s="51"/>
      <c r="AB7" s="413"/>
      <c r="AC7" s="414"/>
      <c r="AD7" s="415"/>
    </row>
    <row r="8" spans="2:30" ht="15" customHeight="1" x14ac:dyDescent="0.25">
      <c r="B8" s="104" t="s">
        <v>350</v>
      </c>
      <c r="C8" s="135">
        <f>'BR-100'!K21</f>
        <v>0.88600000000000001</v>
      </c>
      <c r="D8" s="136"/>
      <c r="E8" s="137"/>
      <c r="F8" s="137"/>
      <c r="G8" s="138"/>
      <c r="L8" s="55">
        <v>2</v>
      </c>
      <c r="M8" s="46" t="s">
        <v>348</v>
      </c>
      <c r="N8" s="47">
        <f>IF(D23="Yes",MIN(E10,E18),E10)</f>
        <v>15</v>
      </c>
      <c r="P8" s="46"/>
      <c r="Q8" s="46"/>
      <c r="S8" s="395" t="s">
        <v>382</v>
      </c>
      <c r="T8" s="396"/>
      <c r="V8" s="387" t="s">
        <v>366</v>
      </c>
      <c r="W8" s="388"/>
      <c r="Y8" s="385" t="s">
        <v>391</v>
      </c>
      <c r="Z8" s="385"/>
      <c r="AB8" s="139">
        <v>2</v>
      </c>
      <c r="AC8" s="140" t="s">
        <v>348</v>
      </c>
      <c r="AD8" s="141">
        <v>0</v>
      </c>
    </row>
    <row r="9" spans="2:30" ht="15.75" customHeight="1" x14ac:dyDescent="0.25">
      <c r="B9" s="105" t="s">
        <v>351</v>
      </c>
      <c r="C9" s="63">
        <f>'BR-100'!I21</f>
        <v>1.48</v>
      </c>
      <c r="D9" s="14"/>
      <c r="E9" s="164"/>
      <c r="F9" s="164"/>
      <c r="G9" s="64"/>
      <c r="L9" s="55">
        <v>3</v>
      </c>
      <c r="M9" s="46" t="s">
        <v>348</v>
      </c>
      <c r="N9" s="47">
        <f>IF(D23="Yes",MIN(E11,E19),E11)</f>
        <v>23</v>
      </c>
      <c r="P9" s="46"/>
      <c r="Q9" s="46"/>
      <c r="S9" s="395"/>
      <c r="T9" s="396"/>
      <c r="V9" s="389"/>
      <c r="W9" s="390"/>
      <c r="Y9" s="385" t="s">
        <v>392</v>
      </c>
      <c r="Z9" s="385"/>
      <c r="AB9" s="139">
        <v>3</v>
      </c>
      <c r="AC9" s="140" t="s">
        <v>348</v>
      </c>
      <c r="AD9" s="141">
        <v>0</v>
      </c>
    </row>
    <row r="10" spans="2:30" ht="15" customHeight="1" x14ac:dyDescent="0.25">
      <c r="B10" s="106" t="s">
        <v>403</v>
      </c>
      <c r="C10" s="63">
        <f>'BR-100'!C21</f>
        <v>3.1019999999999999</v>
      </c>
      <c r="D10" s="164">
        <v>15</v>
      </c>
      <c r="E10" s="350">
        <f>IF(C10&gt;=$D$2,D10,C10*D10)</f>
        <v>15</v>
      </c>
      <c r="F10" s="350"/>
      <c r="G10" s="165" t="str">
        <f>IF(C10&gt;=$D$2,"No","Yes")</f>
        <v>No</v>
      </c>
      <c r="H10" s="161"/>
      <c r="L10" s="55">
        <v>4</v>
      </c>
      <c r="M10" s="46" t="s">
        <v>348</v>
      </c>
      <c r="N10" s="47">
        <f>MIN(E12,E14)</f>
        <v>27</v>
      </c>
      <c r="P10" s="46"/>
      <c r="Q10" s="46"/>
      <c r="S10" s="80" t="s">
        <v>383</v>
      </c>
      <c r="T10" s="92">
        <f>E41</f>
        <v>16.75</v>
      </c>
      <c r="V10" s="389"/>
      <c r="W10" s="390"/>
      <c r="Y10" s="385" t="s">
        <v>393</v>
      </c>
      <c r="Z10" s="385"/>
      <c r="AB10" s="139">
        <v>4</v>
      </c>
      <c r="AC10" s="140" t="s">
        <v>348</v>
      </c>
      <c r="AD10" s="141">
        <v>0</v>
      </c>
    </row>
    <row r="11" spans="2:30" ht="15.75" thickBot="1" x14ac:dyDescent="0.3">
      <c r="B11" s="106" t="s">
        <v>404</v>
      </c>
      <c r="C11" s="63">
        <f>'BR-100'!C22</f>
        <v>2.1760000000000002</v>
      </c>
      <c r="D11" s="164">
        <v>23</v>
      </c>
      <c r="E11" s="350">
        <f t="shared" ref="E11:E19" si="0">IF(C11&gt;=$D$2,D11,C11*D11)</f>
        <v>23</v>
      </c>
      <c r="F11" s="350"/>
      <c r="G11" s="165" t="str">
        <f t="shared" ref="G11:G19" si="1">IF(C11&gt;=$D$2,"No","Yes")</f>
        <v>No</v>
      </c>
      <c r="H11" s="161"/>
      <c r="L11" s="48">
        <v>5</v>
      </c>
      <c r="M11" s="46" t="s">
        <v>348</v>
      </c>
      <c r="N11" s="47">
        <f>E15</f>
        <v>31</v>
      </c>
      <c r="P11" s="46"/>
      <c r="Q11" s="46"/>
      <c r="S11" s="80" t="s">
        <v>384</v>
      </c>
      <c r="T11" s="92">
        <f>E42</f>
        <v>31</v>
      </c>
      <c r="V11" s="391"/>
      <c r="W11" s="392"/>
      <c r="Y11" s="51"/>
      <c r="Z11" s="51"/>
      <c r="AB11" s="142">
        <v>5</v>
      </c>
      <c r="AC11" s="140" t="s">
        <v>348</v>
      </c>
      <c r="AD11" s="141">
        <v>0</v>
      </c>
    </row>
    <row r="12" spans="2:30" ht="16.5" customHeight="1" thickBot="1" x14ac:dyDescent="0.3">
      <c r="B12" s="106" t="s">
        <v>405</v>
      </c>
      <c r="C12" s="63">
        <f>'BR-100'!C24</f>
        <v>1.9750000000000001</v>
      </c>
      <c r="D12" s="164">
        <v>27</v>
      </c>
      <c r="E12" s="350">
        <f t="shared" si="0"/>
        <v>27</v>
      </c>
      <c r="F12" s="350"/>
      <c r="G12" s="165" t="str">
        <f t="shared" si="1"/>
        <v>No</v>
      </c>
      <c r="H12" s="161"/>
      <c r="L12" s="52" t="s">
        <v>161</v>
      </c>
      <c r="M12" s="49" t="s">
        <v>348</v>
      </c>
      <c r="N12" s="50">
        <f>MIN(E16:E17)</f>
        <v>34.75</v>
      </c>
      <c r="P12" s="46"/>
      <c r="Q12" s="46"/>
      <c r="S12" s="81"/>
      <c r="T12" s="69"/>
      <c r="V12" s="51"/>
      <c r="W12" s="51"/>
      <c r="Y12" s="51"/>
      <c r="Z12" s="51"/>
      <c r="AB12" s="143" t="s">
        <v>161</v>
      </c>
      <c r="AC12" s="144" t="s">
        <v>348</v>
      </c>
      <c r="AD12" s="145">
        <v>0</v>
      </c>
    </row>
    <row r="13" spans="2:30" ht="18.75" customHeight="1" thickBot="1" x14ac:dyDescent="0.3">
      <c r="B13" s="106" t="s">
        <v>158</v>
      </c>
      <c r="C13" s="63">
        <f>'BR-100'!C25</f>
        <v>1.4179999999999999</v>
      </c>
      <c r="D13" s="164">
        <v>40</v>
      </c>
      <c r="E13" s="350">
        <f t="shared" si="0"/>
        <v>40</v>
      </c>
      <c r="F13" s="350"/>
      <c r="G13" s="165" t="str">
        <f t="shared" si="1"/>
        <v>No</v>
      </c>
      <c r="H13" s="161"/>
      <c r="L13" s="352"/>
      <c r="M13" s="353"/>
      <c r="N13" s="77">
        <f>E13</f>
        <v>40</v>
      </c>
      <c r="P13" s="46"/>
      <c r="Q13" s="46"/>
      <c r="S13" s="51"/>
      <c r="T13" s="51"/>
      <c r="V13" s="51"/>
      <c r="W13" s="51"/>
      <c r="Y13" s="51"/>
      <c r="Z13" s="51"/>
      <c r="AB13" s="404"/>
      <c r="AC13" s="405"/>
      <c r="AD13" s="146">
        <v>0</v>
      </c>
    </row>
    <row r="14" spans="2:30" ht="15.75" thickBot="1" x14ac:dyDescent="0.3">
      <c r="B14" s="106" t="s">
        <v>1</v>
      </c>
      <c r="C14" s="63">
        <f>'BR-100'!C28</f>
        <v>1.96</v>
      </c>
      <c r="D14" s="164">
        <v>27</v>
      </c>
      <c r="E14" s="350">
        <f t="shared" si="0"/>
        <v>27</v>
      </c>
      <c r="F14" s="350"/>
      <c r="G14" s="165" t="str">
        <f t="shared" si="1"/>
        <v>No</v>
      </c>
      <c r="H14" s="161"/>
    </row>
    <row r="15" spans="2:30" x14ac:dyDescent="0.25">
      <c r="B15" s="105" t="s">
        <v>2</v>
      </c>
      <c r="C15" s="63">
        <f>'BR-100'!C29</f>
        <v>1.8009999999999999</v>
      </c>
      <c r="D15" s="164">
        <v>31</v>
      </c>
      <c r="E15" s="350">
        <f t="shared" si="0"/>
        <v>31</v>
      </c>
      <c r="F15" s="350"/>
      <c r="G15" s="165" t="str">
        <f t="shared" si="1"/>
        <v>No</v>
      </c>
      <c r="H15" s="161"/>
      <c r="L15" s="416" t="s">
        <v>411</v>
      </c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8"/>
    </row>
    <row r="16" spans="2:30" x14ac:dyDescent="0.25">
      <c r="B16" s="62" t="s">
        <v>3</v>
      </c>
      <c r="C16" s="63">
        <f>'BR-100'!C31</f>
        <v>1.629</v>
      </c>
      <c r="D16" s="164">
        <v>34.75</v>
      </c>
      <c r="E16" s="350">
        <f t="shared" si="0"/>
        <v>34.75</v>
      </c>
      <c r="F16" s="350"/>
      <c r="G16" s="165" t="str">
        <f t="shared" si="1"/>
        <v>No</v>
      </c>
      <c r="H16" s="161"/>
      <c r="L16" s="80"/>
      <c r="M16" s="397" t="s">
        <v>410</v>
      </c>
      <c r="N16" s="397"/>
      <c r="O16" s="397"/>
      <c r="P16" s="397"/>
      <c r="Q16" s="397"/>
      <c r="R16" s="397"/>
      <c r="S16" s="397"/>
      <c r="T16" s="397"/>
      <c r="U16" s="397"/>
      <c r="V16" s="397"/>
      <c r="W16" s="398"/>
    </row>
    <row r="17" spans="2:23" ht="15" customHeight="1" thickBot="1" x14ac:dyDescent="0.3">
      <c r="B17" s="62" t="s">
        <v>4</v>
      </c>
      <c r="C17" s="63">
        <f>'BR-100'!C32</f>
        <v>1.472</v>
      </c>
      <c r="D17" s="164">
        <v>38.75</v>
      </c>
      <c r="E17" s="350">
        <f t="shared" si="0"/>
        <v>38.75</v>
      </c>
      <c r="F17" s="350"/>
      <c r="G17" s="165" t="str">
        <f t="shared" si="1"/>
        <v>No</v>
      </c>
      <c r="H17" s="161"/>
      <c r="L17" s="93"/>
      <c r="M17" s="399" t="s">
        <v>409</v>
      </c>
      <c r="N17" s="399"/>
      <c r="O17" s="399"/>
      <c r="P17" s="399"/>
      <c r="Q17" s="399"/>
      <c r="R17" s="399"/>
      <c r="S17" s="399"/>
      <c r="T17" s="399"/>
      <c r="U17" s="399"/>
      <c r="V17" s="399"/>
      <c r="W17" s="400"/>
    </row>
    <row r="18" spans="2:23" x14ac:dyDescent="0.25">
      <c r="B18" s="103" t="s">
        <v>262</v>
      </c>
      <c r="C18" s="63">
        <f>'BR-100'!C35</f>
        <v>1.93</v>
      </c>
      <c r="D18" s="164">
        <v>28.75</v>
      </c>
      <c r="E18" s="350">
        <f t="shared" si="0"/>
        <v>28.75</v>
      </c>
      <c r="F18" s="350"/>
      <c r="G18" s="165" t="str">
        <f t="shared" si="1"/>
        <v>No</v>
      </c>
      <c r="H18" s="161"/>
      <c r="L18" s="107"/>
      <c r="M18" s="107"/>
      <c r="N18" s="107"/>
      <c r="O18" s="107"/>
      <c r="P18" s="107"/>
      <c r="Q18" s="107"/>
      <c r="R18" s="107"/>
      <c r="S18" s="107"/>
    </row>
    <row r="19" spans="2:23" ht="15.75" thickBot="1" x14ac:dyDescent="0.3">
      <c r="B19" s="65" t="s">
        <v>263</v>
      </c>
      <c r="C19" s="66">
        <f>'BR-100'!C36</f>
        <v>1.28</v>
      </c>
      <c r="D19" s="163">
        <v>43</v>
      </c>
      <c r="E19" s="360">
        <f t="shared" si="0"/>
        <v>43</v>
      </c>
      <c r="F19" s="360"/>
      <c r="G19" s="67" t="str">
        <f t="shared" si="1"/>
        <v>No</v>
      </c>
      <c r="H19" s="161"/>
      <c r="L19" s="107"/>
      <c r="M19" s="107"/>
      <c r="N19" s="107"/>
      <c r="O19" s="107"/>
      <c r="P19" s="107"/>
      <c r="Q19" s="107"/>
      <c r="R19" s="107"/>
      <c r="S19" s="107"/>
    </row>
    <row r="20" spans="2:23" ht="15.75" thickBot="1" x14ac:dyDescent="0.3">
      <c r="L20" s="107"/>
      <c r="M20" s="107"/>
      <c r="N20" s="107"/>
      <c r="O20" s="107"/>
      <c r="P20" s="107"/>
      <c r="Q20" s="107"/>
      <c r="R20" s="107"/>
      <c r="S20" s="107"/>
    </row>
    <row r="21" spans="2:23" ht="15.75" thickBot="1" x14ac:dyDescent="0.3">
      <c r="B21" s="356" t="s">
        <v>357</v>
      </c>
      <c r="C21" s="357"/>
      <c r="D21" s="75" t="s">
        <v>360</v>
      </c>
    </row>
    <row r="22" spans="2:23" x14ac:dyDescent="0.25">
      <c r="B22" s="115" t="s">
        <v>354</v>
      </c>
      <c r="C22" s="120" t="str">
        <f>IF(COUNTIF(G10:G17,"Yes")&gt;0,"Yes","No")</f>
        <v>No</v>
      </c>
      <c r="D22" s="116"/>
    </row>
    <row r="23" spans="2:23" ht="15" customHeight="1" x14ac:dyDescent="0.25">
      <c r="B23" s="117" t="s">
        <v>355</v>
      </c>
      <c r="C23" s="121" t="str">
        <f>IF(COUNTIF(G18:G19,"Yes")&gt;0,"Yes","No")</f>
        <v>No</v>
      </c>
      <c r="D23" s="159" t="str">
        <f>IF(I2,"Yes","No")</f>
        <v>Yes</v>
      </c>
    </row>
    <row r="24" spans="2:23" ht="15.75" thickBot="1" x14ac:dyDescent="0.3">
      <c r="B24" s="118" t="s">
        <v>356</v>
      </c>
      <c r="C24" s="122" t="str">
        <f>IF(COUNTIF(E10:E17,"&lt;"&amp;D3)&gt;0,"Yes","No")</f>
        <v>No</v>
      </c>
      <c r="D24" s="119"/>
    </row>
    <row r="25" spans="2:23" ht="15.75" thickBot="1" x14ac:dyDescent="0.3"/>
    <row r="26" spans="2:23" ht="15.75" thickBot="1" x14ac:dyDescent="0.3">
      <c r="B26" s="71"/>
      <c r="C26" s="59" t="s">
        <v>358</v>
      </c>
      <c r="D26" s="74">
        <f>IF(MROUND(MIN(C10:C17),0.05)&gt;1.499,1.5,MROUND(MIN(C10:C17),0.05))</f>
        <v>1.4000000000000001</v>
      </c>
      <c r="E26" s="72"/>
      <c r="F26" s="72"/>
      <c r="G26" s="73"/>
    </row>
    <row r="27" spans="2:23" ht="15.75" thickBot="1" x14ac:dyDescent="0.3">
      <c r="B27" s="71"/>
      <c r="C27" s="59" t="s">
        <v>359</v>
      </c>
      <c r="D27" s="402" t="str">
        <f>IF(C24="Yes", "BRIDGE CLOSURE RECOMMENDED",IF(C22="Yes","LOAD POSTING IS RECOMMENDED", IF(AND(C23="Yes",D23="Yes"),"EV Posting Recommended","No Load Posting is Recommended")))</f>
        <v>No Load Posting is Recommended</v>
      </c>
      <c r="E27" s="402"/>
      <c r="F27" s="402"/>
      <c r="G27" s="403"/>
    </row>
    <row r="29" spans="2:23" ht="15.75" x14ac:dyDescent="0.25">
      <c r="B29" s="371" t="s">
        <v>398</v>
      </c>
      <c r="C29" s="371"/>
      <c r="D29" s="371"/>
      <c r="E29" s="371"/>
      <c r="F29" s="371"/>
      <c r="G29" s="371"/>
    </row>
    <row r="30" spans="2:23" ht="6.75" customHeight="1" thickBot="1" x14ac:dyDescent="0.3"/>
    <row r="31" spans="2:23" ht="15.75" thickBot="1" x14ac:dyDescent="0.3">
      <c r="B31" s="78"/>
      <c r="C31" s="83" t="s">
        <v>367</v>
      </c>
      <c r="D31" s="87">
        <f>C18</f>
        <v>1.93</v>
      </c>
    </row>
    <row r="32" spans="2:23" x14ac:dyDescent="0.25">
      <c r="B32" s="78"/>
      <c r="C32" s="83" t="s">
        <v>371</v>
      </c>
      <c r="D32" s="84">
        <f>SUM(D33:D34)</f>
        <v>57.5</v>
      </c>
      <c r="E32" s="94" t="s">
        <v>373</v>
      </c>
      <c r="F32" s="348">
        <f>MIN($D$31*D32,D32)</f>
        <v>57.5</v>
      </c>
      <c r="G32" s="349"/>
    </row>
    <row r="33" spans="2:8" x14ac:dyDescent="0.25">
      <c r="B33" s="80"/>
      <c r="C33" s="70" t="s">
        <v>369</v>
      </c>
      <c r="D33" s="85">
        <v>24</v>
      </c>
      <c r="E33" s="95" t="s">
        <v>373</v>
      </c>
      <c r="F33" s="372">
        <f t="shared" ref="F33:F34" si="2">MIN($D$31*D33,D33)</f>
        <v>24</v>
      </c>
      <c r="G33" s="373"/>
    </row>
    <row r="34" spans="2:8" ht="15.75" thickBot="1" x14ac:dyDescent="0.3">
      <c r="B34" s="81"/>
      <c r="C34" s="58" t="s">
        <v>370</v>
      </c>
      <c r="D34" s="86">
        <v>33.5</v>
      </c>
      <c r="E34" s="96" t="s">
        <v>373</v>
      </c>
      <c r="F34" s="374">
        <f t="shared" si="2"/>
        <v>33.5</v>
      </c>
      <c r="G34" s="375"/>
    </row>
    <row r="35" spans="2:8" ht="7.5" customHeight="1" thickBot="1" x14ac:dyDescent="0.3">
      <c r="D35" s="82"/>
    </row>
    <row r="36" spans="2:8" ht="15.75" thickBot="1" x14ac:dyDescent="0.3">
      <c r="B36" s="78"/>
      <c r="C36" s="83" t="s">
        <v>368</v>
      </c>
      <c r="D36" s="87">
        <f>C19</f>
        <v>1.28</v>
      </c>
    </row>
    <row r="37" spans="2:8" x14ac:dyDescent="0.25">
      <c r="B37" s="78"/>
      <c r="C37" s="83" t="s">
        <v>371</v>
      </c>
      <c r="D37" s="84">
        <f>SUM(D38:D39)</f>
        <v>86</v>
      </c>
      <c r="E37" s="54" t="s">
        <v>373</v>
      </c>
      <c r="F37" s="348">
        <f>MIN($D$36*D37,D37)</f>
        <v>86</v>
      </c>
      <c r="G37" s="349"/>
    </row>
    <row r="38" spans="2:8" x14ac:dyDescent="0.25">
      <c r="B38" s="80"/>
      <c r="C38" s="70" t="s">
        <v>369</v>
      </c>
      <c r="D38" s="85">
        <v>24</v>
      </c>
      <c r="E38" s="56" t="s">
        <v>373</v>
      </c>
      <c r="F38" s="372">
        <f t="shared" ref="F38:F39" si="3">MIN($D$36*D38,D38)</f>
        <v>24</v>
      </c>
      <c r="G38" s="373"/>
    </row>
    <row r="39" spans="2:8" ht="15.75" thickBot="1" x14ac:dyDescent="0.3">
      <c r="B39" s="81"/>
      <c r="C39" s="58" t="s">
        <v>372</v>
      </c>
      <c r="D39" s="86">
        <v>62</v>
      </c>
      <c r="E39" s="53" t="s">
        <v>373</v>
      </c>
      <c r="F39" s="374">
        <f t="shared" si="3"/>
        <v>62</v>
      </c>
      <c r="G39" s="375"/>
    </row>
    <row r="40" spans="2:8" ht="7.5" customHeight="1" thickBot="1" x14ac:dyDescent="0.3"/>
    <row r="41" spans="2:8" x14ac:dyDescent="0.25">
      <c r="B41" s="78"/>
      <c r="C41" s="88"/>
      <c r="D41" s="83" t="s">
        <v>374</v>
      </c>
      <c r="E41" s="376">
        <f>MAX(F33,F34)/2</f>
        <v>16.75</v>
      </c>
      <c r="F41" s="376"/>
      <c r="G41" s="79"/>
      <c r="H41" t="s">
        <v>408</v>
      </c>
    </row>
    <row r="42" spans="2:8" ht="15.75" thickBot="1" x14ac:dyDescent="0.3">
      <c r="B42" s="81"/>
      <c r="C42" s="49"/>
      <c r="D42" s="133" t="s">
        <v>375</v>
      </c>
      <c r="E42" s="370">
        <f>F39/2</f>
        <v>31</v>
      </c>
      <c r="F42" s="370"/>
      <c r="G42" s="69"/>
    </row>
    <row r="44" spans="2:8" ht="15.75" x14ac:dyDescent="0.25">
      <c r="B44" s="363" t="s">
        <v>402</v>
      </c>
      <c r="C44" s="363"/>
      <c r="D44" s="363"/>
      <c r="E44" s="363"/>
      <c r="F44" s="363"/>
      <c r="G44" s="363"/>
    </row>
    <row r="45" spans="2:8" ht="7.5" customHeight="1" thickBot="1" x14ac:dyDescent="0.3"/>
    <row r="46" spans="2:8" ht="15.75" thickBot="1" x14ac:dyDescent="0.3">
      <c r="B46" s="339" t="s">
        <v>376</v>
      </c>
      <c r="C46" s="340"/>
      <c r="D46" s="340"/>
      <c r="E46" s="340"/>
      <c r="F46" s="340"/>
      <c r="G46" s="341"/>
    </row>
    <row r="47" spans="2:8" x14ac:dyDescent="0.25">
      <c r="B47" s="62"/>
      <c r="C47" s="102" t="s">
        <v>159</v>
      </c>
      <c r="D47" s="102" t="s">
        <v>254</v>
      </c>
      <c r="E47" s="102" t="s">
        <v>253</v>
      </c>
      <c r="F47" s="350" t="s">
        <v>406</v>
      </c>
      <c r="G47" s="351"/>
    </row>
    <row r="48" spans="2:8" x14ac:dyDescent="0.25">
      <c r="B48" s="103" t="s">
        <v>258</v>
      </c>
      <c r="C48" s="109">
        <f>C10</f>
        <v>3.1019999999999999</v>
      </c>
      <c r="D48" s="108" t="str">
        <f>B10</f>
        <v>2F1</v>
      </c>
      <c r="E48" s="108">
        <f>D10</f>
        <v>15</v>
      </c>
      <c r="F48" s="335">
        <f>C48*E48</f>
        <v>46.53</v>
      </c>
      <c r="G48" s="336"/>
    </row>
    <row r="49" spans="2:8" x14ac:dyDescent="0.25">
      <c r="B49" s="103" t="s">
        <v>259</v>
      </c>
      <c r="C49" s="109">
        <f>C11</f>
        <v>2.1760000000000002</v>
      </c>
      <c r="D49" s="108" t="str">
        <f>B11</f>
        <v>3F1</v>
      </c>
      <c r="E49" s="108">
        <f>D11</f>
        <v>23</v>
      </c>
      <c r="F49" s="335">
        <f>E11</f>
        <v>23</v>
      </c>
      <c r="G49" s="336"/>
    </row>
    <row r="50" spans="2:8" x14ac:dyDescent="0.25">
      <c r="B50" s="103" t="s">
        <v>260</v>
      </c>
      <c r="C50" s="109">
        <f>IF(F50=E12,C12,C14)</f>
        <v>1.9750000000000001</v>
      </c>
      <c r="D50" s="108" t="str">
        <f>IF(F50=E12,B12,B14)</f>
        <v>4F1</v>
      </c>
      <c r="E50" s="108">
        <f>IF(F50=E12,D12,D14)</f>
        <v>27</v>
      </c>
      <c r="F50" s="335">
        <f>MIN(E12,E14)</f>
        <v>27</v>
      </c>
      <c r="G50" s="336"/>
      <c r="H50" t="s">
        <v>414</v>
      </c>
    </row>
    <row r="51" spans="2:8" x14ac:dyDescent="0.25">
      <c r="B51" s="103" t="s">
        <v>261</v>
      </c>
      <c r="C51" s="109">
        <f>C15</f>
        <v>1.8009999999999999</v>
      </c>
      <c r="D51" s="108" t="str">
        <f>B15</f>
        <v>SU5</v>
      </c>
      <c r="E51" s="108">
        <f>D15</f>
        <v>31</v>
      </c>
      <c r="F51" s="335">
        <f>E15</f>
        <v>31</v>
      </c>
      <c r="G51" s="336"/>
    </row>
    <row r="52" spans="2:8" x14ac:dyDescent="0.25">
      <c r="B52" s="103" t="s">
        <v>377</v>
      </c>
      <c r="C52" s="109">
        <f>IF(F52=E16,C16,C17)</f>
        <v>1.629</v>
      </c>
      <c r="D52" s="108" t="str">
        <f>IF(F52=E16,B16,B17)</f>
        <v>SU6</v>
      </c>
      <c r="E52" s="108">
        <f>IF(F52=E16,D16,D17)</f>
        <v>34.75</v>
      </c>
      <c r="F52" s="335">
        <f>MIN(E16,E17)</f>
        <v>34.75</v>
      </c>
      <c r="G52" s="336"/>
      <c r="H52" t="s">
        <v>413</v>
      </c>
    </row>
    <row r="53" spans="2:8" ht="15.75" thickBot="1" x14ac:dyDescent="0.3">
      <c r="B53" s="110" t="s">
        <v>158</v>
      </c>
      <c r="C53" s="111">
        <f>C13</f>
        <v>1.4179999999999999</v>
      </c>
      <c r="D53" s="112" t="str">
        <f>B13</f>
        <v>5C1</v>
      </c>
      <c r="E53" s="112">
        <f>D13</f>
        <v>40</v>
      </c>
      <c r="F53" s="337">
        <f>E13</f>
        <v>40</v>
      </c>
      <c r="G53" s="338"/>
    </row>
    <row r="54" spans="2:8" ht="15.75" thickBot="1" x14ac:dyDescent="0.3"/>
    <row r="55" spans="2:8" x14ac:dyDescent="0.25">
      <c r="B55" s="331" t="s">
        <v>386</v>
      </c>
      <c r="C55" s="332"/>
      <c r="D55" s="364" t="str">
        <f>IF(C24="Yes","K - Bridge Closed to all Traffic", IF(OR(C22="Yes",AND(C23="Yes",D23="Yes")),"P - Posted for Load-Carrying Restriction","A - Open, No Restriction"))</f>
        <v>A - Open, No Restriction</v>
      </c>
      <c r="E55" s="364"/>
      <c r="F55" s="364"/>
      <c r="G55" s="364"/>
      <c r="H55" s="365"/>
    </row>
    <row r="56" spans="2:8" x14ac:dyDescent="0.25">
      <c r="B56" s="333" t="s">
        <v>385</v>
      </c>
      <c r="C56" s="334"/>
      <c r="D56" s="327" t="str">
        <f>IF(MIN(C10:C17)&gt;D2,"S-Satisfactory","E-Excessive")</f>
        <v>S-Satisfactory</v>
      </c>
      <c r="E56" s="327"/>
      <c r="F56" s="327"/>
      <c r="G56" s="327"/>
      <c r="H56" s="328"/>
    </row>
    <row r="57" spans="2:8" x14ac:dyDescent="0.25">
      <c r="B57" s="333" t="s">
        <v>381</v>
      </c>
      <c r="C57" s="334"/>
      <c r="D57" s="329">
        <f>MIN(C10:C17,1.5)*100</f>
        <v>141.79999999999998</v>
      </c>
      <c r="E57" s="329"/>
      <c r="F57" s="329"/>
      <c r="G57" s="329"/>
      <c r="H57" s="330"/>
    </row>
    <row r="58" spans="2:8" ht="15.75" thickBot="1" x14ac:dyDescent="0.3">
      <c r="B58" s="368" t="s">
        <v>221</v>
      </c>
      <c r="C58" s="369"/>
      <c r="D58" s="325" t="str">
        <f>IF(MIN(C10:C17)&lt;0.975,IF(MIN(C10:C17)&gt;0.9,List!X7,IF(MIN(C10:C17)&gt;0.8,List!X6,IF(MIN(C10:C17)&gt;0.7,List!X5,IF(MIN(C10:C17)&gt;0.6,List!X4,List!X3)))),List!X8)</f>
        <v>5 - Equal to or above legal loads</v>
      </c>
      <c r="E58" s="325"/>
      <c r="F58" s="325"/>
      <c r="G58" s="325"/>
      <c r="H58" s="326"/>
    </row>
    <row r="60" spans="2:8" ht="15.75" x14ac:dyDescent="0.25">
      <c r="B60" s="366" t="s">
        <v>397</v>
      </c>
      <c r="C60" s="366"/>
      <c r="D60" s="366"/>
      <c r="E60" s="366"/>
      <c r="F60" s="366"/>
      <c r="G60" s="366"/>
    </row>
    <row r="61" spans="2:8" ht="7.5" customHeight="1" thickBot="1" x14ac:dyDescent="0.3">
      <c r="B61" s="16"/>
      <c r="C61" s="16"/>
      <c r="D61" s="16"/>
      <c r="E61" s="16"/>
      <c r="F61" s="16"/>
      <c r="G61" s="16"/>
    </row>
    <row r="62" spans="2:8" x14ac:dyDescent="0.25">
      <c r="B62" s="91" t="s">
        <v>378</v>
      </c>
      <c r="C62" s="87">
        <f>C8</f>
        <v>0.88600000000000001</v>
      </c>
      <c r="D62" s="14"/>
      <c r="E62" s="14"/>
      <c r="F62" s="14"/>
      <c r="G62" s="14"/>
    </row>
    <row r="63" spans="2:8" x14ac:dyDescent="0.25">
      <c r="B63" s="68" t="s">
        <v>379</v>
      </c>
      <c r="C63" s="89">
        <f>C9</f>
        <v>1.48</v>
      </c>
      <c r="D63" s="14"/>
      <c r="E63" s="14"/>
      <c r="F63" s="14"/>
      <c r="G63" s="14"/>
    </row>
    <row r="64" spans="2:8" ht="15.75" thickBot="1" x14ac:dyDescent="0.3">
      <c r="B64" s="57" t="s">
        <v>380</v>
      </c>
      <c r="C64" s="90" t="str">
        <f>IF(C62&gt;C63,"Error","")</f>
        <v/>
      </c>
      <c r="D64" s="14" t="s">
        <v>401</v>
      </c>
      <c r="E64" s="14"/>
      <c r="F64" s="14"/>
      <c r="G64" s="14"/>
    </row>
    <row r="65" spans="2:16" ht="15.75" thickBot="1" x14ac:dyDescent="0.3">
      <c r="B65" s="99"/>
      <c r="C65" s="101"/>
      <c r="D65" s="14"/>
      <c r="E65" s="14"/>
      <c r="F65" s="14"/>
      <c r="G65" s="14"/>
    </row>
    <row r="66" spans="2:16" ht="15.75" thickBot="1" x14ac:dyDescent="0.3">
      <c r="B66" s="379" t="s">
        <v>388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0"/>
      <c r="N66" s="380"/>
      <c r="O66" s="380"/>
      <c r="P66" s="381"/>
    </row>
    <row r="67" spans="2:16" x14ac:dyDescent="0.25">
      <c r="B67" s="382"/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 t="s">
        <v>387</v>
      </c>
      <c r="N67" s="383"/>
      <c r="O67" s="383"/>
      <c r="P67" s="393"/>
    </row>
    <row r="68" spans="2:16" x14ac:dyDescent="0.25">
      <c r="B68" s="377" t="s">
        <v>14</v>
      </c>
      <c r="C68" s="378"/>
      <c r="D68" s="384" t="str">
        <f>'BR-100'!C10</f>
        <v>8 - Update Analysis Model and Software</v>
      </c>
      <c r="E68" s="384"/>
      <c r="F68" s="384"/>
      <c r="G68" s="384"/>
      <c r="H68" s="384"/>
      <c r="I68" s="384"/>
      <c r="J68" s="384"/>
      <c r="K68" s="384"/>
      <c r="L68" s="384"/>
      <c r="M68" s="378" t="b">
        <f>ISNA(VLOOKUP(D68,Purpose,1,FALSE))</f>
        <v>0</v>
      </c>
      <c r="N68" s="378"/>
      <c r="O68" s="378"/>
      <c r="P68" s="394"/>
    </row>
    <row r="69" spans="2:16" x14ac:dyDescent="0.25">
      <c r="B69" s="377" t="s">
        <v>15</v>
      </c>
      <c r="C69" s="378"/>
      <c r="D69" s="384" t="str">
        <f>'BR-100'!C11</f>
        <v>3 - AASHTO  BrR (VIRTIS)</v>
      </c>
      <c r="E69" s="384"/>
      <c r="F69" s="384"/>
      <c r="G69" s="384"/>
      <c r="H69" s="384"/>
      <c r="I69" s="384"/>
      <c r="J69" s="384"/>
      <c r="K69" s="384"/>
      <c r="L69" s="384"/>
      <c r="M69" s="378" t="b">
        <f>ISNA(VLOOKUP(D69,Software,1,FALSE))</f>
        <v>0</v>
      </c>
      <c r="N69" s="378"/>
      <c r="O69" s="378"/>
      <c r="P69" s="394"/>
    </row>
    <row r="70" spans="2:16" x14ac:dyDescent="0.25">
      <c r="B70" s="377" t="s">
        <v>16</v>
      </c>
      <c r="C70" s="378"/>
      <c r="D70" s="384" t="str">
        <f>'BR-100'!C12</f>
        <v>1 - Plan information available for load rating analysis (Default)</v>
      </c>
      <c r="E70" s="384"/>
      <c r="F70" s="384"/>
      <c r="G70" s="384"/>
      <c r="H70" s="384"/>
      <c r="I70" s="384"/>
      <c r="J70" s="384"/>
      <c r="K70" s="384"/>
      <c r="L70" s="384"/>
      <c r="M70" s="378" t="b">
        <f>ISNA(VLOOKUP(D70,Source,1,FALSE))</f>
        <v>0</v>
      </c>
      <c r="N70" s="378"/>
      <c r="O70" s="378"/>
      <c r="P70" s="394"/>
    </row>
    <row r="71" spans="2:16" x14ac:dyDescent="0.25">
      <c r="B71" s="377" t="s">
        <v>151</v>
      </c>
      <c r="C71" s="378"/>
      <c r="D71" s="384" t="str">
        <f>'BR-100'!C13</f>
        <v>6 - Load Factor (LF) rating reported by rating factor (RF)</v>
      </c>
      <c r="E71" s="384"/>
      <c r="F71" s="384"/>
      <c r="G71" s="384"/>
      <c r="H71" s="384"/>
      <c r="I71" s="384"/>
      <c r="J71" s="384"/>
      <c r="K71" s="384"/>
      <c r="L71" s="384"/>
      <c r="M71" s="378" t="b">
        <f>ISNA(VLOOKUP(D71,Method,1,FALSE))</f>
        <v>0</v>
      </c>
      <c r="N71" s="378"/>
      <c r="O71" s="378"/>
      <c r="P71" s="394"/>
    </row>
    <row r="72" spans="2:16" ht="15.75" thickBot="1" x14ac:dyDescent="0.3">
      <c r="B72" s="361" t="s">
        <v>17</v>
      </c>
      <c r="C72" s="362"/>
      <c r="D72" s="367" t="str">
        <f>'BR-100'!C14</f>
        <v>6 - HS20-44 &amp; Alternate Military Loading</v>
      </c>
      <c r="E72" s="367"/>
      <c r="F72" s="367"/>
      <c r="G72" s="367"/>
      <c r="H72" s="367"/>
      <c r="I72" s="367"/>
      <c r="J72" s="367"/>
      <c r="K72" s="367"/>
      <c r="L72" s="367"/>
      <c r="M72" s="362" t="b">
        <f>ISNA(VLOOKUP(D72,Design,1,FALSE))</f>
        <v>0</v>
      </c>
      <c r="N72" s="362"/>
      <c r="O72" s="362"/>
      <c r="P72" s="386"/>
    </row>
    <row r="73" spans="2:16" ht="15.75" thickBot="1" x14ac:dyDescent="0.3">
      <c r="M73" s="339">
        <f>COUNTIF(M68:P72,TRUE)</f>
        <v>0</v>
      </c>
      <c r="N73" s="340"/>
      <c r="O73" s="340"/>
      <c r="P73" s="341"/>
    </row>
  </sheetData>
  <sheetProtection sheet="1" objects="1" scenarios="1"/>
  <mergeCells count="87">
    <mergeCell ref="Y5:Z5"/>
    <mergeCell ref="D27:G27"/>
    <mergeCell ref="AB5:AD5"/>
    <mergeCell ref="AB13:AC13"/>
    <mergeCell ref="V5:W5"/>
    <mergeCell ref="E10:F10"/>
    <mergeCell ref="E11:F11"/>
    <mergeCell ref="L5:N5"/>
    <mergeCell ref="G6:G7"/>
    <mergeCell ref="P5:Q5"/>
    <mergeCell ref="S5:T5"/>
    <mergeCell ref="L6:N7"/>
    <mergeCell ref="AB6:AD7"/>
    <mergeCell ref="L15:W15"/>
    <mergeCell ref="M73:P73"/>
    <mergeCell ref="Y8:Z8"/>
    <mergeCell ref="Y9:Z9"/>
    <mergeCell ref="Y10:Z10"/>
    <mergeCell ref="M72:P72"/>
    <mergeCell ref="V8:W11"/>
    <mergeCell ref="M67:P67"/>
    <mergeCell ref="M68:P68"/>
    <mergeCell ref="M69:P69"/>
    <mergeCell ref="M70:P70"/>
    <mergeCell ref="M71:P71"/>
    <mergeCell ref="S8:T9"/>
    <mergeCell ref="M16:W16"/>
    <mergeCell ref="M17:W17"/>
    <mergeCell ref="B69:C69"/>
    <mergeCell ref="B70:C70"/>
    <mergeCell ref="B71:C71"/>
    <mergeCell ref="B66:P66"/>
    <mergeCell ref="B67:L67"/>
    <mergeCell ref="D68:L68"/>
    <mergeCell ref="D69:L69"/>
    <mergeCell ref="D70:L70"/>
    <mergeCell ref="D71:L71"/>
    <mergeCell ref="B72:C72"/>
    <mergeCell ref="B4:C4"/>
    <mergeCell ref="B44:G44"/>
    <mergeCell ref="D55:H55"/>
    <mergeCell ref="B60:G60"/>
    <mergeCell ref="D72:L72"/>
    <mergeCell ref="B58:C58"/>
    <mergeCell ref="E42:F42"/>
    <mergeCell ref="B29:G29"/>
    <mergeCell ref="F38:G38"/>
    <mergeCell ref="F39:G39"/>
    <mergeCell ref="E41:F41"/>
    <mergeCell ref="F32:G32"/>
    <mergeCell ref="F33:G33"/>
    <mergeCell ref="F34:G34"/>
    <mergeCell ref="B68:C68"/>
    <mergeCell ref="K3:N3"/>
    <mergeCell ref="B2:C2"/>
    <mergeCell ref="B21:C21"/>
    <mergeCell ref="B3:C3"/>
    <mergeCell ref="N2:O2"/>
    <mergeCell ref="E19:F19"/>
    <mergeCell ref="E18:F18"/>
    <mergeCell ref="E12:F12"/>
    <mergeCell ref="E13:F13"/>
    <mergeCell ref="E15:F15"/>
    <mergeCell ref="E16:F16"/>
    <mergeCell ref="E14:F14"/>
    <mergeCell ref="E17:F17"/>
    <mergeCell ref="L13:M13"/>
    <mergeCell ref="K2:M2"/>
    <mergeCell ref="B6:B7"/>
    <mergeCell ref="F51:G51"/>
    <mergeCell ref="F52:G52"/>
    <mergeCell ref="F53:G53"/>
    <mergeCell ref="B46:G46"/>
    <mergeCell ref="C6:C7"/>
    <mergeCell ref="D6:D7"/>
    <mergeCell ref="E6:F7"/>
    <mergeCell ref="F37:G37"/>
    <mergeCell ref="F47:G47"/>
    <mergeCell ref="F48:G48"/>
    <mergeCell ref="F49:G49"/>
    <mergeCell ref="F50:G50"/>
    <mergeCell ref="D58:H58"/>
    <mergeCell ref="D56:H56"/>
    <mergeCell ref="D57:H57"/>
    <mergeCell ref="B55:C55"/>
    <mergeCell ref="B56:C56"/>
    <mergeCell ref="B57:C5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13</xdr:col>
                    <xdr:colOff>466725</xdr:colOff>
                    <xdr:row>2</xdr:row>
                    <xdr:rowOff>0</xdr:rowOff>
                  </from>
                  <to>
                    <xdr:col>15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B91"/>
  <sheetViews>
    <sheetView zoomScaleNormal="100" workbookViewId="0">
      <selection activeCell="G17" sqref="G17"/>
    </sheetView>
  </sheetViews>
  <sheetFormatPr defaultRowHeight="15" x14ac:dyDescent="0.25"/>
  <cols>
    <col min="1" max="1" width="15.140625" style="100" bestFit="1" customWidth="1"/>
    <col min="2" max="2" width="11.7109375" style="100" customWidth="1"/>
    <col min="3" max="4" width="9.140625" style="100"/>
    <col min="7" max="7" width="45.7109375" customWidth="1"/>
    <col min="10" max="10" width="60" customWidth="1"/>
    <col min="13" max="13" width="62" customWidth="1"/>
    <col min="16" max="16" width="79.7109375" customWidth="1"/>
    <col min="17" max="17" width="12" customWidth="1"/>
    <col min="18" max="18" width="17.5703125" customWidth="1"/>
    <col min="22" max="22" width="49.42578125" customWidth="1"/>
    <col min="24" max="24" width="35" bestFit="1" customWidth="1"/>
    <col min="25" max="25" width="9.7109375" customWidth="1"/>
    <col min="26" max="26" width="38.140625" bestFit="1" customWidth="1"/>
    <col min="27" max="27" width="10" customWidth="1"/>
    <col min="28" max="28" width="24.140625" bestFit="1" customWidth="1"/>
  </cols>
  <sheetData>
    <row r="2" spans="1:28" x14ac:dyDescent="0.25">
      <c r="G2" s="9" t="s">
        <v>150</v>
      </c>
      <c r="J2" s="9" t="s">
        <v>183</v>
      </c>
      <c r="M2" s="9" t="s">
        <v>164</v>
      </c>
      <c r="P2" s="9" t="s">
        <v>165</v>
      </c>
      <c r="Q2" s="5" t="s">
        <v>186</v>
      </c>
      <c r="R2" s="5" t="s">
        <v>185</v>
      </c>
      <c r="V2" s="5" t="s">
        <v>173</v>
      </c>
      <c r="X2" s="5" t="s">
        <v>231</v>
      </c>
      <c r="Z2" s="5" t="s">
        <v>239</v>
      </c>
      <c r="AB2" s="5" t="s">
        <v>247</v>
      </c>
    </row>
    <row r="3" spans="1:28" ht="14.25" customHeight="1" x14ac:dyDescent="0.25">
      <c r="A3" s="3" t="s">
        <v>21</v>
      </c>
      <c r="B3" s="3" t="s">
        <v>22</v>
      </c>
      <c r="C3" s="3" t="s">
        <v>23</v>
      </c>
      <c r="D3" s="3" t="s">
        <v>24</v>
      </c>
      <c r="G3" s="10" t="s">
        <v>130</v>
      </c>
      <c r="J3" s="10" t="s">
        <v>137</v>
      </c>
      <c r="M3" s="10" t="s">
        <v>139</v>
      </c>
      <c r="P3" s="4" t="s">
        <v>415</v>
      </c>
      <c r="Q3" s="4" t="s">
        <v>416</v>
      </c>
      <c r="R3" s="4" t="s">
        <v>5</v>
      </c>
      <c r="V3" s="6" t="s">
        <v>171</v>
      </c>
      <c r="X3" s="4" t="s">
        <v>237</v>
      </c>
      <c r="Z3" s="4" t="str">
        <f>'Calcs &amp; Signs'!D55</f>
        <v>A - Open, No Restriction</v>
      </c>
      <c r="AB3" s="4" t="s">
        <v>248</v>
      </c>
    </row>
    <row r="4" spans="1:28" ht="14.25" customHeight="1" x14ac:dyDescent="0.25">
      <c r="A4" s="3">
        <v>1</v>
      </c>
      <c r="B4" s="3" t="s">
        <v>25</v>
      </c>
      <c r="C4" s="3" t="s">
        <v>40</v>
      </c>
      <c r="D4" s="3">
        <v>9</v>
      </c>
      <c r="G4" s="10" t="s">
        <v>131</v>
      </c>
      <c r="J4" s="10" t="s">
        <v>138</v>
      </c>
      <c r="M4" s="10" t="s">
        <v>140</v>
      </c>
      <c r="P4" s="4" t="s">
        <v>417</v>
      </c>
      <c r="Q4" s="4" t="s">
        <v>416</v>
      </c>
      <c r="R4" s="4" t="s">
        <v>5</v>
      </c>
      <c r="V4" s="6" t="s">
        <v>144</v>
      </c>
      <c r="X4" s="4" t="s">
        <v>236</v>
      </c>
      <c r="Z4" s="4" t="s">
        <v>240</v>
      </c>
      <c r="AB4" s="4" t="s">
        <v>249</v>
      </c>
    </row>
    <row r="5" spans="1:28" ht="14.25" customHeight="1" x14ac:dyDescent="0.25">
      <c r="A5" s="3">
        <v>2</v>
      </c>
      <c r="B5" s="3" t="s">
        <v>26</v>
      </c>
      <c r="C5" s="3" t="s">
        <v>41</v>
      </c>
      <c r="D5" s="3">
        <v>1</v>
      </c>
      <c r="G5" s="10" t="s">
        <v>132</v>
      </c>
      <c r="J5" s="10" t="s">
        <v>174</v>
      </c>
      <c r="M5" s="10" t="s">
        <v>141</v>
      </c>
      <c r="P5" s="4" t="s">
        <v>418</v>
      </c>
      <c r="Q5" s="4" t="s">
        <v>416</v>
      </c>
      <c r="R5" s="4" t="s">
        <v>5</v>
      </c>
      <c r="V5" s="6" t="s">
        <v>145</v>
      </c>
      <c r="X5" s="4" t="s">
        <v>235</v>
      </c>
      <c r="Z5" s="4" t="s">
        <v>241</v>
      </c>
    </row>
    <row r="6" spans="1:28" ht="14.25" customHeight="1" x14ac:dyDescent="0.25">
      <c r="A6" s="3">
        <v>3</v>
      </c>
      <c r="B6" s="3" t="s">
        <v>27</v>
      </c>
      <c r="C6" s="3" t="s">
        <v>42</v>
      </c>
      <c r="D6" s="3">
        <v>3</v>
      </c>
      <c r="G6" s="10" t="s">
        <v>133</v>
      </c>
      <c r="J6" s="10" t="s">
        <v>175</v>
      </c>
      <c r="M6" s="10" t="s">
        <v>163</v>
      </c>
      <c r="P6" s="11" t="s">
        <v>187</v>
      </c>
      <c r="Q6" s="4" t="s">
        <v>159</v>
      </c>
      <c r="R6" s="4" t="s">
        <v>5</v>
      </c>
      <c r="V6" s="6" t="s">
        <v>146</v>
      </c>
      <c r="X6" s="4" t="s">
        <v>234</v>
      </c>
      <c r="Z6" s="4" t="s">
        <v>252</v>
      </c>
    </row>
    <row r="7" spans="1:28" ht="14.25" customHeight="1" x14ac:dyDescent="0.25">
      <c r="A7" s="3">
        <v>4</v>
      </c>
      <c r="B7" s="3" t="s">
        <v>33</v>
      </c>
      <c r="C7" s="3" t="s">
        <v>43</v>
      </c>
      <c r="D7" s="3">
        <v>4</v>
      </c>
      <c r="G7" s="11" t="s">
        <v>421</v>
      </c>
      <c r="J7" s="10" t="s">
        <v>176</v>
      </c>
      <c r="M7" s="10" t="s">
        <v>142</v>
      </c>
      <c r="P7" s="11" t="s">
        <v>188</v>
      </c>
      <c r="Q7" s="4" t="s">
        <v>159</v>
      </c>
      <c r="R7" s="4" t="s">
        <v>5</v>
      </c>
      <c r="V7" s="6" t="s">
        <v>147</v>
      </c>
      <c r="X7" s="4" t="s">
        <v>233</v>
      </c>
      <c r="Z7" s="4" t="s">
        <v>242</v>
      </c>
    </row>
    <row r="8" spans="1:28" ht="14.25" customHeight="1" x14ac:dyDescent="0.25">
      <c r="A8" s="3">
        <v>5</v>
      </c>
      <c r="B8" s="3" t="s">
        <v>28</v>
      </c>
      <c r="C8" s="3" t="s">
        <v>44</v>
      </c>
      <c r="D8" s="3">
        <v>10</v>
      </c>
      <c r="G8" s="11" t="s">
        <v>134</v>
      </c>
      <c r="J8" s="11" t="s">
        <v>177</v>
      </c>
      <c r="M8" s="12"/>
      <c r="P8" s="10" t="s">
        <v>189</v>
      </c>
      <c r="Q8" s="4" t="s">
        <v>159</v>
      </c>
      <c r="R8" s="4" t="s">
        <v>153</v>
      </c>
      <c r="V8" s="6" t="s">
        <v>148</v>
      </c>
      <c r="X8" s="4" t="s">
        <v>232</v>
      </c>
      <c r="Z8" s="4" t="s">
        <v>243</v>
      </c>
    </row>
    <row r="9" spans="1:28" ht="14.25" customHeight="1" x14ac:dyDescent="0.25">
      <c r="A9" s="3">
        <v>6</v>
      </c>
      <c r="B9" s="3" t="s">
        <v>29</v>
      </c>
      <c r="C9" s="3" t="s">
        <v>45</v>
      </c>
      <c r="D9" s="3">
        <v>7</v>
      </c>
      <c r="G9" s="11" t="s">
        <v>135</v>
      </c>
      <c r="J9" s="11" t="s">
        <v>178</v>
      </c>
      <c r="P9" s="10" t="s">
        <v>255</v>
      </c>
      <c r="Q9" s="4" t="s">
        <v>159</v>
      </c>
      <c r="R9" s="4" t="s">
        <v>5</v>
      </c>
      <c r="V9" s="6" t="s">
        <v>149</v>
      </c>
      <c r="Z9" s="4" t="s">
        <v>250</v>
      </c>
    </row>
    <row r="10" spans="1:28" ht="14.25" customHeight="1" x14ac:dyDescent="0.25">
      <c r="A10" s="3">
        <v>7</v>
      </c>
      <c r="B10" s="3" t="s">
        <v>30</v>
      </c>
      <c r="C10" s="3" t="s">
        <v>46</v>
      </c>
      <c r="D10" s="3">
        <v>11</v>
      </c>
      <c r="G10" s="11" t="s">
        <v>136</v>
      </c>
      <c r="J10" s="11" t="s">
        <v>179</v>
      </c>
      <c r="P10" s="10" t="s">
        <v>256</v>
      </c>
      <c r="Q10" s="4" t="s">
        <v>159</v>
      </c>
      <c r="R10" s="4" t="s">
        <v>5</v>
      </c>
      <c r="V10" s="6" t="s">
        <v>166</v>
      </c>
      <c r="Z10" s="4" t="s">
        <v>244</v>
      </c>
    </row>
    <row r="11" spans="1:28" ht="15" customHeight="1" x14ac:dyDescent="0.25">
      <c r="A11" s="3">
        <v>8</v>
      </c>
      <c r="B11" s="3" t="s">
        <v>31</v>
      </c>
      <c r="C11" s="3" t="s">
        <v>47</v>
      </c>
      <c r="D11" s="3">
        <v>9</v>
      </c>
      <c r="G11" s="8"/>
      <c r="J11" s="11" t="s">
        <v>180</v>
      </c>
      <c r="P11" s="10" t="s">
        <v>257</v>
      </c>
      <c r="Q11" s="4" t="s">
        <v>159</v>
      </c>
      <c r="R11" s="4" t="s">
        <v>153</v>
      </c>
      <c r="V11" s="6" t="s">
        <v>167</v>
      </c>
      <c r="Z11" s="4" t="s">
        <v>245</v>
      </c>
    </row>
    <row r="12" spans="1:28" ht="15" customHeight="1" x14ac:dyDescent="0.25">
      <c r="A12" s="3">
        <v>9</v>
      </c>
      <c r="B12" s="3" t="s">
        <v>32</v>
      </c>
      <c r="C12" s="3" t="s">
        <v>48</v>
      </c>
      <c r="D12" s="3">
        <v>8</v>
      </c>
      <c r="G12" s="8"/>
      <c r="J12" s="10" t="s">
        <v>181</v>
      </c>
      <c r="P12" s="10" t="s">
        <v>143</v>
      </c>
      <c r="Q12" s="4" t="s">
        <v>159</v>
      </c>
      <c r="R12" s="4" t="s">
        <v>154</v>
      </c>
      <c r="V12" s="6" t="s">
        <v>168</v>
      </c>
      <c r="Z12" s="4" t="s">
        <v>251</v>
      </c>
    </row>
    <row r="13" spans="1:28" ht="15" customHeight="1" x14ac:dyDescent="0.25">
      <c r="A13" s="3">
        <v>10</v>
      </c>
      <c r="B13" s="3" t="s">
        <v>34</v>
      </c>
      <c r="C13" s="3" t="s">
        <v>49</v>
      </c>
      <c r="D13" s="3">
        <v>11</v>
      </c>
      <c r="J13" s="10" t="s">
        <v>182</v>
      </c>
      <c r="P13" s="10"/>
      <c r="Q13" s="4"/>
      <c r="R13" s="4"/>
      <c r="V13" s="6" t="s">
        <v>169</v>
      </c>
      <c r="Z13" s="4" t="s">
        <v>246</v>
      </c>
    </row>
    <row r="14" spans="1:28" ht="15" customHeight="1" x14ac:dyDescent="0.25">
      <c r="A14" s="3">
        <v>11</v>
      </c>
      <c r="B14" s="3" t="s">
        <v>35</v>
      </c>
      <c r="C14" s="3" t="s">
        <v>50</v>
      </c>
      <c r="D14" s="3">
        <v>7</v>
      </c>
      <c r="P14" s="7"/>
      <c r="Q14" s="14"/>
      <c r="R14" s="14"/>
      <c r="V14" s="6" t="s">
        <v>172</v>
      </c>
    </row>
    <row r="15" spans="1:28" ht="15" customHeight="1" x14ac:dyDescent="0.25">
      <c r="A15" s="3">
        <v>12</v>
      </c>
      <c r="B15" s="3" t="s">
        <v>36</v>
      </c>
      <c r="C15" s="3" t="s">
        <v>51</v>
      </c>
      <c r="D15" s="3">
        <v>7</v>
      </c>
      <c r="P15" s="14"/>
      <c r="Q15" s="14"/>
      <c r="R15" s="14"/>
      <c r="V15" s="6" t="s">
        <v>170</v>
      </c>
    </row>
    <row r="16" spans="1:28" ht="15" customHeight="1" x14ac:dyDescent="0.25">
      <c r="A16" s="3">
        <v>13</v>
      </c>
      <c r="B16" s="3" t="s">
        <v>37</v>
      </c>
      <c r="C16" s="3" t="s">
        <v>52</v>
      </c>
      <c r="D16" s="3">
        <v>8</v>
      </c>
      <c r="P16" s="14"/>
      <c r="Q16" s="14"/>
      <c r="R16" s="14"/>
      <c r="V16" s="7"/>
    </row>
    <row r="17" spans="1:22" ht="15" customHeight="1" x14ac:dyDescent="0.25">
      <c r="A17" s="3">
        <v>14</v>
      </c>
      <c r="B17" s="3" t="s">
        <v>38</v>
      </c>
      <c r="C17" s="3" t="s">
        <v>53</v>
      </c>
      <c r="D17" s="3">
        <v>8</v>
      </c>
      <c r="P17" s="14"/>
      <c r="Q17" s="14"/>
      <c r="R17" s="14"/>
      <c r="V17" s="8"/>
    </row>
    <row r="18" spans="1:22" ht="15" customHeight="1" x14ac:dyDescent="0.25">
      <c r="A18" s="3">
        <v>15</v>
      </c>
      <c r="B18" s="3" t="s">
        <v>39</v>
      </c>
      <c r="C18" s="3" t="s">
        <v>54</v>
      </c>
      <c r="D18" s="3">
        <v>11</v>
      </c>
      <c r="P18" s="14"/>
      <c r="Q18" s="14"/>
      <c r="R18" s="14"/>
      <c r="V18" s="8"/>
    </row>
    <row r="19" spans="1:22" ht="15" customHeight="1" x14ac:dyDescent="0.25">
      <c r="A19" s="3">
        <v>16</v>
      </c>
      <c r="B19" s="3" t="s">
        <v>265</v>
      </c>
      <c r="C19" s="3" t="s">
        <v>55</v>
      </c>
      <c r="D19" s="3">
        <v>5</v>
      </c>
      <c r="P19" s="15"/>
      <c r="Q19" s="14"/>
      <c r="R19" s="14"/>
      <c r="V19" s="7"/>
    </row>
    <row r="20" spans="1:22" x14ac:dyDescent="0.25">
      <c r="A20" s="3">
        <v>17</v>
      </c>
      <c r="B20" s="3" t="s">
        <v>266</v>
      </c>
      <c r="C20" s="3" t="s">
        <v>56</v>
      </c>
      <c r="D20" s="3">
        <v>3</v>
      </c>
      <c r="V20" s="8"/>
    </row>
    <row r="21" spans="1:22" x14ac:dyDescent="0.25">
      <c r="A21" s="3">
        <v>18</v>
      </c>
      <c r="B21" s="3" t="s">
        <v>267</v>
      </c>
      <c r="C21" s="3" t="s">
        <v>57</v>
      </c>
      <c r="D21" s="3">
        <v>12</v>
      </c>
    </row>
    <row r="22" spans="1:22" x14ac:dyDescent="0.25">
      <c r="A22" s="3">
        <v>19</v>
      </c>
      <c r="B22" s="3" t="s">
        <v>268</v>
      </c>
      <c r="C22" s="3" t="s">
        <v>58</v>
      </c>
      <c r="D22" s="3">
        <v>7</v>
      </c>
    </row>
    <row r="23" spans="1:22" x14ac:dyDescent="0.25">
      <c r="A23" s="3">
        <v>20</v>
      </c>
      <c r="B23" s="3" t="s">
        <v>269</v>
      </c>
      <c r="C23" s="3" t="s">
        <v>59</v>
      </c>
      <c r="D23" s="3">
        <v>1</v>
      </c>
    </row>
    <row r="24" spans="1:22" x14ac:dyDescent="0.25">
      <c r="A24" s="3">
        <v>21</v>
      </c>
      <c r="B24" s="3" t="s">
        <v>270</v>
      </c>
      <c r="C24" s="3" t="s">
        <v>60</v>
      </c>
      <c r="D24" s="3">
        <v>6</v>
      </c>
    </row>
    <row r="25" spans="1:22" x14ac:dyDescent="0.25">
      <c r="A25" s="3">
        <v>22</v>
      </c>
      <c r="B25" s="3" t="s">
        <v>271</v>
      </c>
      <c r="C25" s="3" t="s">
        <v>61</v>
      </c>
      <c r="D25" s="3">
        <v>3</v>
      </c>
    </row>
    <row r="26" spans="1:22" x14ac:dyDescent="0.25">
      <c r="A26" s="3">
        <v>23</v>
      </c>
      <c r="B26" s="3" t="s">
        <v>272</v>
      </c>
      <c r="C26" s="3" t="s">
        <v>62</v>
      </c>
      <c r="D26" s="3">
        <v>5</v>
      </c>
    </row>
    <row r="27" spans="1:22" x14ac:dyDescent="0.25">
      <c r="A27" s="3">
        <v>24</v>
      </c>
      <c r="B27" s="3" t="s">
        <v>273</v>
      </c>
      <c r="C27" s="3" t="s">
        <v>63</v>
      </c>
      <c r="D27" s="3">
        <v>6</v>
      </c>
    </row>
    <row r="28" spans="1:22" x14ac:dyDescent="0.25">
      <c r="A28" s="3">
        <v>25</v>
      </c>
      <c r="B28" s="3" t="s">
        <v>274</v>
      </c>
      <c r="C28" s="3" t="s">
        <v>64</v>
      </c>
      <c r="D28" s="3">
        <v>6</v>
      </c>
    </row>
    <row r="29" spans="1:22" x14ac:dyDescent="0.25">
      <c r="A29" s="3">
        <v>26</v>
      </c>
      <c r="B29" s="3" t="s">
        <v>275</v>
      </c>
      <c r="C29" s="3" t="s">
        <v>65</v>
      </c>
      <c r="D29" s="3">
        <v>2</v>
      </c>
    </row>
    <row r="30" spans="1:22" x14ac:dyDescent="0.25">
      <c r="A30" s="3">
        <v>27</v>
      </c>
      <c r="B30" s="3" t="s">
        <v>276</v>
      </c>
      <c r="C30" s="3" t="s">
        <v>66</v>
      </c>
      <c r="D30" s="3">
        <v>10</v>
      </c>
    </row>
    <row r="31" spans="1:22" x14ac:dyDescent="0.25">
      <c r="A31" s="3">
        <v>28</v>
      </c>
      <c r="B31" s="3" t="s">
        <v>277</v>
      </c>
      <c r="C31" s="3" t="s">
        <v>67</v>
      </c>
      <c r="D31" s="3">
        <v>12</v>
      </c>
    </row>
    <row r="32" spans="1:22" x14ac:dyDescent="0.25">
      <c r="A32" s="3">
        <v>29</v>
      </c>
      <c r="B32" s="3" t="s">
        <v>278</v>
      </c>
      <c r="C32" s="3" t="s">
        <v>68</v>
      </c>
      <c r="D32" s="3">
        <v>8</v>
      </c>
    </row>
    <row r="33" spans="1:4" x14ac:dyDescent="0.25">
      <c r="A33" s="3">
        <v>30</v>
      </c>
      <c r="B33" s="3" t="s">
        <v>279</v>
      </c>
      <c r="C33" s="3" t="s">
        <v>69</v>
      </c>
      <c r="D33" s="3">
        <v>5</v>
      </c>
    </row>
    <row r="34" spans="1:4" x14ac:dyDescent="0.25">
      <c r="A34" s="3">
        <v>31</v>
      </c>
      <c r="B34" s="3" t="s">
        <v>280</v>
      </c>
      <c r="C34" s="3" t="s">
        <v>70</v>
      </c>
      <c r="D34" s="3">
        <v>8</v>
      </c>
    </row>
    <row r="35" spans="1:4" x14ac:dyDescent="0.25">
      <c r="A35" s="3">
        <v>32</v>
      </c>
      <c r="B35" s="3" t="s">
        <v>281</v>
      </c>
      <c r="C35" s="3" t="s">
        <v>71</v>
      </c>
      <c r="D35" s="3">
        <v>1</v>
      </c>
    </row>
    <row r="36" spans="1:4" x14ac:dyDescent="0.25">
      <c r="A36" s="3">
        <v>33</v>
      </c>
      <c r="B36" s="3" t="s">
        <v>283</v>
      </c>
      <c r="C36" s="3" t="s">
        <v>72</v>
      </c>
      <c r="D36" s="3">
        <v>1</v>
      </c>
    </row>
    <row r="37" spans="1:4" x14ac:dyDescent="0.25">
      <c r="A37" s="3">
        <v>34</v>
      </c>
      <c r="B37" s="3" t="s">
        <v>282</v>
      </c>
      <c r="C37" s="3" t="s">
        <v>73</v>
      </c>
      <c r="D37" s="3">
        <v>11</v>
      </c>
    </row>
    <row r="38" spans="1:4" x14ac:dyDescent="0.25">
      <c r="A38" s="3">
        <v>35</v>
      </c>
      <c r="B38" s="3" t="s">
        <v>284</v>
      </c>
      <c r="C38" s="3" t="s">
        <v>74</v>
      </c>
      <c r="D38" s="3">
        <v>2</v>
      </c>
    </row>
    <row r="39" spans="1:4" x14ac:dyDescent="0.25">
      <c r="A39" s="3">
        <v>36</v>
      </c>
      <c r="B39" s="3" t="s">
        <v>285</v>
      </c>
      <c r="C39" s="3" t="s">
        <v>75</v>
      </c>
      <c r="D39" s="3">
        <v>9</v>
      </c>
    </row>
    <row r="40" spans="1:4" x14ac:dyDescent="0.25">
      <c r="A40" s="3">
        <v>37</v>
      </c>
      <c r="B40" s="3" t="s">
        <v>286</v>
      </c>
      <c r="C40" s="3" t="s">
        <v>76</v>
      </c>
      <c r="D40" s="3">
        <v>10</v>
      </c>
    </row>
    <row r="41" spans="1:4" x14ac:dyDescent="0.25">
      <c r="A41" s="3">
        <v>38</v>
      </c>
      <c r="B41" s="3" t="s">
        <v>287</v>
      </c>
      <c r="C41" s="3" t="s">
        <v>77</v>
      </c>
      <c r="D41" s="3">
        <v>11</v>
      </c>
    </row>
    <row r="42" spans="1:4" x14ac:dyDescent="0.25">
      <c r="A42" s="3">
        <v>39</v>
      </c>
      <c r="B42" s="3" t="s">
        <v>288</v>
      </c>
      <c r="C42" s="3" t="s">
        <v>78</v>
      </c>
      <c r="D42" s="3">
        <v>3</v>
      </c>
    </row>
    <row r="43" spans="1:4" x14ac:dyDescent="0.25">
      <c r="A43" s="3">
        <v>40</v>
      </c>
      <c r="B43" s="3" t="s">
        <v>289</v>
      </c>
      <c r="C43" s="3" t="s">
        <v>79</v>
      </c>
      <c r="D43" s="3">
        <v>9</v>
      </c>
    </row>
    <row r="44" spans="1:4" x14ac:dyDescent="0.25">
      <c r="A44" s="3">
        <v>41</v>
      </c>
      <c r="B44" s="3" t="s">
        <v>290</v>
      </c>
      <c r="C44" s="3" t="s">
        <v>80</v>
      </c>
      <c r="D44" s="3">
        <v>11</v>
      </c>
    </row>
    <row r="45" spans="1:4" x14ac:dyDescent="0.25">
      <c r="A45" s="3">
        <v>42</v>
      </c>
      <c r="B45" s="3" t="s">
        <v>291</v>
      </c>
      <c r="C45" s="3" t="s">
        <v>81</v>
      </c>
      <c r="D45" s="3">
        <v>5</v>
      </c>
    </row>
    <row r="46" spans="1:4" x14ac:dyDescent="0.25">
      <c r="A46" s="3">
        <v>43</v>
      </c>
      <c r="B46" s="3" t="s">
        <v>292</v>
      </c>
      <c r="C46" s="3" t="s">
        <v>82</v>
      </c>
      <c r="D46" s="3">
        <v>12</v>
      </c>
    </row>
    <row r="47" spans="1:4" x14ac:dyDescent="0.25">
      <c r="A47" s="3">
        <v>44</v>
      </c>
      <c r="B47" s="3" t="s">
        <v>293</v>
      </c>
      <c r="C47" s="3" t="s">
        <v>83</v>
      </c>
      <c r="D47" s="3">
        <v>9</v>
      </c>
    </row>
    <row r="48" spans="1:4" x14ac:dyDescent="0.25">
      <c r="A48" s="3">
        <v>45</v>
      </c>
      <c r="B48" s="3" t="s">
        <v>294</v>
      </c>
      <c r="C48" s="3" t="s">
        <v>84</v>
      </c>
      <c r="D48" s="3">
        <v>5</v>
      </c>
    </row>
    <row r="49" spans="1:4" x14ac:dyDescent="0.25">
      <c r="A49" s="3">
        <v>46</v>
      </c>
      <c r="B49" s="3" t="s">
        <v>295</v>
      </c>
      <c r="C49" s="3" t="s">
        <v>85</v>
      </c>
      <c r="D49" s="3">
        <v>7</v>
      </c>
    </row>
    <row r="50" spans="1:4" x14ac:dyDescent="0.25">
      <c r="A50" s="3">
        <v>47</v>
      </c>
      <c r="B50" s="3" t="s">
        <v>296</v>
      </c>
      <c r="C50" s="3" t="s">
        <v>86</v>
      </c>
      <c r="D50" s="3">
        <v>3</v>
      </c>
    </row>
    <row r="51" spans="1:4" x14ac:dyDescent="0.25">
      <c r="A51" s="3">
        <v>48</v>
      </c>
      <c r="B51" s="3" t="s">
        <v>297</v>
      </c>
      <c r="C51" s="3" t="s">
        <v>87</v>
      </c>
      <c r="D51" s="3">
        <v>2</v>
      </c>
    </row>
    <row r="52" spans="1:4" x14ac:dyDescent="0.25">
      <c r="A52" s="3">
        <v>49</v>
      </c>
      <c r="B52" s="3" t="s">
        <v>298</v>
      </c>
      <c r="C52" s="3" t="s">
        <v>88</v>
      </c>
      <c r="D52" s="3">
        <v>6</v>
      </c>
    </row>
    <row r="53" spans="1:4" x14ac:dyDescent="0.25">
      <c r="A53" s="3">
        <v>50</v>
      </c>
      <c r="B53" s="3" t="s">
        <v>299</v>
      </c>
      <c r="C53" s="3" t="s">
        <v>89</v>
      </c>
      <c r="D53" s="3">
        <v>4</v>
      </c>
    </row>
    <row r="54" spans="1:4" x14ac:dyDescent="0.25">
      <c r="A54" s="3">
        <v>51</v>
      </c>
      <c r="B54" s="3" t="s">
        <v>300</v>
      </c>
      <c r="C54" s="3" t="s">
        <v>90</v>
      </c>
      <c r="D54" s="3">
        <v>6</v>
      </c>
    </row>
    <row r="55" spans="1:4" x14ac:dyDescent="0.25">
      <c r="A55" s="3">
        <v>52</v>
      </c>
      <c r="B55" s="3" t="s">
        <v>301</v>
      </c>
      <c r="C55" s="3" t="s">
        <v>91</v>
      </c>
      <c r="D55" s="3">
        <v>3</v>
      </c>
    </row>
    <row r="56" spans="1:4" x14ac:dyDescent="0.25">
      <c r="A56" s="3">
        <v>53</v>
      </c>
      <c r="B56" s="3" t="s">
        <v>302</v>
      </c>
      <c r="C56" s="3" t="s">
        <v>92</v>
      </c>
      <c r="D56" s="3">
        <v>10</v>
      </c>
    </row>
    <row r="57" spans="1:4" x14ac:dyDescent="0.25">
      <c r="A57" s="3">
        <v>54</v>
      </c>
      <c r="B57" s="3" t="s">
        <v>303</v>
      </c>
      <c r="C57" s="3" t="s">
        <v>93</v>
      </c>
      <c r="D57" s="3">
        <v>7</v>
      </c>
    </row>
    <row r="58" spans="1:4" x14ac:dyDescent="0.25">
      <c r="A58" s="3">
        <v>55</v>
      </c>
      <c r="B58" s="3" t="s">
        <v>304</v>
      </c>
      <c r="C58" s="3" t="s">
        <v>94</v>
      </c>
      <c r="D58" s="3">
        <v>7</v>
      </c>
    </row>
    <row r="59" spans="1:4" x14ac:dyDescent="0.25">
      <c r="A59" s="3">
        <v>56</v>
      </c>
      <c r="B59" s="3" t="s">
        <v>305</v>
      </c>
      <c r="C59" s="3" t="s">
        <v>95</v>
      </c>
      <c r="D59" s="3">
        <v>10</v>
      </c>
    </row>
    <row r="60" spans="1:4" x14ac:dyDescent="0.25">
      <c r="A60" s="3">
        <v>57</v>
      </c>
      <c r="B60" s="3" t="s">
        <v>306</v>
      </c>
      <c r="C60" s="3" t="s">
        <v>96</v>
      </c>
      <c r="D60" s="3">
        <v>7</v>
      </c>
    </row>
    <row r="61" spans="1:4" x14ac:dyDescent="0.25">
      <c r="A61" s="3">
        <v>58</v>
      </c>
      <c r="B61" s="3" t="s">
        <v>307</v>
      </c>
      <c r="C61" s="3" t="s">
        <v>97</v>
      </c>
      <c r="D61" s="3">
        <v>10</v>
      </c>
    </row>
    <row r="62" spans="1:4" x14ac:dyDescent="0.25">
      <c r="A62" s="3">
        <v>59</v>
      </c>
      <c r="B62" s="3" t="s">
        <v>308</v>
      </c>
      <c r="C62" s="3" t="s">
        <v>98</v>
      </c>
      <c r="D62" s="3">
        <v>6</v>
      </c>
    </row>
    <row r="63" spans="1:4" x14ac:dyDescent="0.25">
      <c r="A63" s="3">
        <v>60</v>
      </c>
      <c r="B63" s="3" t="s">
        <v>309</v>
      </c>
      <c r="C63" s="3" t="s">
        <v>99</v>
      </c>
      <c r="D63" s="3">
        <v>5</v>
      </c>
    </row>
    <row r="64" spans="1:4" x14ac:dyDescent="0.25">
      <c r="A64" s="3">
        <v>61</v>
      </c>
      <c r="B64" s="3" t="s">
        <v>310</v>
      </c>
      <c r="C64" s="3" t="s">
        <v>100</v>
      </c>
      <c r="D64" s="3">
        <v>10</v>
      </c>
    </row>
    <row r="65" spans="1:4" x14ac:dyDescent="0.25">
      <c r="A65" s="3">
        <v>62</v>
      </c>
      <c r="B65" s="3" t="s">
        <v>311</v>
      </c>
      <c r="C65" s="3" t="s">
        <v>101</v>
      </c>
      <c r="D65" s="3">
        <v>2</v>
      </c>
    </row>
    <row r="66" spans="1:4" x14ac:dyDescent="0.25">
      <c r="A66" s="3">
        <v>63</v>
      </c>
      <c r="B66" s="3" t="s">
        <v>312</v>
      </c>
      <c r="C66" s="3" t="s">
        <v>102</v>
      </c>
      <c r="D66" s="3">
        <v>1</v>
      </c>
    </row>
    <row r="67" spans="1:4" x14ac:dyDescent="0.25">
      <c r="A67" s="3">
        <v>64</v>
      </c>
      <c r="B67" s="3" t="s">
        <v>313</v>
      </c>
      <c r="C67" s="3" t="s">
        <v>103</v>
      </c>
      <c r="D67" s="3">
        <v>5</v>
      </c>
    </row>
    <row r="68" spans="1:4" x14ac:dyDescent="0.25">
      <c r="A68" s="3">
        <v>65</v>
      </c>
      <c r="B68" s="3" t="s">
        <v>314</v>
      </c>
      <c r="C68" s="3" t="s">
        <v>104</v>
      </c>
      <c r="D68" s="3">
        <v>6</v>
      </c>
    </row>
    <row r="69" spans="1:4" x14ac:dyDescent="0.25">
      <c r="A69" s="3">
        <v>66</v>
      </c>
      <c r="B69" s="3" t="s">
        <v>315</v>
      </c>
      <c r="C69" s="3" t="s">
        <v>105</v>
      </c>
      <c r="D69" s="3">
        <v>9</v>
      </c>
    </row>
    <row r="70" spans="1:4" x14ac:dyDescent="0.25">
      <c r="A70" s="3">
        <v>67</v>
      </c>
      <c r="B70" s="3" t="s">
        <v>316</v>
      </c>
      <c r="C70" s="3" t="s">
        <v>106</v>
      </c>
      <c r="D70" s="3">
        <v>4</v>
      </c>
    </row>
    <row r="71" spans="1:4" x14ac:dyDescent="0.25">
      <c r="A71" s="3">
        <v>68</v>
      </c>
      <c r="B71" s="3" t="s">
        <v>317</v>
      </c>
      <c r="C71" s="3" t="s">
        <v>107</v>
      </c>
      <c r="D71" s="3">
        <v>8</v>
      </c>
    </row>
    <row r="72" spans="1:4" x14ac:dyDescent="0.25">
      <c r="A72" s="3">
        <v>69</v>
      </c>
      <c r="B72" s="3" t="s">
        <v>318</v>
      </c>
      <c r="C72" s="3" t="s">
        <v>108</v>
      </c>
      <c r="D72" s="3">
        <v>1</v>
      </c>
    </row>
    <row r="73" spans="1:4" x14ac:dyDescent="0.25">
      <c r="A73" s="3">
        <v>70</v>
      </c>
      <c r="B73" s="3" t="s">
        <v>319</v>
      </c>
      <c r="C73" s="3" t="s">
        <v>109</v>
      </c>
      <c r="D73" s="3">
        <v>3</v>
      </c>
    </row>
    <row r="74" spans="1:4" x14ac:dyDescent="0.25">
      <c r="A74" s="3">
        <v>71</v>
      </c>
      <c r="B74" s="3" t="s">
        <v>320</v>
      </c>
      <c r="C74" s="3" t="s">
        <v>110</v>
      </c>
      <c r="D74" s="3">
        <v>9</v>
      </c>
    </row>
    <row r="75" spans="1:4" x14ac:dyDescent="0.25">
      <c r="A75" s="3">
        <v>72</v>
      </c>
      <c r="B75" s="3" t="s">
        <v>321</v>
      </c>
      <c r="C75" s="3" t="s">
        <v>111</v>
      </c>
      <c r="D75" s="3">
        <v>2</v>
      </c>
    </row>
    <row r="76" spans="1:4" x14ac:dyDescent="0.25">
      <c r="A76" s="3">
        <v>73</v>
      </c>
      <c r="B76" s="3" t="s">
        <v>322</v>
      </c>
      <c r="C76" s="3" t="s">
        <v>112</v>
      </c>
      <c r="D76" s="3">
        <v>9</v>
      </c>
    </row>
    <row r="77" spans="1:4" x14ac:dyDescent="0.25">
      <c r="A77" s="3">
        <v>74</v>
      </c>
      <c r="B77" s="3" t="s">
        <v>323</v>
      </c>
      <c r="C77" s="3" t="s">
        <v>113</v>
      </c>
      <c r="D77" s="3">
        <v>2</v>
      </c>
    </row>
    <row r="78" spans="1:4" x14ac:dyDescent="0.25">
      <c r="A78" s="3">
        <v>75</v>
      </c>
      <c r="B78" s="3" t="s">
        <v>324</v>
      </c>
      <c r="C78" s="3" t="s">
        <v>114</v>
      </c>
      <c r="D78" s="3">
        <v>7</v>
      </c>
    </row>
    <row r="79" spans="1:4" x14ac:dyDescent="0.25">
      <c r="A79" s="3">
        <v>76</v>
      </c>
      <c r="B79" s="3" t="s">
        <v>325</v>
      </c>
      <c r="C79" s="3" t="s">
        <v>115</v>
      </c>
      <c r="D79" s="3">
        <v>4</v>
      </c>
    </row>
    <row r="80" spans="1:4" x14ac:dyDescent="0.25">
      <c r="A80" s="3">
        <v>77</v>
      </c>
      <c r="B80" s="3" t="s">
        <v>326</v>
      </c>
      <c r="C80" s="3" t="s">
        <v>116</v>
      </c>
      <c r="D80" s="3">
        <v>4</v>
      </c>
    </row>
    <row r="81" spans="1:4" x14ac:dyDescent="0.25">
      <c r="A81" s="3">
        <v>78</v>
      </c>
      <c r="B81" s="3" t="s">
        <v>327</v>
      </c>
      <c r="C81" s="3" t="s">
        <v>117</v>
      </c>
      <c r="D81" s="3">
        <v>4</v>
      </c>
    </row>
    <row r="82" spans="1:4" x14ac:dyDescent="0.25">
      <c r="A82" s="3">
        <v>79</v>
      </c>
      <c r="B82" s="3" t="s">
        <v>328</v>
      </c>
      <c r="C82" s="3" t="s">
        <v>118</v>
      </c>
      <c r="D82" s="3">
        <v>11</v>
      </c>
    </row>
    <row r="83" spans="1:4" x14ac:dyDescent="0.25">
      <c r="A83" s="3">
        <v>80</v>
      </c>
      <c r="B83" s="3" t="s">
        <v>329</v>
      </c>
      <c r="C83" s="3" t="s">
        <v>119</v>
      </c>
      <c r="D83" s="3">
        <v>6</v>
      </c>
    </row>
    <row r="84" spans="1:4" x14ac:dyDescent="0.25">
      <c r="A84" s="3">
        <v>81</v>
      </c>
      <c r="B84" s="3" t="s">
        <v>330</v>
      </c>
      <c r="C84" s="3" t="s">
        <v>120</v>
      </c>
      <c r="D84" s="3">
        <v>1</v>
      </c>
    </row>
    <row r="85" spans="1:4" x14ac:dyDescent="0.25">
      <c r="A85" s="3">
        <v>82</v>
      </c>
      <c r="B85" s="3" t="s">
        <v>331</v>
      </c>
      <c r="C85" s="3" t="s">
        <v>121</v>
      </c>
      <c r="D85" s="3">
        <v>10</v>
      </c>
    </row>
    <row r="86" spans="1:4" x14ac:dyDescent="0.25">
      <c r="A86" s="3">
        <v>83</v>
      </c>
      <c r="B86" s="3" t="s">
        <v>332</v>
      </c>
      <c r="C86" s="3" t="s">
        <v>122</v>
      </c>
      <c r="D86" s="3">
        <v>8</v>
      </c>
    </row>
    <row r="87" spans="1:4" x14ac:dyDescent="0.25">
      <c r="A87" s="3">
        <v>84</v>
      </c>
      <c r="B87" s="3" t="s">
        <v>333</v>
      </c>
      <c r="C87" s="3" t="s">
        <v>123</v>
      </c>
      <c r="D87" s="3">
        <v>10</v>
      </c>
    </row>
    <row r="88" spans="1:4" x14ac:dyDescent="0.25">
      <c r="A88" s="3">
        <v>85</v>
      </c>
      <c r="B88" s="3" t="s">
        <v>334</v>
      </c>
      <c r="C88" s="3" t="s">
        <v>124</v>
      </c>
      <c r="D88" s="3">
        <v>3</v>
      </c>
    </row>
    <row r="89" spans="1:4" x14ac:dyDescent="0.25">
      <c r="A89" s="3">
        <v>86</v>
      </c>
      <c r="B89" s="3" t="s">
        <v>335</v>
      </c>
      <c r="C89" s="3" t="s">
        <v>125</v>
      </c>
      <c r="D89" s="3">
        <v>2</v>
      </c>
    </row>
    <row r="90" spans="1:4" x14ac:dyDescent="0.25">
      <c r="A90" s="3">
        <v>87</v>
      </c>
      <c r="B90" s="3" t="s">
        <v>336</v>
      </c>
      <c r="C90" s="3" t="s">
        <v>126</v>
      </c>
      <c r="D90" s="3">
        <v>2</v>
      </c>
    </row>
    <row r="91" spans="1:4" x14ac:dyDescent="0.25">
      <c r="A91" s="3">
        <v>88</v>
      </c>
      <c r="B91" s="3" t="s">
        <v>337</v>
      </c>
      <c r="C91" s="3" t="str">
        <f>"WYA"</f>
        <v>WYA</v>
      </c>
      <c r="D91" s="3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BR-100</vt:lpstr>
      <vt:lpstr>SMS Coding Input</vt:lpstr>
      <vt:lpstr>Calcs &amp; Signs</vt:lpstr>
      <vt:lpstr>List</vt:lpstr>
      <vt:lpstr>BlankSign</vt:lpstr>
      <vt:lpstr>ClosureSign</vt:lpstr>
      <vt:lpstr>Design</vt:lpstr>
      <vt:lpstr>DesignRF</vt:lpstr>
      <vt:lpstr>Disabled</vt:lpstr>
      <vt:lpstr>EVSign</vt:lpstr>
      <vt:lpstr>LegalSign</vt:lpstr>
      <vt:lpstr>LLResponce</vt:lpstr>
      <vt:lpstr>Manual</vt:lpstr>
      <vt:lpstr>Method</vt:lpstr>
      <vt:lpstr>OpenPostedClosed</vt:lpstr>
      <vt:lpstr>'BR-100'!Print_Area</vt:lpstr>
      <vt:lpstr>'SMS Coding Input'!Print_Area</vt:lpstr>
      <vt:lpstr>Purpose</vt:lpstr>
      <vt:lpstr>Software</vt:lpstr>
      <vt:lpstr>Source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Fisher</dc:creator>
  <cp:lastModifiedBy>Jeremy Fisher</cp:lastModifiedBy>
  <cp:lastPrinted>2018-01-12T18:24:10Z</cp:lastPrinted>
  <dcterms:created xsi:type="dcterms:W3CDTF">2015-02-24T16:25:39Z</dcterms:created>
  <dcterms:modified xsi:type="dcterms:W3CDTF">2018-01-12T18:35:56Z</dcterms:modified>
</cp:coreProperties>
</file>