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tp.dot.state.oh.us\pub$\Districts\D08\112975\"/>
    </mc:Choice>
  </mc:AlternateContent>
  <xr:revisionPtr revIDLastSave="0" documentId="13_ncr:1_{8ECA22A0-FA67-4588-AE52-4789148FFA3B}" xr6:coauthVersionLast="47" xr6:coauthVersionMax="47" xr10:uidLastSave="{00000000-0000-0000-0000-000000000000}"/>
  <bookViews>
    <workbookView xWindow="-120" yWindow="-120" windowWidth="29040" windowHeight="15720" xr2:uid="{075EDCE6-AD14-48FC-B4DF-41C18244780E}"/>
  </bookViews>
  <sheets>
    <sheet name="StructureOfficeCalcs" sheetId="2" r:id="rId1"/>
    <sheet name="PaintCalcs" sheetId="1" r:id="rId2"/>
  </sheets>
  <externalReferences>
    <externalReference r:id="rId3"/>
    <externalReference r:id="rId4"/>
  </externalReferences>
  <definedNames>
    <definedName name="HEADINGS">OFFSET([1]Lists!$B$2,0,0,MATCH("*",[1]Lists!$B$2:$B$1000000,-1),1)</definedName>
    <definedName name="ITEM">[1]!QryItem2[[#All],[ITEM]]</definedName>
    <definedName name="QryItemNamed">[1]!QryItem2[#All]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4" i="2" l="1"/>
  <c r="C132" i="2"/>
  <c r="C130" i="2" s="1"/>
  <c r="C128" i="2"/>
  <c r="C126" i="2"/>
  <c r="C118" i="2"/>
  <c r="C116" i="2"/>
  <c r="C112" i="2"/>
  <c r="C111" i="2"/>
  <c r="C109" i="2"/>
  <c r="C108" i="2"/>
  <c r="C106" i="2"/>
  <c r="C105" i="2"/>
  <c r="C103" i="2"/>
  <c r="C102" i="2"/>
  <c r="C100" i="2"/>
  <c r="C95" i="2"/>
  <c r="C92" i="2"/>
  <c r="C89" i="2"/>
  <c r="C88" i="2"/>
  <c r="C86" i="2"/>
  <c r="C84" i="2"/>
  <c r="C80" i="2"/>
  <c r="C78" i="2"/>
  <c r="C74" i="2"/>
  <c r="E74" i="2" s="1"/>
  <c r="C72" i="2"/>
  <c r="C70" i="2"/>
  <c r="C68" i="2"/>
  <c r="C66" i="2"/>
  <c r="C64" i="2"/>
  <c r="C62" i="2"/>
  <c r="C61" i="2"/>
  <c r="C59" i="2"/>
  <c r="C58" i="2"/>
  <c r="C56" i="2"/>
  <c r="C55" i="2"/>
  <c r="C53" i="2"/>
  <c r="C52" i="2"/>
  <c r="C50" i="2"/>
  <c r="C48" i="2"/>
  <c r="C44" i="2"/>
  <c r="C42" i="2"/>
  <c r="C40" i="2"/>
  <c r="C38" i="2" s="1"/>
  <c r="C30" i="2"/>
  <c r="C23" i="2"/>
  <c r="C20" i="2"/>
  <c r="C19" i="2"/>
  <c r="C18" i="2"/>
  <c r="C16" i="2"/>
  <c r="C15" i="2"/>
  <c r="C14" i="2"/>
  <c r="C20" i="1"/>
  <c r="G17" i="1"/>
  <c r="B17" i="1"/>
  <c r="E16" i="1"/>
  <c r="D16" i="1"/>
  <c r="G16" i="1" s="1"/>
  <c r="G20" i="1" s="1"/>
  <c r="B16" i="1"/>
  <c r="F11" i="1"/>
  <c r="F9" i="1"/>
  <c r="F7" i="1"/>
  <c r="F5" i="1"/>
  <c r="F13" i="1" s="1"/>
  <c r="H8" i="1" s="1"/>
  <c r="I10" i="1" s="1"/>
  <c r="C76" i="2" l="1"/>
  <c r="C124" i="2"/>
  <c r="C82" i="2"/>
  <c r="C114" i="2"/>
  <c r="C46" i="2"/>
</calcChain>
</file>

<file path=xl/sharedStrings.xml><?xml version="1.0" encoding="utf-8"?>
<sst xmlns="http://schemas.openxmlformats.org/spreadsheetml/2006/main" count="245" uniqueCount="153">
  <si>
    <t>Perimeters painted</t>
  </si>
  <si>
    <t>ft</t>
  </si>
  <si>
    <t>L5x5x3/4</t>
  </si>
  <si>
    <t>BEAM</t>
  </si>
  <si>
    <t>SIZE</t>
  </si>
  <si>
    <t>QUANTITY</t>
  </si>
  <si>
    <t>PERIMETER (FT)</t>
  </si>
  <si>
    <t>LENGTH (FT)</t>
  </si>
  <si>
    <t>SURFACE AREA (SQ FT)</t>
  </si>
  <si>
    <t>B-1</t>
  </si>
  <si>
    <t>PG</t>
  </si>
  <si>
    <t>TOTAL SURFACE AREA (SQ FT)</t>
  </si>
  <si>
    <t>B-2</t>
  </si>
  <si>
    <t>B-3</t>
  </si>
  <si>
    <t>TOTAL + 1.65%</t>
  </si>
  <si>
    <t>B-4</t>
  </si>
  <si>
    <t>TOTAL</t>
  </si>
  <si>
    <t>INTERMEDIATE CROSSFRAME</t>
  </si>
  <si>
    <t>PERIMETER(FT)</t>
  </si>
  <si>
    <t>LENGTH-DIAGONAL MEMBERS (FT)</t>
  </si>
  <si>
    <t>LENGTH-BOTTOM MEMBER (FT)</t>
  </si>
  <si>
    <t>CF-1</t>
  </si>
  <si>
    <t>Stiffener Plate</t>
  </si>
  <si>
    <t>`</t>
  </si>
  <si>
    <t>STATE OF OHIO</t>
  </si>
  <si>
    <t>DEPARTMENT OF TRANSPORTATION</t>
  </si>
  <si>
    <t>DISTRICT 8</t>
  </si>
  <si>
    <t>505 S. STATE ROUTE 741</t>
  </si>
  <si>
    <t>LEBANON, OHIO  45036 </t>
  </si>
  <si>
    <t>PHONE: (513) 932-3030</t>
  </si>
  <si>
    <t>FAX: (513) 932-7651 </t>
  </si>
  <si>
    <t xml:space="preserve">JOB/ PID # </t>
  </si>
  <si>
    <t>WAR-350-0873 PID 112975</t>
  </si>
  <si>
    <t>CALC BY</t>
  </si>
  <si>
    <t>GTF</t>
  </si>
  <si>
    <t>DATE</t>
  </si>
  <si>
    <t>-</t>
  </si>
  <si>
    <t>CHECKED BY</t>
  </si>
  <si>
    <t>202E11201</t>
  </si>
  <si>
    <t>STRUCTURE REMOVED, OVER 20 FOOT SPAN, AS PER PLAN</t>
  </si>
  <si>
    <t>LUMP</t>
  </si>
  <si>
    <t>LS</t>
  </si>
  <si>
    <t>COFFERDAMS AND EXCAVATION BRACING</t>
  </si>
  <si>
    <t>202E22900</t>
  </si>
  <si>
    <t>APPROACH SLAB REMOVED</t>
  </si>
  <si>
    <t>SY</t>
  </si>
  <si>
    <t>FOR. AP (15'x20')</t>
  </si>
  <si>
    <t>SF</t>
  </si>
  <si>
    <t>REAR AP (15'x20')</t>
  </si>
  <si>
    <t>202E23500</t>
  </si>
  <si>
    <t>WEARING COURSE REMOVED</t>
  </si>
  <si>
    <t>Approach Slab</t>
  </si>
  <si>
    <t>Deck</t>
  </si>
  <si>
    <t>168.67'*28'</t>
  </si>
  <si>
    <t>503E11100</t>
  </si>
  <si>
    <t>503E21302</t>
  </si>
  <si>
    <t>UNCLASSIFIED EXCAVATION, INCLUDING SHALE</t>
  </si>
  <si>
    <t>509E10000</t>
  </si>
  <si>
    <t>GALVANIZED REINFORCING STEEL</t>
  </si>
  <si>
    <t>See Reinforcing Steel List</t>
  </si>
  <si>
    <t>LB</t>
  </si>
  <si>
    <t>Abutment</t>
  </si>
  <si>
    <t>48360 lb</t>
  </si>
  <si>
    <t>Superstructure</t>
  </si>
  <si>
    <t>56439 lb</t>
  </si>
  <si>
    <t>511E33501</t>
  </si>
  <si>
    <t>SEMI-INTEGRAL DIAPHRAGM GUIDE, AS PER PLAN</t>
  </si>
  <si>
    <t>EA</t>
  </si>
  <si>
    <t>511E34446</t>
  </si>
  <si>
    <t>CLASS QC2 CONCRETE WITH QC/QA, BRIDGE DECK</t>
  </si>
  <si>
    <t>CY</t>
  </si>
  <si>
    <t>Slab Concrete</t>
  </si>
  <si>
    <t>Deck Slab Area  x 9.5" Slab Thickness = (38*170.2)SF * (9.5/12)'</t>
  </si>
  <si>
    <t>CF</t>
  </si>
  <si>
    <t>HAUNCH Concrete</t>
  </si>
  <si>
    <t>4 BEAM LINES * 2" THICK * 16" WIDE * 170.2'</t>
  </si>
  <si>
    <t>Diaphragm Concrete</t>
  </si>
  <si>
    <t>DIA XS AREA * LENGTH * 2 ABUT = 22.562 SF * 46.75'*2</t>
  </si>
  <si>
    <t>511E43512</t>
  </si>
  <si>
    <t>CLASS QC1 CONCRETE WITH QC/QA, ABUTMENT INCLUDING FOOTING</t>
  </si>
  <si>
    <t>Rear Abutment Footing</t>
  </si>
  <si>
    <t>Section Area * Length = 15 SF * 128'</t>
  </si>
  <si>
    <t>Forward Abutment Footing</t>
  </si>
  <si>
    <t>Wingwall #1</t>
  </si>
  <si>
    <t>Area in Elev. * Thickness = 417 SF * 2.5'</t>
  </si>
  <si>
    <t>Corner Area in Plan * Height = 9.686 SF * 19.883'</t>
  </si>
  <si>
    <t>Wingwall #2</t>
  </si>
  <si>
    <t>Area in Elev. * Thickness = 992 SF * 2.5'</t>
  </si>
  <si>
    <t>Corner Area in Plan * Height = 11.453  SF * 19.883'</t>
  </si>
  <si>
    <t>Wingwall #3</t>
  </si>
  <si>
    <t>Corner Area in Plan * Height = 11.453  SF * 16.027'</t>
  </si>
  <si>
    <t>Wingwall #4</t>
  </si>
  <si>
    <t>Corner Area in Plan * Height = 9.686 SF * 16.027'</t>
  </si>
  <si>
    <t>Rear Abutment</t>
  </si>
  <si>
    <t>Length * Thickness * Height = 47.333' *3.333'*11.91'</t>
  </si>
  <si>
    <t>Forward Abutment</t>
  </si>
  <si>
    <t>Length * Thickness * Height = 47.333' *3.333'*8.234'</t>
  </si>
  <si>
    <t>512E10100</t>
  </si>
  <si>
    <t>SEALING OF CONCRETE SURFACES (EPOXY-URETHANE)</t>
  </si>
  <si>
    <t>Face + Top/Ends/Back Wingwall = 1595.271 SF + (53.38'*(2.5+0.5'))+(26.292'*(2.5+0.5'))</t>
  </si>
  <si>
    <t>Face + Top/Ends/Back Wingwall = 1154.196 SF + (53.38'*(2.5+0.5'))+(26.292'*(2.5+0.5'))</t>
  </si>
  <si>
    <t>Deck Edge</t>
  </si>
  <si>
    <t xml:space="preserve">Perimeter of Sealing limits* (L. Edge Length + R. Edge Length) = 2.1667' * (170.2' + 170.2') = </t>
  </si>
  <si>
    <t>512E33000</t>
  </si>
  <si>
    <t>TYPE 2 WATERPROOFING</t>
  </si>
  <si>
    <t>Length of Construction joint * 3' Wide = 81.25*3</t>
  </si>
  <si>
    <t>513E10280</t>
  </si>
  <si>
    <t>STRUCTURAL STEEL MEMBERS, LEVEL 4</t>
  </si>
  <si>
    <t>LBS</t>
  </si>
  <si>
    <t>GIRDERS</t>
  </si>
  <si>
    <t>4*[(42.240' x 0.916 SF x 490lb) + (83.604' x 0.846 SF x 490lb) + (42.240' x 0.916 SF x 490lb)]</t>
  </si>
  <si>
    <t>CROSS FRAMES</t>
  </si>
  <si>
    <t>XS Area of L x Total Length x No. Crossframes * 490lb/cf = 0.047 SF * 32.618*33*490</t>
  </si>
  <si>
    <t>513E20000</t>
  </si>
  <si>
    <t>WELDED STUD SHEAR CONNECTORS</t>
  </si>
  <si>
    <t xml:space="preserve">4 girders * 225 Rows * 3 per row =  </t>
  </si>
  <si>
    <t>514E00060</t>
  </si>
  <si>
    <t>FIELD PAINTING OF STRUCTURAL STEEL, INTERMEDIATE COAT</t>
  </si>
  <si>
    <t>See PaintCalcs!</t>
  </si>
  <si>
    <t>514E00066</t>
  </si>
  <si>
    <t>FIELD PAINTING OF STRUCTURAL STEEL, FINISH COAT</t>
  </si>
  <si>
    <t>514E10000</t>
  </si>
  <si>
    <t>FINAL INSPECTION REPAIR</t>
  </si>
  <si>
    <t>516E13600</t>
  </si>
  <si>
    <t>1" PREFORMED EXPANSION JOINT FILLER</t>
  </si>
  <si>
    <t>6" Wide x 1.75' Tall x 4 Each</t>
  </si>
  <si>
    <t>516E13900</t>
  </si>
  <si>
    <t>2" PREFORMED EXPANSION JOINT FILLER</t>
  </si>
  <si>
    <t>((3.869'*7.808')*4</t>
  </si>
  <si>
    <t>516E14020</t>
  </si>
  <si>
    <t>SEMI-INTEGRAL ABUTMENT EXPANSION JOINT SEAL</t>
  </si>
  <si>
    <t>FT</t>
  </si>
  <si>
    <t>Length of Diaphram * 2 = 48' * 2</t>
  </si>
  <si>
    <t>516E44201</t>
  </si>
  <si>
    <t>ELASTOMERIC BEARING WITH INTERNAL LAMINATES AND LOAD PLATE (NEOPRENE), AS PER PLAN</t>
  </si>
  <si>
    <t>4 BEAM LINES * 2 SUPPORTS</t>
  </si>
  <si>
    <t>517E70100</t>
  </si>
  <si>
    <t>RAILING (THREE STEEL TUBE BRIDGE RAILING)</t>
  </si>
  <si>
    <t>= 172.86'*2 Sides</t>
  </si>
  <si>
    <t>518E21050</t>
  </si>
  <si>
    <t>POROUS BACKFILL WITH GEOTEXTILE FABRIC</t>
  </si>
  <si>
    <t>Area in Elev. * Thickness = 2117.529 SF * 2.0'</t>
  </si>
  <si>
    <t>518E40000</t>
  </si>
  <si>
    <t>6" PERFORATED CORRUGATED PLASTIC PIPE</t>
  </si>
  <si>
    <t>518E40010</t>
  </si>
  <si>
    <t>6" NON-PERFORATED CORRUGATED PLASTIC PIPE, INCLUDING SPECIALS</t>
  </si>
  <si>
    <t>524E94804</t>
  </si>
  <si>
    <t>DRILLED SHAFTS, 42" DIAMETER, INTO BEDROCK</t>
  </si>
  <si>
    <t>Depth of Rock Socket* No. Shafts = 15 * 17</t>
  </si>
  <si>
    <t>524E94902</t>
  </si>
  <si>
    <t>DRILLED SHAFTS, 48" DIAMETER, ABOVE BEDROCK</t>
  </si>
  <si>
    <t>Depth to Rock* No. Shafts = 1.900 * 17</t>
  </si>
  <si>
    <t>Depth to Rock* No. Shafts = 5.124 *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</si>
</sst>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00\-000"/>
    <numFmt numFmtId="166" formatCode="00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  <font>
      <sz val="9"/>
      <color rgb="FF0000FF"/>
      <name val="Arial"/>
      <family val="2"/>
    </font>
    <font>
      <i/>
      <sz val="9"/>
      <color indexed="12"/>
      <name val="Arial"/>
      <family val="2"/>
    </font>
    <font>
      <i/>
      <sz val="9"/>
      <color rgb="FF0000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u/>
      <sz val="11"/>
      <name val="Calibri"/>
      <family val="2"/>
    </font>
    <font>
      <u/>
      <sz val="11"/>
      <color theme="1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11" xfId="0" applyBorder="1"/>
    <xf numFmtId="0" fontId="0" fillId="0" borderId="14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5" xfId="0" applyFont="1" applyBorder="1" applyAlignment="1">
      <alignment vertical="center"/>
    </xf>
    <xf numFmtId="0" fontId="0" fillId="0" borderId="12" xfId="0" applyBorder="1"/>
    <xf numFmtId="0" fontId="5" fillId="0" borderId="23" xfId="0" applyFont="1" applyBorder="1" applyAlignment="1">
      <alignment horizontal="center"/>
    </xf>
    <xf numFmtId="0" fontId="0" fillId="0" borderId="23" xfId="0" applyBorder="1"/>
    <xf numFmtId="0" fontId="0" fillId="0" borderId="13" xfId="0" applyBorder="1"/>
    <xf numFmtId="0" fontId="8" fillId="0" borderId="24" xfId="0" applyFont="1" applyBorder="1" applyAlignment="1">
      <alignment horizontal="right"/>
    </xf>
    <xf numFmtId="0" fontId="9" fillId="0" borderId="25" xfId="0" applyFont="1" applyBorder="1" applyAlignment="1">
      <alignment horizontal="left"/>
    </xf>
    <xf numFmtId="165" fontId="10" fillId="0" borderId="25" xfId="0" applyNumberFormat="1" applyFont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8" fillId="0" borderId="7" xfId="0" applyFont="1" applyBorder="1" applyAlignment="1">
      <alignment horizontal="right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14" fontId="11" fillId="0" borderId="27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left"/>
      <protection locked="0"/>
    </xf>
    <xf numFmtId="0" fontId="12" fillId="3" borderId="7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" fillId="0" borderId="8" xfId="0" applyFont="1" applyBorder="1"/>
    <xf numFmtId="0" fontId="12" fillId="0" borderId="8" xfId="0" applyFont="1" applyBorder="1" applyAlignment="1">
      <alignment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11" fontId="0" fillId="3" borderId="7" xfId="0" applyNumberFormat="1" applyFill="1" applyBorder="1"/>
    <xf numFmtId="1" fontId="2" fillId="0" borderId="8" xfId="0" applyNumberFormat="1" applyFont="1" applyBorder="1"/>
    <xf numFmtId="11" fontId="0" fillId="3" borderId="8" xfId="0" applyNumberFormat="1" applyFill="1" applyBorder="1"/>
    <xf numFmtId="0" fontId="15" fillId="0" borderId="8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7" fillId="0" borderId="8" xfId="0" applyFont="1" applyBorder="1"/>
    <xf numFmtId="1" fontId="0" fillId="0" borderId="8" xfId="0" applyNumberFormat="1" applyBorder="1"/>
    <xf numFmtId="0" fontId="18" fillId="0" borderId="8" xfId="0" applyFont="1" applyBorder="1"/>
    <xf numFmtId="0" fontId="19" fillId="0" borderId="8" xfId="0" applyFont="1" applyBorder="1" applyAlignment="1">
      <alignment vertical="center"/>
    </xf>
    <xf numFmtId="0" fontId="0" fillId="0" borderId="8" xfId="0" applyBorder="1" applyAlignment="1">
      <alignment horizontal="left"/>
    </xf>
    <xf numFmtId="164" fontId="0" fillId="0" borderId="8" xfId="0" applyNumberFormat="1" applyBorder="1"/>
    <xf numFmtId="2" fontId="0" fillId="0" borderId="8" xfId="0" applyNumberFormat="1" applyBorder="1"/>
    <xf numFmtId="166" fontId="15" fillId="0" borderId="8" xfId="3" applyNumberFormat="1" applyFont="1" applyBorder="1" applyAlignment="1">
      <alignment horizontal="left" vertical="center"/>
    </xf>
    <xf numFmtId="2" fontId="0" fillId="0" borderId="9" xfId="0" applyNumberFormat="1" applyBorder="1"/>
    <xf numFmtId="11" fontId="12" fillId="3" borderId="8" xfId="0" applyNumberFormat="1" applyFont="1" applyFill="1" applyBorder="1" applyAlignment="1">
      <alignment vertical="center"/>
    </xf>
    <xf numFmtId="9" fontId="13" fillId="0" borderId="8" xfId="2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49" fontId="12" fillId="3" borderId="8" xfId="0" applyNumberFormat="1" applyFont="1" applyFill="1" applyBorder="1" applyAlignment="1">
      <alignment vertical="center"/>
    </xf>
    <xf numFmtId="9" fontId="12" fillId="0" borderId="8" xfId="2" applyFont="1" applyBorder="1" applyAlignment="1">
      <alignment vertical="center"/>
    </xf>
    <xf numFmtId="44" fontId="2" fillId="0" borderId="9" xfId="1" applyFont="1" applyBorder="1"/>
    <xf numFmtId="2" fontId="2" fillId="0" borderId="8" xfId="0" applyNumberFormat="1" applyFont="1" applyBorder="1"/>
    <xf numFmtId="11" fontId="13" fillId="0" borderId="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0" fontId="0" fillId="0" borderId="0" xfId="0" quotePrefix="1"/>
    <xf numFmtId="0" fontId="0" fillId="0" borderId="18" xfId="0" applyBorder="1"/>
    <xf numFmtId="0" fontId="0" fillId="0" borderId="19" xfId="0" applyBorder="1"/>
    <xf numFmtId="0" fontId="0" fillId="0" borderId="27" xfId="0" applyBorder="1"/>
    <xf numFmtId="0" fontId="0" fillId="0" borderId="5" xfId="0" applyBorder="1"/>
  </cellXfs>
  <cellStyles count="4">
    <cellStyle name="Currency" xfId="1" builtinId="4"/>
    <cellStyle name="Normal" xfId="0" builtinId="0"/>
    <cellStyle name="Normal 2" xfId="3" xr:uid="{7BC56359-8515-4871-AE94-D90EDB2E9EB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257175</xdr:colOff>
      <xdr:row>6</xdr:row>
      <xdr:rowOff>26670</xdr:rowOff>
    </xdr:to>
    <xdr:pic>
      <xdr:nvPicPr>
        <xdr:cNvPr id="2" name="Picture 1" descr="ODOTLogoSm.jpg">
          <a:extLst>
            <a:ext uri="{FF2B5EF4-FFF2-40B4-BE49-F238E27FC236}">
              <a16:creationId xmlns:a16="http://schemas.microsoft.com/office/drawing/2014/main" id="{05591370-2257-47F7-A2EF-43EAA00EA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076325" cy="1083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Data\GRE\94254_GRE-675-0.00\ProjAdmin\Estimates\94254_GENSUM_VBA_AASHTOWar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freeman\d0125402\WAR3500873_STRUCTURES.xlsx" TargetMode="External"/><Relationship Id="rId1" Type="http://schemas.openxmlformats.org/officeDocument/2006/relationships/externalLinkPath" Target="file:///c:\users\gfreeman\d0125402\WAR3500873_STRUC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QryItem"/>
      <sheetName val="QryItem2"/>
      <sheetName val="Estimate"/>
      <sheetName val="Lists"/>
      <sheetName val="Store"/>
      <sheetName val="StoreProjectInfo"/>
      <sheetName val="Bridge"/>
      <sheetName val="Estimator"/>
      <sheetName val="94254_GENSUM_VBA_AASHTO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ROADWAY</v>
          </cell>
        </row>
        <row r="4">
          <cell r="B4" t="str">
            <v>ROADWAY ALTERNATES</v>
          </cell>
        </row>
        <row r="5">
          <cell r="B5" t="str">
            <v>EROSION CONTROL</v>
          </cell>
        </row>
        <row r="6">
          <cell r="B6" t="str">
            <v>EROSION CONTROL ALTERNATES</v>
          </cell>
        </row>
        <row r="7">
          <cell r="B7" t="str">
            <v>ENVIRONMENTAL / REMEDIATION</v>
          </cell>
        </row>
        <row r="8">
          <cell r="B8" t="str">
            <v>ENVIRONMENTAL / REMEDIATION ALTERNATES</v>
          </cell>
        </row>
        <row r="9">
          <cell r="B9" t="str">
            <v>DRAINAGE</v>
          </cell>
        </row>
        <row r="10">
          <cell r="B10" t="str">
            <v>DRAINAGE ALTERNATES</v>
          </cell>
        </row>
        <row r="11">
          <cell r="B11" t="str">
            <v>PAVEMENT</v>
          </cell>
        </row>
        <row r="12">
          <cell r="B12" t="str">
            <v>PAVEMENT ALTERNATES</v>
          </cell>
        </row>
        <row r="13">
          <cell r="B13" t="str">
            <v>WATER WORK</v>
          </cell>
        </row>
        <row r="14">
          <cell r="B14" t="str">
            <v>WATER WORK ALTERNATES</v>
          </cell>
        </row>
        <row r="15">
          <cell r="B15" t="str">
            <v>SANITARY SEWER</v>
          </cell>
        </row>
        <row r="16">
          <cell r="B16" t="str">
            <v>SANITARY SEWER ALTERNATES</v>
          </cell>
        </row>
        <row r="17">
          <cell r="B17" t="str">
            <v>LIGHTING</v>
          </cell>
        </row>
        <row r="18">
          <cell r="B18" t="str">
            <v>LIGHTING ALTERNATES</v>
          </cell>
        </row>
        <row r="19">
          <cell r="B19" t="str">
            <v>ELECTRICAL</v>
          </cell>
        </row>
        <row r="20">
          <cell r="B20" t="str">
            <v>ELECTRICAL ALTERNATES</v>
          </cell>
        </row>
        <row r="21">
          <cell r="B21" t="str">
            <v>OTHER UTILITIES</v>
          </cell>
        </row>
        <row r="22">
          <cell r="B22" t="str">
            <v>OTHER UTILITIES ALTERNATES</v>
          </cell>
        </row>
        <row r="23">
          <cell r="B23" t="str">
            <v>TRAFFIC SURVEILLANCE</v>
          </cell>
        </row>
        <row r="24">
          <cell r="B24" t="str">
            <v>TRAFFIC SURVEILLANCE ALTERNATES</v>
          </cell>
        </row>
        <row r="25">
          <cell r="B25" t="str">
            <v>TRAFFIC CONTROL</v>
          </cell>
        </row>
        <row r="26">
          <cell r="B26" t="str">
            <v>TRAFFIC CONTROL ALTERNATES</v>
          </cell>
        </row>
        <row r="27">
          <cell r="B27" t="str">
            <v>TRAFFIC SIGNALS</v>
          </cell>
        </row>
        <row r="28">
          <cell r="B28" t="str">
            <v>TRAFFIC SIGNALS ALTERNATES</v>
          </cell>
        </row>
        <row r="29">
          <cell r="B29" t="str">
            <v>LANDSCAPING</v>
          </cell>
        </row>
        <row r="30">
          <cell r="B30" t="str">
            <v>LANDSCAPING ALTERNATES</v>
          </cell>
        </row>
        <row r="31">
          <cell r="B31" t="str">
            <v>RETAINING WALLS (XXX)</v>
          </cell>
        </row>
        <row r="32">
          <cell r="B32" t="str">
            <v>RETAINING WALLS (XXX) ALTERNATES</v>
          </cell>
        </row>
        <row r="33">
          <cell r="B33" t="str">
            <v>BUILDING DEMOLITION</v>
          </cell>
        </row>
        <row r="34">
          <cell r="B34" t="str">
            <v>BUILDING DEMOLITION ALTERNATES</v>
          </cell>
        </row>
        <row r="35">
          <cell r="B35" t="str">
            <v>NOISE BARRIERS</v>
          </cell>
        </row>
        <row r="36">
          <cell r="B36" t="str">
            <v>NOISE BARRIERS ALTERNATES</v>
          </cell>
        </row>
        <row r="37">
          <cell r="B37" t="str">
            <v>STRUCTURE REPAIR (CTY-RTE-SECT or SFN)</v>
          </cell>
        </row>
        <row r="38">
          <cell r="B38" t="str">
            <v>STRUCTURE REPAIR (CTY-RTE-SECT or SFN) ALTERNATES</v>
          </cell>
        </row>
        <row r="39">
          <cell r="B39" t="str">
            <v>STRUCTURE 20 FOOT SPAN AND UNDER (CTY-RTE-SECT or SFN)</v>
          </cell>
        </row>
        <row r="40">
          <cell r="B40" t="str">
            <v>STRUCTURE 20 FOOT SPAN AND UNDER (CTY-RTE-SECT or SFN) ALTERNATES</v>
          </cell>
        </row>
        <row r="41">
          <cell r="B41" t="str">
            <v>STRUCTURE OVER 20 FOOT SPAN (CTY-RTE-SECT or SFN)</v>
          </cell>
        </row>
        <row r="42">
          <cell r="B42" t="str">
            <v>STRUCTURE OVER 20 FOOT SPAN (CTY-RTE-SECT or SFN) ALTERNATES</v>
          </cell>
        </row>
        <row r="43">
          <cell r="B43" t="str">
            <v>MISCELLANEOUS STRUCTURE</v>
          </cell>
        </row>
        <row r="44">
          <cell r="B44" t="str">
            <v>MISCELLANEOUS STRUCTURE ALTERNATES</v>
          </cell>
        </row>
        <row r="45">
          <cell r="B45" t="str">
            <v>MAINTENANCE OF TRAFFIC</v>
          </cell>
        </row>
        <row r="46">
          <cell r="B46" t="str">
            <v>MAINTENANCE OF TRAFFIC ALTERNATES</v>
          </cell>
        </row>
        <row r="47">
          <cell r="B47" t="str">
            <v>ITEMS OF WORK</v>
          </cell>
        </row>
        <row r="48">
          <cell r="B48" t="str">
            <v>ITEMS OF WORK ALTERNATES</v>
          </cell>
        </row>
        <row r="49">
          <cell r="B49" t="str">
            <v>ENGINEERING AND SURVEYING SERVICES</v>
          </cell>
        </row>
        <row r="50">
          <cell r="B50" t="str">
            <v>ENGINEERING AND SURVEYING SERVICES ALTERNATES</v>
          </cell>
        </row>
        <row r="51">
          <cell r="B51" t="str">
            <v>INCIDENTALS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intCalcs"/>
      <sheetName val="StructureOfficeCalcs (2)"/>
      <sheetName val="Sheet2"/>
      <sheetName val="Sheet3"/>
      <sheetName val="Sheet1 (2)"/>
      <sheetName val="DrilledShafts"/>
      <sheetName val="Sheet1"/>
      <sheetName val="EST_PS I Beam"/>
      <sheetName val="Steel"/>
      <sheetName val="MinSteelShapeCalc"/>
      <sheetName val="Effective Flange Width"/>
      <sheetName val="CrossframeLayout"/>
      <sheetName val="Support Length N"/>
      <sheetName val="StructureOfficeCalcs"/>
      <sheetName val="StructureOfficeCalcsDNU"/>
    </sheetNames>
    <sheetDataSet>
      <sheetData sheetId="0">
        <row r="10">
          <cell r="I10">
            <v>14216.771968180001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650E-EDE1-4FEF-96FE-C93BB32D1312}">
  <sheetPr>
    <pageSetUpPr fitToPage="1"/>
  </sheetPr>
  <dimension ref="A1:E196"/>
  <sheetViews>
    <sheetView tabSelected="1" topLeftCell="A105" workbookViewId="0">
      <selection activeCell="B14" sqref="A14:XFD14"/>
    </sheetView>
  </sheetViews>
  <sheetFormatPr defaultRowHeight="15" x14ac:dyDescent="0.25"/>
  <cols>
    <col min="1" max="1" width="14" style="84" customWidth="1"/>
    <col min="2" max="2" width="107.5703125" style="84" bestFit="1" customWidth="1"/>
    <col min="3" max="3" width="8.42578125" style="84" bestFit="1" customWidth="1"/>
    <col min="4" max="4" width="6" style="84" bestFit="1" customWidth="1"/>
    <col min="5" max="5" width="12.5703125" style="84" bestFit="1" customWidth="1"/>
    <col min="6" max="6" width="14" customWidth="1"/>
    <col min="7" max="7" width="107.5703125" bestFit="1" customWidth="1"/>
    <col min="8" max="8" width="9.140625" customWidth="1"/>
    <col min="9" max="9" width="6" bestFit="1" customWidth="1"/>
    <col min="10" max="10" width="11.5703125" bestFit="1" customWidth="1"/>
  </cols>
  <sheetData>
    <row r="1" spans="1:5" x14ac:dyDescent="0.25">
      <c r="A1" s="45"/>
      <c r="B1" s="46" t="s">
        <v>24</v>
      </c>
      <c r="C1" s="47"/>
      <c r="D1" s="47"/>
      <c r="E1" s="48"/>
    </row>
    <row r="2" spans="1:5" x14ac:dyDescent="0.25">
      <c r="A2" s="49"/>
      <c r="B2" s="50" t="s">
        <v>25</v>
      </c>
      <c r="C2"/>
      <c r="D2"/>
      <c r="E2" s="51"/>
    </row>
    <row r="3" spans="1:5" x14ac:dyDescent="0.25">
      <c r="A3" s="49"/>
      <c r="B3" s="50" t="s">
        <v>26</v>
      </c>
      <c r="C3"/>
      <c r="D3"/>
      <c r="E3" s="51"/>
    </row>
    <row r="4" spans="1:5" x14ac:dyDescent="0.25">
      <c r="A4" s="49"/>
      <c r="B4" s="52" t="s">
        <v>27</v>
      </c>
      <c r="C4"/>
      <c r="D4"/>
      <c r="E4" s="51"/>
    </row>
    <row r="5" spans="1:5" x14ac:dyDescent="0.25">
      <c r="A5" s="49"/>
      <c r="B5" s="50" t="s">
        <v>28</v>
      </c>
      <c r="C5" s="53"/>
      <c r="D5" s="53"/>
      <c r="E5" s="54"/>
    </row>
    <row r="6" spans="1:5" x14ac:dyDescent="0.25">
      <c r="A6" s="49"/>
      <c r="B6" s="52" t="s">
        <v>29</v>
      </c>
      <c r="C6"/>
      <c r="D6"/>
      <c r="E6" s="51"/>
    </row>
    <row r="7" spans="1:5" ht="15.75" thickBot="1" x14ac:dyDescent="0.3">
      <c r="A7" s="55"/>
      <c r="B7" s="56" t="s">
        <v>30</v>
      </c>
      <c r="C7" s="57"/>
      <c r="D7" s="57"/>
      <c r="E7" s="58"/>
    </row>
    <row r="8" spans="1:5" x14ac:dyDescent="0.25">
      <c r="A8" s="59" t="s">
        <v>31</v>
      </c>
      <c r="B8" s="60" t="s">
        <v>32</v>
      </c>
      <c r="C8" s="61"/>
      <c r="D8" s="62"/>
      <c r="E8" s="63"/>
    </row>
    <row r="9" spans="1:5" x14ac:dyDescent="0.25">
      <c r="A9" s="64" t="s">
        <v>33</v>
      </c>
      <c r="B9" s="65" t="s">
        <v>34</v>
      </c>
      <c r="C9" s="65" t="s">
        <v>35</v>
      </c>
      <c r="D9" s="66" t="s">
        <v>36</v>
      </c>
      <c r="E9" s="67"/>
    </row>
    <row r="10" spans="1:5" ht="15.75" thickBot="1" x14ac:dyDescent="0.3">
      <c r="A10" s="68" t="s">
        <v>37</v>
      </c>
      <c r="B10" s="69"/>
      <c r="C10" s="70" t="s">
        <v>35</v>
      </c>
      <c r="D10" s="71" t="s">
        <v>36</v>
      </c>
      <c r="E10" s="72"/>
    </row>
    <row r="11" spans="1:5" x14ac:dyDescent="0.25">
      <c r="A11" s="73"/>
      <c r="B11" s="74"/>
      <c r="C11" s="75"/>
      <c r="D11" s="76"/>
      <c r="E11" s="77"/>
    </row>
    <row r="12" spans="1:5" x14ac:dyDescent="0.25">
      <c r="A12" s="78" t="s">
        <v>38</v>
      </c>
      <c r="B12" s="79" t="s">
        <v>39</v>
      </c>
      <c r="C12" s="80" t="s">
        <v>40</v>
      </c>
      <c r="D12" s="81" t="s">
        <v>41</v>
      </c>
      <c r="E12" s="82"/>
    </row>
    <row r="13" spans="1:5" x14ac:dyDescent="0.25">
      <c r="A13" s="83"/>
      <c r="E13" s="82"/>
    </row>
    <row r="14" spans="1:5" x14ac:dyDescent="0.25">
      <c r="A14" s="85" t="s">
        <v>43</v>
      </c>
      <c r="B14" s="80" t="s">
        <v>44</v>
      </c>
      <c r="C14" s="86">
        <f>ROUNDUP(SUM(C15:C16)/9,0)</f>
        <v>67</v>
      </c>
      <c r="D14" s="80" t="s">
        <v>45</v>
      </c>
      <c r="E14" s="82"/>
    </row>
    <row r="15" spans="1:5" x14ac:dyDescent="0.25">
      <c r="B15" s="84" t="s">
        <v>46</v>
      </c>
      <c r="C15" s="84">
        <f>15*20</f>
        <v>300</v>
      </c>
      <c r="D15" s="84" t="s">
        <v>47</v>
      </c>
      <c r="E15" s="82"/>
    </row>
    <row r="16" spans="1:5" x14ac:dyDescent="0.25">
      <c r="B16" s="84" t="s">
        <v>48</v>
      </c>
      <c r="C16" s="84">
        <f>15*20</f>
        <v>300</v>
      </c>
      <c r="D16" s="84" t="s">
        <v>47</v>
      </c>
      <c r="E16" s="82"/>
    </row>
    <row r="17" spans="1:5" x14ac:dyDescent="0.25">
      <c r="E17" s="82"/>
    </row>
    <row r="18" spans="1:5" x14ac:dyDescent="0.25">
      <c r="A18" s="87" t="s">
        <v>49</v>
      </c>
      <c r="B18" s="88" t="s">
        <v>50</v>
      </c>
      <c r="C18" s="86">
        <f>ROUNDUP(SUM(C19:C23)/9,0)</f>
        <v>592</v>
      </c>
      <c r="D18" s="80" t="s">
        <v>45</v>
      </c>
      <c r="E18" s="82"/>
    </row>
    <row r="19" spans="1:5" x14ac:dyDescent="0.25">
      <c r="B19" s="89" t="s">
        <v>51</v>
      </c>
      <c r="C19" s="84">
        <f>15*20</f>
        <v>300</v>
      </c>
      <c r="D19" s="84" t="s">
        <v>47</v>
      </c>
      <c r="E19" s="82"/>
    </row>
    <row r="20" spans="1:5" x14ac:dyDescent="0.25">
      <c r="B20" s="84" t="s">
        <v>46</v>
      </c>
      <c r="C20" s="84">
        <f>15*20</f>
        <v>300</v>
      </c>
      <c r="D20" s="84" t="s">
        <v>47</v>
      </c>
      <c r="E20" s="82"/>
    </row>
    <row r="21" spans="1:5" x14ac:dyDescent="0.25">
      <c r="B21" s="84" t="s">
        <v>48</v>
      </c>
      <c r="E21" s="82"/>
    </row>
    <row r="22" spans="1:5" x14ac:dyDescent="0.25">
      <c r="B22" s="90" t="s">
        <v>52</v>
      </c>
      <c r="E22" s="82"/>
    </row>
    <row r="23" spans="1:5" x14ac:dyDescent="0.25">
      <c r="B23" s="84" t="s">
        <v>53</v>
      </c>
      <c r="C23" s="91">
        <f>168.67*28</f>
        <v>4722.7599999999993</v>
      </c>
      <c r="D23" s="84" t="s">
        <v>47</v>
      </c>
      <c r="E23" s="82"/>
    </row>
    <row r="24" spans="1:5" x14ac:dyDescent="0.25">
      <c r="A24" s="92"/>
      <c r="E24" s="82"/>
    </row>
    <row r="25" spans="1:5" x14ac:dyDescent="0.25">
      <c r="A25" s="87" t="s">
        <v>54</v>
      </c>
      <c r="B25" s="88" t="s">
        <v>42</v>
      </c>
      <c r="C25" s="80" t="s">
        <v>40</v>
      </c>
      <c r="D25" s="80" t="s">
        <v>41</v>
      </c>
      <c r="E25" s="82"/>
    </row>
    <row r="26" spans="1:5" x14ac:dyDescent="0.25">
      <c r="A26" s="92"/>
      <c r="E26" s="82"/>
    </row>
    <row r="27" spans="1:5" x14ac:dyDescent="0.25">
      <c r="A27" s="87" t="s">
        <v>55</v>
      </c>
      <c r="B27" s="88" t="s">
        <v>56</v>
      </c>
      <c r="C27" s="80" t="s">
        <v>40</v>
      </c>
      <c r="D27" s="80" t="s">
        <v>41</v>
      </c>
      <c r="E27" s="82"/>
    </row>
    <row r="28" spans="1:5" x14ac:dyDescent="0.25">
      <c r="A28" s="92"/>
      <c r="E28" s="82"/>
    </row>
    <row r="29" spans="1:5" x14ac:dyDescent="0.25">
      <c r="A29" s="87" t="s">
        <v>57</v>
      </c>
      <c r="B29" s="79" t="s">
        <v>58</v>
      </c>
      <c r="E29" s="82"/>
    </row>
    <row r="30" spans="1:5" x14ac:dyDescent="0.25">
      <c r="B30" s="93" t="s">
        <v>59</v>
      </c>
      <c r="C30" s="86">
        <f>SUM(C31:C34)</f>
        <v>104799</v>
      </c>
      <c r="D30" s="80" t="s">
        <v>60</v>
      </c>
      <c r="E30" s="82"/>
    </row>
    <row r="31" spans="1:5" x14ac:dyDescent="0.25">
      <c r="B31" s="93" t="s">
        <v>61</v>
      </c>
      <c r="C31" s="79"/>
      <c r="D31" s="80"/>
      <c r="E31" s="82"/>
    </row>
    <row r="32" spans="1:5" x14ac:dyDescent="0.25">
      <c r="B32" s="94" t="s">
        <v>62</v>
      </c>
      <c r="C32" s="79">
        <v>48360</v>
      </c>
      <c r="D32" s="80" t="s">
        <v>60</v>
      </c>
      <c r="E32" s="82"/>
    </row>
    <row r="33" spans="1:5" x14ac:dyDescent="0.25">
      <c r="B33" s="93" t="s">
        <v>63</v>
      </c>
      <c r="C33" s="79"/>
      <c r="D33" s="80"/>
      <c r="E33" s="82"/>
    </row>
    <row r="34" spans="1:5" x14ac:dyDescent="0.25">
      <c r="B34" s="94" t="s">
        <v>64</v>
      </c>
      <c r="C34" s="80">
        <v>56439</v>
      </c>
      <c r="D34" s="80" t="s">
        <v>60</v>
      </c>
      <c r="E34" s="82"/>
    </row>
    <row r="35" spans="1:5" x14ac:dyDescent="0.25">
      <c r="E35" s="82"/>
    </row>
    <row r="36" spans="1:5" x14ac:dyDescent="0.25">
      <c r="A36" s="87" t="s">
        <v>65</v>
      </c>
      <c r="B36" s="79" t="s">
        <v>66</v>
      </c>
      <c r="C36" s="80">
        <v>4</v>
      </c>
      <c r="D36" s="80" t="s">
        <v>67</v>
      </c>
      <c r="E36" s="82"/>
    </row>
    <row r="37" spans="1:5" x14ac:dyDescent="0.25">
      <c r="E37" s="82"/>
    </row>
    <row r="38" spans="1:5" x14ac:dyDescent="0.25">
      <c r="A38" s="87" t="s">
        <v>68</v>
      </c>
      <c r="B38" s="79" t="s">
        <v>69</v>
      </c>
      <c r="C38" s="86">
        <f>ROUNDUP(SUM(C39:C44)/27,0)</f>
        <v>274</v>
      </c>
      <c r="D38" s="80" t="s">
        <v>70</v>
      </c>
      <c r="E38" s="82"/>
    </row>
    <row r="39" spans="1:5" x14ac:dyDescent="0.25">
      <c r="B39" s="93" t="s">
        <v>71</v>
      </c>
      <c r="C39" s="95"/>
      <c r="E39" s="82"/>
    </row>
    <row r="40" spans="1:5" x14ac:dyDescent="0.25">
      <c r="B40" s="81" t="s">
        <v>72</v>
      </c>
      <c r="C40" s="96">
        <f>38*170.2*(9.5/12)</f>
        <v>5120.1833333333325</v>
      </c>
      <c r="D40" s="84" t="s">
        <v>73</v>
      </c>
      <c r="E40" s="82"/>
    </row>
    <row r="41" spans="1:5" x14ac:dyDescent="0.25">
      <c r="B41" s="93" t="s">
        <v>74</v>
      </c>
      <c r="C41" s="96"/>
      <c r="E41" s="82"/>
    </row>
    <row r="42" spans="1:5" x14ac:dyDescent="0.25">
      <c r="B42" s="81" t="s">
        <v>75</v>
      </c>
      <c r="C42" s="96">
        <f>4*(2/12)*(16/12)*170.2</f>
        <v>151.28888888888886</v>
      </c>
      <c r="D42" s="84" t="s">
        <v>73</v>
      </c>
      <c r="E42" s="82"/>
    </row>
    <row r="43" spans="1:5" x14ac:dyDescent="0.25">
      <c r="B43" s="90" t="s">
        <v>76</v>
      </c>
      <c r="E43" s="82"/>
    </row>
    <row r="44" spans="1:5" x14ac:dyDescent="0.25">
      <c r="B44" s="84" t="s">
        <v>77</v>
      </c>
      <c r="C44" s="84">
        <f>22.562*46.75*2</f>
        <v>2109.547</v>
      </c>
      <c r="D44" s="84" t="s">
        <v>73</v>
      </c>
      <c r="E44" s="82"/>
    </row>
    <row r="45" spans="1:5" x14ac:dyDescent="0.25">
      <c r="E45" s="82"/>
    </row>
    <row r="46" spans="1:5" x14ac:dyDescent="0.25">
      <c r="A46" s="87" t="s">
        <v>78</v>
      </c>
      <c r="B46" s="97" t="s">
        <v>79</v>
      </c>
      <c r="C46" s="86">
        <f>ROUNDUP(SUM(C47:C66)/27,0)</f>
        <v>549</v>
      </c>
      <c r="D46" s="80" t="s">
        <v>70</v>
      </c>
      <c r="E46" s="82"/>
    </row>
    <row r="47" spans="1:5" x14ac:dyDescent="0.25">
      <c r="A47" s="92"/>
      <c r="B47" s="93" t="s">
        <v>80</v>
      </c>
      <c r="E47" s="82"/>
    </row>
    <row r="48" spans="1:5" x14ac:dyDescent="0.25">
      <c r="A48" s="92"/>
      <c r="B48" s="81" t="s">
        <v>81</v>
      </c>
      <c r="C48" s="96">
        <f>15*128</f>
        <v>1920</v>
      </c>
      <c r="D48" s="84" t="s">
        <v>73</v>
      </c>
      <c r="E48" s="82"/>
    </row>
    <row r="49" spans="1:5" x14ac:dyDescent="0.25">
      <c r="A49" s="92"/>
      <c r="B49" s="93" t="s">
        <v>82</v>
      </c>
      <c r="E49" s="82"/>
    </row>
    <row r="50" spans="1:5" x14ac:dyDescent="0.25">
      <c r="A50" s="92"/>
      <c r="B50" s="81" t="s">
        <v>81</v>
      </c>
      <c r="C50" s="96">
        <f>15*128</f>
        <v>1920</v>
      </c>
      <c r="D50" s="84" t="s">
        <v>73</v>
      </c>
      <c r="E50" s="82"/>
    </row>
    <row r="51" spans="1:5" x14ac:dyDescent="0.25">
      <c r="B51" s="90" t="s">
        <v>83</v>
      </c>
      <c r="C51" s="96"/>
      <c r="E51" s="82"/>
    </row>
    <row r="52" spans="1:5" x14ac:dyDescent="0.25">
      <c r="B52" s="84" t="s">
        <v>84</v>
      </c>
      <c r="C52" s="84">
        <f>417*2.5</f>
        <v>1042.5</v>
      </c>
      <c r="D52" s="84" t="s">
        <v>73</v>
      </c>
      <c r="E52" s="82"/>
    </row>
    <row r="53" spans="1:5" x14ac:dyDescent="0.25">
      <c r="B53" s="84" t="s">
        <v>85</v>
      </c>
      <c r="C53" s="84">
        <f>9.686*19.883</f>
        <v>192.586738</v>
      </c>
      <c r="D53" s="84" t="s">
        <v>73</v>
      </c>
      <c r="E53" s="82"/>
    </row>
    <row r="54" spans="1:5" x14ac:dyDescent="0.25">
      <c r="A54" s="92"/>
      <c r="B54" s="90" t="s">
        <v>86</v>
      </c>
      <c r="E54" s="82"/>
    </row>
    <row r="55" spans="1:5" x14ac:dyDescent="0.25">
      <c r="A55" s="92"/>
      <c r="B55" s="84" t="s">
        <v>87</v>
      </c>
      <c r="C55" s="84">
        <f>992*2.5</f>
        <v>2480</v>
      </c>
      <c r="D55" s="84" t="s">
        <v>73</v>
      </c>
      <c r="E55" s="82"/>
    </row>
    <row r="56" spans="1:5" x14ac:dyDescent="0.25">
      <c r="A56" s="92"/>
      <c r="B56" s="84" t="s">
        <v>88</v>
      </c>
      <c r="C56" s="84">
        <f>11.453*19.883</f>
        <v>227.71999899999997</v>
      </c>
      <c r="D56" s="84" t="s">
        <v>73</v>
      </c>
      <c r="E56" s="82"/>
    </row>
    <row r="57" spans="1:5" x14ac:dyDescent="0.25">
      <c r="B57" s="90" t="s">
        <v>89</v>
      </c>
      <c r="C57" s="96"/>
      <c r="E57" s="82"/>
    </row>
    <row r="58" spans="1:5" x14ac:dyDescent="0.25">
      <c r="B58" s="84" t="s">
        <v>87</v>
      </c>
      <c r="C58" s="84">
        <f>992*2.5</f>
        <v>2480</v>
      </c>
      <c r="D58" s="84" t="s">
        <v>73</v>
      </c>
      <c r="E58" s="82"/>
    </row>
    <row r="59" spans="1:5" x14ac:dyDescent="0.25">
      <c r="B59" s="84" t="s">
        <v>90</v>
      </c>
      <c r="C59" s="84">
        <f>11.453*16.027</f>
        <v>183.557231</v>
      </c>
      <c r="D59" s="84" t="s">
        <v>73</v>
      </c>
      <c r="E59" s="82"/>
    </row>
    <row r="60" spans="1:5" x14ac:dyDescent="0.25">
      <c r="B60" s="90" t="s">
        <v>91</v>
      </c>
      <c r="C60" s="96"/>
      <c r="E60" s="82"/>
    </row>
    <row r="61" spans="1:5" x14ac:dyDescent="0.25">
      <c r="B61" s="84" t="s">
        <v>84</v>
      </c>
      <c r="C61" s="84">
        <f>417*2.5</f>
        <v>1042.5</v>
      </c>
      <c r="D61" s="84" t="s">
        <v>73</v>
      </c>
      <c r="E61" s="82"/>
    </row>
    <row r="62" spans="1:5" x14ac:dyDescent="0.25">
      <c r="B62" s="84" t="s">
        <v>92</v>
      </c>
      <c r="C62" s="84">
        <f>9.686*16.027</f>
        <v>155.23752200000001</v>
      </c>
      <c r="D62" s="84" t="s">
        <v>73</v>
      </c>
      <c r="E62" s="82"/>
    </row>
    <row r="63" spans="1:5" x14ac:dyDescent="0.25">
      <c r="B63" s="93" t="s">
        <v>93</v>
      </c>
      <c r="E63" s="82"/>
    </row>
    <row r="64" spans="1:5" x14ac:dyDescent="0.25">
      <c r="B64" s="81" t="s">
        <v>94</v>
      </c>
      <c r="C64" s="84">
        <f>47.333*3.333*11.91</f>
        <v>1878.9321879899999</v>
      </c>
      <c r="D64" s="84" t="s">
        <v>73</v>
      </c>
      <c r="E64" s="82"/>
    </row>
    <row r="65" spans="1:5" x14ac:dyDescent="0.25">
      <c r="B65" s="93" t="s">
        <v>95</v>
      </c>
      <c r="E65" s="82"/>
    </row>
    <row r="66" spans="1:5" x14ac:dyDescent="0.25">
      <c r="B66" s="81" t="s">
        <v>96</v>
      </c>
      <c r="C66" s="84">
        <f>47.333*3.333*8.234</f>
        <v>1299.0031600259999</v>
      </c>
      <c r="D66" s="84" t="s">
        <v>73</v>
      </c>
      <c r="E66" s="82"/>
    </row>
    <row r="67" spans="1:5" x14ac:dyDescent="0.25">
      <c r="C67" s="96"/>
      <c r="E67" s="82"/>
    </row>
    <row r="68" spans="1:5" x14ac:dyDescent="0.25">
      <c r="A68" s="87" t="s">
        <v>97</v>
      </c>
      <c r="B68" s="79" t="s">
        <v>98</v>
      </c>
      <c r="C68" s="86">
        <f>ROUNDUP(SUM(C70:C74)/9,0)</f>
        <v>441</v>
      </c>
      <c r="D68" s="79" t="s">
        <v>45</v>
      </c>
      <c r="E68" s="82"/>
    </row>
    <row r="69" spans="1:5" x14ac:dyDescent="0.25">
      <c r="B69" s="93" t="s">
        <v>93</v>
      </c>
      <c r="C69" s="96"/>
      <c r="E69" s="82"/>
    </row>
    <row r="70" spans="1:5" x14ac:dyDescent="0.25">
      <c r="B70" s="81" t="s">
        <v>99</v>
      </c>
      <c r="C70" s="96">
        <f xml:space="preserve"> 1595.271+(53.38*(2.5+0.5))+(26.292*(2.5+0.5))</f>
        <v>1834.287</v>
      </c>
      <c r="D70" s="84" t="s">
        <v>47</v>
      </c>
      <c r="E70" s="82"/>
    </row>
    <row r="71" spans="1:5" x14ac:dyDescent="0.25">
      <c r="B71" s="93" t="s">
        <v>95</v>
      </c>
      <c r="C71" s="96"/>
      <c r="E71" s="82"/>
    </row>
    <row r="72" spans="1:5" x14ac:dyDescent="0.25">
      <c r="B72" s="81" t="s">
        <v>100</v>
      </c>
      <c r="C72" s="96">
        <f xml:space="preserve"> 1154.196+(53.38*(2.5+0.5))+(26.292*(2.5+0.5))</f>
        <v>1393.212</v>
      </c>
      <c r="D72" s="84" t="s">
        <v>47</v>
      </c>
      <c r="E72" s="82"/>
    </row>
    <row r="73" spans="1:5" x14ac:dyDescent="0.25">
      <c r="B73" s="93" t="s">
        <v>101</v>
      </c>
      <c r="C73" s="96"/>
      <c r="E73" s="82"/>
    </row>
    <row r="74" spans="1:5" x14ac:dyDescent="0.25">
      <c r="B74" s="81" t="s">
        <v>102</v>
      </c>
      <c r="C74" s="96">
        <f>2.1667*(170.2+170.2)</f>
        <v>737.54467999999997</v>
      </c>
      <c r="D74" s="84" t="s">
        <v>47</v>
      </c>
      <c r="E74" s="98">
        <f>C74/9</f>
        <v>81.949408888888883</v>
      </c>
    </row>
    <row r="75" spans="1:5" x14ac:dyDescent="0.25">
      <c r="B75" s="81"/>
      <c r="C75" s="96"/>
      <c r="E75" s="82"/>
    </row>
    <row r="76" spans="1:5" x14ac:dyDescent="0.25">
      <c r="A76" s="99" t="s">
        <v>103</v>
      </c>
      <c r="B76" s="100" t="s">
        <v>104</v>
      </c>
      <c r="C76" s="80">
        <f>ROUNDUP((SUM(C78:C80)/9),0)</f>
        <v>55</v>
      </c>
      <c r="D76" s="79" t="s">
        <v>45</v>
      </c>
      <c r="E76" s="82"/>
    </row>
    <row r="77" spans="1:5" x14ac:dyDescent="0.25">
      <c r="B77" s="93" t="s">
        <v>93</v>
      </c>
      <c r="C77" s="80"/>
      <c r="D77" s="79"/>
      <c r="E77" s="82"/>
    </row>
    <row r="78" spans="1:5" x14ac:dyDescent="0.25">
      <c r="B78" s="81" t="s">
        <v>105</v>
      </c>
      <c r="C78" s="84">
        <f>81.25*3</f>
        <v>243.75</v>
      </c>
      <c r="D78" s="81" t="s">
        <v>47</v>
      </c>
      <c r="E78" s="82"/>
    </row>
    <row r="79" spans="1:5" x14ac:dyDescent="0.25">
      <c r="B79" s="93" t="s">
        <v>95</v>
      </c>
      <c r="D79" s="81"/>
      <c r="E79" s="82"/>
    </row>
    <row r="80" spans="1:5" x14ac:dyDescent="0.25">
      <c r="B80" s="81" t="s">
        <v>105</v>
      </c>
      <c r="C80" s="84">
        <f>81.25*3</f>
        <v>243.75</v>
      </c>
      <c r="D80" s="81" t="s">
        <v>47</v>
      </c>
      <c r="E80" s="82"/>
    </row>
    <row r="81" spans="1:5" x14ac:dyDescent="0.25">
      <c r="B81" s="93"/>
      <c r="C81" s="80"/>
      <c r="D81" s="79"/>
      <c r="E81" s="82"/>
    </row>
    <row r="82" spans="1:5" x14ac:dyDescent="0.25">
      <c r="A82" s="99" t="s">
        <v>106</v>
      </c>
      <c r="B82" s="101" t="s">
        <v>107</v>
      </c>
      <c r="C82" s="80">
        <f>SUM(C83:C86)</f>
        <v>315090.17526000005</v>
      </c>
      <c r="D82" s="80" t="s">
        <v>108</v>
      </c>
      <c r="E82" s="82"/>
    </row>
    <row r="83" spans="1:5" x14ac:dyDescent="0.25">
      <c r="B83" s="84" t="s">
        <v>109</v>
      </c>
      <c r="E83" s="82"/>
    </row>
    <row r="84" spans="1:5" x14ac:dyDescent="0.25">
      <c r="B84" s="84" t="s">
        <v>110</v>
      </c>
      <c r="C84" s="84">
        <f>4*((42.24*0.916*490)+(83.604*0.846*490)+(42.24*0.916*490))</f>
        <v>290300.82144000003</v>
      </c>
      <c r="D84" s="84" t="s">
        <v>108</v>
      </c>
      <c r="E84" s="82"/>
    </row>
    <row r="85" spans="1:5" x14ac:dyDescent="0.25">
      <c r="B85" s="84" t="s">
        <v>111</v>
      </c>
      <c r="E85" s="82"/>
    </row>
    <row r="86" spans="1:5" x14ac:dyDescent="0.25">
      <c r="B86" s="84" t="s">
        <v>112</v>
      </c>
      <c r="C86" s="84">
        <f>0.047*32.618*33*490</f>
        <v>24789.35382</v>
      </c>
      <c r="D86" s="84" t="s">
        <v>108</v>
      </c>
      <c r="E86" s="82"/>
    </row>
    <row r="87" spans="1:5" x14ac:dyDescent="0.25">
      <c r="A87" s="92"/>
      <c r="E87" s="82"/>
    </row>
    <row r="88" spans="1:5" x14ac:dyDescent="0.25">
      <c r="A88" s="102" t="s">
        <v>113</v>
      </c>
      <c r="B88" s="100" t="s">
        <v>114</v>
      </c>
      <c r="C88" s="80">
        <f>C89</f>
        <v>2700</v>
      </c>
      <c r="D88" s="80" t="s">
        <v>67</v>
      </c>
      <c r="E88" s="82"/>
    </row>
    <row r="89" spans="1:5" x14ac:dyDescent="0.25">
      <c r="B89" s="84" t="s">
        <v>115</v>
      </c>
      <c r="C89" s="84">
        <f>4*225*3</f>
        <v>2700</v>
      </c>
      <c r="E89" s="82"/>
    </row>
    <row r="90" spans="1:5" x14ac:dyDescent="0.25">
      <c r="E90" s="82"/>
    </row>
    <row r="91" spans="1:5" x14ac:dyDescent="0.25">
      <c r="A91" s="102" t="s">
        <v>116</v>
      </c>
      <c r="B91" s="100" t="s">
        <v>117</v>
      </c>
      <c r="C91" s="80">
        <v>14216.771968180001</v>
      </c>
      <c r="D91" s="80" t="s">
        <v>47</v>
      </c>
      <c r="E91" s="82"/>
    </row>
    <row r="92" spans="1:5" x14ac:dyDescent="0.25">
      <c r="B92" s="103" t="s">
        <v>118</v>
      </c>
      <c r="C92" s="91">
        <f>[2]PaintCalcs!I10</f>
        <v>14216.771968180001</v>
      </c>
      <c r="D92" s="84" t="s">
        <v>47</v>
      </c>
      <c r="E92" s="104"/>
    </row>
    <row r="93" spans="1:5" x14ac:dyDescent="0.25">
      <c r="E93" s="82"/>
    </row>
    <row r="94" spans="1:5" x14ac:dyDescent="0.25">
      <c r="A94" s="102" t="s">
        <v>119</v>
      </c>
      <c r="B94" s="100" t="s">
        <v>120</v>
      </c>
      <c r="C94" s="80">
        <v>14216.771968180001</v>
      </c>
      <c r="D94" s="80" t="s">
        <v>47</v>
      </c>
      <c r="E94" s="82"/>
    </row>
    <row r="95" spans="1:5" x14ac:dyDescent="0.25">
      <c r="B95" s="103" t="s">
        <v>118</v>
      </c>
      <c r="C95" s="91">
        <f>[2]PaintCalcs!I10</f>
        <v>14216.771968180001</v>
      </c>
      <c r="D95" s="84" t="s">
        <v>47</v>
      </c>
      <c r="E95" s="104"/>
    </row>
    <row r="96" spans="1:5" x14ac:dyDescent="0.25">
      <c r="E96" s="82"/>
    </row>
    <row r="97" spans="1:5" x14ac:dyDescent="0.25">
      <c r="A97" s="102" t="s">
        <v>121</v>
      </c>
      <c r="B97" s="100" t="s">
        <v>122</v>
      </c>
      <c r="C97" s="80">
        <v>8</v>
      </c>
      <c r="D97" s="80" t="s">
        <v>67</v>
      </c>
      <c r="E97" s="82"/>
    </row>
    <row r="98" spans="1:5" x14ac:dyDescent="0.25">
      <c r="E98" s="82"/>
    </row>
    <row r="99" spans="1:5" x14ac:dyDescent="0.25">
      <c r="A99" s="99" t="s">
        <v>123</v>
      </c>
      <c r="B99" s="79" t="s">
        <v>124</v>
      </c>
      <c r="C99" s="86">
        <v>4</v>
      </c>
      <c r="D99" s="79" t="s">
        <v>47</v>
      </c>
      <c r="E99" s="82"/>
    </row>
    <row r="100" spans="1:5" x14ac:dyDescent="0.25">
      <c r="A100"/>
      <c r="B100" s="81" t="s">
        <v>125</v>
      </c>
      <c r="C100" s="91">
        <f>0.5*1.75*4</f>
        <v>3.5</v>
      </c>
      <c r="D100" s="81" t="s">
        <v>47</v>
      </c>
      <c r="E100" s="82"/>
    </row>
    <row r="101" spans="1:5" x14ac:dyDescent="0.25">
      <c r="B101" s="81"/>
      <c r="C101" s="96"/>
      <c r="E101" s="82"/>
    </row>
    <row r="102" spans="1:5" x14ac:dyDescent="0.25">
      <c r="A102" s="99" t="s">
        <v>126</v>
      </c>
      <c r="B102" s="79" t="s">
        <v>127</v>
      </c>
      <c r="C102" s="105">
        <f>ROUNDUP((SUM(C103)),0)</f>
        <v>121</v>
      </c>
      <c r="D102" s="79" t="s">
        <v>47</v>
      </c>
      <c r="E102" s="82"/>
    </row>
    <row r="103" spans="1:5" x14ac:dyDescent="0.25">
      <c r="B103" s="81" t="s">
        <v>128</v>
      </c>
      <c r="C103" s="96">
        <f>3.869*7.808*4</f>
        <v>120.836608</v>
      </c>
      <c r="D103" s="84" t="s">
        <v>47</v>
      </c>
      <c r="E103" s="82"/>
    </row>
    <row r="104" spans="1:5" x14ac:dyDescent="0.25">
      <c r="B104" s="81"/>
      <c r="C104" s="96"/>
      <c r="E104" s="82"/>
    </row>
    <row r="105" spans="1:5" x14ac:dyDescent="0.25">
      <c r="A105" s="99" t="s">
        <v>129</v>
      </c>
      <c r="B105" s="106" t="s">
        <v>130</v>
      </c>
      <c r="C105" s="105">
        <f>C106</f>
        <v>96</v>
      </c>
      <c r="D105" s="80" t="s">
        <v>131</v>
      </c>
      <c r="E105" s="107"/>
    </row>
    <row r="106" spans="1:5" x14ac:dyDescent="0.25">
      <c r="B106" s="108" t="s">
        <v>132</v>
      </c>
      <c r="C106" s="96">
        <f>48*2</f>
        <v>96</v>
      </c>
      <c r="D106" s="84" t="s">
        <v>131</v>
      </c>
      <c r="E106" s="107"/>
    </row>
    <row r="107" spans="1:5" x14ac:dyDescent="0.25">
      <c r="A107" s="92"/>
      <c r="E107" s="82"/>
    </row>
    <row r="108" spans="1:5" x14ac:dyDescent="0.25">
      <c r="A108" s="99" t="s">
        <v>133</v>
      </c>
      <c r="B108" s="106" t="s">
        <v>134</v>
      </c>
      <c r="C108" s="105">
        <f>C109</f>
        <v>8</v>
      </c>
      <c r="D108" s="80" t="s">
        <v>67</v>
      </c>
      <c r="E108" s="82"/>
    </row>
    <row r="109" spans="1:5" x14ac:dyDescent="0.25">
      <c r="B109" s="81" t="s">
        <v>135</v>
      </c>
      <c r="C109" s="96">
        <f>4*2</f>
        <v>8</v>
      </c>
      <c r="D109" s="84" t="s">
        <v>67</v>
      </c>
      <c r="E109" s="82"/>
    </row>
    <row r="110" spans="1:5" x14ac:dyDescent="0.25">
      <c r="B110" s="81"/>
      <c r="C110" s="96"/>
      <c r="E110" s="82"/>
    </row>
    <row r="111" spans="1:5" x14ac:dyDescent="0.25">
      <c r="A111" s="99" t="s">
        <v>136</v>
      </c>
      <c r="B111" s="106" t="s">
        <v>137</v>
      </c>
      <c r="C111" s="105">
        <f>C112</f>
        <v>345.72</v>
      </c>
      <c r="D111" s="80" t="s">
        <v>131</v>
      </c>
      <c r="E111" s="107"/>
    </row>
    <row r="112" spans="1:5" x14ac:dyDescent="0.25">
      <c r="A112"/>
      <c r="B112" s="109" t="s">
        <v>138</v>
      </c>
      <c r="C112">
        <f>172.86*2</f>
        <v>345.72</v>
      </c>
      <c r="D112" t="s">
        <v>131</v>
      </c>
      <c r="E112"/>
    </row>
    <row r="113" spans="1:5" x14ac:dyDescent="0.25">
      <c r="B113" s="81"/>
      <c r="C113" s="96"/>
      <c r="E113" s="107"/>
    </row>
    <row r="114" spans="1:5" x14ac:dyDescent="0.25">
      <c r="A114" s="99" t="s">
        <v>139</v>
      </c>
      <c r="B114" s="106" t="s">
        <v>140</v>
      </c>
      <c r="C114" s="86">
        <f>ROUNDUP(SUM(C115:C118)/27,0)</f>
        <v>278</v>
      </c>
      <c r="D114" s="80" t="s">
        <v>70</v>
      </c>
      <c r="E114" s="107"/>
    </row>
    <row r="115" spans="1:5" x14ac:dyDescent="0.25">
      <c r="B115" s="93" t="s">
        <v>93</v>
      </c>
      <c r="C115" s="96"/>
      <c r="E115" s="107"/>
    </row>
    <row r="116" spans="1:5" x14ac:dyDescent="0.25">
      <c r="B116" s="84" t="s">
        <v>141</v>
      </c>
      <c r="C116" s="96">
        <f>2117.529*2</f>
        <v>4235.058</v>
      </c>
      <c r="D116" s="84" t="s">
        <v>73</v>
      </c>
      <c r="E116" s="107"/>
    </row>
    <row r="117" spans="1:5" x14ac:dyDescent="0.25">
      <c r="B117" s="93" t="s">
        <v>95</v>
      </c>
      <c r="C117" s="96"/>
      <c r="E117" s="107"/>
    </row>
    <row r="118" spans="1:5" x14ac:dyDescent="0.25">
      <c r="B118" s="84" t="s">
        <v>84</v>
      </c>
      <c r="C118" s="96">
        <f>1622.614*2</f>
        <v>3245.2280000000001</v>
      </c>
      <c r="D118" s="84" t="s">
        <v>73</v>
      </c>
      <c r="E118" s="107"/>
    </row>
    <row r="119" spans="1:5" x14ac:dyDescent="0.25">
      <c r="B119" s="106"/>
      <c r="C119" s="96"/>
      <c r="E119" s="107"/>
    </row>
    <row r="120" spans="1:5" x14ac:dyDescent="0.25">
      <c r="A120" s="99" t="s">
        <v>142</v>
      </c>
      <c r="B120" s="106" t="s">
        <v>143</v>
      </c>
      <c r="C120" s="105">
        <v>240</v>
      </c>
      <c r="D120" s="80" t="s">
        <v>131</v>
      </c>
      <c r="E120" s="107"/>
    </row>
    <row r="121" spans="1:5" x14ac:dyDescent="0.25">
      <c r="B121" s="81"/>
      <c r="C121" s="105"/>
      <c r="D121" s="80"/>
      <c r="E121" s="107"/>
    </row>
    <row r="122" spans="1:5" x14ac:dyDescent="0.25">
      <c r="A122" s="99" t="s">
        <v>144</v>
      </c>
      <c r="B122" s="106" t="s">
        <v>145</v>
      </c>
      <c r="C122" s="105">
        <v>50</v>
      </c>
      <c r="D122" s="80" t="s">
        <v>131</v>
      </c>
      <c r="E122" s="107"/>
    </row>
    <row r="123" spans="1:5" x14ac:dyDescent="0.25">
      <c r="B123" s="81"/>
      <c r="C123" s="96"/>
      <c r="E123" s="107"/>
    </row>
    <row r="124" spans="1:5" x14ac:dyDescent="0.25">
      <c r="A124" s="99" t="s">
        <v>146</v>
      </c>
      <c r="B124" s="79" t="s">
        <v>147</v>
      </c>
      <c r="C124" s="105">
        <f>ROUNDUP(SUM(C126:C128),0)</f>
        <v>510</v>
      </c>
      <c r="D124" s="80" t="s">
        <v>131</v>
      </c>
      <c r="E124" s="107"/>
    </row>
    <row r="125" spans="1:5" x14ac:dyDescent="0.25">
      <c r="B125" s="93" t="s">
        <v>80</v>
      </c>
      <c r="E125" s="107"/>
    </row>
    <row r="126" spans="1:5" x14ac:dyDescent="0.25">
      <c r="B126" s="81" t="s">
        <v>148</v>
      </c>
      <c r="C126" s="96">
        <f>15*17</f>
        <v>255</v>
      </c>
      <c r="D126" s="84" t="s">
        <v>131</v>
      </c>
      <c r="E126" s="107"/>
    </row>
    <row r="127" spans="1:5" x14ac:dyDescent="0.25">
      <c r="B127" s="93" t="s">
        <v>82</v>
      </c>
      <c r="E127" s="107"/>
    </row>
    <row r="128" spans="1:5" x14ac:dyDescent="0.25">
      <c r="B128" s="81" t="s">
        <v>148</v>
      </c>
      <c r="C128" s="96">
        <f>15*17</f>
        <v>255</v>
      </c>
      <c r="D128" s="84" t="s">
        <v>131</v>
      </c>
      <c r="E128" s="107"/>
    </row>
    <row r="129" spans="1:5" x14ac:dyDescent="0.25">
      <c r="B129" s="81"/>
      <c r="C129" s="96"/>
      <c r="E129" s="107"/>
    </row>
    <row r="130" spans="1:5" x14ac:dyDescent="0.25">
      <c r="A130" s="99" t="s">
        <v>149</v>
      </c>
      <c r="B130" s="79" t="s">
        <v>150</v>
      </c>
      <c r="C130" s="105">
        <f>ROUNDUP(SUM(C132:C134),0)</f>
        <v>119</v>
      </c>
      <c r="D130" s="80" t="s">
        <v>131</v>
      </c>
      <c r="E130" s="107"/>
    </row>
    <row r="131" spans="1:5" x14ac:dyDescent="0.25">
      <c r="B131" s="93" t="s">
        <v>80</v>
      </c>
      <c r="E131" s="107"/>
    </row>
    <row r="132" spans="1:5" x14ac:dyDescent="0.25">
      <c r="B132" s="81" t="s">
        <v>151</v>
      </c>
      <c r="C132" s="96">
        <f>1.85*17</f>
        <v>31.450000000000003</v>
      </c>
      <c r="D132" s="84" t="s">
        <v>131</v>
      </c>
      <c r="E132" s="107"/>
    </row>
    <row r="133" spans="1:5" x14ac:dyDescent="0.25">
      <c r="B133" s="93" t="s">
        <v>82</v>
      </c>
      <c r="E133" s="107"/>
    </row>
    <row r="134" spans="1:5" x14ac:dyDescent="0.25">
      <c r="B134" s="81" t="s">
        <v>152</v>
      </c>
      <c r="C134" s="96">
        <f>5.124*17</f>
        <v>87.10799999999999</v>
      </c>
      <c r="D134" s="84" t="s">
        <v>131</v>
      </c>
      <c r="E134" s="107"/>
    </row>
    <row r="135" spans="1:5" x14ac:dyDescent="0.25">
      <c r="B135" s="81"/>
      <c r="C135" s="96"/>
      <c r="E135" s="107"/>
    </row>
    <row r="136" spans="1:5" x14ac:dyDescent="0.25">
      <c r="E136" s="82"/>
    </row>
    <row r="137" spans="1:5" x14ac:dyDescent="0.25">
      <c r="E137" s="82"/>
    </row>
    <row r="138" spans="1:5" x14ac:dyDescent="0.25">
      <c r="E138" s="82"/>
    </row>
    <row r="139" spans="1:5" x14ac:dyDescent="0.25">
      <c r="E139" s="82"/>
    </row>
    <row r="140" spans="1:5" x14ac:dyDescent="0.25">
      <c r="E140" s="82"/>
    </row>
    <row r="141" spans="1:5" x14ac:dyDescent="0.25">
      <c r="E141" s="82"/>
    </row>
    <row r="142" spans="1:5" x14ac:dyDescent="0.25">
      <c r="E142" s="82"/>
    </row>
    <row r="143" spans="1:5" x14ac:dyDescent="0.25">
      <c r="E143" s="82"/>
    </row>
    <row r="144" spans="1:5" x14ac:dyDescent="0.25">
      <c r="E144" s="82"/>
    </row>
    <row r="145" spans="5:5" x14ac:dyDescent="0.25">
      <c r="E145" s="82"/>
    </row>
    <row r="146" spans="5:5" x14ac:dyDescent="0.25">
      <c r="E146" s="82"/>
    </row>
    <row r="147" spans="5:5" x14ac:dyDescent="0.25">
      <c r="E147" s="82"/>
    </row>
    <row r="148" spans="5:5" x14ac:dyDescent="0.25">
      <c r="E148" s="82"/>
    </row>
    <row r="149" spans="5:5" x14ac:dyDescent="0.25">
      <c r="E149" s="82"/>
    </row>
    <row r="150" spans="5:5" x14ac:dyDescent="0.25">
      <c r="E150" s="82"/>
    </row>
    <row r="151" spans="5:5" x14ac:dyDescent="0.25">
      <c r="E151" s="82"/>
    </row>
    <row r="152" spans="5:5" x14ac:dyDescent="0.25">
      <c r="E152" s="82"/>
    </row>
    <row r="153" spans="5:5" x14ac:dyDescent="0.25">
      <c r="E153" s="82"/>
    </row>
    <row r="154" spans="5:5" x14ac:dyDescent="0.25">
      <c r="E154" s="82"/>
    </row>
    <row r="155" spans="5:5" x14ac:dyDescent="0.25">
      <c r="E155" s="82"/>
    </row>
    <row r="156" spans="5:5" x14ac:dyDescent="0.25">
      <c r="E156" s="82"/>
    </row>
    <row r="157" spans="5:5" x14ac:dyDescent="0.25">
      <c r="E157" s="82"/>
    </row>
    <row r="158" spans="5:5" x14ac:dyDescent="0.25">
      <c r="E158" s="82"/>
    </row>
    <row r="159" spans="5:5" x14ac:dyDescent="0.25">
      <c r="E159" s="82"/>
    </row>
    <row r="160" spans="5:5" x14ac:dyDescent="0.25">
      <c r="E160" s="82"/>
    </row>
    <row r="161" spans="5:5" x14ac:dyDescent="0.25">
      <c r="E161" s="82"/>
    </row>
    <row r="162" spans="5:5" x14ac:dyDescent="0.25">
      <c r="E162" s="82"/>
    </row>
    <row r="163" spans="5:5" x14ac:dyDescent="0.25">
      <c r="E163" s="82"/>
    </row>
    <row r="164" spans="5:5" x14ac:dyDescent="0.25">
      <c r="E164" s="82"/>
    </row>
    <row r="165" spans="5:5" x14ac:dyDescent="0.25">
      <c r="E165" s="82"/>
    </row>
    <row r="166" spans="5:5" x14ac:dyDescent="0.25">
      <c r="E166" s="82"/>
    </row>
    <row r="167" spans="5:5" x14ac:dyDescent="0.25">
      <c r="E167" s="82"/>
    </row>
    <row r="168" spans="5:5" x14ac:dyDescent="0.25">
      <c r="E168" s="82"/>
    </row>
    <row r="169" spans="5:5" x14ac:dyDescent="0.25">
      <c r="E169" s="82"/>
    </row>
    <row r="170" spans="5:5" x14ac:dyDescent="0.25">
      <c r="E170" s="82"/>
    </row>
    <row r="171" spans="5:5" x14ac:dyDescent="0.25">
      <c r="E171" s="82"/>
    </row>
    <row r="172" spans="5:5" x14ac:dyDescent="0.25">
      <c r="E172" s="82"/>
    </row>
    <row r="173" spans="5:5" x14ac:dyDescent="0.25">
      <c r="E173" s="82"/>
    </row>
    <row r="174" spans="5:5" x14ac:dyDescent="0.25">
      <c r="E174" s="82"/>
    </row>
    <row r="175" spans="5:5" x14ac:dyDescent="0.25">
      <c r="E175" s="82"/>
    </row>
    <row r="176" spans="5:5" x14ac:dyDescent="0.25">
      <c r="E176" s="82"/>
    </row>
    <row r="177" spans="5:5" x14ac:dyDescent="0.25">
      <c r="E177" s="82"/>
    </row>
    <row r="178" spans="5:5" x14ac:dyDescent="0.25">
      <c r="E178" s="82"/>
    </row>
    <row r="179" spans="5:5" x14ac:dyDescent="0.25">
      <c r="E179" s="82"/>
    </row>
    <row r="180" spans="5:5" x14ac:dyDescent="0.25">
      <c r="E180" s="82"/>
    </row>
    <row r="181" spans="5:5" x14ac:dyDescent="0.25">
      <c r="E181" s="82"/>
    </row>
    <row r="182" spans="5:5" x14ac:dyDescent="0.25">
      <c r="E182" s="82"/>
    </row>
    <row r="183" spans="5:5" x14ac:dyDescent="0.25">
      <c r="E183" s="82"/>
    </row>
    <row r="184" spans="5:5" x14ac:dyDescent="0.25">
      <c r="E184" s="82"/>
    </row>
    <row r="185" spans="5:5" x14ac:dyDescent="0.25">
      <c r="E185" s="82"/>
    </row>
    <row r="186" spans="5:5" x14ac:dyDescent="0.25">
      <c r="E186" s="82"/>
    </row>
    <row r="187" spans="5:5" x14ac:dyDescent="0.25">
      <c r="E187" s="82"/>
    </row>
    <row r="188" spans="5:5" x14ac:dyDescent="0.25">
      <c r="E188" s="82"/>
    </row>
    <row r="189" spans="5:5" x14ac:dyDescent="0.25">
      <c r="E189" s="82"/>
    </row>
    <row r="190" spans="5:5" x14ac:dyDescent="0.25">
      <c r="E190" s="82"/>
    </row>
    <row r="191" spans="5:5" x14ac:dyDescent="0.25">
      <c r="E191" s="82"/>
    </row>
    <row r="192" spans="5:5" x14ac:dyDescent="0.25">
      <c r="E192" s="82"/>
    </row>
    <row r="193" spans="1:5" x14ac:dyDescent="0.25">
      <c r="E193" s="82"/>
    </row>
    <row r="194" spans="1:5" x14ac:dyDescent="0.25">
      <c r="E194" s="82"/>
    </row>
    <row r="195" spans="1:5" ht="15.75" thickBot="1" x14ac:dyDescent="0.3">
      <c r="A195" s="110"/>
      <c r="B195" s="111"/>
      <c r="C195" s="111"/>
      <c r="D195" s="111"/>
      <c r="E195" s="112"/>
    </row>
    <row r="196" spans="1:5" x14ac:dyDescent="0.25">
      <c r="A196" s="113"/>
      <c r="B196" s="113"/>
      <c r="C196" s="113"/>
      <c r="D196" s="113"/>
      <c r="E196" s="113"/>
    </row>
  </sheetData>
  <pageMargins left="0.25" right="0.25" top="0.75" bottom="0.75" header="0.3" footer="0.3"/>
  <pageSetup scale="7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17B5-2285-4215-9F4A-DD404853012A}">
  <dimension ref="A1:K22"/>
  <sheetViews>
    <sheetView workbookViewId="0">
      <selection activeCell="H8" sqref="H8:I9"/>
    </sheetView>
  </sheetViews>
  <sheetFormatPr defaultRowHeight="15" x14ac:dyDescent="0.25"/>
  <cols>
    <col min="1" max="1" width="14.85546875" customWidth="1"/>
    <col min="2" max="3" width="11" customWidth="1"/>
    <col min="4" max="4" width="11.140625" customWidth="1"/>
    <col min="5" max="5" width="13.42578125" customWidth="1"/>
    <col min="6" max="6" width="12.5703125" bestFit="1" customWidth="1"/>
    <col min="7" max="7" width="13.7109375" customWidth="1"/>
    <col min="8" max="8" width="13.140625" customWidth="1"/>
  </cols>
  <sheetData>
    <row r="1" spans="1:11" ht="15" customHeight="1" x14ac:dyDescent="0.25">
      <c r="H1" s="1" t="s">
        <v>0</v>
      </c>
      <c r="J1" s="2"/>
      <c r="K1" t="s">
        <v>1</v>
      </c>
    </row>
    <row r="2" spans="1:11" x14ac:dyDescent="0.25">
      <c r="H2" s="1"/>
      <c r="J2" s="2"/>
      <c r="K2" t="s">
        <v>1</v>
      </c>
    </row>
    <row r="3" spans="1:11" ht="15.75" thickBot="1" x14ac:dyDescent="0.3">
      <c r="H3" s="1"/>
      <c r="I3" t="s">
        <v>2</v>
      </c>
      <c r="J3" s="2">
        <v>1.595</v>
      </c>
      <c r="K3" t="s">
        <v>1</v>
      </c>
    </row>
    <row r="4" spans="1:11" ht="33.7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11" ht="15.75" thickBot="1" x14ac:dyDescent="0.3">
      <c r="A5" s="6" t="s">
        <v>9</v>
      </c>
      <c r="B5" s="7" t="s">
        <v>10</v>
      </c>
      <c r="C5" s="8">
        <v>1</v>
      </c>
      <c r="D5" s="9">
        <v>17.518000000000001</v>
      </c>
      <c r="E5" s="9">
        <v>164.125</v>
      </c>
      <c r="F5" s="10">
        <f>(D5*E5)+(D6*E6)</f>
        <v>2875.1417500000002</v>
      </c>
    </row>
    <row r="6" spans="1:11" x14ac:dyDescent="0.25">
      <c r="A6" s="11"/>
      <c r="B6" s="12"/>
      <c r="C6" s="13"/>
      <c r="D6" s="14"/>
      <c r="E6" s="14"/>
      <c r="F6" s="15"/>
      <c r="H6" s="16" t="s">
        <v>11</v>
      </c>
      <c r="I6" s="17"/>
    </row>
    <row r="7" spans="1:11" ht="15.75" thickBot="1" x14ac:dyDescent="0.3">
      <c r="A7" s="11" t="s">
        <v>12</v>
      </c>
      <c r="B7" s="7" t="s">
        <v>10</v>
      </c>
      <c r="C7" s="13">
        <v>1</v>
      </c>
      <c r="D7" s="14">
        <v>17.518000000000001</v>
      </c>
      <c r="E7" s="9">
        <v>164.125</v>
      </c>
      <c r="F7" s="15">
        <f>(D7*E7)+(D8*E8)</f>
        <v>2875.1417500000002</v>
      </c>
      <c r="H7" s="18"/>
      <c r="I7" s="19"/>
    </row>
    <row r="8" spans="1:11" x14ac:dyDescent="0.25">
      <c r="A8" s="11"/>
      <c r="B8" s="12"/>
      <c r="C8" s="13"/>
      <c r="D8" s="14"/>
      <c r="E8" s="14"/>
      <c r="F8" s="15"/>
      <c r="H8" s="20">
        <f>SUM(F13,G20)</f>
        <v>13986.002920000001</v>
      </c>
      <c r="I8" s="21"/>
    </row>
    <row r="9" spans="1:11" ht="15.75" thickBot="1" x14ac:dyDescent="0.3">
      <c r="A9" s="11" t="s">
        <v>13</v>
      </c>
      <c r="B9" s="7" t="s">
        <v>10</v>
      </c>
      <c r="C9" s="13">
        <v>1</v>
      </c>
      <c r="D9" s="14">
        <v>17.518000000000001</v>
      </c>
      <c r="E9" s="9">
        <v>164.125</v>
      </c>
      <c r="F9" s="15">
        <f>(D9*E9)+(D10*E10)</f>
        <v>2875.1417500000002</v>
      </c>
      <c r="H9" s="22"/>
      <c r="I9" s="23"/>
    </row>
    <row r="10" spans="1:11" x14ac:dyDescent="0.25">
      <c r="A10" s="11"/>
      <c r="B10" s="12"/>
      <c r="C10" s="13"/>
      <c r="D10" s="14"/>
      <c r="E10" s="14"/>
      <c r="F10" s="15"/>
      <c r="H10" s="24" t="s">
        <v>14</v>
      </c>
      <c r="I10" s="25">
        <f>H8*1.0165</f>
        <v>14216.771968180001</v>
      </c>
    </row>
    <row r="11" spans="1:11" x14ac:dyDescent="0.25">
      <c r="A11" s="11" t="s">
        <v>15</v>
      </c>
      <c r="B11" s="7" t="s">
        <v>10</v>
      </c>
      <c r="C11" s="13">
        <v>1</v>
      </c>
      <c r="D11" s="14">
        <v>17.518000000000001</v>
      </c>
      <c r="E11" s="9">
        <v>164.125</v>
      </c>
      <c r="F11" s="15">
        <f>(D11*E11)+(D12*E12)</f>
        <v>2875.1417500000002</v>
      </c>
      <c r="I11" s="26"/>
    </row>
    <row r="12" spans="1:11" x14ac:dyDescent="0.25">
      <c r="A12" s="11"/>
      <c r="B12" s="12"/>
      <c r="C12" s="13"/>
      <c r="D12" s="14"/>
      <c r="E12" s="14"/>
      <c r="F12" s="15"/>
    </row>
    <row r="13" spans="1:11" ht="15.6" customHeight="1" thickBot="1" x14ac:dyDescent="0.3">
      <c r="A13" s="27"/>
      <c r="B13" s="27"/>
      <c r="C13" s="27"/>
      <c r="D13" s="28"/>
      <c r="E13" s="29" t="s">
        <v>16</v>
      </c>
      <c r="F13" s="30">
        <f>SUM(F5:F12)</f>
        <v>11500.567000000001</v>
      </c>
      <c r="G13" s="31"/>
    </row>
    <row r="14" spans="1:11" ht="15.75" thickBot="1" x14ac:dyDescent="0.3">
      <c r="A14" s="31"/>
      <c r="B14" s="31"/>
      <c r="C14" s="31"/>
      <c r="D14" s="31"/>
      <c r="E14" s="31"/>
      <c r="G14" s="31"/>
    </row>
    <row r="15" spans="1:11" ht="60.75" thickBot="1" x14ac:dyDescent="0.3">
      <c r="A15" s="3" t="s">
        <v>17</v>
      </c>
      <c r="B15" s="4" t="s">
        <v>4</v>
      </c>
      <c r="C15" s="4" t="s">
        <v>5</v>
      </c>
      <c r="D15" s="4" t="s">
        <v>18</v>
      </c>
      <c r="E15" s="4" t="s">
        <v>19</v>
      </c>
      <c r="F15" s="32" t="s">
        <v>20</v>
      </c>
      <c r="G15" s="33" t="s">
        <v>8</v>
      </c>
    </row>
    <row r="16" spans="1:11" x14ac:dyDescent="0.25">
      <c r="A16" s="34" t="s">
        <v>21</v>
      </c>
      <c r="B16" s="8" t="str">
        <f>I$3</f>
        <v>L5x5x3/4</v>
      </c>
      <c r="C16" s="8">
        <v>33</v>
      </c>
      <c r="D16" s="9">
        <f>J3</f>
        <v>1.595</v>
      </c>
      <c r="E16" s="9">
        <f>11.145*2</f>
        <v>22.29</v>
      </c>
      <c r="F16" s="9">
        <v>10.302</v>
      </c>
      <c r="G16" s="35">
        <f>D16*(E16+F16)*C16</f>
        <v>1715.47992</v>
      </c>
    </row>
    <row r="17" spans="1:7" x14ac:dyDescent="0.25">
      <c r="A17" s="36" t="s">
        <v>22</v>
      </c>
      <c r="B17" s="13" t="str">
        <f>I$3</f>
        <v>L5x5x3/4</v>
      </c>
      <c r="C17" s="13">
        <v>66</v>
      </c>
      <c r="D17" s="9">
        <v>2</v>
      </c>
      <c r="E17" s="9"/>
      <c r="F17" s="9">
        <v>5.8330000000000002</v>
      </c>
      <c r="G17" s="35">
        <f>D17*(E17+F17)*C17</f>
        <v>769.95600000000002</v>
      </c>
    </row>
    <row r="18" spans="1:7" x14ac:dyDescent="0.25">
      <c r="A18" s="36"/>
      <c r="B18" s="13"/>
      <c r="C18" s="13"/>
      <c r="D18" s="9"/>
      <c r="E18" s="9"/>
      <c r="F18" s="9"/>
      <c r="G18" s="35"/>
    </row>
    <row r="19" spans="1:7" ht="15.75" thickBot="1" x14ac:dyDescent="0.3">
      <c r="A19" s="37"/>
      <c r="B19" s="38"/>
      <c r="C19" s="38"/>
      <c r="D19" s="39"/>
      <c r="E19" s="40"/>
      <c r="F19" s="39"/>
      <c r="G19" s="41"/>
    </row>
    <row r="20" spans="1:7" ht="15.75" thickBot="1" x14ac:dyDescent="0.3">
      <c r="A20" s="27"/>
      <c r="B20" s="42" t="s">
        <v>16</v>
      </c>
      <c r="C20" s="43">
        <f>SUM(C16:C19)</f>
        <v>99</v>
      </c>
      <c r="D20" s="28"/>
      <c r="E20" s="28"/>
      <c r="F20" s="29" t="s">
        <v>16</v>
      </c>
      <c r="G20" s="30">
        <f>SUM(G16:G19)</f>
        <v>2485.4359199999999</v>
      </c>
    </row>
    <row r="21" spans="1:7" x14ac:dyDescent="0.25">
      <c r="A21" s="44"/>
    </row>
    <row r="22" spans="1:7" x14ac:dyDescent="0.25">
      <c r="D22" t="s">
        <v>23</v>
      </c>
    </row>
  </sheetData>
  <mergeCells count="15">
    <mergeCell ref="B9:B10"/>
    <mergeCell ref="F9:F10"/>
    <mergeCell ref="A11:A12"/>
    <mergeCell ref="B11:B12"/>
    <mergeCell ref="F11:F12"/>
    <mergeCell ref="H1:H3"/>
    <mergeCell ref="A5:A6"/>
    <mergeCell ref="B5:B6"/>
    <mergeCell ref="F5:F6"/>
    <mergeCell ref="H6:I7"/>
    <mergeCell ref="A7:A8"/>
    <mergeCell ref="B7:B8"/>
    <mergeCell ref="F7:F8"/>
    <mergeCell ref="H8:I9"/>
    <mergeCell ref="A9:A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StructureOfficeCalcs</vt:lpstr>
      <vt:lpstr>PaintCalcs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Garret</dc:creator>
  <cp:lastModifiedBy>Freeman, Garret</cp:lastModifiedBy>
  <dcterms:created xsi:type="dcterms:W3CDTF">2024-11-13T17:54:09Z</dcterms:created>
  <dcterms:modified xsi:type="dcterms:W3CDTF">2024-11-13T18:05:07Z</dcterms:modified>
</cp:coreProperties>
</file>