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C:\Lanham Engineering Dropbox\Project Files\ODOT\Safety 2022\Task 2B - BUT-747-5.49\excel\"/>
    </mc:Choice>
  </mc:AlternateContent>
  <xr:revisionPtr revIDLastSave="0" documentId="13_ncr:1_{464D6A14-F1D6-4492-8FF9-7F0B9E37964C}" xr6:coauthVersionLast="47" xr6:coauthVersionMax="47" xr10:uidLastSave="{00000000-0000-0000-0000-000000000000}"/>
  <bookViews>
    <workbookView xWindow="-108" yWindow="-108" windowWidth="23256" windowHeight="12456" tabRatio="856" firstSheet="1" activeTab="2"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Findings'!$A$1:$S$52</definedName>
    <definedName name="_xlnm.Print_Area" localSheetId="1">Introduction!$A$1:$J$44</definedName>
    <definedName name="_xlnm.Print_Area" localSheetId="11">'Multi-Way Stop'!$A$1:$J$162</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1" hidden="1">'Multi-Way Stop'!$A$1:$J$162</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Stop'!$145:$159</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5" r:id="rId21"/>
    <pivotCache cacheId="9"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07" i="196" l="1"/>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X58" i="177" l="1"/>
  <c r="W58" i="177"/>
  <c r="V58" i="177"/>
  <c r="U58" i="177"/>
  <c r="T58" i="177"/>
  <c r="H43" i="177"/>
  <c r="I43" i="177"/>
  <c r="J43" i="177"/>
  <c r="K43" i="177"/>
  <c r="H48" i="177"/>
  <c r="I48" i="177"/>
  <c r="J48" i="177"/>
  <c r="K48" i="177"/>
  <c r="H53" i="177"/>
  <c r="I53" i="177"/>
  <c r="J53" i="177"/>
  <c r="K53" i="177"/>
  <c r="H58" i="177"/>
  <c r="I58" i="177"/>
  <c r="J58" i="177"/>
  <c r="K58" i="177"/>
  <c r="H63" i="177"/>
  <c r="I63" i="177"/>
  <c r="J63" i="177"/>
  <c r="K63" i="177"/>
  <c r="H68" i="177"/>
  <c r="I68" i="177"/>
  <c r="J68" i="177"/>
  <c r="K68" i="177"/>
  <c r="H73" i="177"/>
  <c r="I73" i="177"/>
  <c r="J73" i="177"/>
  <c r="K73" i="177"/>
  <c r="H78" i="177"/>
  <c r="I78" i="177"/>
  <c r="J78" i="177"/>
  <c r="K78" i="177"/>
  <c r="H83" i="177"/>
  <c r="I83" i="177"/>
  <c r="J83" i="177"/>
  <c r="K83" i="177"/>
  <c r="B43" i="177"/>
  <c r="C43" i="177"/>
  <c r="D43" i="177"/>
  <c r="E43" i="177"/>
  <c r="B48" i="177"/>
  <c r="C48" i="177"/>
  <c r="D48" i="177"/>
  <c r="E48" i="177"/>
  <c r="B53" i="177"/>
  <c r="C53" i="177"/>
  <c r="D53" i="177"/>
  <c r="E53" i="177"/>
  <c r="B58" i="177"/>
  <c r="C58" i="177"/>
  <c r="D58" i="177"/>
  <c r="E58" i="177"/>
  <c r="B63" i="177"/>
  <c r="C63" i="177"/>
  <c r="D63" i="177"/>
  <c r="E63" i="177"/>
  <c r="B68" i="177"/>
  <c r="C68" i="177"/>
  <c r="D68" i="177"/>
  <c r="E68" i="177"/>
  <c r="B73" i="177"/>
  <c r="C73" i="177"/>
  <c r="D73" i="177"/>
  <c r="E73" i="177"/>
  <c r="B78" i="177"/>
  <c r="C78" i="177"/>
  <c r="D78" i="177"/>
  <c r="E78" i="177"/>
  <c r="B83" i="177"/>
  <c r="C83" i="177"/>
  <c r="D83" i="177"/>
  <c r="E83" i="177"/>
  <c r="B88" i="177"/>
  <c r="C88" i="177"/>
  <c r="D88" i="177"/>
  <c r="E88" i="177"/>
  <c r="B93" i="177"/>
  <c r="C93" i="177"/>
  <c r="D93" i="177"/>
  <c r="E93" i="177"/>
  <c r="B98" i="177"/>
  <c r="C98" i="177"/>
  <c r="D98" i="177"/>
  <c r="E98" i="177"/>
  <c r="F38" i="177"/>
  <c r="U33" i="177" l="1"/>
  <c r="X123" i="177" l="1"/>
  <c r="W123" i="177"/>
  <c r="V123" i="177"/>
  <c r="U123" i="177"/>
  <c r="T123" i="177"/>
  <c r="R123" i="177"/>
  <c r="Q123" i="177"/>
  <c r="P123" i="177"/>
  <c r="O123" i="177"/>
  <c r="N123" i="177"/>
  <c r="L123" i="177"/>
  <c r="K123" i="177"/>
  <c r="J123" i="177"/>
  <c r="I123" i="177"/>
  <c r="H123" i="177"/>
  <c r="F123" i="177"/>
  <c r="E123" i="177"/>
  <c r="D123" i="177"/>
  <c r="C123" i="177"/>
  <c r="B123" i="177"/>
  <c r="Y122" i="177"/>
  <c r="S122" i="177"/>
  <c r="M122" i="177"/>
  <c r="G122" i="177"/>
  <c r="Y121" i="177"/>
  <c r="S121" i="177"/>
  <c r="M121" i="177"/>
  <c r="G121" i="177"/>
  <c r="Y120" i="177"/>
  <c r="S120" i="177"/>
  <c r="M120" i="177"/>
  <c r="G120" i="177"/>
  <c r="Y119" i="177"/>
  <c r="Y123" i="177" s="1"/>
  <c r="S119" i="177"/>
  <c r="M119" i="177"/>
  <c r="M123" i="177" s="1"/>
  <c r="G119" i="177"/>
  <c r="G123" i="177" s="1"/>
  <c r="X118" i="177"/>
  <c r="W118" i="177"/>
  <c r="V118" i="177"/>
  <c r="U118" i="177"/>
  <c r="T118" i="177"/>
  <c r="R118" i="177"/>
  <c r="Q118" i="177"/>
  <c r="P118" i="177"/>
  <c r="O118" i="177"/>
  <c r="N118" i="177"/>
  <c r="L118" i="177"/>
  <c r="K118" i="177"/>
  <c r="J118" i="177"/>
  <c r="I118" i="177"/>
  <c r="H118" i="177"/>
  <c r="F118" i="177"/>
  <c r="E118" i="177"/>
  <c r="D118" i="177"/>
  <c r="C118" i="177"/>
  <c r="B118" i="177"/>
  <c r="Y117" i="177"/>
  <c r="S117" i="177"/>
  <c r="M117" i="177"/>
  <c r="G117" i="177"/>
  <c r="Y116" i="177"/>
  <c r="S116" i="177"/>
  <c r="M116" i="177"/>
  <c r="G116" i="177"/>
  <c r="Y115" i="177"/>
  <c r="S115" i="177"/>
  <c r="M115" i="177"/>
  <c r="G115" i="177"/>
  <c r="G118" i="177" s="1"/>
  <c r="Y114" i="177"/>
  <c r="Y118" i="177" s="1"/>
  <c r="S114" i="177"/>
  <c r="M114" i="177"/>
  <c r="G114" i="177"/>
  <c r="X113" i="177"/>
  <c r="W113" i="177"/>
  <c r="V113" i="177"/>
  <c r="U113" i="177"/>
  <c r="T113" i="177"/>
  <c r="R113" i="177"/>
  <c r="Q113" i="177"/>
  <c r="P113" i="177"/>
  <c r="O113" i="177"/>
  <c r="N113" i="177"/>
  <c r="L113" i="177"/>
  <c r="K113" i="177"/>
  <c r="J113" i="177"/>
  <c r="I113" i="177"/>
  <c r="H113" i="177"/>
  <c r="F113" i="177"/>
  <c r="E113" i="177"/>
  <c r="D113" i="177"/>
  <c r="C113" i="177"/>
  <c r="B113" i="177"/>
  <c r="Y112" i="177"/>
  <c r="S112" i="177"/>
  <c r="M112" i="177"/>
  <c r="G112" i="177"/>
  <c r="Y111" i="177"/>
  <c r="S111" i="177"/>
  <c r="M111" i="177"/>
  <c r="G111" i="177"/>
  <c r="Y110" i="177"/>
  <c r="S110" i="177"/>
  <c r="S113" i="177" s="1"/>
  <c r="M110" i="177"/>
  <c r="G110" i="177"/>
  <c r="G113" i="177" s="1"/>
  <c r="Y109" i="177"/>
  <c r="Y113" i="177" s="1"/>
  <c r="S109" i="177"/>
  <c r="M109" i="177"/>
  <c r="G109" i="177"/>
  <c r="X108" i="177"/>
  <c r="W108" i="177"/>
  <c r="V108" i="177"/>
  <c r="U108" i="177"/>
  <c r="T108" i="177"/>
  <c r="R108" i="177"/>
  <c r="Q108" i="177"/>
  <c r="P108" i="177"/>
  <c r="O108" i="177"/>
  <c r="N108" i="177"/>
  <c r="L108" i="177"/>
  <c r="K108" i="177"/>
  <c r="J108" i="177"/>
  <c r="I108" i="177"/>
  <c r="H108" i="177"/>
  <c r="F108" i="177"/>
  <c r="E108" i="177"/>
  <c r="D108" i="177"/>
  <c r="C108" i="177"/>
  <c r="B108" i="177"/>
  <c r="Y107" i="177"/>
  <c r="S107" i="177"/>
  <c r="M107" i="177"/>
  <c r="G107" i="177"/>
  <c r="Y106" i="177"/>
  <c r="S106" i="177"/>
  <c r="M106" i="177"/>
  <c r="G106" i="177"/>
  <c r="Y105" i="177"/>
  <c r="S105" i="177"/>
  <c r="S108" i="177" s="1"/>
  <c r="M105" i="177"/>
  <c r="G105" i="177"/>
  <c r="G108" i="177" s="1"/>
  <c r="Y104" i="177"/>
  <c r="S104" i="177"/>
  <c r="M104" i="177"/>
  <c r="G104" i="177"/>
  <c r="X103" i="177"/>
  <c r="W103" i="177"/>
  <c r="V103" i="177"/>
  <c r="U103" i="177"/>
  <c r="T103" i="177"/>
  <c r="R103" i="177"/>
  <c r="Q103" i="177"/>
  <c r="P103" i="177"/>
  <c r="O103" i="177"/>
  <c r="N103" i="177"/>
  <c r="L103" i="177"/>
  <c r="K103" i="177"/>
  <c r="J103" i="177"/>
  <c r="I103" i="177"/>
  <c r="H103" i="177"/>
  <c r="F103" i="177"/>
  <c r="E103" i="177"/>
  <c r="D103" i="177"/>
  <c r="C103" i="177"/>
  <c r="B103" i="177"/>
  <c r="Y102" i="177"/>
  <c r="S102" i="177"/>
  <c r="M102" i="177"/>
  <c r="G102" i="177"/>
  <c r="Y101" i="177"/>
  <c r="S101" i="177"/>
  <c r="M101" i="177"/>
  <c r="G101" i="177"/>
  <c r="Y100" i="177"/>
  <c r="S100" i="177"/>
  <c r="S103" i="177" s="1"/>
  <c r="M100" i="177"/>
  <c r="G100" i="177"/>
  <c r="G103" i="177" s="1"/>
  <c r="Y99" i="177"/>
  <c r="S99" i="177"/>
  <c r="M99" i="177"/>
  <c r="G99" i="177"/>
  <c r="X98" i="177"/>
  <c r="W98" i="177"/>
  <c r="V98" i="177"/>
  <c r="U98" i="177"/>
  <c r="T98" i="177"/>
  <c r="R98" i="177"/>
  <c r="Q98" i="177"/>
  <c r="P98" i="177"/>
  <c r="O98" i="177"/>
  <c r="N98" i="177"/>
  <c r="L98" i="177"/>
  <c r="K98" i="177"/>
  <c r="J98" i="177"/>
  <c r="I98" i="177"/>
  <c r="H98" i="177"/>
  <c r="F98" i="177"/>
  <c r="Y97" i="177"/>
  <c r="S97" i="177"/>
  <c r="M97" i="177"/>
  <c r="G97" i="177"/>
  <c r="Y96" i="177"/>
  <c r="S96" i="177"/>
  <c r="M96" i="177"/>
  <c r="G96" i="177"/>
  <c r="Y95" i="177"/>
  <c r="S95" i="177"/>
  <c r="M95" i="177"/>
  <c r="G95" i="177"/>
  <c r="Y94" i="177"/>
  <c r="S94" i="177"/>
  <c r="M94" i="177"/>
  <c r="G94" i="177"/>
  <c r="X93" i="177"/>
  <c r="W93" i="177"/>
  <c r="V93" i="177"/>
  <c r="U93" i="177"/>
  <c r="T93" i="177"/>
  <c r="R93" i="177"/>
  <c r="Q93" i="177"/>
  <c r="P93" i="177"/>
  <c r="O93" i="177"/>
  <c r="N93" i="177"/>
  <c r="L93" i="177"/>
  <c r="K93" i="177"/>
  <c r="J93" i="177"/>
  <c r="I93" i="177"/>
  <c r="H93" i="177"/>
  <c r="F93" i="177"/>
  <c r="Y92" i="177"/>
  <c r="S92" i="177"/>
  <c r="M92" i="177"/>
  <c r="G92" i="177"/>
  <c r="Y91" i="177"/>
  <c r="S91" i="177"/>
  <c r="M91" i="177"/>
  <c r="G91" i="177"/>
  <c r="Y90" i="177"/>
  <c r="S90" i="177"/>
  <c r="M90" i="177"/>
  <c r="G90" i="177"/>
  <c r="Y89" i="177"/>
  <c r="S89" i="177"/>
  <c r="M89" i="177"/>
  <c r="G89" i="177"/>
  <c r="X88" i="177"/>
  <c r="W88" i="177"/>
  <c r="V88" i="177"/>
  <c r="U88" i="177"/>
  <c r="T88" i="177"/>
  <c r="R88" i="177"/>
  <c r="Q88" i="177"/>
  <c r="P88" i="177"/>
  <c r="O88" i="177"/>
  <c r="N88" i="177"/>
  <c r="L88" i="177"/>
  <c r="K88" i="177"/>
  <c r="J88" i="177"/>
  <c r="I88" i="177"/>
  <c r="H88" i="177"/>
  <c r="F88" i="177"/>
  <c r="Y87" i="177"/>
  <c r="S87" i="177"/>
  <c r="M87" i="177"/>
  <c r="G87" i="177"/>
  <c r="Y86" i="177"/>
  <c r="S86" i="177"/>
  <c r="M86" i="177"/>
  <c r="G86" i="177"/>
  <c r="Y85" i="177"/>
  <c r="S85" i="177"/>
  <c r="M85" i="177"/>
  <c r="G85" i="177"/>
  <c r="Y84" i="177"/>
  <c r="S84" i="177"/>
  <c r="M84" i="177"/>
  <c r="G84" i="177"/>
  <c r="X83" i="177"/>
  <c r="W83" i="177"/>
  <c r="V83" i="177"/>
  <c r="U83" i="177"/>
  <c r="T83" i="177"/>
  <c r="R83" i="177"/>
  <c r="Q83" i="177"/>
  <c r="P83" i="177"/>
  <c r="O83" i="177"/>
  <c r="N83" i="177"/>
  <c r="L83" i="177"/>
  <c r="F83" i="177"/>
  <c r="Y82" i="177"/>
  <c r="S82" i="177"/>
  <c r="M82" i="177"/>
  <c r="G82" i="177"/>
  <c r="Y81" i="177"/>
  <c r="S81" i="177"/>
  <c r="M81" i="177"/>
  <c r="G81" i="177"/>
  <c r="Y80" i="177"/>
  <c r="S80" i="177"/>
  <c r="M80" i="177"/>
  <c r="G80" i="177"/>
  <c r="Y79" i="177"/>
  <c r="S79" i="177"/>
  <c r="M79" i="177"/>
  <c r="G79" i="177"/>
  <c r="X78" i="177"/>
  <c r="W78" i="177"/>
  <c r="V78" i="177"/>
  <c r="U78" i="177"/>
  <c r="T78" i="177"/>
  <c r="R78" i="177"/>
  <c r="Q78" i="177"/>
  <c r="P78" i="177"/>
  <c r="O78" i="177"/>
  <c r="N78" i="177"/>
  <c r="L78" i="177"/>
  <c r="F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N73" i="177"/>
  <c r="L73" i="177"/>
  <c r="F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N68" i="177"/>
  <c r="L68" i="177"/>
  <c r="F68" i="177"/>
  <c r="Y67" i="177"/>
  <c r="S67" i="177"/>
  <c r="M67" i="177"/>
  <c r="G67" i="177"/>
  <c r="Y66" i="177"/>
  <c r="S66" i="177"/>
  <c r="M66" i="177"/>
  <c r="G66" i="177"/>
  <c r="Y65" i="177"/>
  <c r="S65" i="177"/>
  <c r="M65" i="177"/>
  <c r="G65" i="177"/>
  <c r="Y64" i="177"/>
  <c r="S64" i="177"/>
  <c r="M64" i="177"/>
  <c r="G64" i="177"/>
  <c r="X63" i="177"/>
  <c r="W63" i="177"/>
  <c r="V63" i="177"/>
  <c r="U63" i="177"/>
  <c r="T63" i="177"/>
  <c r="R63" i="177"/>
  <c r="Q63" i="177"/>
  <c r="P63" i="177"/>
  <c r="O63" i="177"/>
  <c r="N63" i="177"/>
  <c r="L63" i="177"/>
  <c r="F63" i="177"/>
  <c r="Y62" i="177"/>
  <c r="S62" i="177"/>
  <c r="M62" i="177"/>
  <c r="G62" i="177"/>
  <c r="Y61" i="177"/>
  <c r="S61" i="177"/>
  <c r="M61" i="177"/>
  <c r="G61" i="177"/>
  <c r="Y60" i="177"/>
  <c r="S60" i="177"/>
  <c r="M60" i="177"/>
  <c r="G60" i="177"/>
  <c r="Y59" i="177"/>
  <c r="S59" i="177"/>
  <c r="M59" i="177"/>
  <c r="G59" i="177"/>
  <c r="R58" i="177"/>
  <c r="Q58" i="177"/>
  <c r="P58" i="177"/>
  <c r="O58" i="177"/>
  <c r="N58" i="177"/>
  <c r="L58" i="177"/>
  <c r="F58" i="177"/>
  <c r="Y57" i="177"/>
  <c r="S57" i="177"/>
  <c r="M57" i="177"/>
  <c r="G57" i="177"/>
  <c r="Y56" i="177"/>
  <c r="S56" i="177"/>
  <c r="M56" i="177"/>
  <c r="G56" i="177"/>
  <c r="Y55" i="177"/>
  <c r="S55" i="177"/>
  <c r="M55" i="177"/>
  <c r="G55" i="177"/>
  <c r="Y54" i="177"/>
  <c r="S54" i="177"/>
  <c r="M54" i="177"/>
  <c r="G54" i="177"/>
  <c r="X53" i="177"/>
  <c r="W53" i="177"/>
  <c r="V53" i="177"/>
  <c r="U53" i="177"/>
  <c r="T53" i="177"/>
  <c r="R53" i="177"/>
  <c r="Q53" i="177"/>
  <c r="P53" i="177"/>
  <c r="O53" i="177"/>
  <c r="N53" i="177"/>
  <c r="L53" i="177"/>
  <c r="F53" i="177"/>
  <c r="Y52" i="177"/>
  <c r="S52" i="177"/>
  <c r="M52" i="177"/>
  <c r="G52" i="177"/>
  <c r="Y51" i="177"/>
  <c r="S51" i="177"/>
  <c r="M51" i="177"/>
  <c r="G51" i="177"/>
  <c r="Y50" i="177"/>
  <c r="S50" i="177"/>
  <c r="M50" i="177"/>
  <c r="G50" i="177"/>
  <c r="Y49" i="177"/>
  <c r="S49" i="177"/>
  <c r="M49" i="177"/>
  <c r="G49" i="177"/>
  <c r="X48" i="177"/>
  <c r="W48" i="177"/>
  <c r="V48" i="177"/>
  <c r="U48" i="177"/>
  <c r="T48" i="177"/>
  <c r="R48" i="177"/>
  <c r="Q48" i="177"/>
  <c r="P48" i="177"/>
  <c r="O48" i="177"/>
  <c r="N48" i="177"/>
  <c r="L48" i="177"/>
  <c r="F48" i="177"/>
  <c r="Y47" i="177"/>
  <c r="S47" i="177"/>
  <c r="M47" i="177"/>
  <c r="G47" i="177"/>
  <c r="Y46" i="177"/>
  <c r="S46" i="177"/>
  <c r="M46" i="177"/>
  <c r="G46" i="177"/>
  <c r="Y45" i="177"/>
  <c r="S45" i="177"/>
  <c r="M45" i="177"/>
  <c r="G45" i="177"/>
  <c r="Y44" i="177"/>
  <c r="S44" i="177"/>
  <c r="M44" i="177"/>
  <c r="G44" i="177"/>
  <c r="X43" i="177"/>
  <c r="W43" i="177"/>
  <c r="V43" i="177"/>
  <c r="U43" i="177"/>
  <c r="T43" i="177"/>
  <c r="R43" i="177"/>
  <c r="Q43" i="177"/>
  <c r="P43" i="177"/>
  <c r="O43" i="177"/>
  <c r="N43" i="177"/>
  <c r="L43" i="177"/>
  <c r="F43" i="177"/>
  <c r="Y42" i="177"/>
  <c r="S42" i="177"/>
  <c r="M42" i="177"/>
  <c r="G42" i="177"/>
  <c r="Y41" i="177"/>
  <c r="S41" i="177"/>
  <c r="M41" i="177"/>
  <c r="G41" i="177"/>
  <c r="Y40" i="177"/>
  <c r="S40" i="177"/>
  <c r="M40" i="177"/>
  <c r="G40" i="177"/>
  <c r="Y39" i="177"/>
  <c r="S39" i="177"/>
  <c r="M39" i="177"/>
  <c r="G39" i="177"/>
  <c r="X38" i="177"/>
  <c r="W38" i="177"/>
  <c r="V38" i="177"/>
  <c r="U38" i="177"/>
  <c r="T38" i="177"/>
  <c r="R38" i="177"/>
  <c r="Q38" i="177"/>
  <c r="P38" i="177"/>
  <c r="O38" i="177"/>
  <c r="N38" i="177"/>
  <c r="L38" i="177"/>
  <c r="K38" i="177"/>
  <c r="J38" i="177"/>
  <c r="I38" i="177"/>
  <c r="H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G33" i="177"/>
  <c r="F33" i="177"/>
  <c r="E33" i="177"/>
  <c r="D33" i="177"/>
  <c r="C33" i="177"/>
  <c r="B33" i="177"/>
  <c r="Y32" i="177"/>
  <c r="S32" i="177"/>
  <c r="M32" i="177"/>
  <c r="G32" i="177"/>
  <c r="Y31" i="177"/>
  <c r="S31" i="177"/>
  <c r="M31" i="177"/>
  <c r="G31" i="177"/>
  <c r="Y30" i="177"/>
  <c r="S30" i="177"/>
  <c r="M30" i="177"/>
  <c r="G30" i="177"/>
  <c r="Y29" i="177"/>
  <c r="S29" i="177"/>
  <c r="M29" i="177"/>
  <c r="G29" i="177"/>
  <c r="X28" i="177"/>
  <c r="W28" i="177"/>
  <c r="V28" i="177"/>
  <c r="U28" i="177"/>
  <c r="T28" i="177"/>
  <c r="R28" i="177"/>
  <c r="Q28" i="177"/>
  <c r="P28" i="177"/>
  <c r="O28" i="177"/>
  <c r="N28" i="177"/>
  <c r="L28" i="177"/>
  <c r="K28" i="177"/>
  <c r="J28" i="177"/>
  <c r="I28" i="177"/>
  <c r="H28" i="177"/>
  <c r="F28" i="177"/>
  <c r="E28" i="177"/>
  <c r="D28" i="177"/>
  <c r="C28" i="177"/>
  <c r="B28" i="177"/>
  <c r="Y27" i="177"/>
  <c r="S27" i="177"/>
  <c r="M27" i="177"/>
  <c r="G27" i="177"/>
  <c r="Y26" i="177"/>
  <c r="S26" i="177"/>
  <c r="M26" i="177"/>
  <c r="G26" i="177"/>
  <c r="Y25" i="177"/>
  <c r="S25" i="177"/>
  <c r="M25" i="177"/>
  <c r="G25" i="177"/>
  <c r="Y24" i="177"/>
  <c r="S24" i="177"/>
  <c r="M24" i="177"/>
  <c r="G24" i="177"/>
  <c r="G28" i="177" s="1"/>
  <c r="X23" i="177"/>
  <c r="W23" i="177"/>
  <c r="V23" i="177"/>
  <c r="U23" i="177"/>
  <c r="T23" i="177"/>
  <c r="R23" i="177"/>
  <c r="Q23" i="177"/>
  <c r="P23" i="177"/>
  <c r="O23" i="177"/>
  <c r="N23" i="177"/>
  <c r="L23" i="177"/>
  <c r="K23" i="177"/>
  <c r="J23" i="177"/>
  <c r="I23" i="177"/>
  <c r="H23" i="177"/>
  <c r="F23" i="177"/>
  <c r="E23" i="177"/>
  <c r="D23" i="177"/>
  <c r="C23" i="177"/>
  <c r="B23" i="177"/>
  <c r="Y22" i="177"/>
  <c r="S22" i="177"/>
  <c r="M22" i="177"/>
  <c r="G22" i="177"/>
  <c r="Y21" i="177"/>
  <c r="S21" i="177"/>
  <c r="M21" i="177"/>
  <c r="G21" i="177"/>
  <c r="Y20" i="177"/>
  <c r="S20" i="177"/>
  <c r="M20" i="177"/>
  <c r="G20" i="177"/>
  <c r="Y19" i="177"/>
  <c r="S19" i="177"/>
  <c r="M19" i="177"/>
  <c r="M23" i="177" s="1"/>
  <c r="G19" i="177"/>
  <c r="G23" i="177" s="1"/>
  <c r="X18" i="177"/>
  <c r="W18" i="177"/>
  <c r="V18" i="177"/>
  <c r="U18" i="177"/>
  <c r="T18" i="177"/>
  <c r="R18" i="177"/>
  <c r="Q18" i="177"/>
  <c r="P18" i="177"/>
  <c r="O18" i="177"/>
  <c r="N18" i="177"/>
  <c r="L18" i="177"/>
  <c r="K18" i="177"/>
  <c r="J18" i="177"/>
  <c r="I18" i="177"/>
  <c r="H18" i="177"/>
  <c r="F18" i="177"/>
  <c r="E18" i="177"/>
  <c r="D18" i="177"/>
  <c r="C18" i="177"/>
  <c r="B18" i="177"/>
  <c r="Y17" i="177"/>
  <c r="S17" i="177"/>
  <c r="M17" i="177"/>
  <c r="G17" i="177"/>
  <c r="Y16" i="177"/>
  <c r="S16" i="177"/>
  <c r="M16" i="177"/>
  <c r="G16" i="177"/>
  <c r="Y15" i="177"/>
  <c r="S15" i="177"/>
  <c r="M15" i="177"/>
  <c r="G15" i="177"/>
  <c r="Y14" i="177"/>
  <c r="S14" i="177"/>
  <c r="M14" i="177"/>
  <c r="M18" i="177" s="1"/>
  <c r="G14" i="177"/>
  <c r="G18" i="177" s="1"/>
  <c r="X13" i="177"/>
  <c r="W13" i="177"/>
  <c r="V13" i="177"/>
  <c r="U13" i="177"/>
  <c r="T13" i="177"/>
  <c r="R13" i="177"/>
  <c r="Q13" i="177"/>
  <c r="P13" i="177"/>
  <c r="O13" i="177"/>
  <c r="N13" i="177"/>
  <c r="L13" i="177"/>
  <c r="K13" i="177"/>
  <c r="J13" i="177"/>
  <c r="I13" i="177"/>
  <c r="H13" i="177"/>
  <c r="F13" i="177"/>
  <c r="E13" i="177"/>
  <c r="D13" i="177"/>
  <c r="C13" i="177"/>
  <c r="B13" i="177"/>
  <c r="Y12" i="177"/>
  <c r="S12" i="177"/>
  <c r="M12" i="177"/>
  <c r="G12" i="177"/>
  <c r="Y11" i="177"/>
  <c r="S11" i="177"/>
  <c r="M11" i="177"/>
  <c r="G11" i="177"/>
  <c r="Y10" i="177"/>
  <c r="S10" i="177"/>
  <c r="M10" i="177"/>
  <c r="G10" i="177"/>
  <c r="Y9" i="177"/>
  <c r="S9" i="177"/>
  <c r="M9" i="177"/>
  <c r="M13" i="177" s="1"/>
  <c r="G9" i="177"/>
  <c r="G13" i="177" s="1"/>
  <c r="X8" i="177"/>
  <c r="W8" i="177"/>
  <c r="V8" i="177"/>
  <c r="U8" i="177"/>
  <c r="T8" i="177"/>
  <c r="R8" i="177"/>
  <c r="Q8" i="177"/>
  <c r="P8" i="177"/>
  <c r="O8" i="177"/>
  <c r="N8" i="177"/>
  <c r="L8" i="177"/>
  <c r="K8" i="177"/>
  <c r="J8" i="177"/>
  <c r="I8" i="177"/>
  <c r="H8" i="177"/>
  <c r="F8" i="177"/>
  <c r="E8" i="177"/>
  <c r="D8" i="177"/>
  <c r="C8" i="177"/>
  <c r="Y7" i="177"/>
  <c r="S7" i="177"/>
  <c r="M7" i="177"/>
  <c r="G7" i="177"/>
  <c r="Y6" i="177"/>
  <c r="S6" i="177"/>
  <c r="M6" i="177"/>
  <c r="G6" i="177"/>
  <c r="Y5" i="177"/>
  <c r="S5" i="177"/>
  <c r="M5" i="177"/>
  <c r="G5" i="177"/>
  <c r="Y4" i="177"/>
  <c r="S4" i="177"/>
  <c r="M4" i="177"/>
  <c r="M8" i="177" s="1"/>
  <c r="G88" i="177" l="1"/>
  <c r="G98" i="177"/>
  <c r="S98" i="177"/>
  <c r="G93" i="177"/>
  <c r="G83" i="177"/>
  <c r="M28" i="177"/>
  <c r="G63" i="177"/>
  <c r="M83" i="177"/>
  <c r="S118" i="177"/>
  <c r="M88" i="177"/>
  <c r="S123" i="177"/>
  <c r="M33" i="177"/>
  <c r="Y83" i="177"/>
  <c r="M93" i="177"/>
  <c r="Y13" i="177"/>
  <c r="S18" i="177"/>
  <c r="Y68" i="177"/>
  <c r="Y88" i="177"/>
  <c r="M98" i="177"/>
  <c r="S8" i="177"/>
  <c r="S23" i="177"/>
  <c r="Y93" i="177"/>
  <c r="M103" i="177"/>
  <c r="S13" i="177"/>
  <c r="Y8" i="177"/>
  <c r="Y23" i="177"/>
  <c r="S28" i="177"/>
  <c r="S83" i="177"/>
  <c r="Y98" i="177"/>
  <c r="M108" i="177"/>
  <c r="Y18" i="177"/>
  <c r="Y28" i="177"/>
  <c r="S33" i="177"/>
  <c r="S48" i="177"/>
  <c r="S88" i="177"/>
  <c r="Y103" i="177"/>
  <c r="M113" i="177"/>
  <c r="Y33" i="177"/>
  <c r="S93" i="177"/>
  <c r="Y108" i="177"/>
  <c r="M118" i="177"/>
  <c r="Y78" i="177"/>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6" i="179"/>
  <c r="K9" i="185"/>
  <c r="J28" i="196" l="1"/>
  <c r="J32" i="181"/>
  <c r="S5" i="193" l="1"/>
  <c r="P5" i="193"/>
  <c r="N5" i="193"/>
  <c r="K5" i="193"/>
  <c r="L1" i="193"/>
  <c r="M4" i="183"/>
  <c r="BL4" i="187"/>
  <c r="F32" i="192"/>
  <c r="P8" i="178"/>
  <c r="I21" i="193" l="1"/>
  <c r="J1" i="189" l="1"/>
  <c r="N7" i="189" s="1"/>
  <c r="J1" i="176"/>
  <c r="N7" i="176" s="1"/>
  <c r="G39" i="179" l="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I23" i="193"/>
  <c r="I22" i="193"/>
  <c r="I20" i="193"/>
  <c r="I19" i="193"/>
  <c r="I18" i="193"/>
  <c r="I17" i="193"/>
  <c r="I14" i="193"/>
  <c r="I15" i="193"/>
  <c r="I16" i="193"/>
  <c r="I24" i="193"/>
  <c r="I25" i="193" l="1"/>
  <c r="J26" i="193"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F4" i="190"/>
  <c r="E4" i="190"/>
  <c r="D4" i="190"/>
  <c r="C4" i="190"/>
  <c r="I104" i="190" l="1"/>
  <c r="F125" i="190"/>
  <c r="F25" i="188" s="1"/>
  <c r="M105" i="190"/>
  <c r="S109" i="190"/>
  <c r="AA136" i="190"/>
  <c r="AA36" i="188" s="1"/>
  <c r="L178" i="190"/>
  <c r="L78" i="188" s="1"/>
  <c r="AA181" i="190"/>
  <c r="AA81"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58" i="188" s="1"/>
  <c r="E163" i="190"/>
  <c r="AA163" i="190"/>
  <c r="AA63" i="188" s="1"/>
  <c r="Y167" i="190"/>
  <c r="Y67" i="188" s="1"/>
  <c r="I168" i="190"/>
  <c r="M110" i="190"/>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C51" i="187" s="1"/>
  <c r="K149" i="190"/>
  <c r="D150" i="190"/>
  <c r="D50" i="188" s="1"/>
  <c r="I151" i="190"/>
  <c r="B152" i="190"/>
  <c r="D166" i="190"/>
  <c r="D66" i="188" s="1"/>
  <c r="N166" i="190"/>
  <c r="I167" i="190"/>
  <c r="F171" i="190"/>
  <c r="F71" i="188" s="1"/>
  <c r="D173" i="190"/>
  <c r="D73" i="188" s="1"/>
  <c r="I178" i="190"/>
  <c r="C179" i="190"/>
  <c r="C79" i="188" s="1"/>
  <c r="F182" i="190"/>
  <c r="F82" i="188" s="1"/>
  <c r="C85" i="187" s="1"/>
  <c r="K185" i="190"/>
  <c r="E186" i="190"/>
  <c r="E86" i="188" s="1"/>
  <c r="C188" i="190"/>
  <c r="C88" i="188" s="1"/>
  <c r="M188" i="190"/>
  <c r="M88" i="188" s="1"/>
  <c r="F189" i="190"/>
  <c r="F89" i="188" s="1"/>
  <c r="C92" i="187"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F108" i="190"/>
  <c r="F8" i="188" s="1"/>
  <c r="C11" i="187"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C91" i="187" s="1"/>
  <c r="F122" i="190"/>
  <c r="F22" i="188" s="1"/>
  <c r="C25" i="187"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E139" i="190"/>
  <c r="E39" i="188" s="1"/>
  <c r="F144" i="190"/>
  <c r="F44" i="188" s="1"/>
  <c r="B145" i="190"/>
  <c r="F146" i="190"/>
  <c r="F46" i="188" s="1"/>
  <c r="C49" i="187"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C86" i="187" s="1"/>
  <c r="F185" i="190"/>
  <c r="F85" i="188" s="1"/>
  <c r="C88" i="187" s="1"/>
  <c r="E187" i="190"/>
  <c r="E87" i="188" s="1"/>
  <c r="B191" i="190"/>
  <c r="F199" i="190"/>
  <c r="F99" i="188" s="1"/>
  <c r="G165" i="190"/>
  <c r="G145" i="190"/>
  <c r="G136" i="190"/>
  <c r="G126" i="190"/>
  <c r="C107" i="190"/>
  <c r="C7" i="188" s="1"/>
  <c r="C109" i="190"/>
  <c r="C9" i="188" s="1"/>
  <c r="F110" i="190"/>
  <c r="F10" i="188" s="1"/>
  <c r="C13" i="187"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C61" i="187" s="1"/>
  <c r="B159" i="190"/>
  <c r="F160" i="190"/>
  <c r="F60" i="188" s="1"/>
  <c r="C63" i="187" s="1"/>
  <c r="D162" i="190"/>
  <c r="D62" i="188" s="1"/>
  <c r="B164" i="190"/>
  <c r="F165" i="190"/>
  <c r="F65" i="188" s="1"/>
  <c r="C68" i="187"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C52" i="187" s="1"/>
  <c r="F172" i="190"/>
  <c r="F72" i="188" s="1"/>
  <c r="C75" i="187" s="1"/>
  <c r="B186" i="190"/>
  <c r="F192" i="190"/>
  <c r="F92" i="188" s="1"/>
  <c r="D196" i="190"/>
  <c r="D96" i="188" s="1"/>
  <c r="G113" i="190"/>
  <c r="D105" i="190"/>
  <c r="D5" i="188" s="1"/>
  <c r="D107" i="190"/>
  <c r="D7" i="188" s="1"/>
  <c r="D109" i="190"/>
  <c r="D9" i="188" s="1"/>
  <c r="B111" i="190"/>
  <c r="F112" i="190"/>
  <c r="F12" i="188" s="1"/>
  <c r="C15" i="187"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C70" i="187" s="1"/>
  <c r="E169" i="190"/>
  <c r="E69" i="188" s="1"/>
  <c r="E171" i="190"/>
  <c r="E71" i="188" s="1"/>
  <c r="C173" i="190"/>
  <c r="C73" i="188" s="1"/>
  <c r="F174" i="190"/>
  <c r="F74" i="188" s="1"/>
  <c r="B175" i="190"/>
  <c r="F176" i="190"/>
  <c r="F76" i="188" s="1"/>
  <c r="C79" i="187" s="1"/>
  <c r="B177" i="190"/>
  <c r="F178" i="190"/>
  <c r="F78" i="188"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C83" i="187" s="1"/>
  <c r="B181" i="190"/>
  <c r="E184" i="190"/>
  <c r="E84" i="188" s="1"/>
  <c r="E191" i="190"/>
  <c r="E91" i="188" s="1"/>
  <c r="C195" i="190"/>
  <c r="C95" i="188" s="1"/>
  <c r="F198" i="190"/>
  <c r="F98" i="188" s="1"/>
  <c r="F105" i="190"/>
  <c r="F5" i="188" s="1"/>
  <c r="C8" i="187" s="1"/>
  <c r="B106" i="190"/>
  <c r="F107" i="190"/>
  <c r="F7" i="188" s="1"/>
  <c r="C10" i="187" s="1"/>
  <c r="B108" i="190"/>
  <c r="F109" i="190"/>
  <c r="F9" i="188" s="1"/>
  <c r="C12" i="187" s="1"/>
  <c r="D111" i="190"/>
  <c r="D11" i="188" s="1"/>
  <c r="C113" i="190"/>
  <c r="C13" i="188" s="1"/>
  <c r="C115" i="190"/>
  <c r="C15" i="188" s="1"/>
  <c r="F116" i="190"/>
  <c r="F16" i="188" s="1"/>
  <c r="C19" i="187" s="1"/>
  <c r="B117" i="190"/>
  <c r="F118" i="190"/>
  <c r="F18" i="188" s="1"/>
  <c r="C21" i="187"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C56" i="187"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C87" i="187" s="1"/>
  <c r="B185" i="190"/>
  <c r="F186" i="190"/>
  <c r="F86" i="188" s="1"/>
  <c r="C89" i="187" s="1"/>
  <c r="D188" i="190"/>
  <c r="D88" i="188" s="1"/>
  <c r="B190" i="190"/>
  <c r="F191" i="190"/>
  <c r="F91" i="188" s="1"/>
  <c r="C94" i="187"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C23" i="187"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C53" i="187" s="1"/>
  <c r="D152" i="190"/>
  <c r="D52" i="188" s="1"/>
  <c r="C154" i="190"/>
  <c r="C54" i="188" s="1"/>
  <c r="F155" i="190"/>
  <c r="F55" i="188" s="1"/>
  <c r="C58" i="187" s="1"/>
  <c r="B156" i="190"/>
  <c r="F157" i="190"/>
  <c r="F57" i="188" s="1"/>
  <c r="C60" i="187" s="1"/>
  <c r="B158" i="190"/>
  <c r="F159" i="190"/>
  <c r="F59" i="188" s="1"/>
  <c r="B160" i="190"/>
  <c r="E161" i="190"/>
  <c r="E61" i="188" s="1"/>
  <c r="B163" i="190"/>
  <c r="F164" i="190"/>
  <c r="F64" i="188" s="1"/>
  <c r="C67" i="187" s="1"/>
  <c r="B165" i="190"/>
  <c r="F166" i="190"/>
  <c r="F66" i="188" s="1"/>
  <c r="C69" i="187" s="1"/>
  <c r="D168" i="190"/>
  <c r="D68" i="188" s="1"/>
  <c r="D170" i="190"/>
  <c r="D70" i="188" s="1"/>
  <c r="C172" i="190"/>
  <c r="C72" i="188" s="1"/>
  <c r="F173" i="190"/>
  <c r="F73" i="188" s="1"/>
  <c r="C76" i="187" s="1"/>
  <c r="E179" i="190"/>
  <c r="E79" i="188" s="1"/>
  <c r="D181" i="190"/>
  <c r="D81" i="188" s="1"/>
  <c r="C185" i="190"/>
  <c r="C85" i="188" s="1"/>
  <c r="B187" i="190"/>
  <c r="E188" i="190"/>
  <c r="E88" i="188" s="1"/>
  <c r="C192" i="190"/>
  <c r="C92" i="188" s="1"/>
  <c r="F193" i="190"/>
  <c r="F93" i="188" s="1"/>
  <c r="C96" i="187" s="1"/>
  <c r="E195" i="190"/>
  <c r="E95" i="188" s="1"/>
  <c r="C199" i="190"/>
  <c r="C99" i="188" s="1"/>
  <c r="G191" i="190"/>
  <c r="G178" i="190"/>
  <c r="G168" i="190"/>
  <c r="G159" i="190"/>
  <c r="G149" i="190"/>
  <c r="G129" i="190"/>
  <c r="G108" i="190"/>
  <c r="E197" i="190"/>
  <c r="E97" i="188" s="1"/>
  <c r="E104" i="190"/>
  <c r="D197" i="190"/>
  <c r="D97" i="188" s="1"/>
  <c r="D104" i="190"/>
  <c r="D4" i="188" s="1"/>
  <c r="F197" i="190"/>
  <c r="F97" i="188" s="1"/>
  <c r="C100" i="187" s="1"/>
  <c r="F104" i="190"/>
  <c r="F4" i="188" s="1"/>
  <c r="C7" i="187"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F6" i="188"/>
  <c r="E63" i="188"/>
  <c r="E56"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C81" i="187" l="1"/>
  <c r="C80" i="187"/>
  <c r="C72" i="187"/>
  <c r="C65" i="187"/>
  <c r="C62" i="187"/>
  <c r="C54" i="187"/>
  <c r="C47" i="187"/>
  <c r="C48" i="187"/>
  <c r="C37" i="187"/>
  <c r="C90" i="187"/>
  <c r="C16" i="187"/>
  <c r="C84" i="187"/>
  <c r="C78" i="187"/>
  <c r="C71" i="187"/>
  <c r="C20" i="187"/>
  <c r="C57" i="187"/>
  <c r="C66" i="187"/>
  <c r="C26" i="187"/>
  <c r="C22" i="187"/>
  <c r="C82" i="187"/>
  <c r="C17" i="187"/>
  <c r="C73" i="187"/>
  <c r="C55" i="187"/>
  <c r="C39" i="187"/>
  <c r="C18" i="187"/>
  <c r="C46" i="187"/>
  <c r="C99" i="187"/>
  <c r="C95" i="187"/>
  <c r="C59" i="187"/>
  <c r="C9" i="187"/>
  <c r="C102" i="187"/>
  <c r="C93" i="187"/>
  <c r="C27" i="187"/>
  <c r="C101" i="187"/>
  <c r="C97" i="187"/>
  <c r="C74" i="187"/>
  <c r="C50" i="187"/>
  <c r="C28" i="187"/>
  <c r="C32" i="187"/>
  <c r="C64" i="187"/>
  <c r="C33" i="187"/>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C14" i="187" s="1"/>
  <c r="S61" i="188"/>
  <c r="S54" i="188"/>
  <c r="T74" i="188"/>
  <c r="C77" i="187" s="1"/>
  <c r="Z89" i="188"/>
  <c r="Y5" i="188"/>
  <c r="S5" i="188"/>
  <c r="T21" i="188"/>
  <c r="C24" i="187" s="1"/>
  <c r="S13" i="188"/>
  <c r="Z70" i="188"/>
  <c r="AA51" i="188"/>
  <c r="Z27" i="188"/>
  <c r="S74" i="188"/>
  <c r="S26" i="188"/>
  <c r="S9" i="188"/>
  <c r="T95" i="188"/>
  <c r="C98" i="187" s="1"/>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I235" i="182"/>
  <c r="K212" i="182"/>
  <c r="K228" i="182"/>
  <c r="K155" i="182"/>
  <c r="L105" i="189" l="1"/>
  <c r="L103" i="189"/>
  <c r="B12" i="185"/>
  <c r="D12" i="185"/>
  <c r="B13" i="185"/>
  <c r="B7" i="185"/>
  <c r="B6" i="185"/>
  <c r="B5" i="178"/>
  <c r="B6" i="178"/>
  <c r="M103" i="189" l="1"/>
  <c r="B94" i="188" s="1"/>
  <c r="G94" i="188" s="1"/>
  <c r="C104" i="185"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6" i="188" l="1"/>
  <c r="G96" i="188" s="1"/>
  <c r="C106" i="185" s="1"/>
  <c r="M104" i="189"/>
  <c r="B95" i="188" s="1"/>
  <c r="G95" i="188" s="1"/>
  <c r="C105" i="185" s="1"/>
  <c r="N104" i="189"/>
  <c r="I31" i="184"/>
  <c r="G31" i="184"/>
  <c r="E31" i="184"/>
  <c r="K31" i="184"/>
  <c r="G40" i="184" l="1"/>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109" i="182" l="1"/>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J26" i="176"/>
  <c r="L26" i="176" s="1"/>
  <c r="M26" i="176" s="1"/>
  <c r="N26" i="176" s="1"/>
  <c r="I97" i="182"/>
  <c r="J28" i="176"/>
  <c r="L28" i="176" s="1"/>
  <c r="I104" i="182"/>
  <c r="I59" i="182"/>
  <c r="J98" i="176"/>
  <c r="L98" i="176" s="1"/>
  <c r="J71" i="176"/>
  <c r="L71"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K45" i="182"/>
  <c r="J73" i="176"/>
  <c r="L73" i="176" s="1"/>
  <c r="I100" i="182"/>
  <c r="I92" i="182"/>
  <c r="J65" i="176"/>
  <c r="L65" i="176" s="1"/>
  <c r="M65" i="176" s="1"/>
  <c r="J90" i="182"/>
  <c r="J63" i="176" s="1"/>
  <c r="L63" i="176" s="1"/>
  <c r="M63" i="176" s="1"/>
  <c r="K60" i="182"/>
  <c r="I60" i="182" s="1"/>
  <c r="J88" i="182"/>
  <c r="K83" i="182"/>
  <c r="K46" i="182"/>
  <c r="I46" i="182" s="1"/>
  <c r="K42" i="182"/>
  <c r="K96" i="182"/>
  <c r="I96" i="182" s="1"/>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42" i="176" s="1"/>
  <c r="L42" i="176" s="1"/>
  <c r="M42" i="176" s="1"/>
  <c r="J107" i="182"/>
  <c r="I107" i="182" s="1"/>
  <c r="K99" i="182"/>
  <c r="J101" i="182"/>
  <c r="J134" i="182"/>
  <c r="I125" i="182"/>
  <c r="J132" i="182"/>
  <c r="J108" i="182"/>
  <c r="J81" i="176" s="1"/>
  <c r="L81" i="176" s="1"/>
  <c r="M81" i="176" s="1"/>
  <c r="J68" i="182"/>
  <c r="J64" i="182"/>
  <c r="J77" i="176"/>
  <c r="L77" i="176" s="1"/>
  <c r="M77" i="176" s="1"/>
  <c r="J86" i="182"/>
  <c r="J119" i="182"/>
  <c r="J92" i="176" s="1"/>
  <c r="L92" i="176" s="1"/>
  <c r="M92" i="176" s="1"/>
  <c r="K80" i="182"/>
  <c r="J49" i="182"/>
  <c r="J22" i="176" s="1"/>
  <c r="L22" i="176" s="1"/>
  <c r="M22" i="176" s="1"/>
  <c r="J79" i="182"/>
  <c r="K88" i="182"/>
  <c r="I53" i="182"/>
  <c r="K124" i="182"/>
  <c r="J94" i="176"/>
  <c r="L94" i="176" s="1"/>
  <c r="M94" i="176" s="1"/>
  <c r="I121" i="182"/>
  <c r="K56" i="182"/>
  <c r="J109" i="182"/>
  <c r="J82" i="176" s="1"/>
  <c r="L82" i="176" s="1"/>
  <c r="M82" i="176" s="1"/>
  <c r="K44" i="182"/>
  <c r="K65" i="182"/>
  <c r="J38" i="176" s="1"/>
  <c r="L38" i="176" s="1"/>
  <c r="M38" i="176" s="1"/>
  <c r="J124" i="182"/>
  <c r="K81" i="182"/>
  <c r="J48" i="182"/>
  <c r="J118" i="182"/>
  <c r="J91" i="176" s="1"/>
  <c r="L91" i="176" s="1"/>
  <c r="M91" i="176" s="1"/>
  <c r="J110" i="182"/>
  <c r="K129" i="182"/>
  <c r="K106" i="182"/>
  <c r="K131" i="182"/>
  <c r="J85" i="182"/>
  <c r="J56" i="182"/>
  <c r="I72" i="182"/>
  <c r="J45" i="176"/>
  <c r="L45" i="176" s="1"/>
  <c r="M45" i="176" s="1"/>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I111" i="182" l="1"/>
  <c r="I79" i="182"/>
  <c r="I69" i="182"/>
  <c r="J62" i="176"/>
  <c r="L62" i="176" s="1"/>
  <c r="M62" i="176" s="1"/>
  <c r="J69" i="176"/>
  <c r="L69" i="176" s="1"/>
  <c r="M69" i="176" s="1"/>
  <c r="I73" i="182"/>
  <c r="J59" i="176"/>
  <c r="L59" i="176" s="1"/>
  <c r="M59" i="176" s="1"/>
  <c r="N59" i="176" s="1"/>
  <c r="I85" i="182"/>
  <c r="P17" i="188"/>
  <c r="U17" i="188" s="1"/>
  <c r="B27" i="185" s="1"/>
  <c r="I65" i="182"/>
  <c r="J107" i="176"/>
  <c r="L107" i="176" s="1"/>
  <c r="M107" i="176" s="1"/>
  <c r="P98" i="188" s="1"/>
  <c r="U98" i="188" s="1"/>
  <c r="I71" i="182"/>
  <c r="I133" i="182"/>
  <c r="J74" i="176"/>
  <c r="L74" i="176" s="1"/>
  <c r="M74" i="176" s="1"/>
  <c r="P65" i="188" s="1"/>
  <c r="U65" i="188" s="1"/>
  <c r="J33" i="176"/>
  <c r="L33" i="176" s="1"/>
  <c r="I124" i="182"/>
  <c r="J18" i="176"/>
  <c r="L18" i="176" s="1"/>
  <c r="I106" i="182"/>
  <c r="J89" i="176"/>
  <c r="L89" i="176" s="1"/>
  <c r="M89" i="176" s="1"/>
  <c r="P80" i="188" s="1"/>
  <c r="U80" i="188" s="1"/>
  <c r="I64" i="182"/>
  <c r="J27" i="176"/>
  <c r="L27" i="176" s="1"/>
  <c r="M27" i="176" s="1"/>
  <c r="P18" i="188" s="1"/>
  <c r="U18" i="188" s="1"/>
  <c r="J19" i="176"/>
  <c r="L19" i="176" s="1"/>
  <c r="I77" i="182"/>
  <c r="J85" i="176"/>
  <c r="L85" i="176" s="1"/>
  <c r="M85" i="176" s="1"/>
  <c r="N85" i="176" s="1"/>
  <c r="I130" i="182"/>
  <c r="M73" i="176"/>
  <c r="N73" i="176" s="1"/>
  <c r="M98" i="176"/>
  <c r="M33" i="176"/>
  <c r="N33" i="176" s="1"/>
  <c r="M18" i="176"/>
  <c r="N18" i="176" s="1"/>
  <c r="M19" i="176"/>
  <c r="N19" i="176" s="1"/>
  <c r="M44" i="176"/>
  <c r="N44" i="176" s="1"/>
  <c r="M28" i="176"/>
  <c r="M78"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I67" i="182"/>
  <c r="J108" i="176"/>
  <c r="L108" i="176" s="1"/>
  <c r="I99" i="182"/>
  <c r="J104" i="176"/>
  <c r="L104" i="176" s="1"/>
  <c r="I75" i="182"/>
  <c r="I116" i="182"/>
  <c r="P36" i="188"/>
  <c r="U36" i="188" s="1"/>
  <c r="P91" i="188"/>
  <c r="U91" i="188" s="1"/>
  <c r="P82" i="188"/>
  <c r="U82" i="188" s="1"/>
  <c r="P72" i="188"/>
  <c r="U72" i="188" s="1"/>
  <c r="P78" i="188"/>
  <c r="U78" i="188" s="1"/>
  <c r="P13" i="188"/>
  <c r="U13" i="188" s="1"/>
  <c r="P14" i="188"/>
  <c r="U14" i="188" s="1"/>
  <c r="P85" i="188"/>
  <c r="U85" i="188" s="1"/>
  <c r="P83" i="188"/>
  <c r="U83" i="188" s="1"/>
  <c r="P23" i="188"/>
  <c r="U23" i="188" s="1"/>
  <c r="P41" i="188"/>
  <c r="U41" i="188" s="1"/>
  <c r="P54" i="188"/>
  <c r="U54" i="188" s="1"/>
  <c r="P15" i="188"/>
  <c r="U15" i="188" s="1"/>
  <c r="P61" i="188"/>
  <c r="U61" i="188" s="1"/>
  <c r="P68" i="188"/>
  <c r="U68" i="188" s="1"/>
  <c r="P79" i="188"/>
  <c r="U79" i="188" s="1"/>
  <c r="P56" i="188"/>
  <c r="U56" i="188" s="1"/>
  <c r="I95" i="188"/>
  <c r="N95" i="188" s="1"/>
  <c r="P37" i="188"/>
  <c r="U37" i="188" s="1"/>
  <c r="P7" i="188"/>
  <c r="U7" i="188" s="1"/>
  <c r="P50" i="188"/>
  <c r="U50" i="188" s="1"/>
  <c r="P29" i="188"/>
  <c r="U29" i="188" s="1"/>
  <c r="P33" i="188"/>
  <c r="U33" i="188" s="1"/>
  <c r="P73" i="188"/>
  <c r="U73"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N74" i="176" l="1"/>
  <c r="P24" i="188"/>
  <c r="U24" i="188" s="1"/>
  <c r="B34" i="185" s="1"/>
  <c r="P76" i="188"/>
  <c r="U76" i="188" s="1"/>
  <c r="B86" i="185" s="1"/>
  <c r="P75" i="188"/>
  <c r="U75" i="188" s="1"/>
  <c r="B85" i="185" s="1"/>
  <c r="P90" i="188"/>
  <c r="U90" i="188" s="1"/>
  <c r="B100" i="185" s="1"/>
  <c r="P35" i="188"/>
  <c r="U35" i="188" s="1"/>
  <c r="B45" i="185" s="1"/>
  <c r="P12" i="188"/>
  <c r="U12" i="188" s="1"/>
  <c r="B22" i="185" s="1"/>
  <c r="P10" i="188"/>
  <c r="U10" i="188" s="1"/>
  <c r="B20" i="185" s="1"/>
  <c r="P9" i="188"/>
  <c r="U9" i="188" s="1"/>
  <c r="B19" i="185" s="1"/>
  <c r="N71" i="176"/>
  <c r="P62" i="188"/>
  <c r="U62" i="188" s="1"/>
  <c r="B72" i="185" s="1"/>
  <c r="N98" i="176"/>
  <c r="P89" i="188"/>
  <c r="U89" i="188" s="1"/>
  <c r="B99" i="185" s="1"/>
  <c r="N69" i="176"/>
  <c r="P60" i="188"/>
  <c r="U60" i="188" s="1"/>
  <c r="B70" i="185" s="1"/>
  <c r="N62" i="176"/>
  <c r="P53" i="188"/>
  <c r="U53" i="188" s="1"/>
  <c r="B63" i="185" s="1"/>
  <c r="P64" i="188"/>
  <c r="U64" i="188" s="1"/>
  <c r="B74" i="185" s="1"/>
  <c r="N78" i="176"/>
  <c r="P69" i="188"/>
  <c r="U69" i="188" s="1"/>
  <c r="B79" i="185" s="1"/>
  <c r="N28" i="176"/>
  <c r="P19" i="188"/>
  <c r="U19" i="188" s="1"/>
  <c r="B29" i="185" s="1"/>
  <c r="M51" i="176"/>
  <c r="N51" i="176" s="1"/>
  <c r="M80" i="176"/>
  <c r="N80" i="176" s="1"/>
  <c r="M106" i="176"/>
  <c r="M36" i="176"/>
  <c r="N36" i="176" s="1"/>
  <c r="M108" i="176"/>
  <c r="M83" i="176"/>
  <c r="N83" i="176" s="1"/>
  <c r="M105" i="176"/>
  <c r="N105" i="176" s="1"/>
  <c r="M104" i="176"/>
  <c r="W95" i="188" s="1"/>
  <c r="AB95" i="188" s="1"/>
  <c r="E105" i="185" s="1"/>
  <c r="M49" i="176"/>
  <c r="M103" i="176"/>
  <c r="N103" i="176" s="1"/>
  <c r="M52" i="176"/>
  <c r="N52" i="176" s="1"/>
  <c r="N79" i="176"/>
  <c r="P70" i="188"/>
  <c r="U70" i="188" s="1"/>
  <c r="N61" i="176"/>
  <c r="W52" i="188"/>
  <c r="AB52" i="188"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I94" i="188"/>
  <c r="N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P96" i="188" l="1"/>
  <c r="U96" i="188" s="1"/>
  <c r="B106" i="185" s="1"/>
  <c r="P95" i="188"/>
  <c r="U95" i="188" s="1"/>
  <c r="B105" i="185" s="1"/>
  <c r="I105" i="185" s="1"/>
  <c r="C155" i="196" s="1"/>
  <c r="AD155" i="196" s="1"/>
  <c r="P94" i="188"/>
  <c r="U94" i="188" s="1"/>
  <c r="B104" i="185" s="1"/>
  <c r="P71" i="188"/>
  <c r="U71" i="188" s="1"/>
  <c r="B81" i="185" s="1"/>
  <c r="P42" i="188"/>
  <c r="U42" i="188" s="1"/>
  <c r="B52" i="185" s="1"/>
  <c r="P27" i="188"/>
  <c r="U27" i="188" s="1"/>
  <c r="B37" i="185" s="1"/>
  <c r="P74" i="188"/>
  <c r="U74" i="188" s="1"/>
  <c r="B84" i="185" s="1"/>
  <c r="N108" i="176"/>
  <c r="P99" i="188"/>
  <c r="U99" i="188" s="1"/>
  <c r="B109" i="185" s="1"/>
  <c r="N106" i="176"/>
  <c r="P97" i="188"/>
  <c r="U97" i="188" s="1"/>
  <c r="B107" i="185" s="1"/>
  <c r="P43" i="188"/>
  <c r="U43" i="188" s="1"/>
  <c r="B53" i="185" s="1"/>
  <c r="N49" i="176"/>
  <c r="P40" i="188"/>
  <c r="U40" i="188" s="1"/>
  <c r="B50" i="185" s="1"/>
  <c r="N104" i="176"/>
  <c r="W94" i="188"/>
  <c r="AB94" i="188" s="1"/>
  <c r="W96" i="188"/>
  <c r="AB96" i="188"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Y13" i="189"/>
  <c r="AC144" i="182"/>
  <c r="F13" i="189"/>
  <c r="R13" i="189" s="1"/>
  <c r="T13" i="189" s="1"/>
  <c r="R144" i="182" s="1"/>
  <c r="P103" i="188" l="1"/>
  <c r="P102" i="188"/>
  <c r="E106" i="185"/>
  <c r="I106" i="185" s="1"/>
  <c r="C156" i="196" s="1"/>
  <c r="AD156" i="196" s="1"/>
  <c r="E104" i="185"/>
  <c r="I104" i="185" s="1"/>
  <c r="C154" i="196" s="1"/>
  <c r="AD154" i="196" s="1"/>
  <c r="F105" i="185"/>
  <c r="K98" i="192"/>
  <c r="C113" i="178"/>
  <c r="I98" i="192"/>
  <c r="B15" i="185"/>
  <c r="U102" i="188"/>
  <c r="U103" i="188"/>
  <c r="S13" i="189"/>
  <c r="Q144" i="182" s="1"/>
  <c r="AB13" i="189"/>
  <c r="AF144" i="182" s="1"/>
  <c r="AA13" i="189"/>
  <c r="X13" i="189"/>
  <c r="X144" i="182"/>
  <c r="Z144" i="182"/>
  <c r="Y144" i="182"/>
  <c r="Z13" i="189"/>
  <c r="AA144" i="182" s="1"/>
  <c r="W13" i="189"/>
  <c r="W144" i="182"/>
  <c r="V13" i="189"/>
  <c r="U144" i="182" s="1"/>
  <c r="U13" i="189"/>
  <c r="H105" i="185" l="1"/>
  <c r="B155" i="196"/>
  <c r="AB155" i="196" s="1"/>
  <c r="G105" i="185"/>
  <c r="F104" i="185"/>
  <c r="F106" i="185"/>
  <c r="M236" i="182"/>
  <c r="M234" i="182"/>
  <c r="M235" i="182"/>
  <c r="K99" i="192"/>
  <c r="K97" i="192"/>
  <c r="B113" i="178"/>
  <c r="H98" i="192"/>
  <c r="N98" i="192" s="1"/>
  <c r="P98" i="192" s="1"/>
  <c r="B98" i="187"/>
  <c r="C114" i="178"/>
  <c r="C112" i="178"/>
  <c r="I97" i="192"/>
  <c r="I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H106" i="185" l="1"/>
  <c r="B156" i="196"/>
  <c r="AB156" i="196" s="1"/>
  <c r="H104" i="185"/>
  <c r="B154" i="196"/>
  <c r="AB154" i="196" s="1"/>
  <c r="BB98" i="187"/>
  <c r="BC98" i="187" s="1"/>
  <c r="AE98" i="187"/>
  <c r="H98" i="187"/>
  <c r="G98" i="187"/>
  <c r="F98" i="187"/>
  <c r="D98" i="187"/>
  <c r="E98" i="187"/>
  <c r="G106" i="185"/>
  <c r="G104" i="185"/>
  <c r="B99" i="187"/>
  <c r="H97" i="192"/>
  <c r="N97" i="192" s="1"/>
  <c r="P97" i="192" s="1"/>
  <c r="B112" i="178"/>
  <c r="B97" i="187"/>
  <c r="H99" i="192"/>
  <c r="J99" i="192" s="1"/>
  <c r="B114" i="178"/>
  <c r="J98" i="192"/>
  <c r="M98" i="192"/>
  <c r="O98" i="192" s="1"/>
  <c r="N144" i="18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I98" i="187" l="1"/>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I144" i="182"/>
  <c r="J13" i="189"/>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AF97" i="187" l="1"/>
  <c r="I99" i="187"/>
  <c r="I97" i="187"/>
  <c r="AF99" i="187"/>
  <c r="M13" i="189"/>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F38" i="185" s="1"/>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E56" i="185"/>
  <c r="E90" i="185"/>
  <c r="E21" i="185"/>
  <c r="E29" i="185"/>
  <c r="E84" i="185"/>
  <c r="E100" i="185"/>
  <c r="E19" i="185"/>
  <c r="E99" i="185"/>
  <c r="E98" i="185"/>
  <c r="E107" i="185"/>
  <c r="E27" i="185"/>
  <c r="E61" i="185"/>
  <c r="E44" i="185"/>
  <c r="E25" i="185"/>
  <c r="E65" i="185"/>
  <c r="E45" i="185"/>
  <c r="E42" i="185"/>
  <c r="F42" i="185" s="1"/>
  <c r="E78" i="185"/>
  <c r="E52" i="185"/>
  <c r="F52" i="185" s="1"/>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H38" i="185" l="1"/>
  <c r="B88" i="196"/>
  <c r="AB88" i="196" s="1"/>
  <c r="G38" i="185"/>
  <c r="H42" i="185"/>
  <c r="B92" i="196"/>
  <c r="G42" i="185"/>
  <c r="H52" i="185"/>
  <c r="B102" i="196"/>
  <c r="AB102" i="196" s="1"/>
  <c r="G52" i="185"/>
  <c r="B45" i="187"/>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F82" i="185"/>
  <c r="F81" i="185"/>
  <c r="F103" i="185"/>
  <c r="F36" i="185"/>
  <c r="H36" i="185" s="1"/>
  <c r="B31" i="187"/>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B60" i="178"/>
  <c r="H45" i="192"/>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I23" i="185"/>
  <c r="K19" i="192"/>
  <c r="I44" i="185"/>
  <c r="C94" i="196" s="1"/>
  <c r="AD94" i="196" s="1"/>
  <c r="I80" i="185"/>
  <c r="C130" i="196" s="1"/>
  <c r="AD130" i="196" s="1"/>
  <c r="I84" i="185"/>
  <c r="C134" i="196" s="1"/>
  <c r="AD134" i="196" s="1"/>
  <c r="K59" i="192"/>
  <c r="K16"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21" i="192"/>
  <c r="K79" i="192"/>
  <c r="I29" i="185"/>
  <c r="K44" i="192"/>
  <c r="K75" i="192"/>
  <c r="I28" i="185"/>
  <c r="K38" i="192"/>
  <c r="K22" i="192"/>
  <c r="I74" i="185"/>
  <c r="C124" i="196" s="1"/>
  <c r="AD124" i="196" s="1"/>
  <c r="I102" i="185"/>
  <c r="C152" i="196" s="1"/>
  <c r="AD152" i="196" s="1"/>
  <c r="K54" i="192"/>
  <c r="I81" i="185"/>
  <c r="C131" i="196" s="1"/>
  <c r="AD131" i="196" s="1"/>
  <c r="K92" i="192"/>
  <c r="I50" i="185"/>
  <c r="C100" i="196" s="1"/>
  <c r="AD100" i="196" s="1"/>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20" i="192"/>
  <c r="K34" i="192"/>
  <c r="K57" i="192"/>
  <c r="I89" i="185"/>
  <c r="C139" i="196" s="1"/>
  <c r="AD139" i="196" s="1"/>
  <c r="I79" i="185"/>
  <c r="C129" i="196" s="1"/>
  <c r="AD129" i="196" s="1"/>
  <c r="I65" i="185"/>
  <c r="C115" i="196" s="1"/>
  <c r="AD115" i="196" s="1"/>
  <c r="I27" i="185"/>
  <c r="K82" i="192"/>
  <c r="K68" i="192"/>
  <c r="K58" i="192"/>
  <c r="K56" i="192"/>
  <c r="K29" i="192"/>
  <c r="I38" i="185"/>
  <c r="C88" i="196" s="1"/>
  <c r="AD88" i="196" s="1"/>
  <c r="I21" i="185"/>
  <c r="K70" i="192"/>
  <c r="K63" i="192"/>
  <c r="K17" i="192"/>
  <c r="K76" i="192"/>
  <c r="K12" i="192"/>
  <c r="I63" i="185"/>
  <c r="C113" i="196" s="1"/>
  <c r="AD113" i="196" s="1"/>
  <c r="K27" i="192"/>
  <c r="I93" i="185"/>
  <c r="C143" i="196" s="1"/>
  <c r="AD143" i="196" s="1"/>
  <c r="K31" i="192"/>
  <c r="K14"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C102" i="196" s="1"/>
  <c r="AD102" i="196" s="1"/>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22" i="185"/>
  <c r="I90" i="185"/>
  <c r="C140" i="196" s="1"/>
  <c r="AD140" i="196" s="1"/>
  <c r="K26" i="192"/>
  <c r="I77" i="185"/>
  <c r="C127" i="196" s="1"/>
  <c r="AD127" i="196" s="1"/>
  <c r="K84" i="192"/>
  <c r="K15" i="192"/>
  <c r="I24" i="185"/>
  <c r="I57" i="185"/>
  <c r="C107" i="196" s="1"/>
  <c r="AD107" i="196" s="1"/>
  <c r="X147" i="182"/>
  <c r="V17" i="189"/>
  <c r="U148" i="182" s="1"/>
  <c r="AB16" i="189"/>
  <c r="AF147" i="182" s="1"/>
  <c r="Z147" i="182"/>
  <c r="AA16" i="189"/>
  <c r="K96" i="192"/>
  <c r="I103" i="185"/>
  <c r="C153" i="196" s="1"/>
  <c r="AD153" i="196" s="1"/>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H97" i="185" l="1"/>
  <c r="B147" i="196"/>
  <c r="AB147" i="196" s="1"/>
  <c r="H84" i="185"/>
  <c r="B134" i="196"/>
  <c r="AB134" i="196" s="1"/>
  <c r="H57" i="185"/>
  <c r="B107" i="196"/>
  <c r="AB107" i="196" s="1"/>
  <c r="H95" i="185"/>
  <c r="B145" i="196"/>
  <c r="AB145" i="196" s="1"/>
  <c r="H83" i="185"/>
  <c r="B133" i="196"/>
  <c r="AB133" i="196" s="1"/>
  <c r="H77" i="185"/>
  <c r="B127" i="196"/>
  <c r="AB127" i="196" s="1"/>
  <c r="H47" i="185"/>
  <c r="B97" i="196"/>
  <c r="AB97" i="196" s="1"/>
  <c r="H80" i="185"/>
  <c r="B130" i="196"/>
  <c r="AB130" i="196" s="1"/>
  <c r="H61" i="185"/>
  <c r="B111" i="196"/>
  <c r="AB111" i="196" s="1"/>
  <c r="H55" i="185"/>
  <c r="B105" i="196"/>
  <c r="AB105" i="196" s="1"/>
  <c r="H60" i="185"/>
  <c r="B110" i="196"/>
  <c r="AB110" i="196" s="1"/>
  <c r="H54" i="185"/>
  <c r="B104" i="196"/>
  <c r="AB104" i="196" s="1"/>
  <c r="H50" i="185"/>
  <c r="B100" i="196"/>
  <c r="AB100" i="196" s="1"/>
  <c r="H41" i="185"/>
  <c r="B91" i="196"/>
  <c r="H73" i="185"/>
  <c r="B123" i="196"/>
  <c r="AB123" i="196" s="1"/>
  <c r="H78" i="185"/>
  <c r="B128" i="196"/>
  <c r="AB128" i="196" s="1"/>
  <c r="H86" i="185"/>
  <c r="B136" i="196"/>
  <c r="AB136" i="196" s="1"/>
  <c r="H92" i="185"/>
  <c r="B142" i="196"/>
  <c r="AB142" i="196" s="1"/>
  <c r="H79" i="185"/>
  <c r="B129" i="196"/>
  <c r="AB129" i="196" s="1"/>
  <c r="H74" i="185"/>
  <c r="B124" i="196"/>
  <c r="AB124" i="196" s="1"/>
  <c r="H98" i="185"/>
  <c r="B148" i="196"/>
  <c r="AB148" i="196" s="1"/>
  <c r="H43" i="185"/>
  <c r="B93" i="196"/>
  <c r="AB93" i="196" s="1"/>
  <c r="H109" i="185"/>
  <c r="B159" i="196"/>
  <c r="AB159" i="196" s="1"/>
  <c r="H108" i="185"/>
  <c r="B158" i="196"/>
  <c r="AB158" i="196" s="1"/>
  <c r="H66" i="185"/>
  <c r="B116" i="196"/>
  <c r="AB116" i="196" s="1"/>
  <c r="H49" i="185"/>
  <c r="B99" i="196"/>
  <c r="H70" i="185"/>
  <c r="B120" i="196"/>
  <c r="AB120" i="196" s="1"/>
  <c r="H64" i="185"/>
  <c r="B114" i="196"/>
  <c r="AB114" i="196" s="1"/>
  <c r="H51" i="185"/>
  <c r="B101" i="196"/>
  <c r="H63" i="185"/>
  <c r="B113" i="196"/>
  <c r="AB113" i="196" s="1"/>
  <c r="H44" i="185"/>
  <c r="B94" i="196"/>
  <c r="AB94" i="196" s="1"/>
  <c r="H103" i="185"/>
  <c r="B153" i="196"/>
  <c r="AB153" i="196" s="1"/>
  <c r="H46" i="185"/>
  <c r="B96" i="196"/>
  <c r="AB96" i="196" s="1"/>
  <c r="H93" i="185"/>
  <c r="B143" i="196"/>
  <c r="AB143" i="196" s="1"/>
  <c r="H58" i="185"/>
  <c r="B108" i="196"/>
  <c r="AB108" i="196" s="1"/>
  <c r="H62" i="185"/>
  <c r="B112" i="196"/>
  <c r="AB112" i="196" s="1"/>
  <c r="H71" i="185"/>
  <c r="B121" i="196"/>
  <c r="AB121" i="196" s="1"/>
  <c r="H40" i="185"/>
  <c r="B90" i="196"/>
  <c r="H81" i="185"/>
  <c r="B131" i="196"/>
  <c r="AB131" i="196" s="1"/>
  <c r="H39" i="185"/>
  <c r="B89" i="196"/>
  <c r="H59" i="185"/>
  <c r="B109" i="196"/>
  <c r="AB109" i="196" s="1"/>
  <c r="H87" i="185"/>
  <c r="B137" i="196"/>
  <c r="AB137" i="196" s="1"/>
  <c r="H67" i="185"/>
  <c r="B117" i="196"/>
  <c r="AB117" i="196" s="1"/>
  <c r="H99" i="185"/>
  <c r="B149" i="196"/>
  <c r="AB149" i="196" s="1"/>
  <c r="H90" i="185"/>
  <c r="B140" i="196"/>
  <c r="AB140" i="196" s="1"/>
  <c r="H96" i="185"/>
  <c r="B146" i="196"/>
  <c r="AB146" i="196" s="1"/>
  <c r="H65" i="185"/>
  <c r="B115" i="196"/>
  <c r="AB115" i="196" s="1"/>
  <c r="H82" i="185"/>
  <c r="B132" i="196"/>
  <c r="AB132" i="196" s="1"/>
  <c r="H94" i="185"/>
  <c r="B144" i="196"/>
  <c r="AB144" i="196" s="1"/>
  <c r="H76" i="185"/>
  <c r="B126" i="196"/>
  <c r="AB126" i="196" s="1"/>
  <c r="H53" i="185"/>
  <c r="B103" i="196"/>
  <c r="AB103" i="196" s="1"/>
  <c r="H101" i="185"/>
  <c r="B151" i="196"/>
  <c r="AB151" i="196" s="1"/>
  <c r="H100" i="185"/>
  <c r="B150" i="196"/>
  <c r="AB150" i="196" s="1"/>
  <c r="H68" i="185"/>
  <c r="B118" i="196"/>
  <c r="AB118" i="196" s="1"/>
  <c r="H45" i="185"/>
  <c r="B95" i="196"/>
  <c r="AB95" i="196" s="1"/>
  <c r="H89" i="185"/>
  <c r="B139" i="196"/>
  <c r="AB139" i="196" s="1"/>
  <c r="H85" i="185"/>
  <c r="B135" i="196"/>
  <c r="AB135" i="196" s="1"/>
  <c r="H48" i="185"/>
  <c r="B98" i="196"/>
  <c r="AB98" i="196" s="1"/>
  <c r="H69" i="185"/>
  <c r="B119" i="196"/>
  <c r="AB119" i="196" s="1"/>
  <c r="H56" i="185"/>
  <c r="B106" i="196"/>
  <c r="AB106" i="196" s="1"/>
  <c r="H91" i="185"/>
  <c r="B141" i="196"/>
  <c r="AB141" i="196" s="1"/>
  <c r="H72" i="185"/>
  <c r="B122" i="196"/>
  <c r="AB122" i="196" s="1"/>
  <c r="H75" i="185"/>
  <c r="B125" i="196"/>
  <c r="AB125" i="196" s="1"/>
  <c r="H88" i="185"/>
  <c r="B138" i="196"/>
  <c r="AB138" i="196" s="1"/>
  <c r="H102" i="185"/>
  <c r="B152" i="196"/>
  <c r="AB152" i="196" s="1"/>
  <c r="AD89" i="196"/>
  <c r="BB31" i="187"/>
  <c r="AE31" i="187"/>
  <c r="H31" i="187"/>
  <c r="D31" i="187"/>
  <c r="F31" i="187"/>
  <c r="E31" i="187"/>
  <c r="G31" i="187"/>
  <c r="G45" i="187"/>
  <c r="H45" i="187"/>
  <c r="BB45" i="187"/>
  <c r="BC45" i="187" s="1"/>
  <c r="F45" i="187"/>
  <c r="E45" i="187"/>
  <c r="AE45" i="187"/>
  <c r="D45" i="187"/>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103"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96"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O63" i="196"/>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BC31" i="187"/>
  <c r="H31" i="192"/>
  <c r="N31" i="192" s="1"/>
  <c r="B44" i="178"/>
  <c r="B85" i="196"/>
  <c r="H29" i="192"/>
  <c r="N29" i="192" s="1"/>
  <c r="H78" i="192"/>
  <c r="M78" i="192" s="1"/>
  <c r="B32" i="178"/>
  <c r="H96" i="192"/>
  <c r="M96" i="192" s="1"/>
  <c r="H17" i="192"/>
  <c r="M17" i="192" s="1"/>
  <c r="H40" i="192"/>
  <c r="M40" i="192" s="1"/>
  <c r="B111" i="178"/>
  <c r="B93" i="178"/>
  <c r="B55" i="178"/>
  <c r="B73" i="196"/>
  <c r="B46" i="178"/>
  <c r="B48" i="178"/>
  <c r="AB90" i="196"/>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N45" i="192"/>
  <c r="M45" i="192"/>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AB91"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AB101" i="196"/>
  <c r="B40" i="178"/>
  <c r="B76" i="196"/>
  <c r="AB99"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I20" i="185"/>
  <c r="H59" i="192"/>
  <c r="B74" i="178"/>
  <c r="K90" i="192"/>
  <c r="B83" i="196"/>
  <c r="H80" i="192"/>
  <c r="H63" i="192"/>
  <c r="B75" i="196"/>
  <c r="H19" i="192"/>
  <c r="H30" i="192"/>
  <c r="B34" i="178"/>
  <c r="H62" i="192"/>
  <c r="H15" i="192"/>
  <c r="K94" i="192"/>
  <c r="B109" i="178"/>
  <c r="K13" i="192"/>
  <c r="B28" i="178"/>
  <c r="H13" i="192"/>
  <c r="B117" i="178"/>
  <c r="H102" i="192"/>
  <c r="I54" i="192"/>
  <c r="H54" i="192"/>
  <c r="B69" i="178"/>
  <c r="H101" i="192"/>
  <c r="B116" i="178"/>
  <c r="B61" i="178"/>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AF31" i="187" l="1"/>
  <c r="AB89" i="196"/>
  <c r="O66" i="196"/>
  <c r="O67" i="196"/>
  <c r="O69" i="196"/>
  <c r="P69" i="196" s="1"/>
  <c r="O68" i="196"/>
  <c r="P68" i="196" s="1"/>
  <c r="O65" i="196"/>
  <c r="O64" i="196"/>
  <c r="N28" i="192"/>
  <c r="N69" i="192"/>
  <c r="N26" i="192"/>
  <c r="I31" i="187"/>
  <c r="I45" i="187"/>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AE36" i="187"/>
  <c r="H36" i="187"/>
  <c r="G36" i="187"/>
  <c r="F36" i="187"/>
  <c r="E36" i="187"/>
  <c r="D36" i="187"/>
  <c r="BB92" i="187"/>
  <c r="BC92" i="187" s="1"/>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BC27" i="187" s="1"/>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BC60" i="187" s="1"/>
  <c r="AE60" i="187"/>
  <c r="H60" i="187"/>
  <c r="G60" i="187"/>
  <c r="F60" i="187"/>
  <c r="E60" i="187"/>
  <c r="D60" i="187"/>
  <c r="H13" i="187"/>
  <c r="AE13" i="187"/>
  <c r="F13" i="187"/>
  <c r="E13" i="187"/>
  <c r="D13" i="187"/>
  <c r="G13" i="187"/>
  <c r="BB13" i="187"/>
  <c r="BC13" i="187" s="1"/>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G21" i="187"/>
  <c r="BB86" i="187"/>
  <c r="BC86" i="187" s="1"/>
  <c r="G86" i="187"/>
  <c r="AE86" i="187"/>
  <c r="H86" i="187"/>
  <c r="D86" i="187"/>
  <c r="F86" i="187"/>
  <c r="E86" i="187"/>
  <c r="BB58" i="187"/>
  <c r="BC58" i="187" s="1"/>
  <c r="AE58" i="187"/>
  <c r="H58" i="187"/>
  <c r="G58" i="187"/>
  <c r="F58" i="187"/>
  <c r="D58" i="187"/>
  <c r="E58" i="187"/>
  <c r="BB102" i="187"/>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BC87" i="187" s="1"/>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AF4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6" i="187"/>
  <c r="BC96" i="187" s="1"/>
  <c r="AE96" i="187"/>
  <c r="H96" i="187"/>
  <c r="E96" i="187"/>
  <c r="G96" i="187"/>
  <c r="F96" i="187"/>
  <c r="D96"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BC102" i="187"/>
  <c r="M36" i="192"/>
  <c r="O36" i="192" s="1"/>
  <c r="N86" i="192"/>
  <c r="P86" i="192" s="1"/>
  <c r="BC36" i="187"/>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BC21" i="187"/>
  <c r="M65" i="192"/>
  <c r="O65" i="192" s="1"/>
  <c r="M20" i="192"/>
  <c r="O20" i="192" s="1"/>
  <c r="BC68" i="187"/>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P69" i="192"/>
  <c r="O69" i="192"/>
  <c r="O96" i="192"/>
  <c r="J28" i="192"/>
  <c r="P28" i="192"/>
  <c r="O28" i="192"/>
  <c r="J71" i="192"/>
  <c r="P71" i="192"/>
  <c r="J32" i="192"/>
  <c r="O32" i="192"/>
  <c r="J27" i="192"/>
  <c r="P27" i="192"/>
  <c r="J93" i="192"/>
  <c r="P93" i="192"/>
  <c r="J89" i="192"/>
  <c r="P89" i="192"/>
  <c r="J37" i="192"/>
  <c r="P37" i="192"/>
  <c r="J78" i="192"/>
  <c r="O78" i="192"/>
  <c r="J81" i="192"/>
  <c r="P81" i="192"/>
  <c r="J75" i="192"/>
  <c r="P75" i="192"/>
  <c r="J45" i="192"/>
  <c r="O45" i="192"/>
  <c r="P45" i="192"/>
  <c r="J47" i="192"/>
  <c r="P47" i="192"/>
  <c r="J17" i="192"/>
  <c r="O17" i="192"/>
  <c r="J58" i="192"/>
  <c r="O58" i="192"/>
  <c r="J31" i="192"/>
  <c r="P31" i="192"/>
  <c r="J91" i="192"/>
  <c r="P91" i="192"/>
  <c r="J87" i="192"/>
  <c r="O87" i="192"/>
  <c r="J65" i="192"/>
  <c r="P65" i="192"/>
  <c r="J41" i="192"/>
  <c r="P41" i="192"/>
  <c r="J20" i="192"/>
  <c r="P20" i="192"/>
  <c r="J26" i="192"/>
  <c r="P26" i="192"/>
  <c r="O26" i="192"/>
  <c r="J14" i="192"/>
  <c r="P14"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C28" i="178"/>
  <c r="J51" i="192"/>
  <c r="J53" i="192"/>
  <c r="J49" i="192"/>
  <c r="I94" i="192"/>
  <c r="J94" i="192" s="1"/>
  <c r="J92" i="192"/>
  <c r="J16" i="192"/>
  <c r="J76" i="192"/>
  <c r="J67" i="192"/>
  <c r="J34" i="192"/>
  <c r="J82" i="192"/>
  <c r="J43" i="192"/>
  <c r="J38" i="192"/>
  <c r="J68" i="192"/>
  <c r="J44" i="192"/>
  <c r="J21" i="192"/>
  <c r="J15" i="192"/>
  <c r="J18" i="192"/>
  <c r="J42" i="192"/>
  <c r="J88" i="192"/>
  <c r="J72" i="192"/>
  <c r="I90" i="192"/>
  <c r="J57" i="192"/>
  <c r="C105" i="178"/>
  <c r="J55" i="192"/>
  <c r="J85" i="192"/>
  <c r="J60" i="192"/>
  <c r="J19" i="192"/>
  <c r="J25" i="192"/>
  <c r="N145" i="182"/>
  <c r="N147" i="182"/>
  <c r="J61" i="192"/>
  <c r="C109" i="178"/>
  <c r="J59" i="192"/>
  <c r="J77" i="192"/>
  <c r="J22" i="192"/>
  <c r="J62" i="192"/>
  <c r="I13" i="192"/>
  <c r="J35" i="192"/>
  <c r="J84" i="192"/>
  <c r="J30" i="192"/>
  <c r="J63" i="192"/>
  <c r="J80" i="192"/>
  <c r="J54" i="192"/>
  <c r="J46" i="192"/>
  <c r="J101" i="192"/>
  <c r="J96" i="192"/>
  <c r="J146" i="182"/>
  <c r="L15" i="189" s="1"/>
  <c r="M15" i="189" s="1"/>
  <c r="K148" i="182"/>
  <c r="K146" i="182"/>
  <c r="J148" i="182"/>
  <c r="J147" i="182"/>
  <c r="J145" i="182"/>
  <c r="K145" i="182"/>
  <c r="I28" i="187" l="1"/>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96"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J17" i="189"/>
  <c r="J16" i="189"/>
  <c r="J14" i="189"/>
  <c r="I148" i="182"/>
  <c r="J13" i="192"/>
  <c r="P13" i="192"/>
  <c r="O13" i="192"/>
  <c r="J90" i="192"/>
  <c r="P90" i="192"/>
  <c r="O90" i="192"/>
  <c r="O94" i="192"/>
  <c r="P94" i="192"/>
  <c r="L16" i="189"/>
  <c r="L14" i="189"/>
  <c r="B6" i="188"/>
  <c r="G6" i="188" s="1"/>
  <c r="I6" i="188"/>
  <c r="N6" i="188" s="1"/>
  <c r="W5" i="188"/>
  <c r="AB5" i="188" s="1"/>
  <c r="I146" i="182"/>
  <c r="I145" i="182"/>
  <c r="I147" i="182"/>
  <c r="L17" i="189"/>
  <c r="W8" i="188"/>
  <c r="AB8" i="188" s="1"/>
  <c r="W7" i="188"/>
  <c r="N15" i="189"/>
  <c r="W6" i="188"/>
  <c r="AB6" i="188" s="1"/>
  <c r="P99" i="196" l="1"/>
  <c r="P101" i="196"/>
  <c r="P100" i="196"/>
  <c r="M17" i="189"/>
  <c r="I8" i="188" s="1"/>
  <c r="N8" i="188" s="1"/>
  <c r="M14" i="189"/>
  <c r="M16" i="189"/>
  <c r="C16" i="185"/>
  <c r="D16" i="185"/>
  <c r="AB7" i="188"/>
  <c r="E15" i="185"/>
  <c r="E18" i="185"/>
  <c r="E16" i="185"/>
  <c r="W103" i="188"/>
  <c r="W102" i="188"/>
  <c r="B8" i="188" l="1"/>
  <c r="G8" i="188" s="1"/>
  <c r="C18" i="185" s="1"/>
  <c r="N16" i="189"/>
  <c r="B7" i="188"/>
  <c r="G7" i="188" s="1"/>
  <c r="C17" i="185" s="1"/>
  <c r="I5" i="188"/>
  <c r="N5" i="188" s="1"/>
  <c r="B5" i="188"/>
  <c r="G5" i="188" s="1"/>
  <c r="C15" i="185" s="1"/>
  <c r="C65" i="196"/>
  <c r="D18" i="185"/>
  <c r="C67" i="196" s="1"/>
  <c r="N17" i="189"/>
  <c r="N14" i="189"/>
  <c r="I7" i="188"/>
  <c r="N7" i="188" s="1"/>
  <c r="AB103" i="188"/>
  <c r="E17" i="185"/>
  <c r="AB102" i="188"/>
  <c r="K9" i="192"/>
  <c r="F16" i="185"/>
  <c r="H16" i="185" s="1"/>
  <c r="I16" i="185"/>
  <c r="G16" i="185" l="1"/>
  <c r="B9" i="187"/>
  <c r="K11" i="192"/>
  <c r="D17" i="185"/>
  <c r="F17" i="185" s="1"/>
  <c r="H17" i="185" s="1"/>
  <c r="I103" i="188"/>
  <c r="I102" i="188"/>
  <c r="N103" i="188"/>
  <c r="N102" i="188"/>
  <c r="D15" i="185"/>
  <c r="F15" i="185" s="1"/>
  <c r="H15" i="185" s="1"/>
  <c r="F18" i="185"/>
  <c r="H18" i="185" s="1"/>
  <c r="I18" i="185"/>
  <c r="H9" i="192"/>
  <c r="B24" i="178"/>
  <c r="B65" i="196"/>
  <c r="C24" i="178"/>
  <c r="I9" i="192"/>
  <c r="BB9" i="187" l="1"/>
  <c r="BC9" i="187" s="1"/>
  <c r="AE9" i="187"/>
  <c r="H9" i="187"/>
  <c r="G9" i="187"/>
  <c r="F9" i="187"/>
  <c r="E9" i="187"/>
  <c r="D9" i="187"/>
  <c r="G17" i="185"/>
  <c r="G18" i="185"/>
  <c r="G15" i="185"/>
  <c r="B8" i="187"/>
  <c r="B66" i="196"/>
  <c r="B25" i="178"/>
  <c r="H10" i="192"/>
  <c r="N10" i="192" s="1"/>
  <c r="B10" i="187"/>
  <c r="I15" i="185"/>
  <c r="C23" i="178" s="1"/>
  <c r="C64" i="196"/>
  <c r="I17" i="185"/>
  <c r="C66" i="196"/>
  <c r="K8" i="192"/>
  <c r="K10" i="192"/>
  <c r="B26" i="178"/>
  <c r="B11" i="187"/>
  <c r="M9" i="192"/>
  <c r="O9" i="192" s="1"/>
  <c r="N9" i="192"/>
  <c r="P9" i="192" s="1"/>
  <c r="C26" i="178"/>
  <c r="B67" i="196"/>
  <c r="P67" i="196" s="1"/>
  <c r="H11" i="192"/>
  <c r="H8" i="192"/>
  <c r="B64" i="196"/>
  <c r="B23" i="178"/>
  <c r="I11" i="192"/>
  <c r="J9" i="192"/>
  <c r="P65" i="196" l="1"/>
  <c r="P64" i="196"/>
  <c r="I9" i="187"/>
  <c r="P66" i="196"/>
  <c r="AF9" i="187"/>
  <c r="BB8" i="187"/>
  <c r="BC8" i="187" s="1"/>
  <c r="AE8" i="187"/>
  <c r="H8" i="187"/>
  <c r="G8" i="187"/>
  <c r="F8" i="187"/>
  <c r="E8" i="187"/>
  <c r="D8" i="187"/>
  <c r="BB11" i="187"/>
  <c r="BC11" i="187" s="1"/>
  <c r="AE11" i="187"/>
  <c r="H11" i="187"/>
  <c r="G11" i="187"/>
  <c r="F11" i="187"/>
  <c r="E11" i="187"/>
  <c r="D11" i="187"/>
  <c r="BB10" i="187"/>
  <c r="BC10" i="187" s="1"/>
  <c r="AE10" i="187"/>
  <c r="H10" i="187"/>
  <c r="G10" i="187"/>
  <c r="F10" i="187"/>
  <c r="E10" i="187"/>
  <c r="D10" i="187"/>
  <c r="M10" i="192"/>
  <c r="I8" i="192"/>
  <c r="J8" i="192" s="1"/>
  <c r="C25" i="178"/>
  <c r="I10" i="192"/>
  <c r="J10" i="192" s="1"/>
  <c r="N11" i="192"/>
  <c r="P11" i="192" s="1"/>
  <c r="M11" i="192"/>
  <c r="O11" i="192" s="1"/>
  <c r="N8" i="192"/>
  <c r="M8" i="192"/>
  <c r="J11" i="192"/>
  <c r="I10" i="187" l="1"/>
  <c r="AF11" i="187"/>
  <c r="I11" i="187"/>
  <c r="AF8" i="187"/>
  <c r="I8" i="187"/>
  <c r="AF10" i="187"/>
  <c r="P10" i="192"/>
  <c r="O10" i="192"/>
  <c r="P8" i="192"/>
  <c r="O8" i="192"/>
  <c r="N14" i="179" l="1"/>
  <c r="N28" i="179"/>
  <c r="B8" i="177"/>
  <c r="G4" i="177"/>
  <c r="G8" i="177" s="1"/>
  <c r="B4" i="190"/>
  <c r="B197" i="190" s="1"/>
  <c r="B97" i="188" s="1"/>
  <c r="G97" i="188" s="1"/>
  <c r="C107" i="185" s="1"/>
  <c r="K100" i="192" l="1"/>
  <c r="I107" i="185"/>
  <c r="C157" i="196" s="1"/>
  <c r="AD157" i="196" s="1"/>
  <c r="G4" i="190"/>
  <c r="F107" i="185"/>
  <c r="B104" i="190"/>
  <c r="B4" i="188" s="1"/>
  <c r="H107" i="185" l="1"/>
  <c r="B157" i="196"/>
  <c r="AB157" i="196" s="1"/>
  <c r="G107" i="185"/>
  <c r="I100" i="192"/>
  <c r="C115" i="178"/>
  <c r="G104" i="190"/>
  <c r="G197" i="190"/>
  <c r="H100" i="192"/>
  <c r="B100" i="187"/>
  <c r="B115" i="178"/>
  <c r="B103" i="188"/>
  <c r="B102" i="188"/>
  <c r="G4" i="188"/>
  <c r="BB100" i="187" l="1"/>
  <c r="BC100" i="187" s="1"/>
  <c r="AE100" i="187"/>
  <c r="H100" i="187"/>
  <c r="G100" i="187"/>
  <c r="F100" i="187"/>
  <c r="E100" i="187"/>
  <c r="D100" i="187"/>
  <c r="G102" i="188"/>
  <c r="G103" i="188"/>
  <c r="C14" i="185"/>
  <c r="I14" i="185" s="1"/>
  <c r="J100" i="192"/>
  <c r="N100" i="192"/>
  <c r="P100" i="192" s="1"/>
  <c r="M100" i="192"/>
  <c r="O100" i="192" s="1"/>
  <c r="AF100" i="187" l="1"/>
  <c r="I100" i="187"/>
  <c r="C22" i="178"/>
  <c r="I7" i="192"/>
  <c r="F45" i="192" s="1"/>
  <c r="K7" i="192"/>
  <c r="F48" i="192" s="1"/>
  <c r="F14" i="185"/>
  <c r="H14" i="185" s="1"/>
  <c r="G14" i="185" l="1"/>
  <c r="B22" i="178"/>
  <c r="H7" i="192"/>
  <c r="B63" i="196"/>
  <c r="P63" i="196" s="1"/>
  <c r="P71" i="196" s="1"/>
  <c r="B7" i="187"/>
  <c r="BB7" i="187" l="1"/>
  <c r="BC7" i="187" s="1"/>
  <c r="AE7" i="187"/>
  <c r="G7" i="187"/>
  <c r="F7" i="187"/>
  <c r="H7" i="187"/>
  <c r="E7" i="187"/>
  <c r="D7" i="187"/>
  <c r="F22" i="178"/>
  <c r="N22" i="178"/>
  <c r="H22" i="178"/>
  <c r="P22" i="178"/>
  <c r="L22" i="178"/>
  <c r="J22" i="178"/>
  <c r="R22" i="178"/>
  <c r="D22" i="178"/>
  <c r="K14" i="185"/>
  <c r="AI14" i="185" s="1"/>
  <c r="J14" i="185"/>
  <c r="L14" i="185" s="1"/>
  <c r="J7" i="192"/>
  <c r="M7" i="192"/>
  <c r="O7" i="192" s="1"/>
  <c r="N7" i="192"/>
  <c r="P7" i="192" s="1"/>
  <c r="F63" i="196"/>
  <c r="D63" i="196"/>
  <c r="H63" i="196"/>
  <c r="AF7" i="187" l="1"/>
  <c r="AG63" i="187" s="1"/>
  <c r="I7" i="187"/>
  <c r="J66" i="187" s="1"/>
  <c r="I63" i="196"/>
  <c r="H64" i="196"/>
  <c r="G22" i="178"/>
  <c r="F23" i="178"/>
  <c r="F24" i="178" s="1"/>
  <c r="E63" i="196"/>
  <c r="D64" i="196"/>
  <c r="E22" i="178"/>
  <c r="D23" i="178"/>
  <c r="D24" i="178" s="1"/>
  <c r="K22" i="178"/>
  <c r="J23" i="178"/>
  <c r="J24" i="178" s="1"/>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P23" i="178"/>
  <c r="P24" i="178" s="1"/>
  <c r="Q22" i="178"/>
  <c r="J15" i="185"/>
  <c r="K15" i="185"/>
  <c r="N23" i="178"/>
  <c r="N24" i="178" s="1"/>
  <c r="O22" i="178"/>
  <c r="AG80" i="187" l="1"/>
  <c r="AG31" i="187"/>
  <c r="AG34" i="187"/>
  <c r="AG77" i="187"/>
  <c r="AG9" i="187"/>
  <c r="AG16" i="187"/>
  <c r="AG83" i="187"/>
  <c r="J7" i="187"/>
  <c r="J90" i="187"/>
  <c r="J96" i="187"/>
  <c r="J27" i="187"/>
  <c r="J52" i="187"/>
  <c r="J87" i="187"/>
  <c r="J89" i="187"/>
  <c r="J38" i="187"/>
  <c r="J11" i="187"/>
  <c r="J57" i="187"/>
  <c r="J86" i="187"/>
  <c r="J59" i="187"/>
  <c r="AG13" i="187"/>
  <c r="AG58" i="187"/>
  <c r="AG46" i="187"/>
  <c r="AG8" i="187"/>
  <c r="AG87" i="187"/>
  <c r="AG52" i="187"/>
  <c r="AG100" i="187"/>
  <c r="AG59" i="187"/>
  <c r="AG76" i="187"/>
  <c r="AG50" i="187"/>
  <c r="AG19" i="187"/>
  <c r="AG41" i="187"/>
  <c r="AG91" i="187"/>
  <c r="AG32" i="187"/>
  <c r="AG53" i="187"/>
  <c r="AG17" i="187"/>
  <c r="AG98" i="187"/>
  <c r="AG43" i="187"/>
  <c r="AG90" i="187"/>
  <c r="AG24" i="187"/>
  <c r="AG30" i="187"/>
  <c r="AG15" i="187"/>
  <c r="AG85" i="187"/>
  <c r="AG39" i="187"/>
  <c r="AG68" i="187"/>
  <c r="AG33" i="187"/>
  <c r="AG69" i="187"/>
  <c r="AG62" i="187"/>
  <c r="AG66" i="187"/>
  <c r="AG51" i="187"/>
  <c r="AG71" i="187"/>
  <c r="AG65" i="187"/>
  <c r="AG44" i="187"/>
  <c r="AG18" i="187"/>
  <c r="AG54" i="187"/>
  <c r="AG93" i="187"/>
  <c r="AG38" i="187"/>
  <c r="AG14" i="187"/>
  <c r="AG75" i="187"/>
  <c r="AG20" i="187"/>
  <c r="AG42" i="187"/>
  <c r="AG64" i="187"/>
  <c r="AG57" i="187"/>
  <c r="AG37" i="187"/>
  <c r="AG101" i="187"/>
  <c r="AG49" i="187"/>
  <c r="AG10" i="187"/>
  <c r="AG47" i="187"/>
  <c r="AG70" i="187"/>
  <c r="AG61" i="187"/>
  <c r="AG29" i="187"/>
  <c r="AG56" i="187"/>
  <c r="AG26" i="187"/>
  <c r="AG79" i="187"/>
  <c r="AG21" i="187"/>
  <c r="AG82" i="187"/>
  <c r="AG96" i="187"/>
  <c r="AG60" i="187"/>
  <c r="AG78" i="187"/>
  <c r="AG95" i="187"/>
  <c r="AG11" i="187"/>
  <c r="AG12" i="187"/>
  <c r="AG48" i="187"/>
  <c r="AG35" i="187"/>
  <c r="AG102" i="187"/>
  <c r="AG73" i="187"/>
  <c r="AG23" i="187"/>
  <c r="AG45" i="187"/>
  <c r="AG28" i="187"/>
  <c r="AG92" i="187"/>
  <c r="J95" i="187"/>
  <c r="J102" i="187"/>
  <c r="J14" i="187"/>
  <c r="J100" i="187"/>
  <c r="J85" i="187"/>
  <c r="J37" i="187"/>
  <c r="J77" i="187"/>
  <c r="J71" i="187"/>
  <c r="J69" i="187"/>
  <c r="J56" i="187"/>
  <c r="J42" i="187"/>
  <c r="J34" i="187"/>
  <c r="J84" i="187"/>
  <c r="AG22" i="187"/>
  <c r="AG27" i="187"/>
  <c r="AG40" i="187"/>
  <c r="AG74" i="187"/>
  <c r="AG97" i="187"/>
  <c r="AG55" i="187"/>
  <c r="AG89" i="187"/>
  <c r="J19" i="187"/>
  <c r="J9" i="187"/>
  <c r="J97" i="187"/>
  <c r="J43" i="187"/>
  <c r="J55" i="187"/>
  <c r="J73" i="187"/>
  <c r="J99" i="187"/>
  <c r="J51" i="187"/>
  <c r="J70" i="187"/>
  <c r="J60" i="187"/>
  <c r="J83" i="187"/>
  <c r="J78" i="187"/>
  <c r="J17" i="187"/>
  <c r="J48" i="187"/>
  <c r="J76" i="187"/>
  <c r="J32" i="187"/>
  <c r="J94" i="187"/>
  <c r="J64" i="187"/>
  <c r="J13" i="187"/>
  <c r="J93" i="187"/>
  <c r="J58" i="187"/>
  <c r="J79" i="187"/>
  <c r="J10" i="187"/>
  <c r="J33" i="187"/>
  <c r="J80" i="187"/>
  <c r="J92" i="187"/>
  <c r="J63" i="187"/>
  <c r="J98" i="187"/>
  <c r="J45" i="187"/>
  <c r="J46" i="187"/>
  <c r="J23" i="187"/>
  <c r="J75" i="187"/>
  <c r="J74" i="187"/>
  <c r="J29" i="187"/>
  <c r="J24" i="187"/>
  <c r="J8" i="187"/>
  <c r="J18" i="187"/>
  <c r="J16" i="187"/>
  <c r="J44" i="187"/>
  <c r="J54" i="187"/>
  <c r="J50" i="187"/>
  <c r="J65" i="187"/>
  <c r="J31" i="187"/>
  <c r="J39" i="187"/>
  <c r="J82" i="187"/>
  <c r="J68" i="187"/>
  <c r="J91" i="187"/>
  <c r="J40" i="187"/>
  <c r="J61" i="187"/>
  <c r="J88" i="187"/>
  <c r="J62" i="187"/>
  <c r="J47" i="187"/>
  <c r="J21" i="187"/>
  <c r="J67" i="187"/>
  <c r="J35" i="187"/>
  <c r="J30" i="187"/>
  <c r="J12" i="187"/>
  <c r="J25" i="187"/>
  <c r="AG86" i="187"/>
  <c r="AG81" i="187"/>
  <c r="AG25" i="187"/>
  <c r="AG88" i="187"/>
  <c r="AG67" i="187"/>
  <c r="AG72" i="187"/>
  <c r="AG7" i="187"/>
  <c r="AG94" i="187"/>
  <c r="AG36" i="187"/>
  <c r="AG99" i="187"/>
  <c r="AG84" i="187"/>
  <c r="J15" i="187"/>
  <c r="J20" i="187"/>
  <c r="J49" i="187"/>
  <c r="J22" i="187"/>
  <c r="J41" i="187"/>
  <c r="J36" i="187"/>
  <c r="J81" i="187"/>
  <c r="J101" i="187"/>
  <c r="J72" i="187"/>
  <c r="J53" i="187"/>
  <c r="J26" i="187"/>
  <c r="J28" i="187"/>
  <c r="K16" i="185"/>
  <c r="AI15" i="185"/>
  <c r="J16" i="185"/>
  <c r="L15" i="185"/>
  <c r="BL53" i="187"/>
  <c r="V103" i="192"/>
  <c r="T85" i="192"/>
  <c r="S85" i="192"/>
  <c r="S68" i="192"/>
  <c r="T68" i="192"/>
  <c r="S70" i="192"/>
  <c r="T70" i="192"/>
  <c r="V59" i="192"/>
  <c r="U59" i="192"/>
  <c r="V91" i="192"/>
  <c r="U91" i="192"/>
  <c r="V80" i="192"/>
  <c r="U80" i="192"/>
  <c r="BF97" i="187"/>
  <c r="BE97" i="187"/>
  <c r="BE45" i="187"/>
  <c r="BF45" i="187"/>
  <c r="BF86" i="187"/>
  <c r="BE86"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K24" i="178"/>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T26" i="192"/>
  <c r="S26" i="192"/>
  <c r="S90" i="192"/>
  <c r="T90" i="192"/>
  <c r="T47" i="192"/>
  <c r="S47" i="192"/>
  <c r="U15" i="192"/>
  <c r="V15" i="192"/>
  <c r="U37" i="192"/>
  <c r="V37" i="192"/>
  <c r="U32" i="192"/>
  <c r="V32" i="192"/>
  <c r="G64" i="196"/>
  <c r="F65" i="196"/>
  <c r="BE44" i="187"/>
  <c r="BF44" i="187"/>
  <c r="BE54" i="187"/>
  <c r="BF54" i="187"/>
  <c r="G24" i="178"/>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E24" i="178"/>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H26" i="178" s="1"/>
  <c r="H27" i="178" s="1"/>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T75" i="192"/>
  <c r="S75" i="192"/>
  <c r="S16" i="192"/>
  <c r="T16" i="192"/>
  <c r="V47" i="192"/>
  <c r="U47" i="192"/>
  <c r="V98" i="192"/>
  <c r="U98" i="192"/>
  <c r="BF51" i="187"/>
  <c r="BE51" i="187"/>
  <c r="BF91" i="187"/>
  <c r="BE91" i="187"/>
  <c r="BF66" i="187"/>
  <c r="BE66" i="187"/>
  <c r="BF73" i="187"/>
  <c r="BE73"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G23" i="178"/>
  <c r="F25" i="178"/>
  <c r="F26" i="178" s="1"/>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J25" i="178"/>
  <c r="J26" i="178" s="1"/>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S38" i="192"/>
  <c r="T38" i="192"/>
  <c r="S95" i="192"/>
  <c r="T95" i="192"/>
  <c r="S12" i="192"/>
  <c r="T12" i="192"/>
  <c r="T81" i="192"/>
  <c r="S81" i="192"/>
  <c r="U88" i="192"/>
  <c r="V88" i="192"/>
  <c r="V101" i="192"/>
  <c r="U101" i="192"/>
  <c r="U55" i="192"/>
  <c r="V55" i="192"/>
  <c r="BE28" i="187"/>
  <c r="BF28" i="187"/>
  <c r="BE8" i="187"/>
  <c r="BF8" i="187"/>
  <c r="BF13" i="187"/>
  <c r="BE13" i="187"/>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AH77" i="187" l="1"/>
  <c r="K99" i="187"/>
  <c r="AH48" i="187"/>
  <c r="AH46" i="187"/>
  <c r="K49" i="187"/>
  <c r="AH78" i="187"/>
  <c r="K28" i="187"/>
  <c r="AH42" i="187"/>
  <c r="K60" i="187"/>
  <c r="K76" i="187"/>
  <c r="K83" i="187"/>
  <c r="K70" i="187"/>
  <c r="K95" i="187"/>
  <c r="K35" i="187"/>
  <c r="K44" i="187"/>
  <c r="AH21" i="187"/>
  <c r="AH102" i="187"/>
  <c r="AH72" i="187"/>
  <c r="AH33" i="187"/>
  <c r="AH17" i="187"/>
  <c r="AH60" i="187"/>
  <c r="K26" i="187"/>
  <c r="AH66" i="187"/>
  <c r="AH8" i="187"/>
  <c r="AH58" i="187"/>
  <c r="K91" i="187"/>
  <c r="K63" i="187"/>
  <c r="K61" i="187"/>
  <c r="K86" i="187"/>
  <c r="AH29" i="187"/>
  <c r="K18" i="187"/>
  <c r="AH50" i="187"/>
  <c r="K57" i="187"/>
  <c r="K11" i="187"/>
  <c r="AH16" i="187"/>
  <c r="AH100" i="187"/>
  <c r="K50" i="187"/>
  <c r="K52" i="187"/>
  <c r="AH7" i="187"/>
  <c r="K34" i="187"/>
  <c r="AH12" i="187"/>
  <c r="K25" i="187"/>
  <c r="AH101" i="187"/>
  <c r="AH93" i="187"/>
  <c r="K75" i="187"/>
  <c r="AH62" i="187"/>
  <c r="AH49" i="187"/>
  <c r="AH70" i="187"/>
  <c r="K82" i="187"/>
  <c r="K66" i="187"/>
  <c r="K22" i="187"/>
  <c r="AH82" i="187"/>
  <c r="K89" i="187"/>
  <c r="K45" i="187"/>
  <c r="K90" i="187"/>
  <c r="K88" i="187"/>
  <c r="AH85" i="187"/>
  <c r="K7" i="187"/>
  <c r="K64" i="187"/>
  <c r="AH91" i="187"/>
  <c r="K37" i="187"/>
  <c r="AH67" i="187"/>
  <c r="K24" i="187"/>
  <c r="AH31" i="187"/>
  <c r="AH45" i="187"/>
  <c r="K47" i="187"/>
  <c r="K17" i="187"/>
  <c r="AH74" i="187"/>
  <c r="AH9" i="187"/>
  <c r="AH53" i="187"/>
  <c r="AH26" i="187"/>
  <c r="K53" i="187"/>
  <c r="K20" i="187"/>
  <c r="AH76" i="187"/>
  <c r="AH13" i="187"/>
  <c r="AH14" i="187"/>
  <c r="K39" i="187"/>
  <c r="K13" i="187"/>
  <c r="K33" i="187"/>
  <c r="K27" i="187"/>
  <c r="AH87" i="187"/>
  <c r="K55" i="187"/>
  <c r="AH63" i="187"/>
  <c r="AH88" i="187"/>
  <c r="AH22" i="187"/>
  <c r="AH79" i="187"/>
  <c r="K93" i="187"/>
  <c r="K62" i="187"/>
  <c r="K46" i="187"/>
  <c r="AH73" i="187"/>
  <c r="AH18" i="187"/>
  <c r="K38" i="187"/>
  <c r="K30" i="187"/>
  <c r="AH39" i="187"/>
  <c r="AH20" i="187"/>
  <c r="K72" i="187"/>
  <c r="K15" i="187"/>
  <c r="AH69" i="187"/>
  <c r="AH59" i="187"/>
  <c r="AH11" i="187"/>
  <c r="AH32" i="187"/>
  <c r="AH80" i="187"/>
  <c r="AH34" i="187"/>
  <c r="K79" i="187"/>
  <c r="AH84" i="187"/>
  <c r="AH25" i="187"/>
  <c r="AH23" i="187"/>
  <c r="K14" i="187"/>
  <c r="AH68" i="187"/>
  <c r="K68" i="187"/>
  <c r="K51" i="187"/>
  <c r="K85" i="187"/>
  <c r="AH15" i="187"/>
  <c r="AH64" i="187"/>
  <c r="K48" i="187"/>
  <c r="K67" i="187"/>
  <c r="AH98" i="187"/>
  <c r="K101" i="187"/>
  <c r="AH40" i="187"/>
  <c r="AH24" i="187"/>
  <c r="K32" i="187"/>
  <c r="AH65" i="187"/>
  <c r="AH83" i="187"/>
  <c r="AH38" i="187"/>
  <c r="AH37" i="187"/>
  <c r="K23" i="187"/>
  <c r="AH92" i="187"/>
  <c r="AH57" i="187"/>
  <c r="K69" i="187"/>
  <c r="AH99" i="187"/>
  <c r="AH81" i="187"/>
  <c r="K65" i="187"/>
  <c r="AH28" i="187"/>
  <c r="K54" i="187"/>
  <c r="K31" i="187"/>
  <c r="K80" i="187"/>
  <c r="K8" i="187"/>
  <c r="AH47" i="187"/>
  <c r="AH61" i="187"/>
  <c r="K78" i="187"/>
  <c r="K16" i="187"/>
  <c r="AH56" i="187"/>
  <c r="K81" i="187"/>
  <c r="AH27" i="187"/>
  <c r="AH41" i="187"/>
  <c r="K73" i="187"/>
  <c r="K92" i="187"/>
  <c r="AH95" i="187"/>
  <c r="K102" i="187"/>
  <c r="AH54" i="187"/>
  <c r="AH36" i="187"/>
  <c r="AH86" i="187"/>
  <c r="K43" i="187"/>
  <c r="AH89" i="187"/>
  <c r="AH55" i="187"/>
  <c r="K84" i="187"/>
  <c r="K19" i="187"/>
  <c r="AH35" i="187"/>
  <c r="K71" i="187"/>
  <c r="K98" i="187"/>
  <c r="K36" i="187"/>
  <c r="AH43" i="187"/>
  <c r="AH44" i="187"/>
  <c r="K59" i="187"/>
  <c r="K74" i="187"/>
  <c r="K12" i="187"/>
  <c r="AH19" i="187"/>
  <c r="AH97" i="187"/>
  <c r="K77" i="187"/>
  <c r="K87" i="187"/>
  <c r="K94" i="187"/>
  <c r="K97" i="187"/>
  <c r="AH96" i="187"/>
  <c r="AH90" i="187"/>
  <c r="K29" i="187"/>
  <c r="K9" i="187"/>
  <c r="AH94" i="187"/>
  <c r="K10" i="187"/>
  <c r="AH10" i="187"/>
  <c r="K42" i="187"/>
  <c r="AH52" i="187"/>
  <c r="AH51" i="187"/>
  <c r="K56" i="187"/>
  <c r="K100" i="187"/>
  <c r="AH30" i="187"/>
  <c r="AH71" i="187"/>
  <c r="K40" i="187"/>
  <c r="K41" i="187"/>
  <c r="AH75" i="187"/>
  <c r="K58" i="187"/>
  <c r="K96" i="187"/>
  <c r="K21" i="187"/>
  <c r="K17" i="185"/>
  <c r="AI16" i="185"/>
  <c r="J17" i="185"/>
  <c r="L16" i="185"/>
  <c r="F27" i="178"/>
  <c r="G27" i="178" s="1"/>
  <c r="I27" i="178"/>
  <c r="K26" i="178"/>
  <c r="F3" i="192"/>
  <c r="Y31" i="192"/>
  <c r="K25" i="178"/>
  <c r="E25" i="178"/>
  <c r="O25" i="178"/>
  <c r="G26" i="178"/>
  <c r="Q25" i="178"/>
  <c r="E26" i="178"/>
  <c r="D27" i="178"/>
  <c r="D28" i="178" s="1"/>
  <c r="I65" i="196"/>
  <c r="H66" i="196"/>
  <c r="BL78" i="187"/>
  <c r="P26" i="178"/>
  <c r="Z31" i="192"/>
  <c r="N26" i="178"/>
  <c r="I26" i="178"/>
  <c r="BL85" i="187"/>
  <c r="I25" i="178"/>
  <c r="H28" i="178"/>
  <c r="H29" i="178" s="1"/>
  <c r="BI78" i="187"/>
  <c r="BK78" i="187"/>
  <c r="G65" i="196"/>
  <c r="F66" i="196"/>
  <c r="M24" i="178"/>
  <c r="L25" i="178"/>
  <c r="L26" i="178" s="1"/>
  <c r="BL81" i="187"/>
  <c r="G25" i="178"/>
  <c r="E65" i="196"/>
  <c r="D66" i="196"/>
  <c r="S24" i="178"/>
  <c r="R25" i="178"/>
  <c r="J27" i="178"/>
  <c r="AJ80" i="187" l="1"/>
  <c r="AJ14" i="187"/>
  <c r="N68" i="187"/>
  <c r="O68" i="187" s="1"/>
  <c r="M68" i="187"/>
  <c r="AJ88" i="187"/>
  <c r="AK47" i="187"/>
  <c r="AL47" i="187" s="1"/>
  <c r="M79" i="187"/>
  <c r="N9" i="187"/>
  <c r="O9" i="187" s="1"/>
  <c r="AJ28" i="187"/>
  <c r="AJ44" i="187"/>
  <c r="M50" i="187"/>
  <c r="AJ40" i="187"/>
  <c r="M82" i="187"/>
  <c r="AK83" i="187"/>
  <c r="AL83" i="187" s="1"/>
  <c r="AK18" i="187"/>
  <c r="AL18" i="187" s="1"/>
  <c r="N23" i="187"/>
  <c r="O23" i="187" s="1"/>
  <c r="AJ102" i="187"/>
  <c r="AK16" i="187"/>
  <c r="AL16" i="187" s="1"/>
  <c r="N81" i="187"/>
  <c r="O81" i="187" s="1"/>
  <c r="AJ89" i="187"/>
  <c r="AJ68" i="187"/>
  <c r="M52" i="187"/>
  <c r="N26" i="187"/>
  <c r="O26" i="187" s="1"/>
  <c r="M69" i="187"/>
  <c r="M12" i="187"/>
  <c r="AJ91" i="187"/>
  <c r="AJ92" i="187"/>
  <c r="M60" i="187"/>
  <c r="AK15" i="187"/>
  <c r="AL15" i="187" s="1"/>
  <c r="M8" i="187"/>
  <c r="N8" i="187"/>
  <c r="O8" i="187" s="1"/>
  <c r="AK92" i="187"/>
  <c r="AL92" i="187" s="1"/>
  <c r="M26" i="187"/>
  <c r="AK17" i="187"/>
  <c r="AL17" i="187" s="1"/>
  <c r="N69" i="187"/>
  <c r="O69" i="187" s="1"/>
  <c r="N60" i="187"/>
  <c r="O60" i="187" s="1"/>
  <c r="AK89" i="187"/>
  <c r="AL89" i="187" s="1"/>
  <c r="N73" i="187"/>
  <c r="O73" i="187" s="1"/>
  <c r="M81" i="187"/>
  <c r="AJ51" i="187"/>
  <c r="M7" i="187"/>
  <c r="M80" i="187"/>
  <c r="N12" i="187"/>
  <c r="O12" i="187" s="1"/>
  <c r="N82" i="187"/>
  <c r="O82" i="187" s="1"/>
  <c r="AK90" i="187"/>
  <c r="AL90" i="187" s="1"/>
  <c r="AK87" i="187"/>
  <c r="AL87" i="187" s="1"/>
  <c r="N70" i="187"/>
  <c r="O70" i="187" s="1"/>
  <c r="AJ79" i="187"/>
  <c r="AJ90" i="187"/>
  <c r="AK48" i="187"/>
  <c r="AL48" i="187" s="1"/>
  <c r="AJ87" i="187"/>
  <c r="N10" i="187"/>
  <c r="O10" i="187" s="1"/>
  <c r="M9" i="187"/>
  <c r="M88" i="187"/>
  <c r="AJ48" i="187"/>
  <c r="M11" i="187"/>
  <c r="M10" i="187"/>
  <c r="N80" i="187"/>
  <c r="O80" i="187" s="1"/>
  <c r="AK88" i="187"/>
  <c r="AL88" i="187" s="1"/>
  <c r="M84" i="187"/>
  <c r="M71" i="187"/>
  <c r="AK91" i="187"/>
  <c r="AL91" i="187" s="1"/>
  <c r="M44" i="187"/>
  <c r="N55" i="187"/>
  <c r="O55" i="187" s="1"/>
  <c r="N11" i="187"/>
  <c r="O11" i="187" s="1"/>
  <c r="N101" i="187"/>
  <c r="O101" i="187" s="1"/>
  <c r="L69" i="187"/>
  <c r="AK38" i="187"/>
  <c r="AL38" i="187" s="1"/>
  <c r="M55" i="187"/>
  <c r="M99" i="187"/>
  <c r="N56" i="187"/>
  <c r="O56" i="187" s="1"/>
  <c r="N44" i="187"/>
  <c r="O44" i="187" s="1"/>
  <c r="M56" i="187"/>
  <c r="AK35" i="187"/>
  <c r="AL35" i="187" s="1"/>
  <c r="N58" i="187"/>
  <c r="O58" i="187" s="1"/>
  <c r="AK93" i="187"/>
  <c r="AL93" i="187" s="1"/>
  <c r="N102" i="187"/>
  <c r="O102" i="187" s="1"/>
  <c r="N59" i="187"/>
  <c r="O59" i="187" s="1"/>
  <c r="N54" i="187"/>
  <c r="O54" i="187" s="1"/>
  <c r="M58" i="187"/>
  <c r="M59" i="187"/>
  <c r="M54" i="187"/>
  <c r="N7" i="187"/>
  <c r="O7" i="187" s="1"/>
  <c r="N57" i="187"/>
  <c r="O57" i="187" s="1"/>
  <c r="L98" i="187"/>
  <c r="N76" i="187"/>
  <c r="O76" i="187" s="1"/>
  <c r="N79" i="187"/>
  <c r="O79" i="187" s="1"/>
  <c r="AK73" i="187"/>
  <c r="AL73" i="187" s="1"/>
  <c r="AK49" i="187"/>
  <c r="AL49" i="187" s="1"/>
  <c r="AJ94" i="187"/>
  <c r="N71" i="187"/>
  <c r="O71" i="187" s="1"/>
  <c r="M22" i="187"/>
  <c r="M100" i="187"/>
  <c r="L53" i="187"/>
  <c r="AK25" i="187"/>
  <c r="AL25" i="187" s="1"/>
  <c r="AK40" i="187"/>
  <c r="AL40" i="187" s="1"/>
  <c r="AJ97" i="187"/>
  <c r="AJ67" i="187"/>
  <c r="AJ31" i="187"/>
  <c r="M29" i="187"/>
  <c r="M38" i="187"/>
  <c r="AI64" i="187"/>
  <c r="M35" i="187"/>
  <c r="N88" i="187"/>
  <c r="O88" i="187" s="1"/>
  <c r="M78" i="187"/>
  <c r="M53" i="187"/>
  <c r="N84" i="187"/>
  <c r="O84" i="187" s="1"/>
  <c r="AJ63" i="187"/>
  <c r="N94" i="187"/>
  <c r="O94" i="187" s="1"/>
  <c r="AK37" i="187"/>
  <c r="AL37" i="187" s="1"/>
  <c r="M76" i="187"/>
  <c r="M73" i="187"/>
  <c r="AK50" i="187"/>
  <c r="AL50" i="187" s="1"/>
  <c r="AJ38" i="187"/>
  <c r="M14" i="187"/>
  <c r="AJ35" i="187"/>
  <c r="AK97" i="187"/>
  <c r="AL97" i="187" s="1"/>
  <c r="M101" i="187"/>
  <c r="AJ93" i="187"/>
  <c r="N77" i="187"/>
  <c r="O77" i="187" s="1"/>
  <c r="M102" i="187"/>
  <c r="AK95" i="187"/>
  <c r="AL95" i="187" s="1"/>
  <c r="M75" i="187"/>
  <c r="AJ34" i="187"/>
  <c r="N34" i="187"/>
  <c r="O34" i="187" s="1"/>
  <c r="N100" i="187"/>
  <c r="O100" i="187" s="1"/>
  <c r="M77" i="187"/>
  <c r="N74" i="187"/>
  <c r="O74" i="187" s="1"/>
  <c r="AI101" i="187"/>
  <c r="AJ95" i="187"/>
  <c r="AK77" i="187"/>
  <c r="AL77" i="187" s="1"/>
  <c r="M41" i="187"/>
  <c r="AI57" i="187"/>
  <c r="N97" i="187"/>
  <c r="O97" i="187" s="1"/>
  <c r="AK45" i="187"/>
  <c r="AL45" i="187" s="1"/>
  <c r="AJ55" i="187"/>
  <c r="AJ60" i="187"/>
  <c r="M47" i="187"/>
  <c r="AJ37" i="187"/>
  <c r="N42" i="187"/>
  <c r="O42" i="187" s="1"/>
  <c r="AK27" i="187"/>
  <c r="AL27" i="187" s="1"/>
  <c r="AJ70" i="187"/>
  <c r="AI50" i="187"/>
  <c r="M91" i="187"/>
  <c r="N36" i="187"/>
  <c r="O36" i="187" s="1"/>
  <c r="AK39" i="187"/>
  <c r="AL39" i="187" s="1"/>
  <c r="M34" i="187"/>
  <c r="AI59" i="187"/>
  <c r="L26" i="187"/>
  <c r="AK96" i="187"/>
  <c r="AL96" i="187" s="1"/>
  <c r="AK71" i="187"/>
  <c r="AL71" i="187" s="1"/>
  <c r="AI85" i="187"/>
  <c r="AJ58" i="187"/>
  <c r="N35" i="187"/>
  <c r="O35" i="187" s="1"/>
  <c r="L77" i="187"/>
  <c r="M74" i="187"/>
  <c r="AK29" i="187"/>
  <c r="AL29" i="187" s="1"/>
  <c r="AK76" i="187"/>
  <c r="AL76" i="187" s="1"/>
  <c r="AJ77" i="187"/>
  <c r="AJ69" i="187"/>
  <c r="M13" i="187"/>
  <c r="M86" i="187"/>
  <c r="AK32" i="187"/>
  <c r="AL32" i="187" s="1"/>
  <c r="AK30" i="187"/>
  <c r="AL30" i="187" s="1"/>
  <c r="L72" i="187"/>
  <c r="M87" i="187"/>
  <c r="L93" i="187"/>
  <c r="AJ32" i="187"/>
  <c r="AJ27" i="187"/>
  <c r="AJ30" i="187"/>
  <c r="AK36" i="187"/>
  <c r="AL36" i="187" s="1"/>
  <c r="N83" i="187"/>
  <c r="O83" i="187" s="1"/>
  <c r="M36" i="187"/>
  <c r="AJ39" i="187"/>
  <c r="AK72" i="187"/>
  <c r="AL72" i="187" s="1"/>
  <c r="N32" i="187"/>
  <c r="O32" i="187" s="1"/>
  <c r="AJ96" i="187"/>
  <c r="AI71" i="187"/>
  <c r="M19" i="187"/>
  <c r="AK69" i="187"/>
  <c r="AL69" i="187" s="1"/>
  <c r="AJ29" i="187"/>
  <c r="AJ76" i="187"/>
  <c r="AK33" i="187"/>
  <c r="AL33" i="187" s="1"/>
  <c r="AJ33" i="187"/>
  <c r="N86" i="187"/>
  <c r="O86" i="187" s="1"/>
  <c r="AK70" i="187"/>
  <c r="AL70" i="187" s="1"/>
  <c r="AJ50" i="187"/>
  <c r="N87" i="187"/>
  <c r="O87" i="187" s="1"/>
  <c r="AK31" i="187"/>
  <c r="AL31" i="187" s="1"/>
  <c r="N53" i="187"/>
  <c r="O53" i="187" s="1"/>
  <c r="N31" i="187"/>
  <c r="O31" i="187" s="1"/>
  <c r="AJ36" i="187"/>
  <c r="M83" i="187"/>
  <c r="AK74" i="187"/>
  <c r="AL74" i="187" s="1"/>
  <c r="AJ72" i="187"/>
  <c r="M32" i="187"/>
  <c r="AJ71" i="187"/>
  <c r="AI20" i="187"/>
  <c r="N27" i="187"/>
  <c r="O27" i="187" s="1"/>
  <c r="N33" i="187"/>
  <c r="O33" i="187" s="1"/>
  <c r="L13" i="187"/>
  <c r="AI10" i="187"/>
  <c r="AI41" i="187"/>
  <c r="N72" i="187"/>
  <c r="O72" i="187" s="1"/>
  <c r="M72" i="187"/>
  <c r="N85" i="187"/>
  <c r="O85" i="187" s="1"/>
  <c r="AK94" i="187"/>
  <c r="AL94" i="187" s="1"/>
  <c r="N28" i="187"/>
  <c r="O28" i="187" s="1"/>
  <c r="N98" i="187"/>
  <c r="O98" i="187" s="1"/>
  <c r="M85" i="187"/>
  <c r="M28" i="187"/>
  <c r="N13" i="187"/>
  <c r="O13" i="187" s="1"/>
  <c r="AJ53" i="187"/>
  <c r="M31" i="187"/>
  <c r="AJ74" i="187"/>
  <c r="N78" i="187"/>
  <c r="O78" i="187" s="1"/>
  <c r="AK28" i="187"/>
  <c r="AL28" i="187" s="1"/>
  <c r="AK67" i="187"/>
  <c r="AL67" i="187" s="1"/>
  <c r="N29" i="187"/>
  <c r="O29" i="187" s="1"/>
  <c r="AK75" i="187"/>
  <c r="AL75" i="187" s="1"/>
  <c r="AK12" i="187"/>
  <c r="AL12" i="187" s="1"/>
  <c r="N30" i="187"/>
  <c r="O30" i="187" s="1"/>
  <c r="M27" i="187"/>
  <c r="M33" i="187"/>
  <c r="M30" i="187"/>
  <c r="M70" i="187"/>
  <c r="AJ49" i="187"/>
  <c r="N75" i="187"/>
  <c r="O75" i="187" s="1"/>
  <c r="M98" i="187"/>
  <c r="AK51" i="187"/>
  <c r="AL51" i="187" s="1"/>
  <c r="N52" i="187"/>
  <c r="O52" i="187" s="1"/>
  <c r="AK65" i="187"/>
  <c r="AL65" i="187" s="1"/>
  <c r="AK68" i="187"/>
  <c r="AL68" i="187" s="1"/>
  <c r="AI28" i="187"/>
  <c r="AJ75" i="187"/>
  <c r="M57" i="187"/>
  <c r="AK34" i="187"/>
  <c r="AL34" i="187" s="1"/>
  <c r="AI54" i="187"/>
  <c r="N99" i="187"/>
  <c r="O99" i="187" s="1"/>
  <c r="L24" i="187"/>
  <c r="L92" i="187"/>
  <c r="AK86" i="187"/>
  <c r="AL86" i="187" s="1"/>
  <c r="AJ21" i="187"/>
  <c r="AK59" i="187"/>
  <c r="AL59" i="187" s="1"/>
  <c r="AJ18" i="187"/>
  <c r="AK64" i="187"/>
  <c r="AL64" i="187" s="1"/>
  <c r="AJ13" i="187"/>
  <c r="L97" i="187"/>
  <c r="M63" i="187"/>
  <c r="M21" i="187"/>
  <c r="AK101" i="187"/>
  <c r="AL101" i="187" s="1"/>
  <c r="AJ16" i="187"/>
  <c r="N40" i="187"/>
  <c r="O40" i="187" s="1"/>
  <c r="BK65" i="187"/>
  <c r="AJ73" i="187"/>
  <c r="L99" i="187"/>
  <c r="AI46" i="187"/>
  <c r="L51" i="187"/>
  <c r="AJ66" i="187"/>
  <c r="AI61" i="187"/>
  <c r="N20" i="187"/>
  <c r="O20" i="187" s="1"/>
  <c r="L71" i="187"/>
  <c r="AJ46" i="187"/>
  <c r="M51" i="187"/>
  <c r="L25" i="187"/>
  <c r="AJ84" i="187"/>
  <c r="AI92" i="187"/>
  <c r="L12" i="187"/>
  <c r="AK44" i="187"/>
  <c r="AL44" i="187" s="1"/>
  <c r="AK10" i="187"/>
  <c r="AL10" i="187" s="1"/>
  <c r="L44" i="187"/>
  <c r="L52" i="187"/>
  <c r="AK80" i="187"/>
  <c r="AL80" i="187" s="1"/>
  <c r="AK41" i="187"/>
  <c r="AL41" i="187" s="1"/>
  <c r="L20" i="187"/>
  <c r="AJ56" i="187"/>
  <c r="AI44" i="187"/>
  <c r="AI51" i="187"/>
  <c r="AJ10" i="187"/>
  <c r="L86" i="187"/>
  <c r="L28" i="187"/>
  <c r="L38" i="187"/>
  <c r="AI88" i="187"/>
  <c r="N93" i="187"/>
  <c r="O93" i="187" s="1"/>
  <c r="AI80" i="187"/>
  <c r="L45" i="187"/>
  <c r="AJ41" i="187"/>
  <c r="AK53" i="187"/>
  <c r="AL53" i="187" s="1"/>
  <c r="AI55" i="187"/>
  <c r="AJ100" i="187"/>
  <c r="L91" i="187"/>
  <c r="L41" i="187"/>
  <c r="AI63" i="187"/>
  <c r="L36" i="187"/>
  <c r="L54" i="187"/>
  <c r="L84" i="187"/>
  <c r="N14" i="187"/>
  <c r="O14" i="187" s="1"/>
  <c r="AK14" i="187"/>
  <c r="AL14" i="187" s="1"/>
  <c r="AJ59" i="187"/>
  <c r="AI24" i="187"/>
  <c r="AI35" i="187"/>
  <c r="L68" i="187"/>
  <c r="AI99" i="187"/>
  <c r="L22" i="187"/>
  <c r="AJ45" i="187"/>
  <c r="AI102" i="187"/>
  <c r="M64" i="187"/>
  <c r="AI89" i="187"/>
  <c r="N50" i="187"/>
  <c r="O50" i="187" s="1"/>
  <c r="N19" i="187"/>
  <c r="O19" i="187" s="1"/>
  <c r="AI87" i="187"/>
  <c r="AI75" i="187"/>
  <c r="AK58" i="187"/>
  <c r="AL58" i="187" s="1"/>
  <c r="AI7" i="187"/>
  <c r="M97" i="187"/>
  <c r="L74" i="187"/>
  <c r="AK20" i="187"/>
  <c r="AL20" i="187" s="1"/>
  <c r="AI49" i="187"/>
  <c r="AJ101" i="187"/>
  <c r="AI21" i="187"/>
  <c r="AJ64" i="187"/>
  <c r="N24" i="187"/>
  <c r="O24" i="187" s="1"/>
  <c r="AJ57" i="187"/>
  <c r="AK54" i="187"/>
  <c r="AL54" i="187" s="1"/>
  <c r="AI37" i="187"/>
  <c r="L85" i="187"/>
  <c r="AK52" i="187"/>
  <c r="AL52" i="187" s="1"/>
  <c r="AI65" i="187"/>
  <c r="AK19" i="187"/>
  <c r="AL19" i="187" s="1"/>
  <c r="AJ15" i="187"/>
  <c r="AI14" i="187"/>
  <c r="AI40" i="187"/>
  <c r="AK98" i="187"/>
  <c r="AL98" i="187" s="1"/>
  <c r="AJ17" i="187"/>
  <c r="N17" i="187"/>
  <c r="O17" i="187" s="1"/>
  <c r="AK8" i="187"/>
  <c r="AL8" i="187" s="1"/>
  <c r="AJ25" i="187"/>
  <c r="BI59" i="187"/>
  <c r="BJ59" i="187" s="1"/>
  <c r="M40" i="187"/>
  <c r="N95" i="187"/>
  <c r="O95" i="187" s="1"/>
  <c r="L50" i="187"/>
  <c r="N61" i="187"/>
  <c r="O61" i="187" s="1"/>
  <c r="L19" i="187"/>
  <c r="L58" i="187"/>
  <c r="AI58" i="187"/>
  <c r="AI12" i="187"/>
  <c r="AJ7" i="187"/>
  <c r="M94" i="187"/>
  <c r="AJ20" i="187"/>
  <c r="AI47" i="187"/>
  <c r="L88" i="187"/>
  <c r="M24" i="187"/>
  <c r="AJ54" i="187"/>
  <c r="AI33" i="187"/>
  <c r="AI34" i="187"/>
  <c r="L42" i="187"/>
  <c r="M93" i="187"/>
  <c r="AI53" i="187"/>
  <c r="AI36" i="187"/>
  <c r="N90" i="187"/>
  <c r="O90" i="187" s="1"/>
  <c r="AI78" i="187"/>
  <c r="AI83" i="187"/>
  <c r="L87" i="187"/>
  <c r="AK61" i="187"/>
  <c r="AL61" i="187" s="1"/>
  <c r="AJ52" i="187"/>
  <c r="AK11" i="187"/>
  <c r="AL11" i="187" s="1"/>
  <c r="AJ65" i="187"/>
  <c r="N16" i="187"/>
  <c r="O16" i="187" s="1"/>
  <c r="N46" i="187"/>
  <c r="O46" i="187" s="1"/>
  <c r="L31" i="187"/>
  <c r="M65" i="187"/>
  <c r="L23" i="187"/>
  <c r="AJ19" i="187"/>
  <c r="AK23" i="187"/>
  <c r="AL23" i="187" s="1"/>
  <c r="AI15" i="187"/>
  <c r="AI18" i="187"/>
  <c r="L90" i="187"/>
  <c r="AI39" i="187"/>
  <c r="AK78" i="187"/>
  <c r="AL78" i="187" s="1"/>
  <c r="L9" i="187"/>
  <c r="N96" i="187"/>
  <c r="O96" i="187" s="1"/>
  <c r="L32" i="187"/>
  <c r="AJ98" i="187"/>
  <c r="AI17" i="187"/>
  <c r="M17" i="187"/>
  <c r="AI8" i="187"/>
  <c r="AK81" i="187"/>
  <c r="AL81" i="187" s="1"/>
  <c r="L55" i="187"/>
  <c r="N48" i="187"/>
  <c r="O48" i="187" s="1"/>
  <c r="AI25" i="187"/>
  <c r="AI97" i="187"/>
  <c r="AK22" i="187"/>
  <c r="AL22" i="187" s="1"/>
  <c r="L7" i="187"/>
  <c r="L40" i="187"/>
  <c r="L95" i="187"/>
  <c r="AK82" i="187"/>
  <c r="AL82" i="187" s="1"/>
  <c r="L61" i="187"/>
  <c r="AK42" i="187"/>
  <c r="AL42" i="187" s="1"/>
  <c r="L101" i="187"/>
  <c r="AI93" i="187"/>
  <c r="AJ12" i="187"/>
  <c r="BI65" i="187"/>
  <c r="BJ65" i="187" s="1"/>
  <c r="L94" i="187"/>
  <c r="AI69" i="187"/>
  <c r="AJ47" i="187"/>
  <c r="AI76" i="187"/>
  <c r="L33" i="187"/>
  <c r="AJ85" i="187"/>
  <c r="AJ83" i="187"/>
  <c r="AK43" i="187"/>
  <c r="AL43" i="187" s="1"/>
  <c r="N63" i="187"/>
  <c r="O63" i="187" s="1"/>
  <c r="AI16" i="187"/>
  <c r="L60" i="187"/>
  <c r="AI70" i="187"/>
  <c r="AI30" i="187"/>
  <c r="N65" i="187"/>
  <c r="O65" i="187" s="1"/>
  <c r="M23" i="187"/>
  <c r="L83" i="187"/>
  <c r="L14" i="187"/>
  <c r="AJ43" i="187"/>
  <c r="AK85" i="187"/>
  <c r="AL85" i="187" s="1"/>
  <c r="AK66" i="187"/>
  <c r="AL66" i="187" s="1"/>
  <c r="M42" i="187"/>
  <c r="AI43" i="187"/>
  <c r="AK46" i="187"/>
  <c r="AL46" i="187" s="1"/>
  <c r="AK62" i="187"/>
  <c r="AL62" i="187" s="1"/>
  <c r="N51" i="187"/>
  <c r="O51" i="187" s="1"/>
  <c r="N25" i="187"/>
  <c r="O25" i="187" s="1"/>
  <c r="AI66" i="187"/>
  <c r="AK60" i="187"/>
  <c r="AL60" i="187" s="1"/>
  <c r="AJ61" i="187"/>
  <c r="AK84" i="187"/>
  <c r="AL84" i="187" s="1"/>
  <c r="AI52" i="187"/>
  <c r="L76" i="187"/>
  <c r="AI31" i="187"/>
  <c r="AJ11" i="187"/>
  <c r="AI27" i="187"/>
  <c r="M16" i="187"/>
  <c r="M46" i="187"/>
  <c r="L65" i="187"/>
  <c r="L79" i="187"/>
  <c r="AI19" i="187"/>
  <c r="AI23" i="187"/>
  <c r="N43" i="187"/>
  <c r="O43" i="187" s="1"/>
  <c r="AI38" i="187"/>
  <c r="M90" i="187"/>
  <c r="AJ78" i="187"/>
  <c r="N39" i="187"/>
  <c r="O39" i="187" s="1"/>
  <c r="M96" i="187"/>
  <c r="N49" i="187"/>
  <c r="O49" i="187" s="1"/>
  <c r="AI98" i="187"/>
  <c r="L17" i="187"/>
  <c r="AJ8" i="187"/>
  <c r="AI81" i="187"/>
  <c r="M48" i="187"/>
  <c r="N37" i="187"/>
  <c r="O37" i="187" s="1"/>
  <c r="AJ22" i="187"/>
  <c r="M95" i="187"/>
  <c r="AJ82" i="187"/>
  <c r="M61" i="187"/>
  <c r="L11" i="187"/>
  <c r="AJ42" i="187"/>
  <c r="AK26" i="187"/>
  <c r="AL26" i="187" s="1"/>
  <c r="L8" i="187"/>
  <c r="N18" i="187"/>
  <c r="O18" i="187" s="1"/>
  <c r="AI91" i="187"/>
  <c r="N62" i="187"/>
  <c r="O62" i="187" s="1"/>
  <c r="AI29" i="187"/>
  <c r="L75" i="187"/>
  <c r="AI32" i="187"/>
  <c r="L16" i="187"/>
  <c r="L46" i="187"/>
  <c r="AI90" i="187"/>
  <c r="AK13" i="187"/>
  <c r="AL13" i="187" s="1"/>
  <c r="AJ23" i="187"/>
  <c r="M43" i="187"/>
  <c r="N89" i="187"/>
  <c r="O89" i="187" s="1"/>
  <c r="AI74" i="187"/>
  <c r="N47" i="187"/>
  <c r="O47" i="187" s="1"/>
  <c r="L34" i="187"/>
  <c r="L39" i="187"/>
  <c r="L96" i="187"/>
  <c r="M49" i="187"/>
  <c r="N67" i="187"/>
  <c r="O67" i="187" s="1"/>
  <c r="AI79" i="187"/>
  <c r="AJ81" i="187"/>
  <c r="AI96" i="187"/>
  <c r="L48" i="187"/>
  <c r="M37" i="187"/>
  <c r="N92" i="187"/>
  <c r="O92" i="187" s="1"/>
  <c r="AI22" i="187"/>
  <c r="BK59" i="187"/>
  <c r="AI82" i="187"/>
  <c r="AK9" i="187"/>
  <c r="AL9" i="187" s="1"/>
  <c r="L29" i="187"/>
  <c r="N21" i="187"/>
  <c r="O21" i="187" s="1"/>
  <c r="AI42" i="187"/>
  <c r="AI26" i="187"/>
  <c r="M18" i="187"/>
  <c r="N66" i="187"/>
  <c r="O66" i="187" s="1"/>
  <c r="L30" i="187"/>
  <c r="M62" i="187"/>
  <c r="AI95" i="187"/>
  <c r="L82" i="187"/>
  <c r="L70" i="187"/>
  <c r="AI73" i="187"/>
  <c r="AI11" i="187"/>
  <c r="M15" i="187"/>
  <c r="N45" i="187"/>
  <c r="O45" i="187" s="1"/>
  <c r="L73" i="187"/>
  <c r="M20" i="187"/>
  <c r="AI56" i="187"/>
  <c r="AK55" i="187"/>
  <c r="AL55" i="187" s="1"/>
  <c r="AI68" i="187"/>
  <c r="AJ86" i="187"/>
  <c r="AK100" i="187"/>
  <c r="AL100" i="187" s="1"/>
  <c r="AI13" i="187"/>
  <c r="N41" i="187"/>
  <c r="O41" i="187" s="1"/>
  <c r="L43" i="187"/>
  <c r="L56" i="187"/>
  <c r="L89" i="187"/>
  <c r="L47" i="187"/>
  <c r="M39" i="187"/>
  <c r="AK24" i="187"/>
  <c r="AL24" i="187" s="1"/>
  <c r="L49" i="187"/>
  <c r="M67" i="187"/>
  <c r="L78" i="187"/>
  <c r="AK79" i="187"/>
  <c r="AL79" i="187" s="1"/>
  <c r="AK99" i="187"/>
  <c r="AL99" i="187" s="1"/>
  <c r="L37" i="187"/>
  <c r="M92" i="187"/>
  <c r="N64" i="187"/>
  <c r="O64" i="187" s="1"/>
  <c r="L100" i="187"/>
  <c r="AI67" i="187"/>
  <c r="AI9" i="187"/>
  <c r="L21" i="187"/>
  <c r="AJ26" i="187"/>
  <c r="L35" i="187"/>
  <c r="L10" i="187"/>
  <c r="L18" i="187"/>
  <c r="L102" i="187"/>
  <c r="L66" i="187"/>
  <c r="L62" i="187"/>
  <c r="L27" i="187"/>
  <c r="AK21" i="187"/>
  <c r="AL21" i="187" s="1"/>
  <c r="AK57" i="187"/>
  <c r="AL57" i="187" s="1"/>
  <c r="L57" i="187"/>
  <c r="L63" i="187"/>
  <c r="N15" i="187"/>
  <c r="O15" i="187" s="1"/>
  <c r="AJ62" i="187"/>
  <c r="M25" i="187"/>
  <c r="AI84" i="187"/>
  <c r="AK56" i="187"/>
  <c r="AL56" i="187" s="1"/>
  <c r="L59" i="187"/>
  <c r="AI62" i="187"/>
  <c r="AI60" i="187"/>
  <c r="L15" i="187"/>
  <c r="AI94" i="187"/>
  <c r="N38" i="187"/>
  <c r="O38" i="187" s="1"/>
  <c r="M45" i="187"/>
  <c r="AI86" i="187"/>
  <c r="AI100" i="187"/>
  <c r="N91" i="187"/>
  <c r="O91" i="187" s="1"/>
  <c r="AK63" i="187"/>
  <c r="AL63" i="187" s="1"/>
  <c r="M89" i="187"/>
  <c r="AI72" i="187"/>
  <c r="AJ24" i="187"/>
  <c r="L67" i="187"/>
  <c r="AJ99" i="187"/>
  <c r="N22" i="187"/>
  <c r="O22" i="187" s="1"/>
  <c r="AI45" i="187"/>
  <c r="AK102" i="187"/>
  <c r="AL102" i="187" s="1"/>
  <c r="L64" i="187"/>
  <c r="AI48" i="187"/>
  <c r="L81" i="187"/>
  <c r="AJ9" i="187"/>
  <c r="L80" i="187"/>
  <c r="AK7" i="187"/>
  <c r="AL7" i="187" s="1"/>
  <c r="M66" i="187"/>
  <c r="AI77" i="187"/>
  <c r="F28" i="178"/>
  <c r="F29" i="178" s="1"/>
  <c r="F30" i="178" s="1"/>
  <c r="F31" i="178" s="1"/>
  <c r="AA31" i="192"/>
  <c r="AB31" i="192"/>
  <c r="K18" i="185"/>
  <c r="AI17" i="185"/>
  <c r="J18" i="185"/>
  <c r="L17" i="185"/>
  <c r="M5" i="193"/>
  <c r="K6" i="193"/>
  <c r="M6" i="193"/>
  <c r="N6" i="193"/>
  <c r="L6" i="193"/>
  <c r="L5" i="193"/>
  <c r="P6" i="193"/>
  <c r="R5" i="193"/>
  <c r="R6" i="193"/>
  <c r="Q5" i="193"/>
  <c r="Q6" i="193"/>
  <c r="S6" i="193"/>
  <c r="BL51" i="187"/>
  <c r="BL55" i="187" s="1"/>
  <c r="H30" i="178"/>
  <c r="I30" i="178" s="1"/>
  <c r="E28" i="178"/>
  <c r="D29" i="178"/>
  <c r="D30" i="178" s="1"/>
  <c r="K27" i="178"/>
  <c r="I29" i="178"/>
  <c r="S25" i="178"/>
  <c r="R26" i="178"/>
  <c r="R27" i="178" s="1"/>
  <c r="M26" i="178"/>
  <c r="J28" i="178"/>
  <c r="J29" i="178" s="1"/>
  <c r="BJ78" i="187"/>
  <c r="S16" i="179" s="1"/>
  <c r="S15" i="179"/>
  <c r="O26" i="178"/>
  <c r="N27" i="178"/>
  <c r="Q26" i="178"/>
  <c r="P27" i="178"/>
  <c r="I66" i="196"/>
  <c r="H67" i="196"/>
  <c r="S11" i="179"/>
  <c r="F5" i="192"/>
  <c r="S12" i="179" s="1"/>
  <c r="M25" i="178"/>
  <c r="I28" i="178"/>
  <c r="E66" i="196"/>
  <c r="D67" i="196"/>
  <c r="L27" i="178"/>
  <c r="L28" i="178" s="1"/>
  <c r="F67" i="196"/>
  <c r="G66" i="196"/>
  <c r="E27" i="178"/>
  <c r="G28" i="178" l="1"/>
  <c r="G29" i="178"/>
  <c r="AM17" i="187"/>
  <c r="AM57" i="187"/>
  <c r="AM45" i="187"/>
  <c r="AM100" i="187"/>
  <c r="P62" i="187"/>
  <c r="P40" i="187"/>
  <c r="AM19" i="187"/>
  <c r="P102" i="187"/>
  <c r="P47" i="187"/>
  <c r="P53" i="187"/>
  <c r="P83" i="187"/>
  <c r="AM61" i="187"/>
  <c r="P59" i="187"/>
  <c r="AM92" i="187"/>
  <c r="AM96" i="187"/>
  <c r="P93" i="187"/>
  <c r="P22" i="187"/>
  <c r="P45" i="187"/>
  <c r="AM46" i="187"/>
  <c r="P57" i="187"/>
  <c r="P81" i="187"/>
  <c r="P41" i="187"/>
  <c r="P44" i="187"/>
  <c r="AM29" i="187"/>
  <c r="P71" i="187"/>
  <c r="AM85" i="187"/>
  <c r="AM32" i="187"/>
  <c r="AM56" i="187"/>
  <c r="AM98" i="187"/>
  <c r="P38" i="187"/>
  <c r="BL65" i="187"/>
  <c r="BL59" i="187"/>
  <c r="AM65" i="187"/>
  <c r="P54" i="187"/>
  <c r="AM52" i="187"/>
  <c r="AM102" i="187"/>
  <c r="AM77" i="187"/>
  <c r="P87" i="187"/>
  <c r="P69" i="187"/>
  <c r="P7" i="187"/>
  <c r="P13" i="187"/>
  <c r="P92" i="187"/>
  <c r="AM23" i="187"/>
  <c r="AM49" i="187"/>
  <c r="P34" i="187"/>
  <c r="AM67" i="187"/>
  <c r="AM82" i="187"/>
  <c r="AM26" i="187"/>
  <c r="P67" i="187"/>
  <c r="P82" i="187"/>
  <c r="AM72" i="187"/>
  <c r="AM62" i="187"/>
  <c r="AM99" i="187"/>
  <c r="P84" i="187"/>
  <c r="P16" i="187"/>
  <c r="P29" i="187"/>
  <c r="P56" i="187"/>
  <c r="P60" i="187"/>
  <c r="P90" i="187"/>
  <c r="AM18" i="187"/>
  <c r="P20" i="187"/>
  <c r="AM69" i="187"/>
  <c r="P64" i="187"/>
  <c r="P43" i="187"/>
  <c r="AM27" i="187"/>
  <c r="AM90" i="187"/>
  <c r="AM84" i="187"/>
  <c r="P32" i="187"/>
  <c r="P50" i="187"/>
  <c r="P39" i="187"/>
  <c r="AM31" i="187"/>
  <c r="AM28" i="187"/>
  <c r="AM54" i="187"/>
  <c r="P23" i="187"/>
  <c r="P70" i="187"/>
  <c r="AM66" i="187"/>
  <c r="P76" i="187"/>
  <c r="AM12" i="187"/>
  <c r="AM88" i="187"/>
  <c r="AM11" i="187"/>
  <c r="P97" i="187"/>
  <c r="P78" i="187"/>
  <c r="AM101" i="187"/>
  <c r="AM21" i="187"/>
  <c r="P68" i="187"/>
  <c r="P63" i="187"/>
  <c r="P100" i="187"/>
  <c r="P61" i="187"/>
  <c r="AM33" i="187"/>
  <c r="AM86" i="187"/>
  <c r="P85" i="187"/>
  <c r="AM43" i="187"/>
  <c r="P95" i="187"/>
  <c r="P48" i="187"/>
  <c r="P91" i="187"/>
  <c r="AM94" i="187"/>
  <c r="P52" i="187"/>
  <c r="AM25" i="187"/>
  <c r="AM64" i="187"/>
  <c r="AM89" i="187"/>
  <c r="P77" i="187"/>
  <c r="P33" i="187"/>
  <c r="P36" i="187"/>
  <c r="P18" i="187"/>
  <c r="P72" i="187"/>
  <c r="P10" i="187"/>
  <c r="AM74" i="187"/>
  <c r="P42" i="187"/>
  <c r="P80" i="187"/>
  <c r="P12" i="187"/>
  <c r="P30" i="187"/>
  <c r="AM24" i="187"/>
  <c r="AM53" i="187"/>
  <c r="AM83" i="187"/>
  <c r="AM71" i="187"/>
  <c r="AM97" i="187"/>
  <c r="P99" i="187"/>
  <c r="P35" i="187"/>
  <c r="AM50" i="187"/>
  <c r="AM37" i="187"/>
  <c r="P55" i="187"/>
  <c r="P88" i="187"/>
  <c r="AM81" i="187"/>
  <c r="AM36" i="187"/>
  <c r="P51" i="187"/>
  <c r="P98" i="187"/>
  <c r="AM8" i="187"/>
  <c r="AM51" i="187"/>
  <c r="AM16" i="187"/>
  <c r="AM60" i="187"/>
  <c r="AM93" i="187"/>
  <c r="P89" i="187"/>
  <c r="AM10" i="187"/>
  <c r="P11" i="187"/>
  <c r="P75" i="187"/>
  <c r="AM76" i="187"/>
  <c r="AM58" i="187"/>
  <c r="AM14" i="187"/>
  <c r="AM70" i="187"/>
  <c r="AM87" i="187"/>
  <c r="AM73" i="187"/>
  <c r="AM9" i="187"/>
  <c r="AM59" i="187"/>
  <c r="P46" i="187"/>
  <c r="AM34" i="187"/>
  <c r="AM42" i="187"/>
  <c r="P24" i="187"/>
  <c r="P66" i="187"/>
  <c r="P17" i="187"/>
  <c r="AM68" i="187"/>
  <c r="P15" i="187"/>
  <c r="AM95" i="187"/>
  <c r="P28" i="187"/>
  <c r="AM15" i="187"/>
  <c r="AM40" i="187"/>
  <c r="P25" i="187"/>
  <c r="AM41" i="187"/>
  <c r="P49" i="187"/>
  <c r="P74" i="187"/>
  <c r="AM38" i="187"/>
  <c r="P8" i="187"/>
  <c r="AM55" i="187"/>
  <c r="AM20" i="187"/>
  <c r="AM44" i="187"/>
  <c r="AM79" i="187"/>
  <c r="AM13" i="187"/>
  <c r="P79" i="187"/>
  <c r="P31" i="187"/>
  <c r="P94" i="187"/>
  <c r="AM75" i="187"/>
  <c r="P73" i="187"/>
  <c r="P96" i="187"/>
  <c r="P27" i="187"/>
  <c r="P37" i="187"/>
  <c r="P86" i="187"/>
  <c r="AM91" i="187"/>
  <c r="AM22" i="187"/>
  <c r="AM63" i="187"/>
  <c r="P58" i="187"/>
  <c r="AM78" i="187"/>
  <c r="AM80" i="187"/>
  <c r="P9" i="187"/>
  <c r="P14" i="187"/>
  <c r="P65" i="187"/>
  <c r="AM47" i="187"/>
  <c r="AM48" i="187"/>
  <c r="AM39" i="187"/>
  <c r="AM35" i="187"/>
  <c r="P21" i="187"/>
  <c r="P19" i="187"/>
  <c r="P26" i="187"/>
  <c r="AM30" i="187"/>
  <c r="AM7" i="187"/>
  <c r="P101" i="187"/>
  <c r="K19" i="185"/>
  <c r="AI18" i="185"/>
  <c r="J19" i="185"/>
  <c r="L18" i="185"/>
  <c r="G30" i="178"/>
  <c r="H31" i="178"/>
  <c r="I31" i="178" s="1"/>
  <c r="F53" i="192"/>
  <c r="N10" i="179"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AO65" i="187" l="1"/>
  <c r="R40" i="187"/>
  <c r="AO72" i="187"/>
  <c r="R76" i="187"/>
  <c r="Q27" i="187"/>
  <c r="AO41" i="187"/>
  <c r="Q12" i="187"/>
  <c r="AO73" i="187"/>
  <c r="AO67" i="187"/>
  <c r="R68" i="187"/>
  <c r="AO98" i="187"/>
  <c r="AO78" i="187"/>
  <c r="AO97" i="187"/>
  <c r="AO21" i="187"/>
  <c r="R62" i="187"/>
  <c r="Q28" i="187"/>
  <c r="R49" i="187"/>
  <c r="Q21" i="187"/>
  <c r="AN91" i="187"/>
  <c r="AN55" i="187"/>
  <c r="R69" i="187"/>
  <c r="AN39" i="187"/>
  <c r="R58" i="187"/>
  <c r="Q74" i="187"/>
  <c r="R38" i="187"/>
  <c r="Q44" i="187"/>
  <c r="AO39" i="187"/>
  <c r="R90" i="187"/>
  <c r="AN22" i="187"/>
  <c r="R52" i="187"/>
  <c r="R31" i="187"/>
  <c r="AN81" i="187"/>
  <c r="R92" i="187"/>
  <c r="R36" i="187"/>
  <c r="AN14" i="187"/>
  <c r="R85" i="187"/>
  <c r="AO76" i="187"/>
  <c r="Q91" i="187"/>
  <c r="R98" i="187"/>
  <c r="R73" i="187"/>
  <c r="AN86" i="187"/>
  <c r="AO40" i="187"/>
  <c r="Q97" i="187"/>
  <c r="AO70" i="187"/>
  <c r="AO93" i="187"/>
  <c r="AO81" i="187"/>
  <c r="AO71" i="187"/>
  <c r="AO74" i="187"/>
  <c r="AN64" i="187"/>
  <c r="Q85" i="187"/>
  <c r="AN101" i="187"/>
  <c r="R70" i="187"/>
  <c r="AN84" i="187"/>
  <c r="Q90" i="187"/>
  <c r="AN72" i="187"/>
  <c r="AO23" i="187"/>
  <c r="AN60" i="187"/>
  <c r="AO44" i="187"/>
  <c r="AO54" i="187"/>
  <c r="AO37" i="187"/>
  <c r="AN29" i="187"/>
  <c r="R80" i="187"/>
  <c r="R56" i="187"/>
  <c r="AN45" i="187"/>
  <c r="Q48" i="187"/>
  <c r="Q45" i="187"/>
  <c r="AN47" i="187"/>
  <c r="AO64" i="187"/>
  <c r="AN9" i="187"/>
  <c r="AO84" i="187"/>
  <c r="Q70" i="187"/>
  <c r="R79" i="187"/>
  <c r="Q67" i="187"/>
  <c r="AN53" i="187"/>
  <c r="Q75" i="187"/>
  <c r="Q71" i="187"/>
  <c r="R67" i="187"/>
  <c r="AO16" i="187"/>
  <c r="R16" i="187"/>
  <c r="R75" i="187"/>
  <c r="AO61" i="187"/>
  <c r="R71" i="187"/>
  <c r="Q22" i="187"/>
  <c r="R37" i="187"/>
  <c r="Q59" i="187"/>
  <c r="AO94" i="187"/>
  <c r="AN98" i="187"/>
  <c r="Q40" i="187"/>
  <c r="AN97" i="187"/>
  <c r="AN78" i="187"/>
  <c r="AN76" i="187"/>
  <c r="Q92" i="187"/>
  <c r="AN67" i="187"/>
  <c r="Q49" i="187"/>
  <c r="AN65" i="187"/>
  <c r="R13" i="187"/>
  <c r="R22" i="187"/>
  <c r="R66" i="187"/>
  <c r="Q69" i="187"/>
  <c r="AN73" i="187"/>
  <c r="Q38" i="187"/>
  <c r="AO22" i="187"/>
  <c r="Q36" i="187"/>
  <c r="Q52" i="187"/>
  <c r="Q68" i="187"/>
  <c r="Q98" i="187"/>
  <c r="AN21" i="187"/>
  <c r="Q62" i="187"/>
  <c r="AO30" i="187"/>
  <c r="R57" i="187"/>
  <c r="AO99" i="187"/>
  <c r="AO55" i="187"/>
  <c r="Q76" i="187"/>
  <c r="AN41" i="187"/>
  <c r="AO35" i="187"/>
  <c r="Q31" i="187"/>
  <c r="R47" i="187"/>
  <c r="R24" i="187"/>
  <c r="R43" i="187"/>
  <c r="R96" i="187"/>
  <c r="AO10" i="187"/>
  <c r="AO60" i="187"/>
  <c r="AN37" i="187"/>
  <c r="AO66" i="187"/>
  <c r="AO46" i="187"/>
  <c r="AO86" i="187"/>
  <c r="R97" i="187"/>
  <c r="Q14" i="187"/>
  <c r="Q64" i="187"/>
  <c r="Q15" i="187"/>
  <c r="R91" i="187"/>
  <c r="R21" i="187"/>
  <c r="AN100" i="187"/>
  <c r="AN32" i="187"/>
  <c r="Q34" i="187"/>
  <c r="AN19" i="187"/>
  <c r="R23" i="187"/>
  <c r="AN43" i="187"/>
  <c r="AO91" i="187"/>
  <c r="AN80" i="187"/>
  <c r="Q55" i="187"/>
  <c r="Q83" i="187"/>
  <c r="Q7" i="187"/>
  <c r="AN49" i="187"/>
  <c r="AO45" i="187"/>
  <c r="AO14" i="187"/>
  <c r="AN23" i="187"/>
  <c r="AN33" i="187"/>
  <c r="AN69" i="187"/>
  <c r="AN93" i="187"/>
  <c r="AO9" i="187"/>
  <c r="AN90" i="187"/>
  <c r="R28" i="187"/>
  <c r="R48" i="187"/>
  <c r="R44" i="187"/>
  <c r="R12" i="187"/>
  <c r="R45" i="187"/>
  <c r="R18" i="187"/>
  <c r="Q39" i="187"/>
  <c r="R93" i="187"/>
  <c r="AO29" i="187"/>
  <c r="AO47" i="187"/>
  <c r="R27" i="187"/>
  <c r="R25" i="187"/>
  <c r="Q32" i="187"/>
  <c r="Q29" i="187"/>
  <c r="Q72" i="187"/>
  <c r="R74" i="187"/>
  <c r="AO17" i="187"/>
  <c r="R14" i="187"/>
  <c r="R64" i="187"/>
  <c r="Q33" i="187"/>
  <c r="AO32" i="187"/>
  <c r="R34" i="187"/>
  <c r="AO19" i="187"/>
  <c r="Q23" i="187"/>
  <c r="AO43" i="187"/>
  <c r="AO80" i="187"/>
  <c r="R55" i="187"/>
  <c r="R83" i="187"/>
  <c r="R7" i="187"/>
  <c r="AO49" i="187"/>
  <c r="AN7" i="187"/>
  <c r="Q19" i="187"/>
  <c r="Q99" i="187"/>
  <c r="AN75" i="187"/>
  <c r="AO33" i="187"/>
  <c r="AO69" i="187"/>
  <c r="Q73" i="187"/>
  <c r="AO90" i="187"/>
  <c r="AN11" i="187"/>
  <c r="AO26" i="187"/>
  <c r="AN88" i="187"/>
  <c r="AN48" i="187"/>
  <c r="Q60" i="187"/>
  <c r="Q80" i="187"/>
  <c r="AN74" i="187"/>
  <c r="Q18" i="187"/>
  <c r="R39" i="187"/>
  <c r="Q93" i="187"/>
  <c r="AN95" i="187"/>
  <c r="Q100" i="187"/>
  <c r="AN54" i="187"/>
  <c r="Q56" i="187"/>
  <c r="AN17" i="187"/>
  <c r="AO27" i="187"/>
  <c r="AN38" i="187"/>
  <c r="Q63" i="187"/>
  <c r="Q81" i="187"/>
  <c r="Q25" i="187"/>
  <c r="R32" i="187"/>
  <c r="AN27" i="187"/>
  <c r="R29" i="187"/>
  <c r="AO38" i="187"/>
  <c r="R72" i="187"/>
  <c r="R63" i="187"/>
  <c r="R15" i="187"/>
  <c r="R81" i="187"/>
  <c r="Q17" i="187"/>
  <c r="AO100" i="187"/>
  <c r="AN25" i="187"/>
  <c r="AN31" i="187"/>
  <c r="Q95" i="187"/>
  <c r="Q79" i="187"/>
  <c r="AN12" i="187"/>
  <c r="AN77" i="187"/>
  <c r="AN85" i="187"/>
  <c r="Q65" i="187"/>
  <c r="AN92" i="187"/>
  <c r="AN89" i="187"/>
  <c r="Q26" i="187"/>
  <c r="Q78" i="187"/>
  <c r="AN28" i="187"/>
  <c r="R17" i="187"/>
  <c r="R33" i="187"/>
  <c r="AN59" i="187"/>
  <c r="Q61" i="187"/>
  <c r="Q58" i="187"/>
  <c r="AN62" i="187"/>
  <c r="Q101" i="187"/>
  <c r="Q77" i="187"/>
  <c r="Q89" i="187"/>
  <c r="AO101" i="187"/>
  <c r="AO50" i="187"/>
  <c r="Q10" i="187"/>
  <c r="AN18" i="187"/>
  <c r="AN102" i="187"/>
  <c r="AO7" i="187"/>
  <c r="R19" i="187"/>
  <c r="R99" i="187"/>
  <c r="AO75" i="187"/>
  <c r="AN57" i="187"/>
  <c r="AN24" i="187"/>
  <c r="AN83" i="187"/>
  <c r="AN40" i="187"/>
  <c r="AO11" i="187"/>
  <c r="AN26" i="187"/>
  <c r="AO88" i="187"/>
  <c r="AO48" i="187"/>
  <c r="R60" i="187"/>
  <c r="AO52" i="187"/>
  <c r="Q46" i="187"/>
  <c r="AO95" i="187"/>
  <c r="R100" i="187"/>
  <c r="AO25" i="187"/>
  <c r="AO12" i="187"/>
  <c r="AO77" i="187"/>
  <c r="AO85" i="187"/>
  <c r="R65" i="187"/>
  <c r="AO92" i="187"/>
  <c r="AO89" i="187"/>
  <c r="R26" i="187"/>
  <c r="R78" i="187"/>
  <c r="AO28" i="187"/>
  <c r="Q50" i="187"/>
  <c r="AO59" i="187"/>
  <c r="R61" i="187"/>
  <c r="AO62" i="187"/>
  <c r="R101" i="187"/>
  <c r="R77" i="187"/>
  <c r="R89" i="187"/>
  <c r="AN50" i="187"/>
  <c r="R10" i="187"/>
  <c r="AO18" i="187"/>
  <c r="AO102" i="187"/>
  <c r="Q51" i="187"/>
  <c r="Q8" i="187"/>
  <c r="Q20" i="187"/>
  <c r="Q94" i="187"/>
  <c r="AO57" i="187"/>
  <c r="AO24" i="187"/>
  <c r="AO83" i="187"/>
  <c r="Q30" i="187"/>
  <c r="AN68" i="187"/>
  <c r="Q88" i="187"/>
  <c r="AN34" i="187"/>
  <c r="Q102" i="187"/>
  <c r="AN13" i="187"/>
  <c r="Q86" i="187"/>
  <c r="AO96" i="187"/>
  <c r="AN52" i="187"/>
  <c r="AN44" i="187"/>
  <c r="R46" i="187"/>
  <c r="AN36" i="187"/>
  <c r="Q41" i="187"/>
  <c r="AN82" i="187"/>
  <c r="Q84" i="187"/>
  <c r="R95" i="187"/>
  <c r="AN42" i="187"/>
  <c r="Q16" i="187"/>
  <c r="AN61" i="187"/>
  <c r="R50" i="187"/>
  <c r="Q37" i="187"/>
  <c r="Q35" i="187"/>
  <c r="R59" i="187"/>
  <c r="AN63" i="187"/>
  <c r="AN79" i="187"/>
  <c r="AN94" i="187"/>
  <c r="Q87" i="187"/>
  <c r="AN87" i="187"/>
  <c r="Q9" i="187"/>
  <c r="AN8" i="187"/>
  <c r="AN70" i="187"/>
  <c r="AN56" i="187"/>
  <c r="R51" i="187"/>
  <c r="R8" i="187"/>
  <c r="R20" i="187"/>
  <c r="R94" i="187"/>
  <c r="R82" i="187"/>
  <c r="Q11" i="187"/>
  <c r="AN58" i="187"/>
  <c r="R30" i="187"/>
  <c r="Q54" i="187"/>
  <c r="AO68" i="187"/>
  <c r="R88" i="187"/>
  <c r="AO34" i="187"/>
  <c r="R102" i="187"/>
  <c r="AO13" i="187"/>
  <c r="R86" i="187"/>
  <c r="AN96" i="187"/>
  <c r="AN20" i="187"/>
  <c r="Q53" i="187"/>
  <c r="AN71" i="187"/>
  <c r="AO36" i="187"/>
  <c r="R41" i="187"/>
  <c r="AO82" i="187"/>
  <c r="R84" i="187"/>
  <c r="AO31" i="187"/>
  <c r="AN15" i="187"/>
  <c r="AN16" i="187"/>
  <c r="Q42" i="187"/>
  <c r="AN51" i="187"/>
  <c r="AO15" i="187"/>
  <c r="AO42" i="187"/>
  <c r="AO53" i="187"/>
  <c r="R42" i="187"/>
  <c r="AO51" i="187"/>
  <c r="Q13" i="187"/>
  <c r="Q66" i="187"/>
  <c r="R35" i="187"/>
  <c r="AO63" i="187"/>
  <c r="AO79" i="187"/>
  <c r="R87" i="187"/>
  <c r="AO87" i="187"/>
  <c r="R9" i="187"/>
  <c r="AO8" i="187"/>
  <c r="AO56" i="187"/>
  <c r="AN30" i="187"/>
  <c r="Q57" i="187"/>
  <c r="AN99" i="187"/>
  <c r="Q82" i="187"/>
  <c r="R11" i="187"/>
  <c r="AO58" i="187"/>
  <c r="AN35" i="187"/>
  <c r="R54" i="187"/>
  <c r="Q47" i="187"/>
  <c r="Q24" i="187"/>
  <c r="Q43" i="187"/>
  <c r="Q96" i="187"/>
  <c r="AN10" i="187"/>
  <c r="AO20" i="187"/>
  <c r="R53" i="187"/>
  <c r="AN66" i="187"/>
  <c r="AN46" i="187"/>
  <c r="K20" i="185"/>
  <c r="AI19" i="185"/>
  <c r="J20" i="185"/>
  <c r="L19" i="185"/>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AP76" i="187" l="1"/>
  <c r="AQ23" i="187"/>
  <c r="AR23" i="187" s="1"/>
  <c r="T83" i="187"/>
  <c r="U83" i="187" s="1"/>
  <c r="AQ52" i="187"/>
  <c r="AR52" i="187" s="1"/>
  <c r="T49" i="187"/>
  <c r="U49" i="187" s="1"/>
  <c r="T78" i="187"/>
  <c r="U78" i="187" s="1"/>
  <c r="T102" i="187"/>
  <c r="U102" i="187" s="1"/>
  <c r="S87" i="187"/>
  <c r="AQ24" i="187"/>
  <c r="AR24" i="187" s="1"/>
  <c r="AQ25" i="187"/>
  <c r="AR25" i="187" s="1"/>
  <c r="AP53" i="187"/>
  <c r="T66" i="187"/>
  <c r="U66" i="187" s="1"/>
  <c r="AQ60" i="187"/>
  <c r="AR60" i="187" s="1"/>
  <c r="T24" i="187"/>
  <c r="U24" i="187" s="1"/>
  <c r="S10" i="187"/>
  <c r="S78" i="187"/>
  <c r="S69" i="187"/>
  <c r="AP50" i="187"/>
  <c r="T69" i="187"/>
  <c r="U69" i="187" s="1"/>
  <c r="T42" i="187"/>
  <c r="U42" i="187" s="1"/>
  <c r="T87" i="187"/>
  <c r="U87" i="187" s="1"/>
  <c r="S100" i="187"/>
  <c r="S92" i="187"/>
  <c r="S21" i="187"/>
  <c r="AP47" i="187"/>
  <c r="S54" i="187"/>
  <c r="S41" i="187"/>
  <c r="AP80" i="187"/>
  <c r="S88" i="187"/>
  <c r="AQ102" i="187"/>
  <c r="AR102" i="187" s="1"/>
  <c r="S24" i="187"/>
  <c r="S97" i="187"/>
  <c r="AQ37" i="187"/>
  <c r="AR37" i="187" s="1"/>
  <c r="S37" i="187"/>
  <c r="S7" i="187"/>
  <c r="T31" i="187"/>
  <c r="U31" i="187" s="1"/>
  <c r="AP63" i="187"/>
  <c r="T67" i="187"/>
  <c r="U67" i="187" s="1"/>
  <c r="S63" i="187"/>
  <c r="S45" i="187"/>
  <c r="S102" i="187"/>
  <c r="S91" i="187"/>
  <c r="T89" i="187"/>
  <c r="U89" i="187" s="1"/>
  <c r="S22" i="187"/>
  <c r="S48" i="187"/>
  <c r="T92" i="187"/>
  <c r="U92" i="187" s="1"/>
  <c r="S42" i="187"/>
  <c r="AP78" i="187"/>
  <c r="S30" i="187"/>
  <c r="T73" i="187"/>
  <c r="U73" i="187" s="1"/>
  <c r="AP10" i="187"/>
  <c r="T22" i="187"/>
  <c r="U22" i="187" s="1"/>
  <c r="T88" i="187"/>
  <c r="U88" i="187" s="1"/>
  <c r="AQ48" i="187"/>
  <c r="AR48" i="187" s="1"/>
  <c r="S23" i="187"/>
  <c r="S99" i="187"/>
  <c r="S96" i="187"/>
  <c r="T90" i="187"/>
  <c r="U90" i="187" s="1"/>
  <c r="T94" i="187"/>
  <c r="U94" i="187" s="1"/>
  <c r="S79" i="187"/>
  <c r="T91" i="187"/>
  <c r="U91" i="187" s="1"/>
  <c r="S89" i="187"/>
  <c r="S94" i="187"/>
  <c r="T97" i="187"/>
  <c r="U97" i="187" s="1"/>
  <c r="T101" i="187"/>
  <c r="U101" i="187" s="1"/>
  <c r="AP48" i="187"/>
  <c r="T100" i="187"/>
  <c r="U100" i="187" s="1"/>
  <c r="S90" i="187"/>
  <c r="T44" i="187"/>
  <c r="U44" i="187" s="1"/>
  <c r="T23" i="187"/>
  <c r="U23" i="187" s="1"/>
  <c r="S101" i="187"/>
  <c r="T25" i="187"/>
  <c r="U25" i="187" s="1"/>
  <c r="S93" i="187"/>
  <c r="AP8" i="187"/>
  <c r="AP7" i="187"/>
  <c r="AQ9" i="187"/>
  <c r="AR9" i="187" s="1"/>
  <c r="T79" i="187"/>
  <c r="U79" i="187" s="1"/>
  <c r="T93" i="187"/>
  <c r="U93" i="187" s="1"/>
  <c r="T95" i="187"/>
  <c r="U95" i="187" s="1"/>
  <c r="AQ11" i="187"/>
  <c r="AR11" i="187" s="1"/>
  <c r="T98" i="187"/>
  <c r="U98" i="187" s="1"/>
  <c r="S25" i="187"/>
  <c r="T61" i="187"/>
  <c r="U61" i="187" s="1"/>
  <c r="S43" i="187"/>
  <c r="AQ39" i="187"/>
  <c r="AR39" i="187" s="1"/>
  <c r="AQ54" i="187"/>
  <c r="AR54" i="187" s="1"/>
  <c r="AP61" i="187"/>
  <c r="AQ57" i="187"/>
  <c r="AR57" i="187" s="1"/>
  <c r="AP59" i="187"/>
  <c r="T68" i="187"/>
  <c r="U68" i="187" s="1"/>
  <c r="AQ26" i="187"/>
  <c r="AR26" i="187" s="1"/>
  <c r="S77" i="187"/>
  <c r="AP13" i="187"/>
  <c r="AP49" i="187"/>
  <c r="AP23" i="187"/>
  <c r="S9" i="187"/>
  <c r="AP90" i="187"/>
  <c r="AP25" i="187"/>
  <c r="AQ16" i="187"/>
  <c r="AR16" i="187" s="1"/>
  <c r="AP71" i="187"/>
  <c r="T34" i="187"/>
  <c r="U34" i="187" s="1"/>
  <c r="S55" i="187"/>
  <c r="AP98" i="187"/>
  <c r="T39" i="187"/>
  <c r="U39" i="187" s="1"/>
  <c r="AQ65" i="187"/>
  <c r="AR65" i="187" s="1"/>
  <c r="AP11" i="187"/>
  <c r="AP27" i="187"/>
  <c r="AP87" i="187"/>
  <c r="AP22" i="187"/>
  <c r="T33" i="187"/>
  <c r="U33" i="187" s="1"/>
  <c r="T72" i="187"/>
  <c r="U72" i="187" s="1"/>
  <c r="AQ74" i="187"/>
  <c r="AR74" i="187" s="1"/>
  <c r="S35" i="187"/>
  <c r="T28" i="187"/>
  <c r="U28" i="187" s="1"/>
  <c r="T9" i="187"/>
  <c r="U9" i="187" s="1"/>
  <c r="T7" i="187"/>
  <c r="U7" i="187" s="1"/>
  <c r="AP24" i="187"/>
  <c r="AQ63" i="187"/>
  <c r="AR63" i="187" s="1"/>
  <c r="AP75" i="187"/>
  <c r="AQ7" i="187"/>
  <c r="AR7" i="187" s="1"/>
  <c r="T37" i="187"/>
  <c r="U37" i="187" s="1"/>
  <c r="AQ53" i="187"/>
  <c r="AR53" i="187" s="1"/>
  <c r="T41" i="187"/>
  <c r="U41" i="187" s="1"/>
  <c r="AQ8" i="187"/>
  <c r="AR8" i="187" s="1"/>
  <c r="AP54" i="187"/>
  <c r="AP52" i="187"/>
  <c r="S68" i="187"/>
  <c r="T63" i="187"/>
  <c r="U63" i="187" s="1"/>
  <c r="S67" i="187"/>
  <c r="AP26" i="187"/>
  <c r="AQ76" i="187"/>
  <c r="AR76" i="187" s="1"/>
  <c r="AQ50" i="187"/>
  <c r="AR50" i="187" s="1"/>
  <c r="AP39" i="187"/>
  <c r="S73" i="187"/>
  <c r="S39" i="187"/>
  <c r="AQ36" i="187"/>
  <c r="AR36" i="187" s="1"/>
  <c r="BL66" i="187"/>
  <c r="T13" i="187"/>
  <c r="U13" i="187" s="1"/>
  <c r="S53" i="187"/>
  <c r="AQ95" i="187"/>
  <c r="AR95" i="187" s="1"/>
  <c r="AQ58" i="187"/>
  <c r="AR58" i="187" s="1"/>
  <c r="S36" i="187"/>
  <c r="S34" i="187"/>
  <c r="AQ101" i="187"/>
  <c r="AR101" i="187" s="1"/>
  <c r="T64" i="187"/>
  <c r="U64" i="187" s="1"/>
  <c r="T38" i="187"/>
  <c r="U38" i="187" s="1"/>
  <c r="AQ73" i="187"/>
  <c r="AR73" i="187" s="1"/>
  <c r="AP102" i="187"/>
  <c r="AP60" i="187"/>
  <c r="S33" i="187"/>
  <c r="S72" i="187"/>
  <c r="S66" i="187"/>
  <c r="AP74" i="187"/>
  <c r="AQ18" i="187"/>
  <c r="AR18" i="187" s="1"/>
  <c r="T8" i="187"/>
  <c r="U8" i="187" s="1"/>
  <c r="T71" i="187"/>
  <c r="U71" i="187" s="1"/>
  <c r="AP82" i="187"/>
  <c r="T74" i="187"/>
  <c r="U74" i="187" s="1"/>
  <c r="AP55" i="187"/>
  <c r="AQ62" i="187"/>
  <c r="AR62" i="187" s="1"/>
  <c r="T77" i="187"/>
  <c r="U77" i="187" s="1"/>
  <c r="AP57" i="187"/>
  <c r="AQ59" i="187"/>
  <c r="AR59" i="187" s="1"/>
  <c r="AQ77" i="187"/>
  <c r="AR77" i="187" s="1"/>
  <c r="AP72" i="187"/>
  <c r="AQ64" i="187"/>
  <c r="AR64" i="187" s="1"/>
  <c r="AQ100" i="187"/>
  <c r="AR100" i="187" s="1"/>
  <c r="T70" i="187"/>
  <c r="U70" i="187" s="1"/>
  <c r="T76" i="187"/>
  <c r="U76" i="187" s="1"/>
  <c r="S64" i="187"/>
  <c r="S38" i="187"/>
  <c r="AP73" i="187"/>
  <c r="AP101" i="187"/>
  <c r="AP9" i="187"/>
  <c r="AQ99" i="187"/>
  <c r="AR99" i="187" s="1"/>
  <c r="AP99" i="187"/>
  <c r="S62" i="187"/>
  <c r="AQ72" i="187"/>
  <c r="AR72" i="187" s="1"/>
  <c r="AP51" i="187"/>
  <c r="AQ10" i="187"/>
  <c r="AR10" i="187" s="1"/>
  <c r="AP58" i="187"/>
  <c r="T75" i="187"/>
  <c r="U75" i="187" s="1"/>
  <c r="H33" i="178"/>
  <c r="H34" i="178" s="1"/>
  <c r="H35" i="178" s="1"/>
  <c r="T35" i="187"/>
  <c r="U35" i="187" s="1"/>
  <c r="S75" i="187"/>
  <c r="S81" i="187"/>
  <c r="S8" i="187"/>
  <c r="S71" i="187"/>
  <c r="S98" i="187"/>
  <c r="S74" i="187"/>
  <c r="S95" i="187"/>
  <c r="AQ55" i="187"/>
  <c r="AR55" i="187" s="1"/>
  <c r="AP62" i="187"/>
  <c r="AP15" i="187"/>
  <c r="T99" i="187"/>
  <c r="U99" i="187" s="1"/>
  <c r="AP77" i="187"/>
  <c r="T96" i="187"/>
  <c r="U96" i="187" s="1"/>
  <c r="AP64" i="187"/>
  <c r="AP100" i="187"/>
  <c r="S70" i="187"/>
  <c r="S76" i="187"/>
  <c r="AQ79" i="187"/>
  <c r="AR79" i="187" s="1"/>
  <c r="AQ40" i="187"/>
  <c r="AR40" i="187" s="1"/>
  <c r="T65" i="187"/>
  <c r="U65" i="187" s="1"/>
  <c r="T62" i="187"/>
  <c r="U62" i="187" s="1"/>
  <c r="AQ78" i="187"/>
  <c r="AR78" i="187" s="1"/>
  <c r="AQ98" i="187"/>
  <c r="AR98" i="187" s="1"/>
  <c r="AP40" i="187"/>
  <c r="S65" i="187"/>
  <c r="T36" i="187"/>
  <c r="U36" i="187" s="1"/>
  <c r="AQ51" i="187"/>
  <c r="AR51" i="187" s="1"/>
  <c r="AQ49" i="187"/>
  <c r="AR49" i="187" s="1"/>
  <c r="T40" i="187"/>
  <c r="U40" i="187" s="1"/>
  <c r="AQ61" i="187"/>
  <c r="AR61" i="187" s="1"/>
  <c r="AQ56" i="187"/>
  <c r="AR56" i="187" s="1"/>
  <c r="AP79" i="187"/>
  <c r="S40" i="187"/>
  <c r="AQ75" i="187"/>
  <c r="AR75" i="187" s="1"/>
  <c r="AP56" i="187"/>
  <c r="AQ27" i="187"/>
  <c r="AR27" i="187" s="1"/>
  <c r="BK66" i="187"/>
  <c r="BL60" i="187"/>
  <c r="S16" i="187"/>
  <c r="AP44" i="187"/>
  <c r="AP68" i="187"/>
  <c r="T51" i="187"/>
  <c r="U51" i="187" s="1"/>
  <c r="T43" i="187"/>
  <c r="U43" i="187" s="1"/>
  <c r="AP84" i="187"/>
  <c r="AQ17" i="187"/>
  <c r="AR17" i="187" s="1"/>
  <c r="S59" i="187"/>
  <c r="AQ88" i="187"/>
  <c r="AR88" i="187" s="1"/>
  <c r="AP30" i="187"/>
  <c r="S17" i="187"/>
  <c r="S26" i="187"/>
  <c r="AQ92" i="187"/>
  <c r="AR92" i="187" s="1"/>
  <c r="T85" i="187"/>
  <c r="U85" i="187" s="1"/>
  <c r="AP32" i="187"/>
  <c r="S47" i="187"/>
  <c r="AP38" i="187"/>
  <c r="AP14" i="187"/>
  <c r="AQ32" i="187"/>
  <c r="AR32" i="187" s="1"/>
  <c r="T15" i="187"/>
  <c r="U15" i="187" s="1"/>
  <c r="AP65" i="187"/>
  <c r="AP33" i="187"/>
  <c r="AQ47" i="187"/>
  <c r="AR47" i="187" s="1"/>
  <c r="S51" i="187"/>
  <c r="S83" i="187"/>
  <c r="T55" i="187"/>
  <c r="U55" i="187" s="1"/>
  <c r="T81" i="187"/>
  <c r="U81" i="187" s="1"/>
  <c r="T45" i="187"/>
  <c r="U45" i="187" s="1"/>
  <c r="T10" i="187"/>
  <c r="U10" i="187" s="1"/>
  <c r="AQ82" i="187"/>
  <c r="AR82" i="187" s="1"/>
  <c r="S86" i="187"/>
  <c r="BI66" i="187"/>
  <c r="BJ66" i="187" s="1"/>
  <c r="AP92" i="187"/>
  <c r="AP88" i="187"/>
  <c r="AQ15" i="187"/>
  <c r="AR15" i="187" s="1"/>
  <c r="AQ13" i="187"/>
  <c r="AR13" i="187" s="1"/>
  <c r="T30" i="187"/>
  <c r="U30" i="187" s="1"/>
  <c r="AQ80" i="187"/>
  <c r="AR80" i="187" s="1"/>
  <c r="S85" i="187"/>
  <c r="AP36" i="187"/>
  <c r="S60" i="187"/>
  <c r="AQ71" i="187"/>
  <c r="AR71" i="187" s="1"/>
  <c r="T48" i="187"/>
  <c r="U48" i="187" s="1"/>
  <c r="AQ87" i="187"/>
  <c r="AR87" i="187" s="1"/>
  <c r="T21" i="187"/>
  <c r="U21" i="187" s="1"/>
  <c r="AQ38" i="187"/>
  <c r="AR38" i="187" s="1"/>
  <c r="AQ90" i="187"/>
  <c r="AR90" i="187" s="1"/>
  <c r="AP17" i="187"/>
  <c r="AP95" i="187"/>
  <c r="AQ28" i="187"/>
  <c r="AR28" i="187" s="1"/>
  <c r="T14" i="187"/>
  <c r="U14" i="187" s="1"/>
  <c r="S15" i="187"/>
  <c r="S49" i="187"/>
  <c r="T18" i="187"/>
  <c r="U18" i="187" s="1"/>
  <c r="AP37" i="187"/>
  <c r="T54" i="187"/>
  <c r="U54" i="187" s="1"/>
  <c r="AP29" i="187"/>
  <c r="S18" i="187"/>
  <c r="AQ96" i="187"/>
  <c r="AR96" i="187" s="1"/>
  <c r="AQ89" i="187"/>
  <c r="AR89" i="187" s="1"/>
  <c r="S82" i="187"/>
  <c r="AP46" i="187"/>
  <c r="T80" i="187"/>
  <c r="U80" i="187" s="1"/>
  <c r="T50" i="187"/>
  <c r="U50" i="187" s="1"/>
  <c r="AQ41" i="187"/>
  <c r="AR41" i="187" s="1"/>
  <c r="AP34" i="187"/>
  <c r="AP35" i="187"/>
  <c r="S57" i="187"/>
  <c r="AQ70" i="187"/>
  <c r="AR70" i="187" s="1"/>
  <c r="AQ91" i="187"/>
  <c r="AR91" i="187" s="1"/>
  <c r="AP28" i="187"/>
  <c r="S14" i="187"/>
  <c r="T16" i="187"/>
  <c r="U16" i="187" s="1"/>
  <c r="AQ45" i="187"/>
  <c r="AR45" i="187" s="1"/>
  <c r="T29" i="187"/>
  <c r="U29" i="187" s="1"/>
  <c r="T12" i="187"/>
  <c r="U12" i="187" s="1"/>
  <c r="AQ12" i="187"/>
  <c r="AR12" i="187" s="1"/>
  <c r="AQ29" i="187"/>
  <c r="AR29" i="187" s="1"/>
  <c r="AP89" i="187"/>
  <c r="T82" i="187"/>
  <c r="U82" i="187" s="1"/>
  <c r="S31" i="187"/>
  <c r="AQ35" i="187"/>
  <c r="AR35" i="187" s="1"/>
  <c r="T46" i="187"/>
  <c r="U46" i="187" s="1"/>
  <c r="T58" i="187"/>
  <c r="U58" i="187" s="1"/>
  <c r="AP96" i="187"/>
  <c r="T20" i="187"/>
  <c r="U20" i="187" s="1"/>
  <c r="AQ43" i="187"/>
  <c r="AR43" i="187" s="1"/>
  <c r="T27" i="187"/>
  <c r="U27" i="187" s="1"/>
  <c r="AQ85" i="187"/>
  <c r="AR85" i="187" s="1"/>
  <c r="AQ66" i="187"/>
  <c r="AR66" i="187" s="1"/>
  <c r="AQ83" i="187"/>
  <c r="AR83" i="187" s="1"/>
  <c r="AQ21" i="187"/>
  <c r="AR21" i="187" s="1"/>
  <c r="S80" i="187"/>
  <c r="S50" i="187"/>
  <c r="AP41" i="187"/>
  <c r="AQ93" i="187"/>
  <c r="AR93" i="187" s="1"/>
  <c r="AQ81" i="187"/>
  <c r="AR81" i="187" s="1"/>
  <c r="AP70" i="187"/>
  <c r="AP91" i="187"/>
  <c r="AQ94" i="187"/>
  <c r="AR94" i="187" s="1"/>
  <c r="AQ22" i="187"/>
  <c r="AR22" i="187" s="1"/>
  <c r="T11" i="187"/>
  <c r="U11" i="187" s="1"/>
  <c r="AP45" i="187"/>
  <c r="S29" i="187"/>
  <c r="S12" i="187"/>
  <c r="AP12" i="187"/>
  <c r="S28" i="187"/>
  <c r="T57" i="187"/>
  <c r="U57" i="187" s="1"/>
  <c r="S46" i="187"/>
  <c r="AQ33" i="187"/>
  <c r="AR33" i="187" s="1"/>
  <c r="S58" i="187"/>
  <c r="S20" i="187"/>
  <c r="AP43" i="187"/>
  <c r="S27" i="187"/>
  <c r="AP85" i="187"/>
  <c r="AP66" i="187"/>
  <c r="AP83" i="187"/>
  <c r="AP21" i="187"/>
  <c r="AP97" i="187"/>
  <c r="S56" i="187"/>
  <c r="AQ69" i="187"/>
  <c r="AR69" i="187" s="1"/>
  <c r="S52" i="187"/>
  <c r="S13" i="187"/>
  <c r="AQ20" i="187"/>
  <c r="AR20" i="187" s="1"/>
  <c r="AQ19" i="187"/>
  <c r="AR19" i="187" s="1"/>
  <c r="AP93" i="187"/>
  <c r="AP81" i="187"/>
  <c r="AQ67" i="187"/>
  <c r="AR67" i="187" s="1"/>
  <c r="AP94" i="187"/>
  <c r="S11" i="187"/>
  <c r="AQ42" i="187"/>
  <c r="AR42" i="187" s="1"/>
  <c r="T32" i="187"/>
  <c r="U32" i="187" s="1"/>
  <c r="AQ31" i="187"/>
  <c r="AR31" i="187" s="1"/>
  <c r="S44" i="187"/>
  <c r="AP16" i="187"/>
  <c r="AP18" i="187"/>
  <c r="BI60" i="187"/>
  <c r="BJ60" i="187" s="1"/>
  <c r="AQ44" i="187"/>
  <c r="AR44" i="187" s="1"/>
  <c r="BK60" i="187"/>
  <c r="T19" i="187"/>
  <c r="U19" i="187" s="1"/>
  <c r="T53" i="187"/>
  <c r="U53" i="187" s="1"/>
  <c r="AQ30" i="187"/>
  <c r="AR30" i="187" s="1"/>
  <c r="T84" i="187"/>
  <c r="U84" i="187" s="1"/>
  <c r="AQ97" i="187"/>
  <c r="AR97" i="187" s="1"/>
  <c r="T56" i="187"/>
  <c r="U56" i="187" s="1"/>
  <c r="AP69" i="187"/>
  <c r="T52" i="187"/>
  <c r="U52" i="187" s="1"/>
  <c r="AP20" i="187"/>
  <c r="AQ84" i="187"/>
  <c r="AR84" i="187" s="1"/>
  <c r="AP19" i="187"/>
  <c r="AQ68" i="187"/>
  <c r="AR68" i="187" s="1"/>
  <c r="AP67" i="187"/>
  <c r="T17" i="187"/>
  <c r="U17" i="187" s="1"/>
  <c r="T59" i="187"/>
  <c r="U59" i="187" s="1"/>
  <c r="T26" i="187"/>
  <c r="U26" i="187" s="1"/>
  <c r="T47" i="187"/>
  <c r="U47" i="187" s="1"/>
  <c r="AQ14" i="187"/>
  <c r="AR14" i="187" s="1"/>
  <c r="AP42" i="187"/>
  <c r="S32" i="187"/>
  <c r="AP31" i="187"/>
  <c r="AQ46" i="187"/>
  <c r="AR46" i="187" s="1"/>
  <c r="S61" i="187"/>
  <c r="AQ34" i="187"/>
  <c r="AR34" i="187" s="1"/>
  <c r="AQ86" i="187"/>
  <c r="AR86" i="187" s="1"/>
  <c r="AP86" i="187"/>
  <c r="S19" i="187"/>
  <c r="S84" i="187"/>
  <c r="T86" i="187"/>
  <c r="U86" i="187" s="1"/>
  <c r="T60" i="187"/>
  <c r="U60" i="187" s="1"/>
  <c r="K21" i="185"/>
  <c r="AI20" i="185"/>
  <c r="J21" i="185"/>
  <c r="L20" i="185"/>
  <c r="N31" i="178"/>
  <c r="N32" i="178" s="1"/>
  <c r="O32" i="178" s="1"/>
  <c r="E32" i="178"/>
  <c r="E33" i="178"/>
  <c r="D34" i="178"/>
  <c r="E34" i="178" s="1"/>
  <c r="P31" i="178"/>
  <c r="Q31" i="178" s="1"/>
  <c r="S32" i="178"/>
  <c r="S30" i="178"/>
  <c r="R33" i="178"/>
  <c r="R34" i="178" s="1"/>
  <c r="R35" i="178" s="1"/>
  <c r="G69" i="196"/>
  <c r="F70" i="196"/>
  <c r="I69" i="196"/>
  <c r="H70" i="196"/>
  <c r="F34" i="178"/>
  <c r="F35" i="178" s="1"/>
  <c r="Q30" i="178"/>
  <c r="Q29" i="178"/>
  <c r="S31" i="178"/>
  <c r="G33" i="178"/>
  <c r="E69" i="196"/>
  <c r="D70" i="196"/>
  <c r="K31" i="178"/>
  <c r="J32" i="178"/>
  <c r="M31" i="178"/>
  <c r="L32" i="178"/>
  <c r="I33" i="178" l="1"/>
  <c r="AS86" i="187"/>
  <c r="V32" i="187"/>
  <c r="V94" i="187"/>
  <c r="AS80" i="187"/>
  <c r="AS24" i="187"/>
  <c r="AS47" i="187"/>
  <c r="V83" i="187"/>
  <c r="V19" i="187"/>
  <c r="AS18" i="187"/>
  <c r="V79" i="187"/>
  <c r="V49" i="187"/>
  <c r="V13" i="187"/>
  <c r="V90" i="187"/>
  <c r="AS14" i="187"/>
  <c r="AS65" i="187"/>
  <c r="V52" i="187"/>
  <c r="AS34" i="187"/>
  <c r="AS60" i="187"/>
  <c r="AS20" i="187"/>
  <c r="V47" i="187"/>
  <c r="V58" i="187"/>
  <c r="AS16" i="187"/>
  <c r="V26" i="187"/>
  <c r="AS42" i="187"/>
  <c r="AS83" i="187"/>
  <c r="V46" i="187"/>
  <c r="V29" i="187"/>
  <c r="AS96" i="187"/>
  <c r="V10" i="187"/>
  <c r="V48" i="187"/>
  <c r="AS40" i="187"/>
  <c r="V81" i="187"/>
  <c r="V59" i="187"/>
  <c r="AS41" i="187"/>
  <c r="V43" i="187"/>
  <c r="AS69" i="187"/>
  <c r="AS64" i="187"/>
  <c r="V75" i="187"/>
  <c r="AS61" i="187"/>
  <c r="V95" i="187"/>
  <c r="AS100" i="187"/>
  <c r="V16" i="187"/>
  <c r="V67" i="187"/>
  <c r="V41" i="187"/>
  <c r="V53" i="187"/>
  <c r="AS33" i="187"/>
  <c r="V18" i="187"/>
  <c r="AS28" i="187"/>
  <c r="AS67" i="187"/>
  <c r="AS97" i="187"/>
  <c r="AS35" i="187"/>
  <c r="AS99" i="187"/>
  <c r="AS87" i="187"/>
  <c r="V77" i="187"/>
  <c r="V69" i="187"/>
  <c r="AS68" i="187"/>
  <c r="V35" i="187"/>
  <c r="V88" i="187"/>
  <c r="AS36" i="187"/>
  <c r="V60" i="187"/>
  <c r="V23" i="187"/>
  <c r="AS101" i="187"/>
  <c r="V28" i="187"/>
  <c r="V24" i="187"/>
  <c r="V45" i="187"/>
  <c r="V7" i="187"/>
  <c r="V17" i="187"/>
  <c r="AS94" i="187"/>
  <c r="V12" i="187"/>
  <c r="AS48" i="187"/>
  <c r="AS9" i="187"/>
  <c r="AS62" i="187"/>
  <c r="V101" i="187"/>
  <c r="AS22" i="187"/>
  <c r="V39" i="187"/>
  <c r="V31" i="187"/>
  <c r="V55" i="187"/>
  <c r="V40" i="187"/>
  <c r="AS89" i="187"/>
  <c r="AS102" i="187"/>
  <c r="AS51" i="187"/>
  <c r="AS66" i="187"/>
  <c r="AS10" i="187"/>
  <c r="AS88" i="187"/>
  <c r="AS37" i="187"/>
  <c r="V61" i="187"/>
  <c r="AS78" i="187"/>
  <c r="V63" i="187"/>
  <c r="AS56" i="187"/>
  <c r="AS71" i="187"/>
  <c r="V87" i="187"/>
  <c r="AS26" i="187"/>
  <c r="AS79" i="187"/>
  <c r="AS25" i="187"/>
  <c r="AS90" i="187"/>
  <c r="AS31" i="187"/>
  <c r="V92" i="187"/>
  <c r="V78" i="187"/>
  <c r="AS11" i="187"/>
  <c r="V30" i="187"/>
  <c r="V70" i="187"/>
  <c r="AS58" i="187"/>
  <c r="AS76" i="187"/>
  <c r="V86" i="187"/>
  <c r="V65" i="187"/>
  <c r="AS54" i="187"/>
  <c r="AS49" i="187"/>
  <c r="AS29" i="187"/>
  <c r="V73" i="187"/>
  <c r="AS91" i="187"/>
  <c r="AS85" i="187"/>
  <c r="AS12" i="187"/>
  <c r="V80" i="187"/>
  <c r="V34" i="187"/>
  <c r="AS82" i="187"/>
  <c r="AS95" i="187"/>
  <c r="AS59" i="187"/>
  <c r="V98" i="187"/>
  <c r="AS93" i="187"/>
  <c r="AS77" i="187"/>
  <c r="V42" i="187"/>
  <c r="V62" i="187"/>
  <c r="V99" i="187"/>
  <c r="AS52" i="187"/>
  <c r="V66" i="187"/>
  <c r="V89" i="187"/>
  <c r="AS19" i="187"/>
  <c r="AS92" i="187"/>
  <c r="V21" i="187"/>
  <c r="V50" i="187"/>
  <c r="AS44" i="187"/>
  <c r="V64" i="187"/>
  <c r="V15" i="187"/>
  <c r="AS72" i="187"/>
  <c r="AS75" i="187"/>
  <c r="V14" i="187"/>
  <c r="V37" i="187"/>
  <c r="V20" i="187"/>
  <c r="V38" i="187"/>
  <c r="AS57" i="187"/>
  <c r="AS7" i="187"/>
  <c r="V97" i="187"/>
  <c r="AS55" i="187"/>
  <c r="V36" i="187"/>
  <c r="AS15" i="187"/>
  <c r="V33" i="187"/>
  <c r="V74" i="187"/>
  <c r="AS63" i="187"/>
  <c r="V54" i="187"/>
  <c r="AS50" i="187"/>
  <c r="AS73" i="187"/>
  <c r="AS84" i="187"/>
  <c r="V71" i="187"/>
  <c r="V51" i="187"/>
  <c r="AS8" i="187"/>
  <c r="AS38" i="187"/>
  <c r="V25" i="187"/>
  <c r="AS27" i="187"/>
  <c r="AS23" i="187"/>
  <c r="AS46" i="187"/>
  <c r="V76" i="187"/>
  <c r="AS13" i="187"/>
  <c r="V44" i="187"/>
  <c r="AS17" i="187"/>
  <c r="AS53" i="187"/>
  <c r="AS21" i="187"/>
  <c r="AS74" i="187"/>
  <c r="V91" i="187"/>
  <c r="V100" i="187"/>
  <c r="V84" i="187"/>
  <c r="AS98" i="187"/>
  <c r="V22" i="187"/>
  <c r="V27" i="187"/>
  <c r="AS45" i="187"/>
  <c r="V96" i="187"/>
  <c r="AS30" i="187"/>
  <c r="AS43" i="187"/>
  <c r="V11" i="187"/>
  <c r="AS32" i="187"/>
  <c r="V56" i="187"/>
  <c r="V93" i="187"/>
  <c r="V102" i="187"/>
  <c r="V85" i="187"/>
  <c r="AS39" i="187"/>
  <c r="V68" i="187"/>
  <c r="AS81" i="187"/>
  <c r="V82" i="187"/>
  <c r="V57" i="187"/>
  <c r="AS70" i="187"/>
  <c r="V9" i="187"/>
  <c r="V72" i="187"/>
  <c r="V8" i="187"/>
  <c r="K22" i="185"/>
  <c r="AI21" i="185"/>
  <c r="J22" i="185"/>
  <c r="L21" i="185"/>
  <c r="N33" i="178"/>
  <c r="N34" i="178" s="1"/>
  <c r="P32" i="178"/>
  <c r="Q32" i="178" s="1"/>
  <c r="D35" i="178"/>
  <c r="E35" i="178" s="1"/>
  <c r="O31" i="178"/>
  <c r="I35" i="178"/>
  <c r="S35" i="178"/>
  <c r="I70" i="196"/>
  <c r="H71" i="196"/>
  <c r="G34" i="178"/>
  <c r="H36" i="178"/>
  <c r="H37" i="178" s="1"/>
  <c r="G70" i="196"/>
  <c r="F71" i="196"/>
  <c r="G35" i="178"/>
  <c r="M32" i="178"/>
  <c r="L33" i="178"/>
  <c r="L34" i="178" s="1"/>
  <c r="S33" i="178"/>
  <c r="R36" i="178"/>
  <c r="E70" i="196"/>
  <c r="D71" i="196"/>
  <c r="F36" i="178"/>
  <c r="F37" i="178" s="1"/>
  <c r="K32" i="178"/>
  <c r="J33" i="178"/>
  <c r="J34" i="178" s="1"/>
  <c r="J35" i="178" s="1"/>
  <c r="S34" i="178"/>
  <c r="I34" i="178"/>
  <c r="W69" i="187" l="1"/>
  <c r="X55" i="187"/>
  <c r="AT51" i="187"/>
  <c r="X94" i="187"/>
  <c r="W13" i="187"/>
  <c r="AT46" i="187"/>
  <c r="AU25" i="187"/>
  <c r="AT28" i="187"/>
  <c r="X95" i="187"/>
  <c r="X52" i="187"/>
  <c r="AU62" i="187"/>
  <c r="AT90" i="187"/>
  <c r="X71" i="187"/>
  <c r="AU82" i="187"/>
  <c r="W60" i="187"/>
  <c r="X99" i="187"/>
  <c r="AU101" i="187"/>
  <c r="X78" i="187"/>
  <c r="AT61" i="187"/>
  <c r="AT75" i="187"/>
  <c r="X57" i="187"/>
  <c r="AT50" i="187"/>
  <c r="AT10" i="187"/>
  <c r="AT29" i="187"/>
  <c r="X70" i="187"/>
  <c r="W42" i="187"/>
  <c r="AT79" i="187"/>
  <c r="AT89" i="187"/>
  <c r="AU20" i="187"/>
  <c r="AT64" i="187"/>
  <c r="AT21" i="187"/>
  <c r="AT72" i="187"/>
  <c r="X83" i="187"/>
  <c r="AU100" i="187"/>
  <c r="AT33" i="187"/>
  <c r="X90" i="187"/>
  <c r="AU23" i="187"/>
  <c r="W44" i="187"/>
  <c r="O33" i="178"/>
  <c r="AU7" i="187"/>
  <c r="X64" i="187"/>
  <c r="W19" i="187"/>
  <c r="AT55" i="187"/>
  <c r="X56" i="187"/>
  <c r="X27" i="187"/>
  <c r="AT38" i="187"/>
  <c r="AU63" i="187"/>
  <c r="AU57" i="187"/>
  <c r="W64" i="187"/>
  <c r="AU52" i="187"/>
  <c r="AU95" i="187"/>
  <c r="AU29" i="187"/>
  <c r="X30" i="187"/>
  <c r="AT26" i="187"/>
  <c r="AU88" i="187"/>
  <c r="W31" i="187"/>
  <c r="AU94" i="187"/>
  <c r="X60" i="187"/>
  <c r="AU99" i="187"/>
  <c r="W41" i="187"/>
  <c r="AT19" i="187"/>
  <c r="X63" i="187"/>
  <c r="X68" i="187"/>
  <c r="W75" i="187"/>
  <c r="AT30" i="187"/>
  <c r="X91" i="187"/>
  <c r="X72" i="187"/>
  <c r="X41" i="187"/>
  <c r="W32" i="187"/>
  <c r="X31" i="187"/>
  <c r="X24" i="187"/>
  <c r="X35" i="187"/>
  <c r="AT41" i="187"/>
  <c r="AT97" i="187"/>
  <c r="AU71" i="187"/>
  <c r="AU45" i="187"/>
  <c r="AT87" i="187"/>
  <c r="X87" i="187"/>
  <c r="W12" i="187"/>
  <c r="AU41" i="187"/>
  <c r="X42" i="187"/>
  <c r="X44" i="187"/>
  <c r="W95" i="187"/>
  <c r="W83" i="187"/>
  <c r="W30" i="187"/>
  <c r="X38" i="187"/>
  <c r="AU28" i="187"/>
  <c r="W52" i="187"/>
  <c r="X8" i="187"/>
  <c r="W55" i="187"/>
  <c r="AU10" i="187"/>
  <c r="X46" i="187"/>
  <c r="AT36" i="187"/>
  <c r="AU81" i="187"/>
  <c r="X29" i="187"/>
  <c r="AU67" i="187"/>
  <c r="W99" i="187"/>
  <c r="W78" i="187"/>
  <c r="AU89" i="187"/>
  <c r="W94" i="187"/>
  <c r="W72" i="187"/>
  <c r="AT82" i="187"/>
  <c r="W90" i="187"/>
  <c r="W63" i="187"/>
  <c r="AT23" i="187"/>
  <c r="AU61" i="187"/>
  <c r="AT20" i="187"/>
  <c r="W24" i="187"/>
  <c r="AT62" i="187"/>
  <c r="W68" i="187"/>
  <c r="AT101" i="187"/>
  <c r="AU53" i="187"/>
  <c r="AU86" i="187"/>
  <c r="X36" i="187"/>
  <c r="X20" i="187"/>
  <c r="AU66" i="187"/>
  <c r="AU38" i="187"/>
  <c r="AU43" i="187"/>
  <c r="AU50" i="187"/>
  <c r="X88" i="187"/>
  <c r="AU30" i="187"/>
  <c r="X75" i="187"/>
  <c r="AU85" i="187"/>
  <c r="AU19" i="187"/>
  <c r="AT13" i="187"/>
  <c r="W70" i="187"/>
  <c r="AT84" i="187"/>
  <c r="X69" i="187"/>
  <c r="W98" i="187"/>
  <c r="W101" i="187"/>
  <c r="AT83" i="187"/>
  <c r="W67" i="187"/>
  <c r="AU60" i="187"/>
  <c r="AT88" i="187"/>
  <c r="AU64" i="187"/>
  <c r="AT100" i="187"/>
  <c r="AU55" i="187"/>
  <c r="X32" i="187"/>
  <c r="AU72" i="187"/>
  <c r="AU33" i="187"/>
  <c r="AT25" i="187"/>
  <c r="AU51" i="187"/>
  <c r="AU90" i="187"/>
  <c r="AU75" i="187"/>
  <c r="AU21" i="187"/>
  <c r="X102" i="187"/>
  <c r="W34" i="187"/>
  <c r="AT42" i="187"/>
  <c r="AU46" i="187"/>
  <c r="W51" i="187"/>
  <c r="X85" i="187"/>
  <c r="AT7" i="187"/>
  <c r="AT92" i="187"/>
  <c r="AT8" i="187"/>
  <c r="W54" i="187"/>
  <c r="AT14" i="187"/>
  <c r="AT95" i="187"/>
  <c r="W11" i="187"/>
  <c r="X28" i="187"/>
  <c r="AU77" i="187"/>
  <c r="AU13" i="187"/>
  <c r="X34" i="187"/>
  <c r="W66" i="187"/>
  <c r="AU42" i="187"/>
  <c r="W81" i="187"/>
  <c r="W47" i="187"/>
  <c r="AT102" i="187"/>
  <c r="AU76" i="187"/>
  <c r="X51" i="187"/>
  <c r="AT47" i="187"/>
  <c r="AU84" i="187"/>
  <c r="W85" i="187"/>
  <c r="AU26" i="187"/>
  <c r="AT57" i="187"/>
  <c r="AT37" i="187"/>
  <c r="AT69" i="187"/>
  <c r="AT98" i="187"/>
  <c r="AU92" i="187"/>
  <c r="AU11" i="187"/>
  <c r="X98" i="187"/>
  <c r="AU8" i="187"/>
  <c r="AU65" i="187"/>
  <c r="X54" i="187"/>
  <c r="X101" i="187"/>
  <c r="X100" i="187"/>
  <c r="AU14" i="187"/>
  <c r="AU96" i="187"/>
  <c r="AU83" i="187"/>
  <c r="X11" i="187"/>
  <c r="X67" i="187"/>
  <c r="W28" i="187"/>
  <c r="W80" i="187"/>
  <c r="AT60" i="187"/>
  <c r="W92" i="187"/>
  <c r="W62" i="187"/>
  <c r="AT17" i="187"/>
  <c r="W89" i="187"/>
  <c r="AT18" i="187"/>
  <c r="W25" i="187"/>
  <c r="W39" i="187"/>
  <c r="AT48" i="187"/>
  <c r="AT94" i="187"/>
  <c r="W40" i="187"/>
  <c r="W91" i="187"/>
  <c r="W21" i="187"/>
  <c r="X23" i="187"/>
  <c r="AT52" i="187"/>
  <c r="W7" i="187"/>
  <c r="AT77" i="187"/>
  <c r="X66" i="187"/>
  <c r="W71" i="187"/>
  <c r="AT76" i="187"/>
  <c r="X19" i="187"/>
  <c r="AU79" i="187"/>
  <c r="X13" i="187"/>
  <c r="AT11" i="187"/>
  <c r="AT65" i="187"/>
  <c r="W100" i="187"/>
  <c r="AT96" i="187"/>
  <c r="X80" i="187"/>
  <c r="AT93" i="187"/>
  <c r="W59" i="187"/>
  <c r="W35" i="187"/>
  <c r="AT91" i="187"/>
  <c r="W93" i="187"/>
  <c r="X81" i="187"/>
  <c r="X47" i="187"/>
  <c r="AU102" i="187"/>
  <c r="W79" i="187"/>
  <c r="AT12" i="187"/>
  <c r="AT74" i="187"/>
  <c r="AT63" i="187"/>
  <c r="AU37" i="187"/>
  <c r="AU69" i="187"/>
  <c r="AU98" i="187"/>
  <c r="X53" i="187"/>
  <c r="W16" i="187"/>
  <c r="AT70" i="187"/>
  <c r="AT58" i="187"/>
  <c r="AT27" i="187"/>
  <c r="W33" i="187"/>
  <c r="AT39" i="187"/>
  <c r="W17" i="187"/>
  <c r="W57" i="187"/>
  <c r="W48" i="187"/>
  <c r="AT49" i="187"/>
  <c r="AU22" i="187"/>
  <c r="AT73" i="187"/>
  <c r="W43" i="187"/>
  <c r="W14" i="187"/>
  <c r="AT54" i="187"/>
  <c r="AT99" i="187"/>
  <c r="X92" i="187"/>
  <c r="X62" i="187"/>
  <c r="AU17" i="187"/>
  <c r="X89" i="187"/>
  <c r="AU18" i="187"/>
  <c r="X25" i="187"/>
  <c r="X39" i="187"/>
  <c r="AU48" i="187"/>
  <c r="X40" i="187"/>
  <c r="X21" i="187"/>
  <c r="W23" i="187"/>
  <c r="AU47" i="187"/>
  <c r="W102" i="187"/>
  <c r="X59" i="187"/>
  <c r="AU91" i="187"/>
  <c r="X93" i="187"/>
  <c r="AT24" i="187"/>
  <c r="AT71" i="187"/>
  <c r="AU44" i="187"/>
  <c r="X79" i="187"/>
  <c r="W96" i="187"/>
  <c r="AU12" i="187"/>
  <c r="AU74" i="187"/>
  <c r="W87" i="187"/>
  <c r="W26" i="187"/>
  <c r="W82" i="187"/>
  <c r="W73" i="187"/>
  <c r="W56" i="187"/>
  <c r="W53" i="187"/>
  <c r="X16" i="187"/>
  <c r="AU70" i="187"/>
  <c r="AU58" i="187"/>
  <c r="AU27" i="187"/>
  <c r="X33" i="187"/>
  <c r="AU39" i="187"/>
  <c r="X17" i="187"/>
  <c r="X48" i="187"/>
  <c r="AU49" i="187"/>
  <c r="AT22" i="187"/>
  <c r="AU73" i="187"/>
  <c r="X43" i="187"/>
  <c r="X14" i="187"/>
  <c r="AU54" i="187"/>
  <c r="W65" i="187"/>
  <c r="AT15" i="187"/>
  <c r="W9" i="187"/>
  <c r="X61" i="187"/>
  <c r="AU9" i="187"/>
  <c r="W22" i="187"/>
  <c r="W86" i="187"/>
  <c r="AT34" i="187"/>
  <c r="AT59" i="187"/>
  <c r="AT32" i="187"/>
  <c r="AU16" i="187"/>
  <c r="W49" i="187"/>
  <c r="W76" i="187"/>
  <c r="X18" i="187"/>
  <c r="W97" i="187"/>
  <c r="AT68" i="187"/>
  <c r="AU24" i="187"/>
  <c r="AT44" i="187"/>
  <c r="X96" i="187"/>
  <c r="AT78" i="187"/>
  <c r="X26" i="187"/>
  <c r="X73" i="187"/>
  <c r="W74" i="187"/>
  <c r="W77" i="187"/>
  <c r="AT80" i="187"/>
  <c r="W10" i="187"/>
  <c r="AU35" i="187"/>
  <c r="AT40" i="187"/>
  <c r="W58" i="187"/>
  <c r="AT56" i="187"/>
  <c r="X37" i="187"/>
  <c r="AT31" i="187"/>
  <c r="W50" i="187"/>
  <c r="W84" i="187"/>
  <c r="W45" i="187"/>
  <c r="W27" i="187"/>
  <c r="X65" i="187"/>
  <c r="AU15" i="187"/>
  <c r="X9" i="187"/>
  <c r="W61" i="187"/>
  <c r="AT9" i="187"/>
  <c r="X22" i="187"/>
  <c r="X86" i="187"/>
  <c r="AU34" i="187"/>
  <c r="AU59" i="187"/>
  <c r="AU32" i="187"/>
  <c r="AT16" i="187"/>
  <c r="X49" i="187"/>
  <c r="X76" i="187"/>
  <c r="W18" i="187"/>
  <c r="AU93" i="187"/>
  <c r="X15" i="187"/>
  <c r="X82" i="187"/>
  <c r="X97" i="187"/>
  <c r="AU68" i="187"/>
  <c r="W15" i="187"/>
  <c r="AU97" i="187"/>
  <c r="W38" i="187"/>
  <c r="X7" i="187"/>
  <c r="AT45" i="187"/>
  <c r="W8" i="187"/>
  <c r="AU87" i="187"/>
  <c r="AU78" i="187"/>
  <c r="W46" i="187"/>
  <c r="AU36" i="187"/>
  <c r="AT81" i="187"/>
  <c r="W29" i="187"/>
  <c r="AT67" i="187"/>
  <c r="X74" i="187"/>
  <c r="X12" i="187"/>
  <c r="X77" i="187"/>
  <c r="AU80" i="187"/>
  <c r="X10" i="187"/>
  <c r="AT35" i="187"/>
  <c r="AU40" i="187"/>
  <c r="X58" i="187"/>
  <c r="AU56" i="187"/>
  <c r="W37" i="187"/>
  <c r="AU31" i="187"/>
  <c r="X50" i="187"/>
  <c r="X84" i="187"/>
  <c r="X45" i="187"/>
  <c r="AT53" i="187"/>
  <c r="AT86" i="187"/>
  <c r="W36" i="187"/>
  <c r="W20" i="187"/>
  <c r="AT66" i="187"/>
  <c r="AT43" i="187"/>
  <c r="W88" i="187"/>
  <c r="AT85" i="187"/>
  <c r="K23" i="185"/>
  <c r="AI22" i="185"/>
  <c r="J23" i="185"/>
  <c r="L22" i="185"/>
  <c r="P33" i="178"/>
  <c r="P34" i="178" s="1"/>
  <c r="Q34" i="178" s="1"/>
  <c r="D36" i="178"/>
  <c r="D37" i="178" s="1"/>
  <c r="K35" i="178"/>
  <c r="G37" i="178"/>
  <c r="M34" i="178"/>
  <c r="S36" i="178"/>
  <c r="O34" i="178"/>
  <c r="E71" i="196"/>
  <c r="D72" i="196"/>
  <c r="G71" i="196"/>
  <c r="F72" i="196"/>
  <c r="M33" i="178"/>
  <c r="I36" i="178"/>
  <c r="K34" i="178"/>
  <c r="I37" i="178"/>
  <c r="R37" i="178"/>
  <c r="F38" i="178"/>
  <c r="N35" i="178"/>
  <c r="K33" i="178"/>
  <c r="J36" i="178"/>
  <c r="G36" i="178"/>
  <c r="L35" i="178"/>
  <c r="L36" i="178" s="1"/>
  <c r="I71" i="196"/>
  <c r="H72" i="196"/>
  <c r="H38" i="178"/>
  <c r="H39" i="178" s="1"/>
  <c r="Z70" i="187" l="1"/>
  <c r="AA70" i="187" s="1"/>
  <c r="AV27" i="187"/>
  <c r="AV16" i="187"/>
  <c r="Z13" i="187"/>
  <c r="AA13" i="187" s="1"/>
  <c r="AW34" i="187"/>
  <c r="AX34" i="187" s="1"/>
  <c r="AW33" i="187"/>
  <c r="AX33" i="187" s="1"/>
  <c r="AV23" i="187"/>
  <c r="AV7" i="187"/>
  <c r="Z78" i="187"/>
  <c r="AA78" i="187" s="1"/>
  <c r="AV102" i="187"/>
  <c r="AW70" i="187"/>
  <c r="AX70" i="187" s="1"/>
  <c r="AV26" i="187"/>
  <c r="AV13" i="187"/>
  <c r="AW69" i="187"/>
  <c r="AX69" i="187" s="1"/>
  <c r="AV101" i="187"/>
  <c r="AW29" i="187"/>
  <c r="AX29" i="187" s="1"/>
  <c r="AV28" i="187"/>
  <c r="AV29" i="187"/>
  <c r="AV31" i="187"/>
  <c r="AW26" i="187"/>
  <c r="AX26" i="187" s="1"/>
  <c r="AW102" i="187"/>
  <c r="AX102" i="187" s="1"/>
  <c r="AW27" i="187"/>
  <c r="AX27" i="187" s="1"/>
  <c r="AW28" i="187"/>
  <c r="AX28" i="187" s="1"/>
  <c r="AW13" i="187"/>
  <c r="AX13" i="187" s="1"/>
  <c r="AV100" i="187"/>
  <c r="AW101" i="187"/>
  <c r="AX101" i="187" s="1"/>
  <c r="Z29" i="187"/>
  <c r="AA29" i="187" s="1"/>
  <c r="AV76" i="187"/>
  <c r="AV25" i="187"/>
  <c r="Z44" i="187"/>
  <c r="AA44" i="187" s="1"/>
  <c r="Z10" i="187"/>
  <c r="AA10" i="187" s="1"/>
  <c r="Y12" i="187"/>
  <c r="AW92" i="187"/>
  <c r="AX92" i="187" s="1"/>
  <c r="Y90" i="187"/>
  <c r="AV8" i="187"/>
  <c r="Y101" i="187"/>
  <c r="Z75" i="187"/>
  <c r="AA75" i="187" s="1"/>
  <c r="Z58" i="187"/>
  <c r="AA58" i="187" s="1"/>
  <c r="AW99" i="187"/>
  <c r="AX99" i="187" s="1"/>
  <c r="Y22" i="187"/>
  <c r="Z42" i="187"/>
  <c r="AA42" i="187" s="1"/>
  <c r="AW7" i="187"/>
  <c r="AX7" i="187" s="1"/>
  <c r="AW100" i="187"/>
  <c r="AX100" i="187" s="1"/>
  <c r="AW91" i="187"/>
  <c r="AX91" i="187" s="1"/>
  <c r="AV64" i="187"/>
  <c r="AV45" i="187"/>
  <c r="Z26" i="187"/>
  <c r="AA26" i="187" s="1"/>
  <c r="AV40" i="187"/>
  <c r="Y47" i="187"/>
  <c r="AV54" i="187"/>
  <c r="Y17" i="187"/>
  <c r="AV98" i="187"/>
  <c r="Z41" i="187"/>
  <c r="AA41" i="187" s="1"/>
  <c r="Y60" i="187"/>
  <c r="Y64" i="187"/>
  <c r="Z54" i="187"/>
  <c r="AA54" i="187" s="1"/>
  <c r="Y33" i="187"/>
  <c r="AV9" i="187"/>
  <c r="Z95" i="187"/>
  <c r="AA95" i="187" s="1"/>
  <c r="AW31" i="187"/>
  <c r="AX31" i="187" s="1"/>
  <c r="AV62" i="187"/>
  <c r="Y78" i="187"/>
  <c r="AW94" i="187"/>
  <c r="AX94" i="187" s="1"/>
  <c r="Y7" i="187"/>
  <c r="Y41" i="187"/>
  <c r="Z7" i="187"/>
  <c r="AA7" i="187" s="1"/>
  <c r="Y91" i="187"/>
  <c r="AV11" i="187"/>
  <c r="Z90" i="187"/>
  <c r="AA90" i="187" s="1"/>
  <c r="Y31" i="187"/>
  <c r="Z102" i="187"/>
  <c r="AA102" i="187" s="1"/>
  <c r="Z91" i="187"/>
  <c r="AA91" i="187" s="1"/>
  <c r="AV92" i="187"/>
  <c r="Y21" i="187"/>
  <c r="Z39" i="187"/>
  <c r="AA39" i="187" s="1"/>
  <c r="Y102" i="187"/>
  <c r="Z101" i="187"/>
  <c r="AA101" i="187" s="1"/>
  <c r="AW8" i="187"/>
  <c r="AX8" i="187" s="1"/>
  <c r="Z22" i="187"/>
  <c r="AA22" i="187" s="1"/>
  <c r="AV10" i="187"/>
  <c r="AV99" i="187"/>
  <c r="Y97" i="187"/>
  <c r="AW61" i="187"/>
  <c r="AX61" i="187" s="1"/>
  <c r="AW30" i="187"/>
  <c r="AX30" i="187" s="1"/>
  <c r="Z63" i="187"/>
  <c r="AA63" i="187" s="1"/>
  <c r="AW37" i="187"/>
  <c r="AX37" i="187" s="1"/>
  <c r="Y42" i="187"/>
  <c r="AV34" i="187"/>
  <c r="Z59" i="187"/>
  <c r="AA59" i="187" s="1"/>
  <c r="Z27" i="187"/>
  <c r="AA27" i="187" s="1"/>
  <c r="Y29" i="187"/>
  <c r="Y15" i="187"/>
  <c r="AW36" i="187"/>
  <c r="AX36" i="187" s="1"/>
  <c r="AV94" i="187"/>
  <c r="Y39" i="187"/>
  <c r="AW23" i="187"/>
  <c r="AX23" i="187" s="1"/>
  <c r="Z19" i="187"/>
  <c r="AA19" i="187" s="1"/>
  <c r="AV41" i="187"/>
  <c r="Y26" i="187"/>
  <c r="AV33" i="187"/>
  <c r="AW42" i="187"/>
  <c r="AX42" i="187" s="1"/>
  <c r="Z25" i="187"/>
  <c r="AA25" i="187" s="1"/>
  <c r="AV42" i="187"/>
  <c r="AV61" i="187"/>
  <c r="AV30" i="187"/>
  <c r="Y63" i="187"/>
  <c r="AV37" i="187"/>
  <c r="AV32" i="187"/>
  <c r="Z20" i="187"/>
  <c r="AA20" i="187" s="1"/>
  <c r="AW43" i="187"/>
  <c r="AX43" i="187" s="1"/>
  <c r="Y27" i="187"/>
  <c r="Z30" i="187"/>
  <c r="AA30" i="187" s="1"/>
  <c r="Z15" i="187"/>
  <c r="AA15" i="187" s="1"/>
  <c r="AV36" i="187"/>
  <c r="AW53" i="187"/>
  <c r="AX53" i="187" s="1"/>
  <c r="AW95" i="187"/>
  <c r="AX95" i="187" s="1"/>
  <c r="AW44" i="187"/>
  <c r="AX44" i="187" s="1"/>
  <c r="AW41" i="187"/>
  <c r="AX41" i="187" s="1"/>
  <c r="AW75" i="187"/>
  <c r="AX75" i="187" s="1"/>
  <c r="AW84" i="187"/>
  <c r="AX84" i="187" s="1"/>
  <c r="AW62" i="187"/>
  <c r="AX62" i="187" s="1"/>
  <c r="AW97" i="187"/>
  <c r="AX97" i="187" s="1"/>
  <c r="AW24" i="187"/>
  <c r="AX24" i="187" s="1"/>
  <c r="AV53" i="187"/>
  <c r="AV95" i="187"/>
  <c r="AV44" i="187"/>
  <c r="AV75" i="187"/>
  <c r="Y25" i="187"/>
  <c r="AW38" i="187"/>
  <c r="AX38" i="187" s="1"/>
  <c r="Y93" i="187"/>
  <c r="AW32" i="187"/>
  <c r="AX32" i="187" s="1"/>
  <c r="Y34" i="187"/>
  <c r="AV38" i="187"/>
  <c r="Y16" i="187"/>
  <c r="Z93" i="187"/>
  <c r="AA93" i="187" s="1"/>
  <c r="Z92" i="187"/>
  <c r="AA92" i="187" s="1"/>
  <c r="Z56" i="187"/>
  <c r="AA56" i="187" s="1"/>
  <c r="AW78" i="187"/>
  <c r="AX78" i="187" s="1"/>
  <c r="Z64" i="187"/>
  <c r="AA64" i="187" s="1"/>
  <c r="AV97" i="187"/>
  <c r="AV24" i="187"/>
  <c r="AW39" i="187"/>
  <c r="AX39" i="187" s="1"/>
  <c r="Z43" i="187"/>
  <c r="AA43" i="187" s="1"/>
  <c r="AW40" i="187"/>
  <c r="AX40" i="187" s="1"/>
  <c r="Z34" i="187"/>
  <c r="AA34" i="187" s="1"/>
  <c r="AV43" i="187"/>
  <c r="Y30" i="187"/>
  <c r="AW93" i="187"/>
  <c r="AX93" i="187" s="1"/>
  <c r="Y92" i="187"/>
  <c r="Z24" i="187"/>
  <c r="AA24" i="187" s="1"/>
  <c r="AV39" i="187"/>
  <c r="Z40" i="187"/>
  <c r="AA40" i="187" s="1"/>
  <c r="Y43" i="187"/>
  <c r="AV66" i="187"/>
  <c r="BL67" i="187"/>
  <c r="Z74" i="187"/>
  <c r="AA74" i="187" s="1"/>
  <c r="Z98" i="187"/>
  <c r="AA98" i="187" s="1"/>
  <c r="AW72" i="187"/>
  <c r="AX72" i="187" s="1"/>
  <c r="Z16" i="187"/>
  <c r="AA16" i="187" s="1"/>
  <c r="Z65" i="187"/>
  <c r="AA65" i="187" s="1"/>
  <c r="Y20" i="187"/>
  <c r="Z18" i="187"/>
  <c r="AA18" i="187" s="1"/>
  <c r="Y18" i="187"/>
  <c r="Z37" i="187"/>
  <c r="AA37" i="187" s="1"/>
  <c r="AW45" i="187"/>
  <c r="AX45" i="187" s="1"/>
  <c r="AV22" i="187"/>
  <c r="Z32" i="187"/>
  <c r="AA32" i="187" s="1"/>
  <c r="Z55" i="187"/>
  <c r="AA55" i="187" s="1"/>
  <c r="AW35" i="187"/>
  <c r="AX35" i="187" s="1"/>
  <c r="AV93" i="187"/>
  <c r="AW22" i="187"/>
  <c r="AX22" i="187" s="1"/>
  <c r="Y32" i="187"/>
  <c r="Y24" i="187"/>
  <c r="AW76" i="187"/>
  <c r="AX76" i="187" s="1"/>
  <c r="AW96" i="187"/>
  <c r="AX96" i="187" s="1"/>
  <c r="AW25" i="187"/>
  <c r="AX25" i="187" s="1"/>
  <c r="Z28" i="187"/>
  <c r="AA28" i="187" s="1"/>
  <c r="Z33" i="187"/>
  <c r="AA33" i="187" s="1"/>
  <c r="Y40" i="187"/>
  <c r="AW98" i="187"/>
  <c r="AX98" i="187" s="1"/>
  <c r="AV78" i="187"/>
  <c r="Y37" i="187"/>
  <c r="AV77" i="187"/>
  <c r="Y55" i="187"/>
  <c r="AW77" i="187"/>
  <c r="AX77" i="187" s="1"/>
  <c r="AV35" i="187"/>
  <c r="Z31" i="187"/>
  <c r="AA31" i="187" s="1"/>
  <c r="AV96" i="187"/>
  <c r="Y28" i="187"/>
  <c r="Y38" i="187"/>
  <c r="BI61" i="187"/>
  <c r="BJ61" i="187" s="1"/>
  <c r="BL61" i="187"/>
  <c r="Y86" i="187"/>
  <c r="Z79" i="187"/>
  <c r="AA79" i="187" s="1"/>
  <c r="AW48" i="187"/>
  <c r="AX48" i="187" s="1"/>
  <c r="AW68" i="187"/>
  <c r="AX68" i="187" s="1"/>
  <c r="AW9" i="187"/>
  <c r="AX9" i="187" s="1"/>
  <c r="Y62" i="187"/>
  <c r="AV20" i="187"/>
  <c r="AW56" i="187"/>
  <c r="AX56" i="187" s="1"/>
  <c r="Y45" i="187"/>
  <c r="Y11" i="187"/>
  <c r="Y53" i="187"/>
  <c r="AV86" i="187"/>
  <c r="Z69" i="187"/>
  <c r="AA69" i="187" s="1"/>
  <c r="Y66" i="187"/>
  <c r="AV83" i="187"/>
  <c r="Z38" i="187"/>
  <c r="AA38" i="187" s="1"/>
  <c r="AV63" i="187"/>
  <c r="Z68" i="187"/>
  <c r="AA68" i="187" s="1"/>
  <c r="Z8" i="187"/>
  <c r="AA8" i="187" s="1"/>
  <c r="Y56" i="187"/>
  <c r="BK67" i="187"/>
  <c r="Z96" i="187"/>
  <c r="AA96" i="187" s="1"/>
  <c r="Y89" i="187"/>
  <c r="Y87" i="187"/>
  <c r="Y79" i="187"/>
  <c r="Y48" i="187"/>
  <c r="AW54" i="187"/>
  <c r="AX54" i="187" s="1"/>
  <c r="AV70" i="187"/>
  <c r="Z97" i="187"/>
  <c r="AA97" i="187" s="1"/>
  <c r="Y10" i="187"/>
  <c r="AW16" i="187"/>
  <c r="AX16" i="187" s="1"/>
  <c r="Y65" i="187"/>
  <c r="Y99" i="187"/>
  <c r="Y69" i="187"/>
  <c r="Z45" i="187"/>
  <c r="AA45" i="187" s="1"/>
  <c r="AV68" i="187"/>
  <c r="Z17" i="187"/>
  <c r="AA17" i="187" s="1"/>
  <c r="Y98" i="187"/>
  <c r="AV50" i="187"/>
  <c r="Z60" i="187"/>
  <c r="AA60" i="187" s="1"/>
  <c r="BI67" i="187"/>
  <c r="BJ67" i="187" s="1"/>
  <c r="Y83" i="187"/>
  <c r="AV56" i="187"/>
  <c r="Z86" i="187"/>
  <c r="AA86" i="187" s="1"/>
  <c r="Z53" i="187"/>
  <c r="AA53" i="187" s="1"/>
  <c r="AW64" i="187"/>
  <c r="AX64" i="187" s="1"/>
  <c r="AV85" i="187"/>
  <c r="AW11" i="187"/>
  <c r="AX11" i="187" s="1"/>
  <c r="AW10" i="187"/>
  <c r="AX10" i="187" s="1"/>
  <c r="Z47" i="187"/>
  <c r="AA47" i="187" s="1"/>
  <c r="Y74" i="187"/>
  <c r="AW63" i="187"/>
  <c r="AX63" i="187" s="1"/>
  <c r="AV48" i="187"/>
  <c r="AV84" i="187"/>
  <c r="Z66" i="187"/>
  <c r="AA66" i="187" s="1"/>
  <c r="Y13" i="187"/>
  <c r="Z52" i="187"/>
  <c r="AA52" i="187" s="1"/>
  <c r="AV91" i="187"/>
  <c r="Z67" i="187"/>
  <c r="AA67" i="187" s="1"/>
  <c r="AW21" i="187"/>
  <c r="AX21" i="187" s="1"/>
  <c r="Y54" i="187"/>
  <c r="AW80" i="187"/>
  <c r="AX80" i="187" s="1"/>
  <c r="Y59" i="187"/>
  <c r="Z12" i="187"/>
  <c r="AA12" i="187" s="1"/>
  <c r="Y95" i="187"/>
  <c r="Y75" i="187"/>
  <c r="Y68" i="187"/>
  <c r="Z81" i="187"/>
  <c r="AA81" i="187" s="1"/>
  <c r="Z94" i="187"/>
  <c r="AA94" i="187" s="1"/>
  <c r="Y67" i="187"/>
  <c r="Y73" i="187"/>
  <c r="AV21" i="187"/>
  <c r="AW65" i="187"/>
  <c r="AX65" i="187" s="1"/>
  <c r="Y8" i="187"/>
  <c r="AW49" i="187"/>
  <c r="AX49" i="187" s="1"/>
  <c r="AW12" i="187"/>
  <c r="AX12" i="187" s="1"/>
  <c r="Y61" i="187"/>
  <c r="AV80" i="187"/>
  <c r="Z23" i="187"/>
  <c r="AA23" i="187" s="1"/>
  <c r="AW67" i="187"/>
  <c r="AX67" i="187" s="1"/>
  <c r="Z21" i="187"/>
  <c r="AA21" i="187" s="1"/>
  <c r="AV74" i="187"/>
  <c r="Z35" i="187"/>
  <c r="AA35" i="187" s="1"/>
  <c r="AW90" i="187"/>
  <c r="AX90" i="187" s="1"/>
  <c r="Z9" i="187"/>
  <c r="AA9" i="187" s="1"/>
  <c r="Y19" i="187"/>
  <c r="AW59" i="187"/>
  <c r="AX59" i="187" s="1"/>
  <c r="Y52" i="187"/>
  <c r="Y36" i="187"/>
  <c r="Z46" i="187"/>
  <c r="AA46" i="187" s="1"/>
  <c r="AV89" i="187"/>
  <c r="Y70" i="187"/>
  <c r="BK61" i="187"/>
  <c r="AW73" i="187"/>
  <c r="AX73" i="187" s="1"/>
  <c r="Y81" i="187"/>
  <c r="Y94" i="187"/>
  <c r="Z57" i="187"/>
  <c r="AA57" i="187" s="1"/>
  <c r="AW79" i="187"/>
  <c r="AX79" i="187" s="1"/>
  <c r="Z80" i="187"/>
  <c r="AA80" i="187" s="1"/>
  <c r="AW81" i="187"/>
  <c r="AX81" i="187" s="1"/>
  <c r="Z76" i="187"/>
  <c r="AA76" i="187" s="1"/>
  <c r="AW17" i="187"/>
  <c r="AX17" i="187" s="1"/>
  <c r="AV65" i="187"/>
  <c r="AW71" i="187"/>
  <c r="AX71" i="187" s="1"/>
  <c r="AV49" i="187"/>
  <c r="AV12" i="187"/>
  <c r="AW88" i="187"/>
  <c r="AX88" i="187" s="1"/>
  <c r="Y9" i="187"/>
  <c r="Y23" i="187"/>
  <c r="AV72" i="187"/>
  <c r="AV67" i="187"/>
  <c r="AW74" i="187"/>
  <c r="AX74" i="187" s="1"/>
  <c r="AW47" i="187"/>
  <c r="AX47" i="187" s="1"/>
  <c r="Y35" i="187"/>
  <c r="AV90" i="187"/>
  <c r="AW15" i="187"/>
  <c r="AX15" i="187" s="1"/>
  <c r="AW14" i="187"/>
  <c r="AX14" i="187" s="1"/>
  <c r="AW58" i="187"/>
  <c r="AX58" i="187" s="1"/>
  <c r="Z82" i="187"/>
  <c r="AA82" i="187" s="1"/>
  <c r="AV59" i="187"/>
  <c r="Z36" i="187"/>
  <c r="AA36" i="187" s="1"/>
  <c r="Y46" i="187"/>
  <c r="AW89" i="187"/>
  <c r="AX89" i="187" s="1"/>
  <c r="Y58" i="187"/>
  <c r="AV73" i="187"/>
  <c r="Y57" i="187"/>
  <c r="AV79" i="187"/>
  <c r="Y80" i="187"/>
  <c r="AV81" i="187"/>
  <c r="Y76" i="187"/>
  <c r="AV17" i="187"/>
  <c r="Z50" i="187"/>
  <c r="AA50" i="187" s="1"/>
  <c r="Z100" i="187"/>
  <c r="AA100" i="187" s="1"/>
  <c r="Z77" i="187"/>
  <c r="AA77" i="187" s="1"/>
  <c r="AW57" i="187"/>
  <c r="AX57" i="187" s="1"/>
  <c r="AV71" i="187"/>
  <c r="AW52" i="187"/>
  <c r="AX52" i="187" s="1"/>
  <c r="AW82" i="187"/>
  <c r="AX82" i="187" s="1"/>
  <c r="AV46" i="187"/>
  <c r="AV88" i="187"/>
  <c r="Z88" i="187"/>
  <c r="AA88" i="187" s="1"/>
  <c r="AW87" i="187"/>
  <c r="AX87" i="187" s="1"/>
  <c r="AW55" i="187"/>
  <c r="AX55" i="187" s="1"/>
  <c r="Y14" i="187"/>
  <c r="AV47" i="187"/>
  <c r="AW19" i="187"/>
  <c r="AX19" i="187" s="1"/>
  <c r="AW51" i="187"/>
  <c r="AX51" i="187" s="1"/>
  <c r="AV15" i="187"/>
  <c r="AV14" i="187"/>
  <c r="AV58" i="187"/>
  <c r="Y82" i="187"/>
  <c r="Z72" i="187"/>
  <c r="AA72" i="187" s="1"/>
  <c r="AW66" i="187"/>
  <c r="AX66" i="187" s="1"/>
  <c r="AW60" i="187"/>
  <c r="AX60" i="187" s="1"/>
  <c r="Z73" i="187"/>
  <c r="AA73" i="187" s="1"/>
  <c r="Y44" i="187"/>
  <c r="Z51" i="187"/>
  <c r="AA51" i="187" s="1"/>
  <c r="Z84" i="187"/>
  <c r="AA84" i="187" s="1"/>
  <c r="Y51" i="187"/>
  <c r="AW83" i="187"/>
  <c r="AX83" i="187" s="1"/>
  <c r="Z85" i="187"/>
  <c r="AA85" i="187" s="1"/>
  <c r="Z49" i="187"/>
  <c r="AA49" i="187" s="1"/>
  <c r="Y100" i="187"/>
  <c r="AV57" i="187"/>
  <c r="AV52" i="187"/>
  <c r="AW46" i="187"/>
  <c r="AX46" i="187" s="1"/>
  <c r="Z11" i="187"/>
  <c r="AA11" i="187" s="1"/>
  <c r="Y88" i="187"/>
  <c r="AV87" i="187"/>
  <c r="AV55" i="187"/>
  <c r="Z14" i="187"/>
  <c r="AA14" i="187" s="1"/>
  <c r="AV19" i="187"/>
  <c r="AV51" i="187"/>
  <c r="AW86" i="187"/>
  <c r="AX86" i="187" s="1"/>
  <c r="AW20" i="187"/>
  <c r="AX20" i="187" s="1"/>
  <c r="Y72" i="187"/>
  <c r="AV60" i="187"/>
  <c r="AV69" i="187"/>
  <c r="Z61" i="187"/>
  <c r="AA61" i="187" s="1"/>
  <c r="AW18" i="187"/>
  <c r="AX18" i="187" s="1"/>
  <c r="AV18" i="187"/>
  <c r="Z62" i="187"/>
  <c r="AA62" i="187" s="1"/>
  <c r="Y50" i="187"/>
  <c r="Y77" i="187"/>
  <c r="Z71" i="187"/>
  <c r="AA71" i="187" s="1"/>
  <c r="AV82" i="187"/>
  <c r="Z89" i="187"/>
  <c r="AA89" i="187" s="1"/>
  <c r="Y84" i="187"/>
  <c r="Z87" i="187"/>
  <c r="AA87" i="187" s="1"/>
  <c r="Z48" i="187"/>
  <c r="AA48" i="187" s="1"/>
  <c r="Y96" i="187"/>
  <c r="Y85" i="187"/>
  <c r="Y49" i="187"/>
  <c r="Z99" i="187"/>
  <c r="AA99" i="187" s="1"/>
  <c r="Y71" i="187"/>
  <c r="AW50" i="187"/>
  <c r="AX50" i="187" s="1"/>
  <c r="Z83" i="187"/>
  <c r="AA83" i="187" s="1"/>
  <c r="AW85" i="187"/>
  <c r="AX85" i="187" s="1"/>
  <c r="K24" i="185"/>
  <c r="AI23" i="185"/>
  <c r="J24" i="185"/>
  <c r="L23" i="185"/>
  <c r="P35" i="178"/>
  <c r="P36" i="178" s="1"/>
  <c r="Q33" i="178"/>
  <c r="E36" i="178"/>
  <c r="H40" i="178"/>
  <c r="I40" i="178" s="1"/>
  <c r="I39" i="178"/>
  <c r="M35" i="178"/>
  <c r="R38" i="178"/>
  <c r="R39" i="178" s="1"/>
  <c r="I38" i="178"/>
  <c r="O35" i="178"/>
  <c r="N36" i="178"/>
  <c r="K36" i="178"/>
  <c r="E72" i="196"/>
  <c r="D73" i="196"/>
  <c r="M36" i="178"/>
  <c r="J37" i="178"/>
  <c r="J38" i="178" s="1"/>
  <c r="G38" i="178"/>
  <c r="L37" i="178"/>
  <c r="L38" i="178" s="1"/>
  <c r="S37" i="178"/>
  <c r="E37" i="178"/>
  <c r="D38" i="178"/>
  <c r="H73" i="196"/>
  <c r="I72" i="196"/>
  <c r="F39" i="178"/>
  <c r="G72" i="196"/>
  <c r="F73" i="196"/>
  <c r="AB31" i="187" l="1"/>
  <c r="AB43" i="187"/>
  <c r="AY24" i="187"/>
  <c r="AB42" i="187"/>
  <c r="AB66" i="187"/>
  <c r="AY89" i="187"/>
  <c r="AY68" i="187"/>
  <c r="AY11" i="187"/>
  <c r="AY19" i="187"/>
  <c r="AB54" i="187"/>
  <c r="AY58" i="187"/>
  <c r="AY28" i="187"/>
  <c r="AB64" i="187"/>
  <c r="AY93" i="187"/>
  <c r="AY79" i="187"/>
  <c r="AB28" i="187"/>
  <c r="AB68" i="187"/>
  <c r="AY83" i="187"/>
  <c r="AY59" i="187"/>
  <c r="AY90" i="187"/>
  <c r="AB58" i="187"/>
  <c r="AB51" i="187"/>
  <c r="AB14" i="187"/>
  <c r="AB60" i="187"/>
  <c r="AB80" i="187"/>
  <c r="AY20" i="187"/>
  <c r="AY101" i="187"/>
  <c r="AB72" i="187"/>
  <c r="AY74" i="187"/>
  <c r="AY71" i="187"/>
  <c r="AY67" i="187"/>
  <c r="AB7" i="187"/>
  <c r="AY35" i="187"/>
  <c r="AB99" i="187"/>
  <c r="AY29" i="187"/>
  <c r="AB84" i="187"/>
  <c r="AB52" i="187"/>
  <c r="AB24" i="187"/>
  <c r="AY16" i="187"/>
  <c r="AB96" i="187"/>
  <c r="AY17" i="187"/>
  <c r="AY48" i="187"/>
  <c r="AB86" i="187"/>
  <c r="AB56" i="187"/>
  <c r="AB13" i="187"/>
  <c r="AY60" i="187"/>
  <c r="AB47" i="187"/>
  <c r="AY39" i="187"/>
  <c r="AB45" i="187"/>
  <c r="AB83" i="187"/>
  <c r="AB79" i="187"/>
  <c r="AB37" i="187"/>
  <c r="AY91" i="187"/>
  <c r="AB75" i="187"/>
  <c r="AY82" i="187"/>
  <c r="AB89" i="187"/>
  <c r="AB87" i="187"/>
  <c r="AB63" i="187"/>
  <c r="AY86" i="187"/>
  <c r="AY22" i="187"/>
  <c r="AY96" i="187"/>
  <c r="AY66" i="187"/>
  <c r="AB21" i="187"/>
  <c r="AB65" i="187"/>
  <c r="AY51" i="187"/>
  <c r="AY47" i="187"/>
  <c r="AY69" i="187"/>
  <c r="AY45" i="187"/>
  <c r="AB95" i="187"/>
  <c r="AY97" i="187"/>
  <c r="AB74" i="187"/>
  <c r="AY53" i="187"/>
  <c r="AB59" i="187"/>
  <c r="AB97" i="187"/>
  <c r="AY13" i="187"/>
  <c r="AB36" i="187"/>
  <c r="AY95" i="187"/>
  <c r="AB82" i="187"/>
  <c r="AB30" i="187"/>
  <c r="AY57" i="187"/>
  <c r="AY102" i="187"/>
  <c r="AY32" i="187"/>
  <c r="AY40" i="187"/>
  <c r="AY94" i="187"/>
  <c r="AB100" i="187"/>
  <c r="AB25" i="187"/>
  <c r="AB35" i="187"/>
  <c r="AB23" i="187"/>
  <c r="AY7" i="187"/>
  <c r="AB10" i="187"/>
  <c r="AB27" i="187"/>
  <c r="AB22" i="187"/>
  <c r="AY43" i="187"/>
  <c r="AY44" i="187"/>
  <c r="AY56" i="187"/>
  <c r="AB70" i="187"/>
  <c r="AY64" i="187"/>
  <c r="AY52" i="187"/>
  <c r="AY70" i="187"/>
  <c r="AY18" i="187"/>
  <c r="AY15" i="187"/>
  <c r="AY10" i="187"/>
  <c r="AB15" i="187"/>
  <c r="AY25" i="187"/>
  <c r="AY87" i="187"/>
  <c r="AB77" i="187"/>
  <c r="AB11" i="187"/>
  <c r="AB88" i="187"/>
  <c r="AY33" i="187"/>
  <c r="AB102" i="187"/>
  <c r="AY62" i="187"/>
  <c r="AB50" i="187"/>
  <c r="AB78" i="187"/>
  <c r="AY14" i="187"/>
  <c r="AY55" i="187"/>
  <c r="AY26" i="187"/>
  <c r="AB38" i="187"/>
  <c r="AY80" i="187"/>
  <c r="AB73" i="187"/>
  <c r="AY78" i="187"/>
  <c r="AB41" i="187"/>
  <c r="AY49" i="187"/>
  <c r="AY36" i="187"/>
  <c r="AB94" i="187"/>
  <c r="AB9" i="187"/>
  <c r="AY85" i="187"/>
  <c r="AB29" i="187"/>
  <c r="AB93" i="187"/>
  <c r="AB92" i="187"/>
  <c r="AB8" i="187"/>
  <c r="AB46" i="187"/>
  <c r="AY63" i="187"/>
  <c r="AB32" i="187"/>
  <c r="AB62" i="187"/>
  <c r="AB18" i="187"/>
  <c r="AB91" i="187"/>
  <c r="AY30" i="187"/>
  <c r="AB26" i="187"/>
  <c r="AB61" i="187"/>
  <c r="AB67" i="187"/>
  <c r="AB69" i="187"/>
  <c r="AB90" i="187"/>
  <c r="AY92" i="187"/>
  <c r="AB33" i="187"/>
  <c r="AB34" i="187"/>
  <c r="AY88" i="187"/>
  <c r="AB71" i="187"/>
  <c r="AB12" i="187"/>
  <c r="AY8" i="187"/>
  <c r="AB101" i="187"/>
  <c r="AB19" i="187"/>
  <c r="AY9" i="187"/>
  <c r="AY54" i="187"/>
  <c r="AY61" i="187"/>
  <c r="AY50" i="187"/>
  <c r="AB49" i="187"/>
  <c r="AY75" i="187"/>
  <c r="AY65" i="187"/>
  <c r="AY21" i="187"/>
  <c r="AY23" i="187"/>
  <c r="AY12" i="187"/>
  <c r="AY77" i="187"/>
  <c r="AY37" i="187"/>
  <c r="AY81" i="187"/>
  <c r="AY76" i="187"/>
  <c r="AY99" i="187"/>
  <c r="AY98" i="187"/>
  <c r="AB81" i="187"/>
  <c r="AY46" i="187"/>
  <c r="AB16" i="187"/>
  <c r="AB17" i="187"/>
  <c r="AY38" i="187"/>
  <c r="AY27" i="187"/>
  <c r="AB40" i="187"/>
  <c r="AY31" i="187"/>
  <c r="AB55" i="187"/>
  <c r="AY72" i="187"/>
  <c r="AB44" i="187"/>
  <c r="AB20" i="187"/>
  <c r="AY84" i="187"/>
  <c r="AB53" i="187"/>
  <c r="AY73" i="187"/>
  <c r="AB48" i="187"/>
  <c r="AY100" i="187"/>
  <c r="AB98" i="187"/>
  <c r="AB85" i="187"/>
  <c r="AY41" i="187"/>
  <c r="AB76" i="187"/>
  <c r="AB57" i="187"/>
  <c r="AY42" i="187"/>
  <c r="AB39" i="187"/>
  <c r="AY34" i="187"/>
  <c r="Q35" i="178"/>
  <c r="K25" i="185"/>
  <c r="AI24" i="185"/>
  <c r="J25" i="185"/>
  <c r="L24" i="185"/>
  <c r="H41" i="178"/>
  <c r="H42" i="178" s="1"/>
  <c r="I42" i="178" s="1"/>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H43" i="178" l="1"/>
  <c r="AD50" i="187"/>
  <c r="AC72" i="187"/>
  <c r="BA22" i="187"/>
  <c r="AD94" i="187"/>
  <c r="BA91" i="187"/>
  <c r="AC42" i="187"/>
  <c r="AD86" i="187"/>
  <c r="AZ58" i="187"/>
  <c r="BA52" i="187"/>
  <c r="AC65" i="187"/>
  <c r="AZ24" i="187"/>
  <c r="BA67" i="187"/>
  <c r="AC89" i="187"/>
  <c r="AD84" i="187"/>
  <c r="AC18" i="187"/>
  <c r="AD78" i="187"/>
  <c r="AZ85" i="187"/>
  <c r="AC70" i="187"/>
  <c r="AC95" i="187"/>
  <c r="BA11" i="187"/>
  <c r="AD46" i="187"/>
  <c r="AZ33" i="187"/>
  <c r="AD71" i="187"/>
  <c r="AC80" i="187"/>
  <c r="AC32" i="187"/>
  <c r="AD44" i="187"/>
  <c r="AZ87" i="187"/>
  <c r="AC9" i="187"/>
  <c r="AZ39" i="187"/>
  <c r="BA37" i="187"/>
  <c r="BA59" i="187"/>
  <c r="AC27" i="187"/>
  <c r="AC52" i="187"/>
  <c r="AZ36" i="187"/>
  <c r="AD101" i="187"/>
  <c r="AC22" i="187"/>
  <c r="AD30" i="187"/>
  <c r="AZ100" i="187"/>
  <c r="BA72" i="187"/>
  <c r="AZ89" i="187"/>
  <c r="AD79" i="187"/>
  <c r="AZ79" i="187"/>
  <c r="AC20" i="187"/>
  <c r="BA51" i="187"/>
  <c r="AD17" i="187"/>
  <c r="AZ37" i="187"/>
  <c r="BA50" i="187"/>
  <c r="AC71" i="187"/>
  <c r="AC61" i="187"/>
  <c r="AC46" i="187"/>
  <c r="BA36" i="187"/>
  <c r="AZ55" i="187"/>
  <c r="AD56" i="187"/>
  <c r="BA70" i="187"/>
  <c r="AD27" i="187"/>
  <c r="BA40" i="187"/>
  <c r="AZ47" i="187"/>
  <c r="AZ69" i="187"/>
  <c r="BA86" i="187"/>
  <c r="AC79" i="187"/>
  <c r="AC86" i="187"/>
  <c r="AC38" i="187"/>
  <c r="AZ88" i="187"/>
  <c r="BA28" i="187"/>
  <c r="AZ53" i="187"/>
  <c r="AD39" i="187"/>
  <c r="AC48" i="187"/>
  <c r="BA98" i="187"/>
  <c r="BA83" i="187"/>
  <c r="AZ41" i="187"/>
  <c r="AZ60" i="187"/>
  <c r="AD10" i="187"/>
  <c r="BA96" i="187"/>
  <c r="AD96" i="187"/>
  <c r="AC10" i="187"/>
  <c r="AC74" i="187"/>
  <c r="AD92" i="187"/>
  <c r="BA31" i="187"/>
  <c r="AZ86" i="187"/>
  <c r="AZ81" i="187"/>
  <c r="AD85" i="187"/>
  <c r="AD61" i="187"/>
  <c r="AC11" i="187"/>
  <c r="BA23" i="187"/>
  <c r="BA69" i="187"/>
  <c r="AZ14" i="187"/>
  <c r="AD16" i="187"/>
  <c r="AD65" i="187"/>
  <c r="AC50" i="187"/>
  <c r="BA85" i="187"/>
  <c r="AZ11" i="187"/>
  <c r="AZ65" i="187"/>
  <c r="BA58" i="187"/>
  <c r="BA24" i="187"/>
  <c r="AZ22" i="187"/>
  <c r="AC102" i="187"/>
  <c r="AC93" i="187"/>
  <c r="AZ46" i="187"/>
  <c r="AD24" i="187"/>
  <c r="AZ42" i="187"/>
  <c r="AZ32" i="187"/>
  <c r="BA15" i="187"/>
  <c r="AZ83" i="187"/>
  <c r="BA18" i="187"/>
  <c r="AD28" i="187"/>
  <c r="AD87" i="187"/>
  <c r="AC75" i="187"/>
  <c r="AZ68" i="187"/>
  <c r="AZ40" i="187"/>
  <c r="AD77" i="187"/>
  <c r="AD15" i="187"/>
  <c r="AC81" i="187"/>
  <c r="AC84" i="187"/>
  <c r="AD42" i="187"/>
  <c r="AD95" i="187"/>
  <c r="BA41" i="187"/>
  <c r="AZ52" i="187"/>
  <c r="BA39" i="187"/>
  <c r="AZ64" i="187"/>
  <c r="AC73" i="187"/>
  <c r="AD18" i="187"/>
  <c r="AC47" i="187"/>
  <c r="AD80" i="187"/>
  <c r="AD59" i="187"/>
  <c r="BA9" i="187"/>
  <c r="BA47" i="187"/>
  <c r="AD35" i="187"/>
  <c r="AC29" i="187"/>
  <c r="AZ28" i="187"/>
  <c r="AC69" i="187"/>
  <c r="AC56" i="187"/>
  <c r="BA100" i="187"/>
  <c r="AZ63" i="187"/>
  <c r="AZ59" i="187"/>
  <c r="AC94" i="187"/>
  <c r="AD89" i="187"/>
  <c r="AC30" i="187"/>
  <c r="BA99" i="187"/>
  <c r="AZ8" i="187"/>
  <c r="AZ20" i="187"/>
  <c r="AD90" i="187"/>
  <c r="AD22" i="187"/>
  <c r="AD38" i="187"/>
  <c r="AC49" i="187"/>
  <c r="BA60" i="187"/>
  <c r="BA53" i="187"/>
  <c r="BA17" i="187"/>
  <c r="AZ51" i="187"/>
  <c r="AD32" i="187"/>
  <c r="AC44" i="187"/>
  <c r="AZ30" i="187"/>
  <c r="BA79" i="187"/>
  <c r="BA30" i="187"/>
  <c r="AD72" i="187"/>
  <c r="AZ72" i="187"/>
  <c r="AZ67" i="187"/>
  <c r="AC54" i="187"/>
  <c r="AD70" i="187"/>
  <c r="AC101" i="187"/>
  <c r="AC14" i="187"/>
  <c r="AC23" i="187"/>
  <c r="AD62" i="187"/>
  <c r="AC7" i="187"/>
  <c r="BA93" i="187"/>
  <c r="AD21" i="187"/>
  <c r="BA63" i="187"/>
  <c r="AD20" i="187"/>
  <c r="AZ97" i="187"/>
  <c r="BA13" i="187"/>
  <c r="AD66" i="187"/>
  <c r="AC43" i="187"/>
  <c r="AC100" i="187"/>
  <c r="AD8" i="187"/>
  <c r="BA25" i="187"/>
  <c r="AC55" i="187"/>
  <c r="BA35" i="187"/>
  <c r="AC58" i="187"/>
  <c r="BA44" i="187"/>
  <c r="AZ7" i="187"/>
  <c r="AD54" i="187"/>
  <c r="AD67" i="187"/>
  <c r="AC97" i="187"/>
  <c r="AZ82" i="187"/>
  <c r="AD37" i="187"/>
  <c r="BA71" i="187"/>
  <c r="AC88" i="187"/>
  <c r="AC82" i="187"/>
  <c r="AD12" i="187"/>
  <c r="AD40" i="187"/>
  <c r="AZ99" i="187"/>
  <c r="AZ84" i="187"/>
  <c r="BA8" i="187"/>
  <c r="BA20" i="187"/>
  <c r="AC90" i="187"/>
  <c r="BA19" i="187"/>
  <c r="AC41" i="187"/>
  <c r="AZ26" i="187"/>
  <c r="AD49" i="187"/>
  <c r="AD13" i="187"/>
  <c r="AD48" i="187"/>
  <c r="AZ17" i="187"/>
  <c r="BA34" i="187"/>
  <c r="BA27" i="187"/>
  <c r="AZ70" i="187"/>
  <c r="AC45" i="187"/>
  <c r="AC51" i="187"/>
  <c r="AC78" i="187"/>
  <c r="BA89" i="187"/>
  <c r="AC21" i="187"/>
  <c r="BA97" i="187"/>
  <c r="AC66" i="187"/>
  <c r="AD43" i="187"/>
  <c r="BA87" i="187"/>
  <c r="AD52" i="187"/>
  <c r="BA7" i="187"/>
  <c r="AZ91" i="187"/>
  <c r="BA33" i="187"/>
  <c r="AD9" i="187"/>
  <c r="AC39" i="187"/>
  <c r="BA84" i="187"/>
  <c r="AZ19" i="187"/>
  <c r="AD14" i="187"/>
  <c r="AD23" i="187"/>
  <c r="AC62" i="187"/>
  <c r="AD7" i="187"/>
  <c r="AZ93" i="187"/>
  <c r="AZ96" i="187"/>
  <c r="AZ61" i="187"/>
  <c r="AC96" i="187"/>
  <c r="AD31" i="187"/>
  <c r="AZ13" i="187"/>
  <c r="AC99" i="187"/>
  <c r="BA101" i="187"/>
  <c r="AD100" i="187"/>
  <c r="AC8" i="187"/>
  <c r="AZ25" i="187"/>
  <c r="AD55" i="187"/>
  <c r="AZ35" i="187"/>
  <c r="AD58" i="187"/>
  <c r="AZ44" i="187"/>
  <c r="BA21" i="187"/>
  <c r="AZ49" i="187"/>
  <c r="AC67" i="187"/>
  <c r="AD97" i="187"/>
  <c r="BA82" i="187"/>
  <c r="AC37" i="187"/>
  <c r="AZ71" i="187"/>
  <c r="AD88" i="187"/>
  <c r="AD82" i="187"/>
  <c r="AC12" i="187"/>
  <c r="AC40" i="187"/>
  <c r="AD57" i="187"/>
  <c r="BA102" i="187"/>
  <c r="BA10" i="187"/>
  <c r="BA77" i="187"/>
  <c r="BA56" i="187"/>
  <c r="AC26" i="187"/>
  <c r="AD51" i="187"/>
  <c r="AD41" i="187"/>
  <c r="BA26" i="187"/>
  <c r="AC98" i="187"/>
  <c r="AC13" i="187"/>
  <c r="AZ43" i="187"/>
  <c r="AZ34" i="187"/>
  <c r="AZ27" i="187"/>
  <c r="AC60" i="187"/>
  <c r="AD45" i="187"/>
  <c r="AD33" i="187"/>
  <c r="AD99" i="187"/>
  <c r="AZ101" i="187"/>
  <c r="BA62" i="187"/>
  <c r="AC92" i="187"/>
  <c r="BA74" i="187"/>
  <c r="AZ31" i="187"/>
  <c r="AZ80" i="187"/>
  <c r="BA95" i="187"/>
  <c r="BA29" i="187"/>
  <c r="AZ21" i="187"/>
  <c r="BA49" i="187"/>
  <c r="AC85" i="187"/>
  <c r="BA76" i="187"/>
  <c r="AC68" i="187"/>
  <c r="AZ94" i="187"/>
  <c r="AD11" i="187"/>
  <c r="BA48" i="187"/>
  <c r="AD19" i="187"/>
  <c r="BA92" i="187"/>
  <c r="AC57" i="187"/>
  <c r="AZ102" i="187"/>
  <c r="AZ10" i="187"/>
  <c r="AZ77" i="187"/>
  <c r="AZ56" i="187"/>
  <c r="AD26" i="187"/>
  <c r="AD34" i="187"/>
  <c r="BA78" i="187"/>
  <c r="AD98" i="187"/>
  <c r="AZ45" i="187"/>
  <c r="AZ73" i="187"/>
  <c r="BA43" i="187"/>
  <c r="AZ66" i="187"/>
  <c r="BA38" i="187"/>
  <c r="AD60" i="187"/>
  <c r="AC63" i="187"/>
  <c r="AC64" i="187"/>
  <c r="AZ29" i="187"/>
  <c r="BA55" i="187"/>
  <c r="AC17" i="187"/>
  <c r="BA61" i="187"/>
  <c r="AC31" i="187"/>
  <c r="BA54" i="187"/>
  <c r="AZ12" i="187"/>
  <c r="AD68" i="187"/>
  <c r="AZ48" i="187"/>
  <c r="AZ92" i="187"/>
  <c r="AZ57" i="187"/>
  <c r="BA75" i="187"/>
  <c r="AD53" i="187"/>
  <c r="BA45" i="187"/>
  <c r="BA73" i="187"/>
  <c r="BA66" i="187"/>
  <c r="AZ38" i="187"/>
  <c r="BA88" i="187"/>
  <c r="AD63" i="187"/>
  <c r="AD64" i="187"/>
  <c r="AZ50" i="187"/>
  <c r="AC33" i="187"/>
  <c r="AD25" i="187"/>
  <c r="AZ16" i="187"/>
  <c r="AZ90" i="187"/>
  <c r="AZ62" i="187"/>
  <c r="AZ74" i="187"/>
  <c r="BA80" i="187"/>
  <c r="AZ95" i="187"/>
  <c r="AD76" i="187"/>
  <c r="AZ76" i="187"/>
  <c r="BA94" i="187"/>
  <c r="AC19" i="187"/>
  <c r="AC83" i="187"/>
  <c r="AZ98" i="187"/>
  <c r="AD36" i="187"/>
  <c r="AC34" i="187"/>
  <c r="AZ78" i="187"/>
  <c r="AC91" i="187"/>
  <c r="BA14" i="187"/>
  <c r="AC16" i="187"/>
  <c r="AC25" i="187"/>
  <c r="AZ54" i="187"/>
  <c r="BA16" i="187"/>
  <c r="BA65" i="187"/>
  <c r="BA90" i="187"/>
  <c r="BA12" i="187"/>
  <c r="AD74" i="187"/>
  <c r="AD102" i="187"/>
  <c r="AD93" i="187"/>
  <c r="BA46" i="187"/>
  <c r="AC24" i="187"/>
  <c r="BA42" i="187"/>
  <c r="BA32" i="187"/>
  <c r="AZ15" i="187"/>
  <c r="BA81" i="187"/>
  <c r="AC76" i="187"/>
  <c r="AZ18" i="187"/>
  <c r="AC28" i="187"/>
  <c r="AC87" i="187"/>
  <c r="AD75" i="187"/>
  <c r="BA68" i="187"/>
  <c r="AC77" i="187"/>
  <c r="AC15" i="187"/>
  <c r="AD81" i="187"/>
  <c r="AD83" i="187"/>
  <c r="BA57" i="187"/>
  <c r="AZ23" i="187"/>
  <c r="AC36" i="187"/>
  <c r="AZ75" i="187"/>
  <c r="BA64" i="187"/>
  <c r="AD73" i="187"/>
  <c r="AD91" i="187"/>
  <c r="AD47" i="187"/>
  <c r="AC53" i="187"/>
  <c r="AC59" i="187"/>
  <c r="AZ9" i="187"/>
  <c r="AC35" i="187"/>
  <c r="AD29" i="187"/>
  <c r="AD69" i="187"/>
  <c r="I41" i="178"/>
  <c r="K26" i="185"/>
  <c r="AI25" i="185"/>
  <c r="J26" i="185"/>
  <c r="L25" i="185"/>
  <c r="O37" i="178"/>
  <c r="O38" i="178"/>
  <c r="N39" i="178"/>
  <c r="N40" i="178" s="1"/>
  <c r="R41" i="178"/>
  <c r="R42" i="178" s="1"/>
  <c r="K40" i="178"/>
  <c r="J41" i="178"/>
  <c r="J42" i="178" s="1"/>
  <c r="J43" i="178" s="1"/>
  <c r="I43" i="178"/>
  <c r="E74" i="196"/>
  <c r="D75" i="196"/>
  <c r="H44" i="178"/>
  <c r="M39" i="178"/>
  <c r="L42" i="178"/>
  <c r="L43" i="178" s="1"/>
  <c r="L44" i="178" s="1"/>
  <c r="G40" i="178"/>
  <c r="M40" i="178"/>
  <c r="E39" i="178"/>
  <c r="D40" i="178"/>
  <c r="M41" i="178"/>
  <c r="I74" i="196"/>
  <c r="H75" i="196"/>
  <c r="Q37" i="178"/>
  <c r="K39" i="178"/>
  <c r="F41" i="178"/>
  <c r="G74" i="196"/>
  <c r="F75" i="196"/>
  <c r="S40" i="178"/>
  <c r="P38" i="178"/>
  <c r="BK68" i="187" l="1"/>
  <c r="BK62" i="187"/>
  <c r="BL68" i="187"/>
  <c r="BL62" i="187"/>
  <c r="BI68" i="187"/>
  <c r="BJ68" i="187" s="1"/>
  <c r="BI62" i="187"/>
  <c r="BJ62" i="187" s="1"/>
  <c r="K27" i="185"/>
  <c r="AI26" i="185"/>
  <c r="J27" i="185"/>
  <c r="L26" i="185"/>
  <c r="O39" i="178"/>
  <c r="S41" i="178"/>
  <c r="R43" i="178"/>
  <c r="S43" i="178" s="1"/>
  <c r="S42" i="178"/>
  <c r="N41" i="178"/>
  <c r="N42" i="178" s="1"/>
  <c r="O40" i="178"/>
  <c r="K43" i="178"/>
  <c r="M44" i="178"/>
  <c r="G75" i="196"/>
  <c r="F76" i="196"/>
  <c r="E40" i="178"/>
  <c r="E75" i="196"/>
  <c r="D76" i="196"/>
  <c r="G41" i="178"/>
  <c r="I75" i="196"/>
  <c r="H76" i="196"/>
  <c r="I44" i="178"/>
  <c r="H45" i="178"/>
  <c r="M43" i="178"/>
  <c r="D41" i="178"/>
  <c r="F42" i="178"/>
  <c r="F43" i="178" s="1"/>
  <c r="K41" i="178"/>
  <c r="J44" i="178"/>
  <c r="Q38" i="178"/>
  <c r="P39" i="178"/>
  <c r="K42" i="178"/>
  <c r="M42" i="178"/>
  <c r="L45" i="178"/>
  <c r="K28" i="185" l="1"/>
  <c r="AI27" i="185"/>
  <c r="J28" i="185"/>
  <c r="L27" i="185"/>
  <c r="R44" i="178"/>
  <c r="R45" i="178" s="1"/>
  <c r="R46" i="178" s="1"/>
  <c r="R47" i="178" s="1"/>
  <c r="O41" i="178"/>
  <c r="D42" i="178"/>
  <c r="D43" i="178" s="1"/>
  <c r="O42" i="178"/>
  <c r="N43" i="178"/>
  <c r="N44" i="178" s="1"/>
  <c r="O44" i="178" s="1"/>
  <c r="J45" i="178"/>
  <c r="J46" i="178" s="1"/>
  <c r="G43" i="178"/>
  <c r="F44" i="178"/>
  <c r="I45" i="178"/>
  <c r="M45" i="178"/>
  <c r="Q39" i="178"/>
  <c r="E41" i="178"/>
  <c r="I76" i="196"/>
  <c r="H77" i="196"/>
  <c r="E76" i="196"/>
  <c r="D77" i="196"/>
  <c r="K44" i="178"/>
  <c r="L46" i="178"/>
  <c r="L47" i="178" s="1"/>
  <c r="G76" i="196"/>
  <c r="F77" i="196"/>
  <c r="G42" i="178"/>
  <c r="H46" i="178"/>
  <c r="P40" i="178"/>
  <c r="K29" i="185" l="1"/>
  <c r="AI28" i="185"/>
  <c r="J29" i="185"/>
  <c r="L28"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K30" i="185" l="1"/>
  <c r="AI29" i="185"/>
  <c r="J30" i="185"/>
  <c r="L29"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K31" i="185" l="1"/>
  <c r="AI30" i="185"/>
  <c r="J31" i="185"/>
  <c r="L30"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K32" i="185" l="1"/>
  <c r="AI31" i="185"/>
  <c r="J32" i="185"/>
  <c r="L31"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K33" i="185" l="1"/>
  <c r="AI32" i="185"/>
  <c r="J33" i="185"/>
  <c r="L32"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K34" i="185" l="1"/>
  <c r="AI33" i="185"/>
  <c r="J34" i="185"/>
  <c r="L33"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K35" i="185" l="1"/>
  <c r="AI34" i="185"/>
  <c r="J35" i="185"/>
  <c r="L34"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K36" i="185" l="1"/>
  <c r="AI35" i="185"/>
  <c r="J36" i="185"/>
  <c r="L35"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K37" i="185" l="1"/>
  <c r="AI36" i="185"/>
  <c r="J37" i="185"/>
  <c r="L36"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K38" i="185" l="1"/>
  <c r="AI37" i="185"/>
  <c r="J38" i="185"/>
  <c r="L37"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K39" i="185" l="1"/>
  <c r="AI38" i="185"/>
  <c r="L38" i="185"/>
  <c r="J39"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K40" i="185" l="1"/>
  <c r="AI39" i="185"/>
  <c r="J40" i="185"/>
  <c r="L39"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AI40" i="185" l="1"/>
  <c r="K41" i="185"/>
  <c r="J41" i="185"/>
  <c r="L40"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K42" i="185" l="1"/>
  <c r="AI41" i="185"/>
  <c r="J42" i="185"/>
  <c r="L41"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K43" i="185" l="1"/>
  <c r="AI42" i="185"/>
  <c r="J43" i="185"/>
  <c r="L42"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K44" i="185" l="1"/>
  <c r="AI43" i="185"/>
  <c r="L43" i="185"/>
  <c r="J44"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K45" i="185" l="1"/>
  <c r="AI44" i="185"/>
  <c r="L44" i="185"/>
  <c r="J45"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K46" i="185" l="1"/>
  <c r="AI45" i="185"/>
  <c r="J46" i="185"/>
  <c r="L45"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K47" i="185" l="1"/>
  <c r="AI46" i="185"/>
  <c r="L46" i="185"/>
  <c r="J47"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K48" i="185" l="1"/>
  <c r="AI47" i="185"/>
  <c r="J48" i="185"/>
  <c r="L47"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K49" i="185" l="1"/>
  <c r="AI48" i="185"/>
  <c r="J49" i="185"/>
  <c r="L48"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AI49" i="185" l="1"/>
  <c r="K50" i="185"/>
  <c r="J50" i="185"/>
  <c r="L49"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K51" i="185" l="1"/>
  <c r="AI50" i="185"/>
  <c r="L50" i="185"/>
  <c r="J51"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51" i="185" l="1"/>
  <c r="K52" i="185"/>
  <c r="J52" i="185"/>
  <c r="L51"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K53" i="185" l="1"/>
  <c r="AI52" i="185"/>
  <c r="J53" i="185"/>
  <c r="L52"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K54" i="185" l="1"/>
  <c r="AI53" i="185"/>
  <c r="L53" i="185"/>
  <c r="J54"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AI54" i="185" l="1"/>
  <c r="K55" i="185"/>
  <c r="J55" i="185"/>
  <c r="L54"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AI55" i="185" l="1"/>
  <c r="K56" i="185"/>
  <c r="L55" i="185"/>
  <c r="J56"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AI56" i="185" l="1"/>
  <c r="K57" i="185"/>
  <c r="L56" i="185"/>
  <c r="J57"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AI57" i="185" l="1"/>
  <c r="K58" i="185"/>
  <c r="L57" i="185"/>
  <c r="J58"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AI58" i="185" l="1"/>
  <c r="K59" i="185"/>
  <c r="L58" i="185"/>
  <c r="J59"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AI59" i="185" l="1"/>
  <c r="K60" i="185"/>
  <c r="L59" i="185"/>
  <c r="J60"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AI60" i="185" l="1"/>
  <c r="K61" i="185"/>
  <c r="J61" i="185"/>
  <c r="L60"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AI61" i="185" l="1"/>
  <c r="K62" i="185"/>
  <c r="J62" i="185"/>
  <c r="L61"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AI62" i="185" l="1"/>
  <c r="K63" i="185"/>
  <c r="J63" i="185"/>
  <c r="L62"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K64" i="185" l="1"/>
  <c r="AI63" i="185"/>
  <c r="J64" i="185"/>
  <c r="L63"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K65" i="185" l="1"/>
  <c r="AI64" i="185"/>
  <c r="J65" i="185"/>
  <c r="L64"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AI65" i="185" l="1"/>
  <c r="K66" i="185"/>
  <c r="J66" i="185"/>
  <c r="L65"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AI66" i="185" l="1"/>
  <c r="K67" i="185"/>
  <c r="J67" i="185"/>
  <c r="L66"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K68" i="185" l="1"/>
  <c r="AI67" i="185"/>
  <c r="J68" i="185"/>
  <c r="L67"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K69" i="185" l="1"/>
  <c r="AI68" i="185"/>
  <c r="J69" i="185"/>
  <c r="L68"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K70" i="185" l="1"/>
  <c r="AI69" i="185"/>
  <c r="J70" i="185"/>
  <c r="L69"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S118" i="178" s="1"/>
  <c r="R118" i="178"/>
  <c r="G119" i="196"/>
  <c r="F120" i="196"/>
  <c r="K108" i="178"/>
  <c r="N108" i="178"/>
  <c r="J110" i="178"/>
  <c r="J111" i="178" s="1"/>
  <c r="E119" i="196"/>
  <c r="D120" i="196"/>
  <c r="R116" i="178"/>
  <c r="S116" i="178" s="1"/>
  <c r="K71" i="185" l="1"/>
  <c r="AI70" i="185"/>
  <c r="J71" i="185"/>
  <c r="L70" i="185"/>
  <c r="L102" i="178"/>
  <c r="M102" i="178" s="1"/>
  <c r="M101" i="178"/>
  <c r="M100" i="178"/>
  <c r="Q92" i="178"/>
  <c r="P93" i="178"/>
  <c r="P94" i="178" s="1"/>
  <c r="D108" i="178"/>
  <c r="D109" i="178" s="1"/>
  <c r="E107" i="178"/>
  <c r="E106" i="178"/>
  <c r="H109" i="178"/>
  <c r="I108" i="178"/>
  <c r="I107" i="178"/>
  <c r="R117" i="178"/>
  <c r="S117" i="178" s="1"/>
  <c r="G108" i="178"/>
  <c r="F109" i="178"/>
  <c r="K111" i="178"/>
  <c r="K110" i="178"/>
  <c r="I120" i="196"/>
  <c r="H121" i="196"/>
  <c r="J112" i="178"/>
  <c r="E120" i="196"/>
  <c r="D121" i="196"/>
  <c r="O108" i="178"/>
  <c r="N109" i="178"/>
  <c r="N110" i="178" s="1"/>
  <c r="G120" i="196"/>
  <c r="F121" i="196"/>
  <c r="AI71" i="185" l="1"/>
  <c r="K72" i="185"/>
  <c r="J72" i="185"/>
  <c r="L71"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K73" i="185" l="1"/>
  <c r="AI72" i="185"/>
  <c r="J73" i="185"/>
  <c r="L72"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K74" i="185" l="1"/>
  <c r="AI73" i="185"/>
  <c r="J74" i="185"/>
  <c r="L73" i="185"/>
  <c r="M104" i="178"/>
  <c r="L106" i="178"/>
  <c r="M106" i="178" s="1"/>
  <c r="M105" i="178"/>
  <c r="Q96" i="178"/>
  <c r="P97" i="178"/>
  <c r="P98" i="178" s="1"/>
  <c r="E112" i="178"/>
  <c r="D114" i="178"/>
  <c r="E114" i="178" s="1"/>
  <c r="I111" i="178"/>
  <c r="H112" i="178"/>
  <c r="G113" i="178"/>
  <c r="G112" i="178"/>
  <c r="K114" i="178"/>
  <c r="K118" i="178" s="1"/>
  <c r="F114" i="178"/>
  <c r="J118" i="178"/>
  <c r="J116" i="178"/>
  <c r="K116" i="178" s="1"/>
  <c r="E123" i="196"/>
  <c r="D124" i="196"/>
  <c r="I123" i="196"/>
  <c r="H124" i="196"/>
  <c r="O114" i="178"/>
  <c r="O118" i="178" s="1"/>
  <c r="N118" i="178"/>
  <c r="G123" i="196"/>
  <c r="F124" i="196"/>
  <c r="N116" i="178"/>
  <c r="O116" i="178" s="1"/>
  <c r="J119" i="178" l="1"/>
  <c r="K75" i="185"/>
  <c r="AI74" i="185"/>
  <c r="J75" i="185"/>
  <c r="L74" i="185"/>
  <c r="L107" i="178"/>
  <c r="E118" i="178"/>
  <c r="Q98" i="178"/>
  <c r="Q97" i="178"/>
  <c r="N117" i="178"/>
  <c r="O117" i="178" s="1"/>
  <c r="P99" i="178"/>
  <c r="D118" i="178"/>
  <c r="D115" i="178"/>
  <c r="E115" i="178" s="1"/>
  <c r="D119" i="178"/>
  <c r="H113" i="178"/>
  <c r="H114" i="178" s="1"/>
  <c r="H118" i="178" s="1"/>
  <c r="I112" i="178"/>
  <c r="J117" i="178"/>
  <c r="K117" i="178" s="1"/>
  <c r="G114" i="178"/>
  <c r="G118" i="178" s="1"/>
  <c r="F115" i="178"/>
  <c r="G115" i="178" s="1"/>
  <c r="F118" i="178"/>
  <c r="I124" i="196"/>
  <c r="H125" i="196"/>
  <c r="E124" i="196"/>
  <c r="D125" i="196"/>
  <c r="F125" i="196"/>
  <c r="G124" i="196"/>
  <c r="AI75" i="185" l="1"/>
  <c r="K76" i="185"/>
  <c r="L75" i="185"/>
  <c r="J76" i="185"/>
  <c r="F119" i="178"/>
  <c r="M107" i="178"/>
  <c r="L108" i="178"/>
  <c r="F116" i="178"/>
  <c r="G116" i="178" s="1"/>
  <c r="Q99" i="178"/>
  <c r="P100" i="178"/>
  <c r="Q100" i="178" s="1"/>
  <c r="D116" i="178"/>
  <c r="E116" i="178" s="1"/>
  <c r="I113" i="178"/>
  <c r="H115" i="178"/>
  <c r="I115" i="178" s="1"/>
  <c r="I114" i="178"/>
  <c r="I125" i="196"/>
  <c r="H126" i="196"/>
  <c r="E125" i="196"/>
  <c r="D126" i="196"/>
  <c r="G125" i="196"/>
  <c r="F126" i="196"/>
  <c r="H119" i="178" l="1"/>
  <c r="AI76" i="185"/>
  <c r="K77" i="185"/>
  <c r="J77" i="185"/>
  <c r="L76" i="185"/>
  <c r="L109" i="178"/>
  <c r="L110" i="178" s="1"/>
  <c r="M108" i="178"/>
  <c r="F117" i="178"/>
  <c r="G117" i="178" s="1"/>
  <c r="P101" i="178"/>
  <c r="I118" i="178"/>
  <c r="D117" i="178"/>
  <c r="E117" i="178" s="1"/>
  <c r="H116" i="178"/>
  <c r="I116" i="178" s="1"/>
  <c r="G126" i="196"/>
  <c r="F127" i="196"/>
  <c r="E126" i="196"/>
  <c r="D127" i="196"/>
  <c r="I126" i="196"/>
  <c r="H127" i="196"/>
  <c r="K78" i="185" l="1"/>
  <c r="AI77" i="185"/>
  <c r="J78" i="185"/>
  <c r="L77" i="185"/>
  <c r="M110" i="178"/>
  <c r="L111" i="178"/>
  <c r="L112" i="178" s="1"/>
  <c r="M112" i="178" s="1"/>
  <c r="M109" i="178"/>
  <c r="P102" i="178"/>
  <c r="Q101" i="178"/>
  <c r="H117" i="178"/>
  <c r="I117" i="178" s="1"/>
  <c r="G127" i="196"/>
  <c r="F128" i="196"/>
  <c r="E127" i="196"/>
  <c r="D128" i="196"/>
  <c r="I127" i="196"/>
  <c r="H128" i="196"/>
  <c r="K79" i="185" l="1"/>
  <c r="AI78" i="185"/>
  <c r="J79" i="185"/>
  <c r="L78" i="185"/>
  <c r="M111" i="178"/>
  <c r="L113" i="178"/>
  <c r="P103" i="178"/>
  <c r="Q102" i="178"/>
  <c r="G128" i="196"/>
  <c r="F129" i="196"/>
  <c r="I128" i="196"/>
  <c r="H129" i="196"/>
  <c r="E128" i="196"/>
  <c r="D129" i="196"/>
  <c r="K80" i="185" l="1"/>
  <c r="AI79" i="185"/>
  <c r="J80" i="185"/>
  <c r="L79" i="185"/>
  <c r="M113" i="178"/>
  <c r="L114" i="178"/>
  <c r="L118" i="178" s="1"/>
  <c r="Q103" i="178"/>
  <c r="P104" i="178"/>
  <c r="Q104" i="178" s="1"/>
  <c r="G129" i="196"/>
  <c r="F130" i="196"/>
  <c r="E129" i="196"/>
  <c r="D130" i="196"/>
  <c r="I129" i="196"/>
  <c r="H130" i="196"/>
  <c r="K81" i="185" l="1"/>
  <c r="AI80" i="185"/>
  <c r="J81" i="185"/>
  <c r="L80" i="185"/>
  <c r="L115" i="178"/>
  <c r="L116" i="178" s="1"/>
  <c r="M116" i="178" s="1"/>
  <c r="M114" i="178"/>
  <c r="M118" i="178" s="1"/>
  <c r="M24" i="183" s="1"/>
  <c r="P105" i="178"/>
  <c r="P106" i="178" s="1"/>
  <c r="G130" i="196"/>
  <c r="F131" i="196"/>
  <c r="E130" i="196"/>
  <c r="D131" i="196"/>
  <c r="I130" i="196"/>
  <c r="H131" i="196"/>
  <c r="K82" i="185" l="1"/>
  <c r="AI81" i="185"/>
  <c r="L81" i="185"/>
  <c r="J82" i="185"/>
  <c r="L117" i="178"/>
  <c r="M117" i="178" s="1"/>
  <c r="M115" i="178"/>
  <c r="Q105" i="178"/>
  <c r="P107" i="178"/>
  <c r="Q106" i="178"/>
  <c r="G131" i="196"/>
  <c r="F132" i="196"/>
  <c r="H132" i="196"/>
  <c r="I131" i="196"/>
  <c r="D132" i="196"/>
  <c r="E131" i="196"/>
  <c r="K83" i="185" l="1"/>
  <c r="AI82" i="185"/>
  <c r="J83" i="185"/>
  <c r="L82" i="185"/>
  <c r="L119" i="178"/>
  <c r="Q107" i="178"/>
  <c r="P108" i="178"/>
  <c r="E132" i="196"/>
  <c r="D133" i="196"/>
  <c r="G132" i="196"/>
  <c r="F133" i="196"/>
  <c r="I132" i="196"/>
  <c r="H133" i="196"/>
  <c r="AI83" i="185" l="1"/>
  <c r="K84" i="185"/>
  <c r="L83" i="185"/>
  <c r="J84" i="185"/>
  <c r="Q108" i="178"/>
  <c r="P109" i="178"/>
  <c r="P110" i="178" s="1"/>
  <c r="E133" i="196"/>
  <c r="D134" i="196"/>
  <c r="I133" i="196"/>
  <c r="H134" i="196"/>
  <c r="G133" i="196"/>
  <c r="F134" i="196"/>
  <c r="K85" i="185" l="1"/>
  <c r="AI84" i="185"/>
  <c r="L84" i="185"/>
  <c r="J85" i="185"/>
  <c r="P111" i="178"/>
  <c r="Q110" i="178"/>
  <c r="Q109" i="178"/>
  <c r="G134" i="196"/>
  <c r="F135" i="196"/>
  <c r="I134" i="196"/>
  <c r="H135" i="196"/>
  <c r="E134" i="196"/>
  <c r="D135" i="196"/>
  <c r="K86" i="185" l="1"/>
  <c r="AI85" i="185"/>
  <c r="L85" i="185"/>
  <c r="J86" i="185"/>
  <c r="P112" i="178"/>
  <c r="Q111" i="178"/>
  <c r="G135" i="196"/>
  <c r="F136" i="196"/>
  <c r="E135" i="196"/>
  <c r="D136" i="196"/>
  <c r="I135" i="196"/>
  <c r="H136" i="196"/>
  <c r="K87" i="185" l="1"/>
  <c r="AI86" i="185"/>
  <c r="L86" i="185"/>
  <c r="J87" i="185"/>
  <c r="Q112" i="178"/>
  <c r="P113" i="178"/>
  <c r="P114" i="178" s="1"/>
  <c r="I136" i="196"/>
  <c r="H137" i="196"/>
  <c r="E136" i="196"/>
  <c r="D137" i="196"/>
  <c r="G136" i="196"/>
  <c r="F137" i="196"/>
  <c r="K88" i="185" l="1"/>
  <c r="AI87" i="185"/>
  <c r="L87" i="185"/>
  <c r="J88" i="185"/>
  <c r="Q113" i="178"/>
  <c r="P115" i="178"/>
  <c r="Q115" i="178" s="1"/>
  <c r="Q114" i="178"/>
  <c r="P118" i="178"/>
  <c r="I137" i="196"/>
  <c r="H138" i="196"/>
  <c r="G137" i="196"/>
  <c r="F138" i="196"/>
  <c r="E137" i="196"/>
  <c r="D138" i="196"/>
  <c r="K89" i="185" l="1"/>
  <c r="AI88" i="185"/>
  <c r="L88" i="185"/>
  <c r="J89" i="185"/>
  <c r="Q118" i="178"/>
  <c r="M19" i="183" s="1"/>
  <c r="J30" i="183" s="1"/>
  <c r="N21" i="179" s="1"/>
  <c r="P116" i="178"/>
  <c r="Q116" i="178" s="1"/>
  <c r="G138" i="196"/>
  <c r="F139" i="196"/>
  <c r="I138" i="196"/>
  <c r="H139" i="196"/>
  <c r="E138" i="196"/>
  <c r="D139" i="196"/>
  <c r="K90" i="185" l="1"/>
  <c r="AI89" i="185"/>
  <c r="J90" i="185"/>
  <c r="L89" i="185"/>
  <c r="P117" i="178"/>
  <c r="Q117" i="178" s="1"/>
  <c r="P119" i="178" s="1"/>
  <c r="G139" i="196"/>
  <c r="F140" i="196"/>
  <c r="I139" i="196"/>
  <c r="H140" i="196"/>
  <c r="E139" i="196"/>
  <c r="D140" i="196"/>
  <c r="AI90" i="185" l="1"/>
  <c r="K91" i="185"/>
  <c r="L90" i="185"/>
  <c r="J91" i="185"/>
  <c r="B121" i="178"/>
  <c r="N4" i="179" s="1"/>
  <c r="B122" i="178"/>
  <c r="O4" i="179" s="1"/>
  <c r="E140" i="196"/>
  <c r="D141" i="196"/>
  <c r="I140" i="196"/>
  <c r="H141" i="196"/>
  <c r="G140" i="196"/>
  <c r="F141" i="196"/>
  <c r="AI91" i="185" l="1"/>
  <c r="K92" i="185"/>
  <c r="L91" i="185"/>
  <c r="J92" i="185"/>
  <c r="I141" i="196"/>
  <c r="H142" i="196"/>
  <c r="G141" i="196"/>
  <c r="F142" i="196"/>
  <c r="E141" i="196"/>
  <c r="D142" i="196"/>
  <c r="K93" i="185" l="1"/>
  <c r="AI92" i="185"/>
  <c r="J93" i="185"/>
  <c r="L92" i="185"/>
  <c r="E142" i="196"/>
  <c r="D143" i="196"/>
  <c r="I142" i="196"/>
  <c r="H143" i="196"/>
  <c r="G142" i="196"/>
  <c r="F143" i="196"/>
  <c r="K94" i="185" l="1"/>
  <c r="AI93" i="185"/>
  <c r="J94" i="185"/>
  <c r="L93" i="185"/>
  <c r="F144" i="196"/>
  <c r="G143" i="196"/>
  <c r="I143" i="196"/>
  <c r="H144" i="196"/>
  <c r="E143" i="196"/>
  <c r="D144" i="196"/>
  <c r="K95" i="185" l="1"/>
  <c r="AI94" i="185"/>
  <c r="L94" i="185"/>
  <c r="J95" i="185"/>
  <c r="H145" i="196"/>
  <c r="I144" i="196"/>
  <c r="G144" i="196"/>
  <c r="F145" i="196"/>
  <c r="E144" i="196"/>
  <c r="D145" i="196"/>
  <c r="K96" i="185" l="1"/>
  <c r="AI95" i="185"/>
  <c r="J96" i="185"/>
  <c r="L95" i="185"/>
  <c r="I145" i="196"/>
  <c r="H146" i="196"/>
  <c r="E145" i="196"/>
  <c r="D146" i="196"/>
  <c r="G145" i="196"/>
  <c r="F146" i="196"/>
  <c r="AI96" i="185" l="1"/>
  <c r="K97" i="185"/>
  <c r="J97" i="185"/>
  <c r="L96" i="185"/>
  <c r="E146" i="196"/>
  <c r="D147" i="196"/>
  <c r="G146" i="196"/>
  <c r="F147" i="196"/>
  <c r="I146" i="196"/>
  <c r="H147" i="196"/>
  <c r="AI97" i="185" l="1"/>
  <c r="K98" i="185"/>
  <c r="J98" i="185"/>
  <c r="L97" i="185"/>
  <c r="I147" i="196"/>
  <c r="H148" i="196"/>
  <c r="G147" i="196"/>
  <c r="F148" i="196"/>
  <c r="E147" i="196"/>
  <c r="D148" i="196"/>
  <c r="K99" i="185" l="1"/>
  <c r="AI98" i="185"/>
  <c r="J99" i="185"/>
  <c r="L98" i="185"/>
  <c r="G148" i="196"/>
  <c r="F149" i="196"/>
  <c r="I148" i="196"/>
  <c r="H149" i="196"/>
  <c r="E148" i="196"/>
  <c r="D149" i="196"/>
  <c r="K100" i="185" l="1"/>
  <c r="AI99" i="185"/>
  <c r="J100" i="185"/>
  <c r="L99" i="185"/>
  <c r="F150" i="196"/>
  <c r="G149" i="196"/>
  <c r="I149" i="196"/>
  <c r="H150" i="196"/>
  <c r="E149" i="196"/>
  <c r="D150" i="196"/>
  <c r="AI100" i="185" l="1"/>
  <c r="K101" i="185"/>
  <c r="J101" i="185"/>
  <c r="L100" i="185"/>
  <c r="F151" i="196"/>
  <c r="G150" i="196"/>
  <c r="I150" i="196"/>
  <c r="H151" i="196"/>
  <c r="E150" i="196"/>
  <c r="D151" i="196"/>
  <c r="K102" i="185" l="1"/>
  <c r="AI101" i="185"/>
  <c r="J102" i="185"/>
  <c r="L101" i="185"/>
  <c r="E151" i="196"/>
  <c r="D152" i="196"/>
  <c r="I151" i="196"/>
  <c r="H152" i="196"/>
  <c r="G151" i="196"/>
  <c r="F152" i="196"/>
  <c r="K103" i="185" l="1"/>
  <c r="AI102" i="185"/>
  <c r="L102" i="185"/>
  <c r="J103" i="185"/>
  <c r="I152" i="196"/>
  <c r="H153" i="196"/>
  <c r="G152" i="196"/>
  <c r="F153" i="196"/>
  <c r="E152" i="196"/>
  <c r="D153" i="196"/>
  <c r="K104" i="185" l="1"/>
  <c r="AI103" i="185"/>
  <c r="L103" i="185"/>
  <c r="J104" i="185"/>
  <c r="G153" i="196"/>
  <c r="F154" i="196"/>
  <c r="I153" i="196"/>
  <c r="H154" i="196"/>
  <c r="E153" i="196"/>
  <c r="D154" i="196"/>
  <c r="AI104" i="185" l="1"/>
  <c r="K105" i="185"/>
  <c r="J105" i="185"/>
  <c r="L104" i="185"/>
  <c r="E154" i="196"/>
  <c r="D155" i="196"/>
  <c r="I154" i="196"/>
  <c r="H155" i="196"/>
  <c r="G154" i="196"/>
  <c r="F155" i="196"/>
  <c r="K106" i="185" l="1"/>
  <c r="AI105" i="185"/>
  <c r="L105" i="185"/>
  <c r="J106" i="185"/>
  <c r="E155" i="196"/>
  <c r="D156" i="196"/>
  <c r="G155" i="196"/>
  <c r="F156" i="196"/>
  <c r="H156" i="196"/>
  <c r="I155" i="196"/>
  <c r="K107" i="185" l="1"/>
  <c r="AI106" i="185"/>
  <c r="L106" i="185"/>
  <c r="J107" i="185"/>
  <c r="I156" i="196"/>
  <c r="H157" i="196"/>
  <c r="G156" i="196"/>
  <c r="F157" i="196"/>
  <c r="E156" i="196"/>
  <c r="D157" i="196"/>
  <c r="K108" i="185" l="1"/>
  <c r="AI107" i="185"/>
  <c r="J108" i="185"/>
  <c r="L107" i="185"/>
  <c r="G157" i="196"/>
  <c r="F158" i="196"/>
  <c r="D158" i="196"/>
  <c r="E157" i="196"/>
  <c r="I157" i="196"/>
  <c r="H158" i="196"/>
  <c r="K109" i="185" l="1"/>
  <c r="AI108" i="185"/>
  <c r="J109" i="185"/>
  <c r="L108" i="185"/>
  <c r="I158" i="196"/>
  <c r="H159" i="196"/>
  <c r="D159" i="196"/>
  <c r="E158" i="196"/>
  <c r="G158" i="196"/>
  <c r="F159" i="196"/>
  <c r="AI109" i="185" l="1"/>
  <c r="AJ108" i="185" s="1"/>
  <c r="K6" i="185"/>
  <c r="L109" i="185"/>
  <c r="M105" i="185" s="1"/>
  <c r="K4" i="185"/>
  <c r="E159" i="196"/>
  <c r="E160" i="196" s="1"/>
  <c r="D160" i="196"/>
  <c r="G159" i="196"/>
  <c r="G160" i="196" s="1"/>
  <c r="F160" i="196"/>
  <c r="I159" i="196"/>
  <c r="I160" i="196" s="1"/>
  <c r="H160" i="196"/>
  <c r="AJ107" i="185" l="1"/>
  <c r="AJ101" i="185"/>
  <c r="M101" i="185"/>
  <c r="M107" i="185"/>
  <c r="M106" i="185"/>
  <c r="M108" i="185"/>
  <c r="AJ104" i="185"/>
  <c r="AJ109" i="185"/>
  <c r="AJ29" i="185"/>
  <c r="AJ59" i="185"/>
  <c r="AJ64" i="185"/>
  <c r="AJ79" i="185"/>
  <c r="AJ82" i="185"/>
  <c r="AJ20" i="185"/>
  <c r="AJ48" i="185"/>
  <c r="AJ60" i="185"/>
  <c r="AJ41" i="185"/>
  <c r="AJ43" i="185"/>
  <c r="AJ16" i="185"/>
  <c r="AJ39" i="185"/>
  <c r="AJ37" i="185"/>
  <c r="AJ26" i="185"/>
  <c r="AJ65" i="185"/>
  <c r="AJ15" i="185"/>
  <c r="AJ31" i="185"/>
  <c r="AJ45" i="185"/>
  <c r="AJ77" i="185"/>
  <c r="AJ32" i="185"/>
  <c r="AJ18" i="185"/>
  <c r="AJ84" i="185"/>
  <c r="AJ78" i="185"/>
  <c r="AJ44" i="185"/>
  <c r="AJ21" i="185"/>
  <c r="AJ40" i="185"/>
  <c r="AJ14" i="185"/>
  <c r="AJ17" i="185"/>
  <c r="AJ36" i="185"/>
  <c r="AJ22" i="185"/>
  <c r="AJ38" i="185"/>
  <c r="AJ63" i="185"/>
  <c r="AJ75" i="185"/>
  <c r="AJ24" i="185"/>
  <c r="AJ80" i="185"/>
  <c r="AJ35" i="185"/>
  <c r="AJ46" i="185"/>
  <c r="AJ76" i="185"/>
  <c r="AJ88" i="185"/>
  <c r="AJ67" i="185"/>
  <c r="AJ54" i="185"/>
  <c r="AJ69" i="185"/>
  <c r="AJ53" i="185"/>
  <c r="AJ51" i="185"/>
  <c r="AJ30" i="185"/>
  <c r="AJ58" i="185"/>
  <c r="AJ87" i="185"/>
  <c r="AJ47" i="185"/>
  <c r="AJ42" i="185"/>
  <c r="AJ70" i="185"/>
  <c r="AJ74" i="185"/>
  <c r="AJ72" i="185"/>
  <c r="AJ89" i="185"/>
  <c r="AJ81" i="185"/>
  <c r="AJ27" i="185"/>
  <c r="AJ55" i="185"/>
  <c r="AJ23" i="185"/>
  <c r="AJ85" i="185"/>
  <c r="AJ86" i="185"/>
  <c r="AJ62" i="185"/>
  <c r="AJ57" i="185"/>
  <c r="AJ33" i="185"/>
  <c r="AJ68" i="185"/>
  <c r="AJ71" i="185"/>
  <c r="AJ34" i="185"/>
  <c r="AJ52" i="185"/>
  <c r="AJ56" i="185"/>
  <c r="AJ83" i="185"/>
  <c r="AJ66" i="185"/>
  <c r="AJ49" i="185"/>
  <c r="AJ19" i="185"/>
  <c r="AJ28" i="185"/>
  <c r="AJ50" i="185"/>
  <c r="AJ61" i="185"/>
  <c r="AJ25" i="185"/>
  <c r="AJ73" i="185"/>
  <c r="AJ92" i="185"/>
  <c r="AJ90" i="185"/>
  <c r="AJ91" i="185"/>
  <c r="AJ93" i="185"/>
  <c r="AJ95" i="185"/>
  <c r="AJ94" i="185"/>
  <c r="AJ96" i="185"/>
  <c r="AJ98" i="185"/>
  <c r="AJ97" i="185"/>
  <c r="AJ100" i="185"/>
  <c r="AJ99" i="185"/>
  <c r="AJ103" i="185"/>
  <c r="AJ105" i="185"/>
  <c r="AJ102" i="185"/>
  <c r="AJ106" i="185"/>
  <c r="O7" i="179"/>
  <c r="BM92" i="185"/>
  <c r="N7" i="179" s="1"/>
  <c r="M104" i="185"/>
  <c r="M109" i="185"/>
  <c r="M20" i="185"/>
  <c r="M22" i="185"/>
  <c r="M44" i="185"/>
  <c r="M15" i="185"/>
  <c r="M33" i="185"/>
  <c r="M55" i="185"/>
  <c r="M27" i="185"/>
  <c r="M53" i="185"/>
  <c r="M16" i="185"/>
  <c r="M57" i="185"/>
  <c r="M83" i="185"/>
  <c r="M51" i="185"/>
  <c r="M48" i="185"/>
  <c r="M31" i="185"/>
  <c r="M40" i="185"/>
  <c r="M54" i="185"/>
  <c r="M86" i="185"/>
  <c r="M50" i="185"/>
  <c r="M32" i="185"/>
  <c r="M58" i="185"/>
  <c r="M62" i="185"/>
  <c r="M30" i="185"/>
  <c r="M76" i="185"/>
  <c r="M68" i="185"/>
  <c r="M73" i="185"/>
  <c r="M79" i="185"/>
  <c r="M61" i="185"/>
  <c r="M85" i="185"/>
  <c r="M69" i="185"/>
  <c r="M14" i="185"/>
  <c r="M28" i="185"/>
  <c r="M25" i="185"/>
  <c r="M89" i="185"/>
  <c r="M41" i="185"/>
  <c r="M38" i="185"/>
  <c r="M35" i="185"/>
  <c r="M39" i="185"/>
  <c r="M36" i="185"/>
  <c r="M74" i="185"/>
  <c r="M42" i="185"/>
  <c r="M72" i="185"/>
  <c r="M45" i="185"/>
  <c r="M52" i="185"/>
  <c r="M66" i="185"/>
  <c r="M19" i="185"/>
  <c r="M18" i="185"/>
  <c r="M77" i="185"/>
  <c r="M43" i="185"/>
  <c r="M17" i="185"/>
  <c r="M75" i="185"/>
  <c r="M49" i="185"/>
  <c r="M59" i="185"/>
  <c r="M26" i="185"/>
  <c r="M81" i="185"/>
  <c r="M88" i="185"/>
  <c r="M63" i="185"/>
  <c r="M46" i="185"/>
  <c r="M29" i="185"/>
  <c r="M80" i="185"/>
  <c r="M87" i="185"/>
  <c r="M34" i="185"/>
  <c r="M23" i="185"/>
  <c r="M60" i="185"/>
  <c r="M82" i="185"/>
  <c r="M78" i="185"/>
  <c r="M84" i="185"/>
  <c r="M37" i="185"/>
  <c r="M21" i="185"/>
  <c r="M64" i="185"/>
  <c r="M47" i="185"/>
  <c r="M70" i="185"/>
  <c r="M71" i="185"/>
  <c r="M24" i="185"/>
  <c r="M56" i="185"/>
  <c r="M67" i="185"/>
  <c r="M65" i="185"/>
  <c r="M90" i="185"/>
  <c r="M94" i="185"/>
  <c r="M92" i="185"/>
  <c r="M91" i="185"/>
  <c r="M95" i="185"/>
  <c r="M93" i="185"/>
  <c r="M96" i="185"/>
  <c r="M102" i="185"/>
  <c r="M98" i="185"/>
  <c r="M97" i="185"/>
  <c r="M100" i="185"/>
  <c r="M103" i="185"/>
  <c r="M99" i="185"/>
  <c r="H161" i="196"/>
  <c r="F161" i="196"/>
  <c r="J22" i="196"/>
  <c r="J16" i="196"/>
  <c r="D161" i="196"/>
  <c r="AK14" i="185" l="1"/>
  <c r="N14" i="185"/>
  <c r="J32" i="196"/>
  <c r="G46" i="196" s="1"/>
  <c r="AK15" i="185" l="1"/>
  <c r="N15" i="185"/>
  <c r="N16" i="185" s="1"/>
  <c r="N17" i="185" s="1"/>
  <c r="AK16" i="185" l="1"/>
  <c r="P14" i="185"/>
  <c r="N18" i="185"/>
  <c r="Q14" i="185"/>
  <c r="R14" i="185" s="1"/>
  <c r="AK17" i="185" l="1"/>
  <c r="AN14" i="185" s="1"/>
  <c r="AO14" i="185" s="1"/>
  <c r="N19" i="185"/>
  <c r="P16" i="185" s="1"/>
  <c r="P15" i="185"/>
  <c r="Q15" i="185"/>
  <c r="R15" i="185" s="1"/>
  <c r="AM14" i="185" l="1"/>
  <c r="AK18" i="185"/>
  <c r="AK19" i="185" s="1"/>
  <c r="Q16" i="185"/>
  <c r="R16" i="185" s="1"/>
  <c r="N20" i="185"/>
  <c r="AN15" i="185" l="1"/>
  <c r="AO15" i="185" s="1"/>
  <c r="AM16" i="185"/>
  <c r="AK20" i="185"/>
  <c r="AM17" i="185" s="1"/>
  <c r="AM15" i="185"/>
  <c r="AN16" i="185"/>
  <c r="AO16" i="185" s="1"/>
  <c r="P17" i="185"/>
  <c r="N21" i="185"/>
  <c r="Q18" i="185" s="1"/>
  <c r="R18" i="185" s="1"/>
  <c r="Q17" i="185"/>
  <c r="R17" i="185" s="1"/>
  <c r="AN17" i="185" l="1"/>
  <c r="AO17" i="185" s="1"/>
  <c r="AK21" i="185"/>
  <c r="P18" i="185"/>
  <c r="N22" i="185"/>
  <c r="AN18" i="185" l="1"/>
  <c r="AO18" i="185" s="1"/>
  <c r="AK22" i="185"/>
  <c r="AM18" i="185"/>
  <c r="Q19" i="185"/>
  <c r="R19" i="185" s="1"/>
  <c r="P19" i="185"/>
  <c r="N23" i="185"/>
  <c r="Q20" i="185" s="1"/>
  <c r="R20" i="185" s="1"/>
  <c r="AM19" i="185" l="1"/>
  <c r="AK23" i="185"/>
  <c r="AN19" i="185"/>
  <c r="AO19" i="185" s="1"/>
  <c r="N24" i="185"/>
  <c r="P20" i="185"/>
  <c r="AM20" i="185" l="1"/>
  <c r="AK24" i="185"/>
  <c r="AN20" i="185"/>
  <c r="AO20" i="185" s="1"/>
  <c r="N25" i="185"/>
  <c r="Q22" i="185" s="1"/>
  <c r="R22" i="185" s="1"/>
  <c r="Q21" i="185"/>
  <c r="R21" i="185" s="1"/>
  <c r="P21" i="185"/>
  <c r="AM21" i="185" l="1"/>
  <c r="AK25" i="185"/>
  <c r="AN21" i="185"/>
  <c r="AO21" i="185" s="1"/>
  <c r="P22" i="185"/>
  <c r="N26" i="185"/>
  <c r="AN22" i="185" l="1"/>
  <c r="AO22" i="185" s="1"/>
  <c r="AK26" i="185"/>
  <c r="AM22" i="185"/>
  <c r="N27" i="185"/>
  <c r="P23" i="185"/>
  <c r="Q23" i="185"/>
  <c r="R23" i="185" s="1"/>
  <c r="AM23" i="185" l="1"/>
  <c r="AK27" i="185"/>
  <c r="AN23" i="185"/>
  <c r="AO23" i="185" s="1"/>
  <c r="N28" i="185"/>
  <c r="P25" i="185" s="1"/>
  <c r="P24" i="185"/>
  <c r="Q24" i="185"/>
  <c r="R24" i="185" s="1"/>
  <c r="AM24" i="185" l="1"/>
  <c r="AK28" i="185"/>
  <c r="AN24" i="185"/>
  <c r="AO24" i="185" s="1"/>
  <c r="N29" i="185"/>
  <c r="Q25" i="185"/>
  <c r="R25" i="185" s="1"/>
  <c r="AM25" i="185" l="1"/>
  <c r="AN25" i="185"/>
  <c r="AO25" i="185" s="1"/>
  <c r="AK29" i="185"/>
  <c r="AN26" i="185" s="1"/>
  <c r="AO26" i="185" s="1"/>
  <c r="Q26" i="185"/>
  <c r="R26" i="185" s="1"/>
  <c r="N30" i="185"/>
  <c r="P26" i="185"/>
  <c r="AM26" i="185" l="1"/>
  <c r="AK30" i="185"/>
  <c r="N31" i="185"/>
  <c r="Q27" i="185"/>
  <c r="R27" i="185" s="1"/>
  <c r="P27" i="185"/>
  <c r="AK31" i="185" l="1"/>
  <c r="AM28" i="185" s="1"/>
  <c r="AM27" i="185"/>
  <c r="AN27" i="185"/>
  <c r="AO27" i="185" s="1"/>
  <c r="N32" i="185"/>
  <c r="P28" i="185"/>
  <c r="Q28" i="185"/>
  <c r="R28" i="185" s="1"/>
  <c r="AK32" i="185" l="1"/>
  <c r="AN28" i="185"/>
  <c r="AO28" i="185" s="1"/>
  <c r="N33" i="185"/>
  <c r="Q29" i="185"/>
  <c r="R29" i="185" s="1"/>
  <c r="P29" i="185"/>
  <c r="AK33" i="185" l="1"/>
  <c r="AM30" i="185" s="1"/>
  <c r="AM29" i="185"/>
  <c r="AN29" i="185"/>
  <c r="AO29" i="185" s="1"/>
  <c r="N34" i="185"/>
  <c r="Q31" i="185" s="1"/>
  <c r="R31" i="185" s="1"/>
  <c r="Q30" i="185"/>
  <c r="R30" i="185" s="1"/>
  <c r="P30" i="185"/>
  <c r="AN30" i="185" l="1"/>
  <c r="AO30" i="185" s="1"/>
  <c r="AK34" i="185"/>
  <c r="N35" i="185"/>
  <c r="P32" i="185" s="1"/>
  <c r="P31" i="185"/>
  <c r="AK35" i="185" l="1"/>
  <c r="AN32" i="185" s="1"/>
  <c r="AO32" i="185" s="1"/>
  <c r="AN31" i="185"/>
  <c r="AO31" i="185" s="1"/>
  <c r="AM31" i="185"/>
  <c r="N36" i="185"/>
  <c r="Q32" i="185"/>
  <c r="R32" i="185" s="1"/>
  <c r="AM32" i="185" l="1"/>
  <c r="AK36" i="185"/>
  <c r="P33" i="185"/>
  <c r="N37" i="185"/>
  <c r="Q33" i="185"/>
  <c r="R33" i="185" s="1"/>
  <c r="AM33" i="185" l="1"/>
  <c r="AK37" i="185"/>
  <c r="AN33" i="185"/>
  <c r="AO33" i="185" s="1"/>
  <c r="N38" i="185"/>
  <c r="P35" i="185" s="1"/>
  <c r="Q34" i="185"/>
  <c r="R34" i="185" s="1"/>
  <c r="P34" i="185"/>
  <c r="AM34" i="185" l="1"/>
  <c r="AK38" i="185"/>
  <c r="AN35" i="185" s="1"/>
  <c r="AO35" i="185" s="1"/>
  <c r="AN34" i="185"/>
  <c r="AO34" i="185" s="1"/>
  <c r="Q35" i="185"/>
  <c r="R35" i="185" s="1"/>
  <c r="N39" i="185"/>
  <c r="P36" i="185" s="1"/>
  <c r="AK39" i="185" l="1"/>
  <c r="AM35" i="185"/>
  <c r="Q36" i="185"/>
  <c r="R36" i="185" s="1"/>
  <c r="N40" i="185"/>
  <c r="AK40" i="185" l="1"/>
  <c r="AN37" i="185" s="1"/>
  <c r="AO37" i="185" s="1"/>
  <c r="AM36" i="185"/>
  <c r="AN36" i="185"/>
  <c r="AO36" i="185" s="1"/>
  <c r="Q37" i="185"/>
  <c r="R37" i="185" s="1"/>
  <c r="N41" i="185"/>
  <c r="P37" i="185"/>
  <c r="AK41" i="185" l="1"/>
  <c r="AM37" i="185"/>
  <c r="N42" i="185"/>
  <c r="Q38" i="185"/>
  <c r="R38" i="185" s="1"/>
  <c r="P38" i="185"/>
  <c r="AN38" i="185" l="1"/>
  <c r="AO38" i="185" s="1"/>
  <c r="AK42" i="185"/>
  <c r="AM38" i="185"/>
  <c r="P39" i="185"/>
  <c r="N43" i="185"/>
  <c r="Q39" i="185"/>
  <c r="R39" i="185" s="1"/>
  <c r="AK43" i="185" l="1"/>
  <c r="AN39" i="185"/>
  <c r="AO39" i="185" s="1"/>
  <c r="AM39" i="185"/>
  <c r="N44" i="185"/>
  <c r="P40" i="185"/>
  <c r="Q40" i="185"/>
  <c r="R40" i="185" s="1"/>
  <c r="AN40" i="185" l="1"/>
  <c r="AO40" i="185" s="1"/>
  <c r="AK44" i="185"/>
  <c r="AM40" i="185"/>
  <c r="N45" i="185"/>
  <c r="P41" i="185"/>
  <c r="Q41" i="185"/>
  <c r="R41" i="185" s="1"/>
  <c r="AK45" i="185" l="1"/>
  <c r="AM41" i="185"/>
  <c r="AN41" i="185"/>
  <c r="AO41" i="185" s="1"/>
  <c r="N46" i="185"/>
  <c r="P42" i="185"/>
  <c r="Q42" i="185"/>
  <c r="R42" i="185" s="1"/>
  <c r="AK46" i="185" l="1"/>
  <c r="AN42" i="185"/>
  <c r="AO42" i="185" s="1"/>
  <c r="AM42" i="185"/>
  <c r="N47" i="185"/>
  <c r="P43" i="185"/>
  <c r="Q43" i="185"/>
  <c r="R43" i="185" s="1"/>
  <c r="AM43" i="185" l="1"/>
  <c r="AK47" i="185"/>
  <c r="AN43" i="185"/>
  <c r="AO43" i="185" s="1"/>
  <c r="N48" i="185"/>
  <c r="Q44" i="185"/>
  <c r="R44" i="185" s="1"/>
  <c r="P44" i="185"/>
  <c r="AK48" i="185" l="1"/>
  <c r="AM44" i="185"/>
  <c r="AN44" i="185"/>
  <c r="AO44" i="185" s="1"/>
  <c r="N49" i="185"/>
  <c r="Q46" i="185" s="1"/>
  <c r="R46" i="185" s="1"/>
  <c r="P45" i="185"/>
  <c r="Q45" i="185"/>
  <c r="R45" i="185" s="1"/>
  <c r="AK49" i="185" l="1"/>
  <c r="AN45" i="185"/>
  <c r="AO45" i="185" s="1"/>
  <c r="AM45" i="185"/>
  <c r="N50" i="185"/>
  <c r="Q47" i="185" s="1"/>
  <c r="R47" i="185" s="1"/>
  <c r="P46" i="185"/>
  <c r="AN46" i="185" l="1"/>
  <c r="AO46" i="185" s="1"/>
  <c r="AK50" i="185"/>
  <c r="AM47" i="185" s="1"/>
  <c r="AM46" i="185"/>
  <c r="P47" i="185"/>
  <c r="N51" i="185"/>
  <c r="AK51" i="185" l="1"/>
  <c r="AN48" i="185" s="1"/>
  <c r="AO48" i="185" s="1"/>
  <c r="AN47" i="185"/>
  <c r="AO47" i="185" s="1"/>
  <c r="Q48" i="185"/>
  <c r="R48" i="185" s="1"/>
  <c r="P48" i="185"/>
  <c r="N52" i="185"/>
  <c r="P49" i="185" s="1"/>
  <c r="AK52" i="185" l="1"/>
  <c r="AM48" i="185"/>
  <c r="N53" i="185"/>
  <c r="Q50" i="185" s="1"/>
  <c r="R50" i="185" s="1"/>
  <c r="Q49" i="185"/>
  <c r="R49" i="185" s="1"/>
  <c r="AN49" i="185" l="1"/>
  <c r="AO49" i="185" s="1"/>
  <c r="AK53" i="185"/>
  <c r="AM49" i="185"/>
  <c r="P50" i="185"/>
  <c r="N54" i="185"/>
  <c r="AK54" i="185" l="1"/>
  <c r="AN50" i="185"/>
  <c r="AO50" i="185" s="1"/>
  <c r="AM50" i="185"/>
  <c r="N55" i="185"/>
  <c r="Q52" i="185" s="1"/>
  <c r="R52" i="185" s="1"/>
  <c r="P51" i="185"/>
  <c r="Q51" i="185"/>
  <c r="R51" i="185" s="1"/>
  <c r="AK55" i="185" l="1"/>
  <c r="AM51" i="185"/>
  <c r="AN51" i="185"/>
  <c r="AO51" i="185" s="1"/>
  <c r="N56" i="185"/>
  <c r="P52" i="185"/>
  <c r="AM52" i="185" l="1"/>
  <c r="AK56" i="185"/>
  <c r="AN52" i="185"/>
  <c r="AO52" i="185" s="1"/>
  <c r="P53" i="185"/>
  <c r="N57" i="185"/>
  <c r="Q53" i="185"/>
  <c r="R53" i="185" s="1"/>
  <c r="AK57" i="185" l="1"/>
  <c r="AN54" i="185" s="1"/>
  <c r="AO54" i="185" s="1"/>
  <c r="AM53" i="185"/>
  <c r="AN53" i="185"/>
  <c r="AO53" i="185" s="1"/>
  <c r="N58" i="185"/>
  <c r="P55" i="185" s="1"/>
  <c r="P54" i="185"/>
  <c r="Q54" i="185"/>
  <c r="R54" i="185" s="1"/>
  <c r="AK58" i="185" l="1"/>
  <c r="AM54" i="185"/>
  <c r="N59" i="185"/>
  <c r="Q55" i="185"/>
  <c r="R55" i="185" s="1"/>
  <c r="AM55" i="185" l="1"/>
  <c r="AK59" i="185"/>
  <c r="AN55" i="185"/>
  <c r="AO55" i="185" s="1"/>
  <c r="N60" i="185"/>
  <c r="Q57" i="185" s="1"/>
  <c r="R57" i="185" s="1"/>
  <c r="Q56" i="185"/>
  <c r="R56" i="185" s="1"/>
  <c r="P56" i="185"/>
  <c r="AM56" i="185" l="1"/>
  <c r="AK60" i="185"/>
  <c r="AN56" i="185"/>
  <c r="AO56" i="185" s="1"/>
  <c r="P57" i="185"/>
  <c r="N61" i="185"/>
  <c r="AK61" i="185" l="1"/>
  <c r="AM58" i="185" s="1"/>
  <c r="AN57" i="185"/>
  <c r="AO57" i="185" s="1"/>
  <c r="AM57" i="185"/>
  <c r="N62" i="185"/>
  <c r="Q58" i="185"/>
  <c r="R58" i="185" s="1"/>
  <c r="P58" i="185"/>
  <c r="AN58" i="185" l="1"/>
  <c r="AO58" i="185" s="1"/>
  <c r="AK62" i="185"/>
  <c r="Q59" i="185"/>
  <c r="R59" i="185" s="1"/>
  <c r="N63" i="185"/>
  <c r="P59" i="185"/>
  <c r="AM59" i="185" l="1"/>
  <c r="AK63" i="185"/>
  <c r="AN59" i="185"/>
  <c r="AO59" i="185" s="1"/>
  <c r="N64" i="185"/>
  <c r="P61" i="185" s="1"/>
  <c r="Q60" i="185"/>
  <c r="R60" i="185" s="1"/>
  <c r="P60" i="185"/>
  <c r="AK64" i="185" l="1"/>
  <c r="AN61" i="185" s="1"/>
  <c r="AO61" i="185" s="1"/>
  <c r="AM60" i="185"/>
  <c r="AN60" i="185"/>
  <c r="AO60" i="185" s="1"/>
  <c r="Q61" i="185"/>
  <c r="R61" i="185" s="1"/>
  <c r="N65" i="185"/>
  <c r="P62" i="185" s="1"/>
  <c r="AM61" i="185" l="1"/>
  <c r="AK65" i="185"/>
  <c r="N66" i="185"/>
  <c r="Q62" i="185"/>
  <c r="R62" i="185" s="1"/>
  <c r="AK66" i="185" l="1"/>
  <c r="AN63" i="185" s="1"/>
  <c r="AO63" i="185" s="1"/>
  <c r="AN62" i="185"/>
  <c r="AO62" i="185" s="1"/>
  <c r="AM62" i="185"/>
  <c r="N67" i="185"/>
  <c r="P64" i="185" s="1"/>
  <c r="P63" i="185"/>
  <c r="Q63" i="185"/>
  <c r="R63" i="185" s="1"/>
  <c r="AM63" i="185" l="1"/>
  <c r="AK67" i="185"/>
  <c r="Q64" i="185"/>
  <c r="R64" i="185" s="1"/>
  <c r="N68" i="185"/>
  <c r="AK68" i="185" l="1"/>
  <c r="AM65" i="185" s="1"/>
  <c r="AN64" i="185"/>
  <c r="AO64" i="185" s="1"/>
  <c r="AM64" i="185"/>
  <c r="N69" i="185"/>
  <c r="Q66" i="185" s="1"/>
  <c r="R66" i="185" s="1"/>
  <c r="P65" i="185"/>
  <c r="Q65" i="185"/>
  <c r="R65" i="185" s="1"/>
  <c r="AN65" i="185" l="1"/>
  <c r="AO65" i="185" s="1"/>
  <c r="AK69" i="185"/>
  <c r="AM66" i="185" s="1"/>
  <c r="N70" i="185"/>
  <c r="Q67" i="185" s="1"/>
  <c r="R67" i="185" s="1"/>
  <c r="P66" i="185"/>
  <c r="AN66" i="185" l="1"/>
  <c r="AO66" i="185" s="1"/>
  <c r="AK70" i="185"/>
  <c r="N71" i="185"/>
  <c r="P68" i="185" s="1"/>
  <c r="P67" i="185"/>
  <c r="AM67" i="185" l="1"/>
  <c r="AK71" i="185"/>
  <c r="AN67" i="185"/>
  <c r="AO67" i="185" s="1"/>
  <c r="Q68" i="185"/>
  <c r="R68" i="185" s="1"/>
  <c r="N72" i="185"/>
  <c r="AM68" i="185" l="1"/>
  <c r="AN68" i="185"/>
  <c r="AO68" i="185" s="1"/>
  <c r="AK72" i="185"/>
  <c r="AN69" i="185" s="1"/>
  <c r="AO69" i="185" s="1"/>
  <c r="N73" i="185"/>
  <c r="P69" i="185"/>
  <c r="Q69" i="185"/>
  <c r="R69" i="185" s="1"/>
  <c r="AM69" i="185" l="1"/>
  <c r="AK73" i="185"/>
  <c r="P70" i="185"/>
  <c r="N74" i="185"/>
  <c r="Q70" i="185"/>
  <c r="R70" i="185" s="1"/>
  <c r="AN70" i="185" l="1"/>
  <c r="AO70" i="185" s="1"/>
  <c r="AK74" i="185"/>
  <c r="AM70" i="185"/>
  <c r="N75" i="185"/>
  <c r="Q72" i="185" s="1"/>
  <c r="R72" i="185" s="1"/>
  <c r="Q71" i="185"/>
  <c r="R71" i="185" s="1"/>
  <c r="P71" i="185"/>
  <c r="AK75" i="185" l="1"/>
  <c r="AN71" i="185"/>
  <c r="AO71" i="185" s="1"/>
  <c r="AM71" i="185"/>
  <c r="N76" i="185"/>
  <c r="P72" i="185"/>
  <c r="AM72" i="185" l="1"/>
  <c r="AN72" i="185"/>
  <c r="AO72" i="185" s="1"/>
  <c r="AK76" i="185"/>
  <c r="P73" i="185"/>
  <c r="N77" i="185"/>
  <c r="Q73" i="185"/>
  <c r="R73" i="185" s="1"/>
  <c r="AK77" i="185" l="1"/>
  <c r="AM73" i="185"/>
  <c r="AN73" i="185"/>
  <c r="AO73" i="185" s="1"/>
  <c r="Q74" i="185"/>
  <c r="R74" i="185" s="1"/>
  <c r="N78" i="185"/>
  <c r="P74" i="185"/>
  <c r="AK78" i="185" l="1"/>
  <c r="AM74" i="185"/>
  <c r="AN74" i="185"/>
  <c r="AO74" i="185" s="1"/>
  <c r="Q75" i="185"/>
  <c r="R75" i="185" s="1"/>
  <c r="N79" i="185"/>
  <c r="P76" i="185" s="1"/>
  <c r="P75" i="185"/>
  <c r="AK79" i="185" l="1"/>
  <c r="AM75" i="185"/>
  <c r="AN75" i="185"/>
  <c r="AO75" i="185" s="1"/>
  <c r="Q76" i="185"/>
  <c r="R76" i="185" s="1"/>
  <c r="N80" i="185"/>
  <c r="AK80" i="185" l="1"/>
  <c r="AN76" i="185"/>
  <c r="AO76" i="185" s="1"/>
  <c r="AM76" i="185"/>
  <c r="N81" i="185"/>
  <c r="Q78" i="185" s="1"/>
  <c r="R78" i="185" s="1"/>
  <c r="Q77" i="185"/>
  <c r="R77" i="185" s="1"/>
  <c r="P77" i="185"/>
  <c r="AK81" i="185" l="1"/>
  <c r="AM77" i="185"/>
  <c r="AN77" i="185"/>
  <c r="AO77" i="185" s="1"/>
  <c r="P78" i="185"/>
  <c r="N82" i="185"/>
  <c r="AK82" i="185" l="1"/>
  <c r="AN78" i="185"/>
  <c r="AO78" i="185" s="1"/>
  <c r="AM78" i="185"/>
  <c r="N83" i="185"/>
  <c r="Q79" i="185"/>
  <c r="R79" i="185" s="1"/>
  <c r="P79" i="185"/>
  <c r="AK83" i="185" l="1"/>
  <c r="AM80" i="185" s="1"/>
  <c r="AM79" i="185"/>
  <c r="AN79" i="185"/>
  <c r="AO79" i="185" s="1"/>
  <c r="N84" i="185"/>
  <c r="Q80" i="185"/>
  <c r="R80" i="185" s="1"/>
  <c r="P80" i="185"/>
  <c r="AK84" i="185" l="1"/>
  <c r="AM81" i="185" s="1"/>
  <c r="AN80" i="185"/>
  <c r="AO80" i="185" s="1"/>
  <c r="P81" i="185"/>
  <c r="N85" i="185"/>
  <c r="Q82" i="185" s="1"/>
  <c r="R82" i="185" s="1"/>
  <c r="Q81" i="185"/>
  <c r="R81" i="185" s="1"/>
  <c r="AN81" i="185" l="1"/>
  <c r="AO81" i="185" s="1"/>
  <c r="AK85" i="185"/>
  <c r="N86" i="185"/>
  <c r="P82" i="185"/>
  <c r="AM82" i="185" l="1"/>
  <c r="AK86" i="185"/>
  <c r="AM83" i="185" s="1"/>
  <c r="AN82" i="185"/>
  <c r="AO82" i="185" s="1"/>
  <c r="N87" i="185"/>
  <c r="Q83" i="185"/>
  <c r="R83" i="185" s="1"/>
  <c r="P83" i="185"/>
  <c r="AN83" i="185" l="1"/>
  <c r="AO83" i="185" s="1"/>
  <c r="AK87" i="185"/>
  <c r="P84" i="185"/>
  <c r="N88" i="185"/>
  <c r="Q85" i="185" s="1"/>
  <c r="R85" i="185" s="1"/>
  <c r="Q84" i="185"/>
  <c r="R84" i="185" s="1"/>
  <c r="AK88" i="185" l="1"/>
  <c r="AN84" i="185"/>
  <c r="AO84" i="185" s="1"/>
  <c r="AM84" i="185"/>
  <c r="N89" i="185"/>
  <c r="P86" i="185" s="1"/>
  <c r="P85" i="185"/>
  <c r="AK89" i="185" l="1"/>
  <c r="AM85" i="185"/>
  <c r="AN85" i="185"/>
  <c r="AO85" i="185" s="1"/>
  <c r="N90" i="185"/>
  <c r="Q86" i="185"/>
  <c r="R86" i="185" s="1"/>
  <c r="AK90" i="185" l="1"/>
  <c r="AN86" i="185"/>
  <c r="AO86" i="185" s="1"/>
  <c r="AM86" i="185"/>
  <c r="N91" i="185"/>
  <c r="P87" i="185"/>
  <c r="Q87" i="185"/>
  <c r="R87" i="185" s="1"/>
  <c r="AK91" i="185" l="1"/>
  <c r="AM88" i="185" s="1"/>
  <c r="AM87" i="185"/>
  <c r="AN87" i="185"/>
  <c r="AO87" i="185" s="1"/>
  <c r="Q88" i="185"/>
  <c r="R88" i="185" s="1"/>
  <c r="P88" i="185"/>
  <c r="N92" i="185"/>
  <c r="AK92" i="185" l="1"/>
  <c r="AN88" i="185"/>
  <c r="AO88" i="185" s="1"/>
  <c r="N93" i="185"/>
  <c r="P89" i="185"/>
  <c r="Q89" i="185"/>
  <c r="R89" i="185" s="1"/>
  <c r="AK93" i="185" l="1"/>
  <c r="AM89" i="185"/>
  <c r="AN89" i="185"/>
  <c r="AO89" i="185" s="1"/>
  <c r="P90" i="185"/>
  <c r="N94" i="185"/>
  <c r="Q90" i="185"/>
  <c r="R90" i="185" s="1"/>
  <c r="AN90" i="185" l="1"/>
  <c r="AO90" i="185" s="1"/>
  <c r="AK94" i="185"/>
  <c r="AM90" i="185"/>
  <c r="P91" i="185"/>
  <c r="N95" i="185"/>
  <c r="P92" i="185" s="1"/>
  <c r="Q91" i="185"/>
  <c r="R91" i="185" s="1"/>
  <c r="AM91" i="185" l="1"/>
  <c r="AK95" i="185"/>
  <c r="AN91" i="185"/>
  <c r="AO91" i="185" s="1"/>
  <c r="Q92" i="185"/>
  <c r="R92" i="185" s="1"/>
  <c r="N96" i="185"/>
  <c r="P93" i="185" s="1"/>
  <c r="AM92" i="185" l="1"/>
  <c r="AK96" i="185"/>
  <c r="AN92" i="185"/>
  <c r="AO92" i="185" s="1"/>
  <c r="N97" i="185"/>
  <c r="Q93" i="185"/>
  <c r="R93" i="185" s="1"/>
  <c r="AK97" i="185" l="1"/>
  <c r="AN93" i="185"/>
  <c r="AO93" i="185" s="1"/>
  <c r="AM93" i="185"/>
  <c r="N98" i="185"/>
  <c r="Q94" i="185"/>
  <c r="R94" i="185" s="1"/>
  <c r="P94" i="185"/>
  <c r="AN94" i="185" l="1"/>
  <c r="AO94" i="185" s="1"/>
  <c r="AM94" i="185"/>
  <c r="AK98" i="185"/>
  <c r="N99" i="185"/>
  <c r="P95" i="185"/>
  <c r="Q95" i="185"/>
  <c r="R95" i="185" s="1"/>
  <c r="AM95" i="185" l="1"/>
  <c r="AK99" i="185"/>
  <c r="AN95" i="185"/>
  <c r="AO95" i="185" s="1"/>
  <c r="N100" i="185"/>
  <c r="P96" i="185"/>
  <c r="Q96" i="185"/>
  <c r="R96" i="185" s="1"/>
  <c r="AK100" i="185" l="1"/>
  <c r="AN96" i="185"/>
  <c r="AO96" i="185" s="1"/>
  <c r="AM96" i="185"/>
  <c r="Q97" i="185"/>
  <c r="R97" i="185" s="1"/>
  <c r="N101" i="185"/>
  <c r="P97" i="185"/>
  <c r="AN97" i="185" l="1"/>
  <c r="AO97" i="185" s="1"/>
  <c r="AK101" i="185"/>
  <c r="AM97" i="185"/>
  <c r="N102" i="185"/>
  <c r="Q98" i="185"/>
  <c r="R98" i="185" s="1"/>
  <c r="P98" i="185"/>
  <c r="AN98" i="185" l="1"/>
  <c r="AO98" i="185" s="1"/>
  <c r="AK102" i="185"/>
  <c r="AM98" i="185"/>
  <c r="Q99" i="185"/>
  <c r="R99" i="185" s="1"/>
  <c r="N103" i="185"/>
  <c r="P99" i="185"/>
  <c r="AK103" i="185" l="1"/>
  <c r="AN99" i="185"/>
  <c r="AO99" i="185" s="1"/>
  <c r="AM99" i="185"/>
  <c r="N104" i="185"/>
  <c r="Q100" i="185"/>
  <c r="R100" i="185" s="1"/>
  <c r="P100" i="185"/>
  <c r="AN100" i="185" l="1"/>
  <c r="AO100" i="185" s="1"/>
  <c r="AK104" i="185"/>
  <c r="AM100" i="185"/>
  <c r="P101" i="185"/>
  <c r="N105" i="185"/>
  <c r="P102" i="185" s="1"/>
  <c r="Q101" i="185"/>
  <c r="R101" i="185" s="1"/>
  <c r="AN101" i="185" l="1"/>
  <c r="AO101" i="185" s="1"/>
  <c r="AK105" i="185"/>
  <c r="AM101" i="185"/>
  <c r="Q102" i="185"/>
  <c r="R102" i="185" s="1"/>
  <c r="N106" i="185"/>
  <c r="AK106" i="185" l="1"/>
  <c r="AN102" i="185"/>
  <c r="AO102" i="185" s="1"/>
  <c r="AM102" i="185"/>
  <c r="Q103" i="185"/>
  <c r="R103" i="185" s="1"/>
  <c r="N107" i="185"/>
  <c r="P103" i="185"/>
  <c r="AN103" i="185" l="1"/>
  <c r="AO103" i="185" s="1"/>
  <c r="AK107" i="185"/>
  <c r="AM103" i="185"/>
  <c r="N108" i="185"/>
  <c r="Q105" i="185" s="1"/>
  <c r="R105" i="185" s="1"/>
  <c r="P104" i="185"/>
  <c r="Q104" i="185"/>
  <c r="R104" i="185" s="1"/>
  <c r="AK108" i="185" l="1"/>
  <c r="AM104" i="185"/>
  <c r="AN104" i="185"/>
  <c r="AO104" i="185" s="1"/>
  <c r="P105" i="185"/>
  <c r="N109" i="185"/>
  <c r="AN105" i="185" l="1"/>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L50" i="185"/>
  <c r="O16" i="185"/>
  <c r="O89" i="185"/>
  <c r="O88" i="185"/>
  <c r="O44" i="185"/>
  <c r="O35" i="185"/>
  <c r="O64" i="185"/>
  <c r="O50" i="185"/>
  <c r="O82" i="185"/>
  <c r="O47" i="185"/>
  <c r="O42" i="185"/>
  <c r="O53" i="185"/>
  <c r="O58" i="185"/>
  <c r="BJ50" i="185"/>
  <c r="BK50"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AL108" i="185" l="1"/>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BJ56" i="185"/>
  <c r="BK56" i="185" s="1"/>
  <c r="AL66" i="185"/>
  <c r="AL20" i="185"/>
  <c r="AL81" i="185"/>
  <c r="AL67" i="185"/>
  <c r="AL78" i="185"/>
  <c r="AL83" i="185"/>
  <c r="AL70" i="185"/>
  <c r="AL75" i="185"/>
  <c r="AL69" i="185"/>
  <c r="AL80" i="185"/>
  <c r="AL65" i="185"/>
  <c r="AL35" i="185"/>
  <c r="AL58" i="185"/>
  <c r="AL41" i="185"/>
  <c r="BL56"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M50"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AP107" i="185" l="1"/>
  <c r="AP104" i="185"/>
  <c r="BM56"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AQ14" i="185" l="1"/>
  <c r="T15" i="185"/>
  <c r="AQ15" i="185" l="1"/>
  <c r="T16" i="185"/>
  <c r="T17" i="185" s="1"/>
  <c r="AQ16" i="185" l="1"/>
  <c r="T18" i="185"/>
  <c r="V15" i="185" s="1"/>
  <c r="W14" i="185"/>
  <c r="X14" i="185" s="1"/>
  <c r="V14" i="185"/>
  <c r="AQ17" i="185" l="1"/>
  <c r="T19" i="185"/>
  <c r="W16" i="185" s="1"/>
  <c r="X16" i="185" s="1"/>
  <c r="W15" i="185"/>
  <c r="X15" i="185" s="1"/>
  <c r="T20" i="185" l="1"/>
  <c r="T21" i="185" s="1"/>
  <c r="W18" i="185" s="1"/>
  <c r="X18" i="185" s="1"/>
  <c r="AQ18" i="185"/>
  <c r="AS15" i="185" s="1"/>
  <c r="AS14" i="185"/>
  <c r="AT14" i="185"/>
  <c r="AU14" i="185" s="1"/>
  <c r="V16" i="185"/>
  <c r="W17" i="185" l="1"/>
  <c r="X17" i="185" s="1"/>
  <c r="T22" i="185"/>
  <c r="V19" i="185" s="1"/>
  <c r="V17" i="185"/>
  <c r="V18" i="185"/>
  <c r="AT15" i="185"/>
  <c r="AU15" i="185" s="1"/>
  <c r="AQ19" i="185"/>
  <c r="AS16" i="185" s="1"/>
  <c r="T23" i="185" l="1"/>
  <c r="V20" i="185" s="1"/>
  <c r="W19" i="185"/>
  <c r="X19" i="185" s="1"/>
  <c r="AQ20" i="185"/>
  <c r="AT16" i="185"/>
  <c r="AU16" i="185" s="1"/>
  <c r="T24" i="185" l="1"/>
  <c r="T25" i="185" s="1"/>
  <c r="W20" i="185"/>
  <c r="X20" i="185" s="1"/>
  <c r="AQ21" i="185"/>
  <c r="AS18" i="185" s="1"/>
  <c r="AS17" i="185"/>
  <c r="AT17" i="185"/>
  <c r="AU17" i="185" s="1"/>
  <c r="V21" i="185" l="1"/>
  <c r="W21" i="185"/>
  <c r="X21" i="185" s="1"/>
  <c r="AQ22" i="185"/>
  <c r="AT18" i="185"/>
  <c r="AU18" i="185" s="1"/>
  <c r="V22" i="185"/>
  <c r="T26" i="185"/>
  <c r="V23" i="185" s="1"/>
  <c r="W22" i="185"/>
  <c r="X22" i="185" s="1"/>
  <c r="AT19" i="185" l="1"/>
  <c r="AU19" i="185" s="1"/>
  <c r="AQ23" i="185"/>
  <c r="AS19" i="185"/>
  <c r="W23" i="185"/>
  <c r="X23" i="185" s="1"/>
  <c r="T27" i="185"/>
  <c r="AS20" i="185" l="1"/>
  <c r="AT20" i="185"/>
  <c r="AU20" i="185" s="1"/>
  <c r="AQ24" i="185"/>
  <c r="W24" i="185"/>
  <c r="X24" i="185" s="1"/>
  <c r="T28" i="185"/>
  <c r="V24" i="185"/>
  <c r="AT21" i="185" l="1"/>
  <c r="AU21" i="185" s="1"/>
  <c r="AQ25" i="185"/>
  <c r="AS21" i="185"/>
  <c r="W25" i="185"/>
  <c r="X25" i="185" s="1"/>
  <c r="T29" i="185"/>
  <c r="V25" i="185"/>
  <c r="AS22" i="185" l="1"/>
  <c r="AT22" i="185"/>
  <c r="AU22" i="185" s="1"/>
  <c r="AQ26" i="185"/>
  <c r="AT23" i="185" s="1"/>
  <c r="AU23" i="185" s="1"/>
  <c r="V26" i="185"/>
  <c r="T30" i="185"/>
  <c r="W26" i="185"/>
  <c r="X26" i="185" s="1"/>
  <c r="AQ27" i="185" l="1"/>
  <c r="AS23" i="185"/>
  <c r="V27" i="185"/>
  <c r="T31" i="185"/>
  <c r="V28" i="185" s="1"/>
  <c r="W27" i="185"/>
  <c r="X27" i="185" s="1"/>
  <c r="AQ28" i="185" l="1"/>
  <c r="AS24" i="185"/>
  <c r="AT24" i="185"/>
  <c r="AU24" i="185" s="1"/>
  <c r="W28" i="185"/>
  <c r="X28" i="185" s="1"/>
  <c r="T32" i="185"/>
  <c r="AQ29" i="185" l="1"/>
  <c r="AT25" i="185"/>
  <c r="AU25" i="185" s="1"/>
  <c r="AS25" i="185"/>
  <c r="V29" i="185"/>
  <c r="T33" i="185"/>
  <c r="W29" i="185"/>
  <c r="X29" i="185" s="1"/>
  <c r="AQ30" i="185" l="1"/>
  <c r="AS26" i="185"/>
  <c r="AT26" i="185"/>
  <c r="AU26" i="185" s="1"/>
  <c r="V30" i="185"/>
  <c r="T34" i="185"/>
  <c r="W30" i="185"/>
  <c r="X30" i="185" s="1"/>
  <c r="AQ31" i="185" l="1"/>
  <c r="AS27" i="185"/>
  <c r="AT27" i="185"/>
  <c r="AU27" i="185" s="1"/>
  <c r="T35" i="185"/>
  <c r="W31" i="185"/>
  <c r="X31" i="185" s="1"/>
  <c r="V31" i="185"/>
  <c r="AQ32" i="185" l="1"/>
  <c r="AS28" i="185"/>
  <c r="AT28" i="185"/>
  <c r="AU28" i="185" s="1"/>
  <c r="V32" i="185"/>
  <c r="T36" i="185"/>
  <c r="W32" i="185"/>
  <c r="X32" i="185" s="1"/>
  <c r="AQ33" i="185" l="1"/>
  <c r="AS30" i="185" s="1"/>
  <c r="AT29" i="185"/>
  <c r="AU29" i="185" s="1"/>
  <c r="AS29" i="185"/>
  <c r="W33" i="185"/>
  <c r="X33" i="185" s="1"/>
  <c r="T37" i="185"/>
  <c r="V34" i="185" s="1"/>
  <c r="V33" i="185"/>
  <c r="AT30" i="185" l="1"/>
  <c r="AU30" i="185" s="1"/>
  <c r="AQ34" i="185"/>
  <c r="W34" i="185"/>
  <c r="X34" i="185" s="1"/>
  <c r="T38" i="185"/>
  <c r="AS31" i="185" l="1"/>
  <c r="AQ35" i="185"/>
  <c r="AT31" i="185"/>
  <c r="AU31" i="185" s="1"/>
  <c r="T39" i="185"/>
  <c r="V35" i="185"/>
  <c r="W35" i="185"/>
  <c r="X35" i="185" s="1"/>
  <c r="AT32" i="185" l="1"/>
  <c r="AU32" i="185" s="1"/>
  <c r="AQ36" i="185"/>
  <c r="AS32" i="185"/>
  <c r="W36" i="185"/>
  <c r="X36" i="185" s="1"/>
  <c r="T40" i="185"/>
  <c r="V36" i="185"/>
  <c r="AS33" i="185" l="1"/>
  <c r="AQ37" i="185"/>
  <c r="AT34" i="185" s="1"/>
  <c r="AU34" i="185" s="1"/>
  <c r="AT33" i="185"/>
  <c r="AU33" i="185" s="1"/>
  <c r="V37" i="185"/>
  <c r="T41" i="185"/>
  <c r="W37" i="185"/>
  <c r="X37" i="185" s="1"/>
  <c r="AQ38" i="185" l="1"/>
  <c r="AS34" i="185"/>
  <c r="V38" i="185"/>
  <c r="T42" i="185"/>
  <c r="W38" i="185"/>
  <c r="X38" i="185" s="1"/>
  <c r="AT35" i="185" l="1"/>
  <c r="AU35" i="185" s="1"/>
  <c r="AQ39" i="185"/>
  <c r="AS35" i="185"/>
  <c r="T43" i="185"/>
  <c r="W39" i="185"/>
  <c r="X39" i="185" s="1"/>
  <c r="V39" i="185"/>
  <c r="AS36" i="185" l="1"/>
  <c r="AQ40" i="185"/>
  <c r="AT36" i="185"/>
  <c r="AU36" i="185" s="1"/>
  <c r="T44" i="185"/>
  <c r="V41" i="185" s="1"/>
  <c r="W40" i="185"/>
  <c r="X40" i="185" s="1"/>
  <c r="V40" i="185"/>
  <c r="AQ41" i="185" l="1"/>
  <c r="AT38" i="185" s="1"/>
  <c r="AU38" i="185" s="1"/>
  <c r="AT37" i="185"/>
  <c r="AU37" i="185" s="1"/>
  <c r="AS37" i="185"/>
  <c r="W41" i="185"/>
  <c r="X41" i="185" s="1"/>
  <c r="T45" i="185"/>
  <c r="W42" i="185" s="1"/>
  <c r="X42" i="185" s="1"/>
  <c r="AS38" i="185" l="1"/>
  <c r="AQ42" i="185"/>
  <c r="T46" i="185"/>
  <c r="V42" i="185"/>
  <c r="AS39" i="185" l="1"/>
  <c r="AQ43" i="185"/>
  <c r="AT39" i="185"/>
  <c r="AU39" i="185" s="1"/>
  <c r="T47" i="185"/>
  <c r="V43" i="185"/>
  <c r="W43" i="185"/>
  <c r="X43" i="185" s="1"/>
  <c r="AS40" i="185" l="1"/>
  <c r="AT40" i="185"/>
  <c r="AU40" i="185" s="1"/>
  <c r="AQ44" i="185"/>
  <c r="AS41" i="185" s="1"/>
  <c r="W44" i="185"/>
  <c r="X44" i="185" s="1"/>
  <c r="T48" i="185"/>
  <c r="V44" i="185"/>
  <c r="AQ45" i="185" l="1"/>
  <c r="AT42" i="185" s="1"/>
  <c r="AU42" i="185" s="1"/>
  <c r="AT41" i="185"/>
  <c r="AU41" i="185" s="1"/>
  <c r="T49" i="185"/>
  <c r="W45" i="185"/>
  <c r="X45" i="185" s="1"/>
  <c r="V45" i="185"/>
  <c r="AQ46" i="185" l="1"/>
  <c r="AS42" i="185"/>
  <c r="W46" i="185"/>
  <c r="X46" i="185" s="1"/>
  <c r="T50" i="185"/>
  <c r="V46" i="185"/>
  <c r="AQ47" i="185" l="1"/>
  <c r="AS44" i="185" s="1"/>
  <c r="AT43" i="185"/>
  <c r="AU43" i="185" s="1"/>
  <c r="AS43" i="185"/>
  <c r="T51" i="185"/>
  <c r="W47" i="185"/>
  <c r="X47" i="185" s="1"/>
  <c r="V47" i="185"/>
  <c r="AT44" i="185" l="1"/>
  <c r="AU44" i="185" s="1"/>
  <c r="AQ48" i="185"/>
  <c r="V48" i="185"/>
  <c r="T52" i="185"/>
  <c r="W48" i="185"/>
  <c r="X48" i="185" s="1"/>
  <c r="AQ49" i="185" l="1"/>
  <c r="AS46" i="185" s="1"/>
  <c r="AT45" i="185"/>
  <c r="AU45" i="185" s="1"/>
  <c r="AS45" i="185"/>
  <c r="T53" i="185"/>
  <c r="W49" i="185"/>
  <c r="X49" i="185" s="1"/>
  <c r="V49" i="185"/>
  <c r="AT46" i="185" l="1"/>
  <c r="AU46" i="185" s="1"/>
  <c r="AQ50" i="185"/>
  <c r="W50" i="185"/>
  <c r="X50" i="185" s="1"/>
  <c r="T54" i="185"/>
  <c r="V50" i="185"/>
  <c r="AT47" i="185" l="1"/>
  <c r="AU47" i="185" s="1"/>
  <c r="AQ51" i="185"/>
  <c r="AS47" i="185"/>
  <c r="T55" i="185"/>
  <c r="V51" i="185"/>
  <c r="W51" i="185"/>
  <c r="X51" i="185" s="1"/>
  <c r="AS48" i="185" l="1"/>
  <c r="AQ52" i="185"/>
  <c r="AT48" i="185"/>
  <c r="AU48" i="185" s="1"/>
  <c r="T56" i="185"/>
  <c r="V53" i="185" s="1"/>
  <c r="V52" i="185"/>
  <c r="W52" i="185"/>
  <c r="X52" i="185" s="1"/>
  <c r="AS49" i="185" l="1"/>
  <c r="AQ53" i="185"/>
  <c r="AT49" i="185"/>
  <c r="AU49" i="185" s="1"/>
  <c r="W53" i="185"/>
  <c r="X53" i="185" s="1"/>
  <c r="T57" i="185"/>
  <c r="AS50" i="185" l="1"/>
  <c r="AQ54" i="185"/>
  <c r="AT50" i="185"/>
  <c r="AU50" i="185" s="1"/>
  <c r="T58" i="185"/>
  <c r="W54" i="185"/>
  <c r="X54" i="185" s="1"/>
  <c r="V54" i="185"/>
  <c r="AT51" i="185" l="1"/>
  <c r="AU51" i="185" s="1"/>
  <c r="AQ55" i="185"/>
  <c r="AT52" i="185" s="1"/>
  <c r="AU52" i="185" s="1"/>
  <c r="AS51" i="185"/>
  <c r="W55" i="185"/>
  <c r="X55" i="185" s="1"/>
  <c r="T59" i="185"/>
  <c r="V55" i="185"/>
  <c r="AS52" i="185" l="1"/>
  <c r="AQ56" i="185"/>
  <c r="V56" i="185"/>
  <c r="W56" i="185"/>
  <c r="X56" i="185" s="1"/>
  <c r="T60" i="185"/>
  <c r="AQ57" i="185" l="1"/>
  <c r="AS53" i="185"/>
  <c r="AT53" i="185"/>
  <c r="AU53" i="185" s="1"/>
  <c r="W57" i="185"/>
  <c r="X57" i="185" s="1"/>
  <c r="T61" i="185"/>
  <c r="V57" i="185"/>
  <c r="AS54" i="185" l="1"/>
  <c r="AQ58" i="185"/>
  <c r="AS55" i="185" s="1"/>
  <c r="AT54" i="185"/>
  <c r="AU54" i="185" s="1"/>
  <c r="T62" i="185"/>
  <c r="V59" i="185" s="1"/>
  <c r="W58" i="185"/>
  <c r="X58" i="185" s="1"/>
  <c r="V58" i="185"/>
  <c r="AQ59" i="185" l="1"/>
  <c r="AT55" i="185"/>
  <c r="AU55" i="185" s="1"/>
  <c r="T63" i="185"/>
  <c r="W59" i="185"/>
  <c r="X59" i="185" s="1"/>
  <c r="AQ60" i="185" l="1"/>
  <c r="AS56" i="185"/>
  <c r="AT56" i="185"/>
  <c r="AU56" i="185" s="1"/>
  <c r="W60" i="185"/>
  <c r="X60" i="185" s="1"/>
  <c r="T64" i="185"/>
  <c r="V60" i="185"/>
  <c r="AS57" i="185" l="1"/>
  <c r="AQ61" i="185"/>
  <c r="AT57" i="185"/>
  <c r="AU57" i="185" s="1"/>
  <c r="T65" i="185"/>
  <c r="V61" i="185"/>
  <c r="W61" i="185"/>
  <c r="X61" i="185" s="1"/>
  <c r="AQ62" i="185" l="1"/>
  <c r="AT58" i="185"/>
  <c r="AU58" i="185" s="1"/>
  <c r="AS58" i="185"/>
  <c r="T66" i="185"/>
  <c r="V62" i="185"/>
  <c r="W62" i="185"/>
  <c r="X62" i="185" s="1"/>
  <c r="AQ63" i="185" l="1"/>
  <c r="AS59" i="185"/>
  <c r="AT59" i="185"/>
  <c r="AU59" i="185" s="1"/>
  <c r="T67" i="185"/>
  <c r="W63" i="185"/>
  <c r="X63" i="185" s="1"/>
  <c r="V63" i="185"/>
  <c r="AS60" i="185" l="1"/>
  <c r="AQ64" i="185"/>
  <c r="AT60" i="185"/>
  <c r="AU60" i="185" s="1"/>
  <c r="T68" i="185"/>
  <c r="W65" i="185" s="1"/>
  <c r="X65" i="185" s="1"/>
  <c r="W64" i="185"/>
  <c r="X64" i="185" s="1"/>
  <c r="V64" i="185"/>
  <c r="AQ65" i="185" l="1"/>
  <c r="AT61" i="185"/>
  <c r="AU61" i="185" s="1"/>
  <c r="AS61" i="185"/>
  <c r="T69" i="185"/>
  <c r="V65" i="185"/>
  <c r="AS62" i="185" l="1"/>
  <c r="AQ66" i="185"/>
  <c r="AT62" i="185"/>
  <c r="AU62" i="185" s="1"/>
  <c r="T70" i="185"/>
  <c r="V67" i="185" s="1"/>
  <c r="W66" i="185"/>
  <c r="X66" i="185" s="1"/>
  <c r="V66" i="185"/>
  <c r="AT63" i="185" l="1"/>
  <c r="AU63" i="185" s="1"/>
  <c r="AS63" i="185"/>
  <c r="AQ67" i="185"/>
  <c r="AT64" i="185" s="1"/>
  <c r="AU64" i="185" s="1"/>
  <c r="T71" i="185"/>
  <c r="W67" i="185"/>
  <c r="X67" i="185" s="1"/>
  <c r="AS64" i="185" l="1"/>
  <c r="AQ68" i="185"/>
  <c r="AT65" i="185" s="1"/>
  <c r="AU65" i="185" s="1"/>
  <c r="T72" i="185"/>
  <c r="W69" i="185" s="1"/>
  <c r="X69" i="185" s="1"/>
  <c r="V68" i="185"/>
  <c r="W68" i="185"/>
  <c r="X68" i="185" s="1"/>
  <c r="AS65" i="185" l="1"/>
  <c r="AQ69" i="185"/>
  <c r="T73" i="185"/>
  <c r="W70" i="185" s="1"/>
  <c r="X70" i="185" s="1"/>
  <c r="V69" i="185"/>
  <c r="AS66" i="185" l="1"/>
  <c r="AT66" i="185"/>
  <c r="AU66" i="185" s="1"/>
  <c r="AQ70" i="185"/>
  <c r="T74" i="185"/>
  <c r="V70" i="185"/>
  <c r="AQ71" i="185" l="1"/>
  <c r="AS67" i="185"/>
  <c r="AT67" i="185"/>
  <c r="AU67" i="185" s="1"/>
  <c r="T75" i="185"/>
  <c r="W71" i="185"/>
  <c r="X71" i="185" s="1"/>
  <c r="V71" i="185"/>
  <c r="AQ72" i="185" l="1"/>
  <c r="AT68" i="185"/>
  <c r="AU68" i="185" s="1"/>
  <c r="AS68" i="185"/>
  <c r="T76" i="185"/>
  <c r="V72" i="185"/>
  <c r="W72" i="185"/>
  <c r="X72" i="185" s="1"/>
  <c r="AT69" i="185" l="1"/>
  <c r="AU69" i="185" s="1"/>
  <c r="AQ73" i="185"/>
  <c r="AT70" i="185" s="1"/>
  <c r="AU70" i="185" s="1"/>
  <c r="AS69" i="185"/>
  <c r="T77" i="185"/>
  <c r="W73" i="185"/>
  <c r="X73" i="185" s="1"/>
  <c r="V73" i="185"/>
  <c r="AQ74" i="185" l="1"/>
  <c r="AS70" i="185"/>
  <c r="T78" i="185"/>
  <c r="W74" i="185"/>
  <c r="X74" i="185" s="1"/>
  <c r="V74" i="185"/>
  <c r="AS71" i="185" l="1"/>
  <c r="AQ75" i="185"/>
  <c r="AT71" i="185"/>
  <c r="AU71" i="185" s="1"/>
  <c r="W75" i="185"/>
  <c r="X75" i="185" s="1"/>
  <c r="V75" i="185"/>
  <c r="T79" i="185"/>
  <c r="AS72" i="185" l="1"/>
  <c r="AQ76" i="185"/>
  <c r="AT72" i="185"/>
  <c r="AU72" i="185" s="1"/>
  <c r="T80" i="185"/>
  <c r="V77" i="185" s="1"/>
  <c r="W76" i="185"/>
  <c r="X76" i="185" s="1"/>
  <c r="V76" i="185"/>
  <c r="AS73" i="185" l="1"/>
  <c r="AQ77" i="185"/>
  <c r="AT73" i="185"/>
  <c r="AU73" i="185" s="1"/>
  <c r="T81" i="185"/>
  <c r="V78" i="185" s="1"/>
  <c r="W77" i="185"/>
  <c r="X77" i="185" s="1"/>
  <c r="AS74" i="185" l="1"/>
  <c r="AQ78" i="185"/>
  <c r="AT74" i="185"/>
  <c r="AU74" i="185" s="1"/>
  <c r="T82" i="185"/>
  <c r="W78" i="185"/>
  <c r="X78" i="185" s="1"/>
  <c r="AT75" i="185" l="1"/>
  <c r="AU75" i="185" s="1"/>
  <c r="AQ79" i="185"/>
  <c r="AS75" i="185"/>
  <c r="T83" i="185"/>
  <c r="W79" i="185"/>
  <c r="X79" i="185" s="1"/>
  <c r="V79" i="185"/>
  <c r="AS76" i="185" l="1"/>
  <c r="AT76" i="185"/>
  <c r="AU76" i="185" s="1"/>
  <c r="AQ80" i="185"/>
  <c r="W80" i="185"/>
  <c r="X80" i="185" s="1"/>
  <c r="T84" i="185"/>
  <c r="W81" i="185" s="1"/>
  <c r="X81" i="185" s="1"/>
  <c r="V80" i="185"/>
  <c r="AS77" i="185" l="1"/>
  <c r="AQ81" i="185"/>
  <c r="AT78" i="185" s="1"/>
  <c r="AU78" i="185" s="1"/>
  <c r="AT77" i="185"/>
  <c r="AU77" i="185" s="1"/>
  <c r="V81" i="185"/>
  <c r="T85" i="185"/>
  <c r="AQ82" i="185" l="1"/>
  <c r="AS78" i="185"/>
  <c r="W82" i="185"/>
  <c r="X82" i="185" s="1"/>
  <c r="T86" i="185"/>
  <c r="V82" i="185"/>
  <c r="AS79" i="185" l="1"/>
  <c r="AQ83" i="185"/>
  <c r="AT79" i="185"/>
  <c r="AU79" i="185" s="1"/>
  <c r="T87" i="185"/>
  <c r="V83" i="185"/>
  <c r="W83" i="185"/>
  <c r="X83" i="185" s="1"/>
  <c r="AQ84" i="185" l="1"/>
  <c r="AT80" i="185"/>
  <c r="AU80" i="185" s="1"/>
  <c r="AS80" i="185"/>
  <c r="W84" i="185"/>
  <c r="X84" i="185" s="1"/>
  <c r="T88" i="185"/>
  <c r="V84" i="185"/>
  <c r="AS81" i="185" l="1"/>
  <c r="AQ85" i="185"/>
  <c r="AS82" i="185" s="1"/>
  <c r="AT81" i="185"/>
  <c r="AU81" i="185" s="1"/>
  <c r="T89" i="185"/>
  <c r="W86" i="185" s="1"/>
  <c r="X86" i="185" s="1"/>
  <c r="V85" i="185"/>
  <c r="W85" i="185"/>
  <c r="X85" i="185" s="1"/>
  <c r="AT82" i="185" l="1"/>
  <c r="AU82" i="185" s="1"/>
  <c r="AQ86" i="185"/>
  <c r="T90" i="185"/>
  <c r="V86" i="185"/>
  <c r="AQ87" i="185" l="1"/>
  <c r="AS84" i="185" s="1"/>
  <c r="AS83" i="185"/>
  <c r="AT83" i="185"/>
  <c r="AU83" i="185" s="1"/>
  <c r="T91" i="185"/>
  <c r="W87" i="185"/>
  <c r="X87" i="185" s="1"/>
  <c r="V87" i="185"/>
  <c r="AT84" i="185" l="1"/>
  <c r="AU84" i="185" s="1"/>
  <c r="AQ88" i="185"/>
  <c r="W88" i="185"/>
  <c r="X88" i="185" s="1"/>
  <c r="V88" i="185"/>
  <c r="T92" i="185"/>
  <c r="V89" i="185" s="1"/>
  <c r="AQ89" i="185" l="1"/>
  <c r="AS85" i="185"/>
  <c r="AT85" i="185"/>
  <c r="AU85" i="185" s="1"/>
  <c r="W89" i="185"/>
  <c r="X89" i="185" s="1"/>
  <c r="T93" i="185"/>
  <c r="W90" i="185" s="1"/>
  <c r="X90" i="185" s="1"/>
  <c r="AQ90" i="185" l="1"/>
  <c r="AT86" i="185"/>
  <c r="AU86" i="185" s="1"/>
  <c r="AS86" i="185"/>
  <c r="T94" i="185"/>
  <c r="V90" i="185"/>
  <c r="AS87" i="185" l="1"/>
  <c r="AQ91" i="185"/>
  <c r="AT88" i="185" s="1"/>
  <c r="AU88" i="185" s="1"/>
  <c r="AT87" i="185"/>
  <c r="AU87" i="185" s="1"/>
  <c r="T95" i="185"/>
  <c r="V92" i="185" s="1"/>
  <c r="V91" i="185"/>
  <c r="W91" i="185"/>
  <c r="X91" i="185" s="1"/>
  <c r="AS88" i="185" l="1"/>
  <c r="AQ92" i="185"/>
  <c r="AS89" i="185" s="1"/>
  <c r="W92" i="185"/>
  <c r="X92" i="185" s="1"/>
  <c r="T96" i="185"/>
  <c r="AT89" i="185" l="1"/>
  <c r="AU89" i="185" s="1"/>
  <c r="AQ93" i="185"/>
  <c r="V93" i="185"/>
  <c r="T97" i="185"/>
  <c r="W93" i="185"/>
  <c r="X93" i="185" s="1"/>
  <c r="AQ94" i="185" l="1"/>
  <c r="AS90" i="185"/>
  <c r="AT90" i="185"/>
  <c r="AU90" i="185" s="1"/>
  <c r="T98" i="185"/>
  <c r="W94" i="185"/>
  <c r="X94" i="185" s="1"/>
  <c r="V94" i="185"/>
  <c r="AS91" i="185" l="1"/>
  <c r="AQ95" i="185"/>
  <c r="AT92" i="185" s="1"/>
  <c r="AU92" i="185" s="1"/>
  <c r="AT91" i="185"/>
  <c r="AU91" i="185" s="1"/>
  <c r="V95" i="185"/>
  <c r="T99" i="185"/>
  <c r="W95" i="185"/>
  <c r="X95" i="185" s="1"/>
  <c r="AS92" i="185" l="1"/>
  <c r="AQ96" i="185"/>
  <c r="T100" i="185"/>
  <c r="W96" i="185"/>
  <c r="X96" i="185" s="1"/>
  <c r="V96" i="185"/>
  <c r="AS93" i="185" l="1"/>
  <c r="AT93" i="185"/>
  <c r="AU93" i="185" s="1"/>
  <c r="AQ97" i="185"/>
  <c r="T101" i="185"/>
  <c r="W98" i="185" s="1"/>
  <c r="X98" i="185" s="1"/>
  <c r="V97" i="185"/>
  <c r="W97" i="185"/>
  <c r="X97" i="185" s="1"/>
  <c r="AQ98" i="185" l="1"/>
  <c r="AT95" i="185" s="1"/>
  <c r="AU95" i="185" s="1"/>
  <c r="AT94" i="185"/>
  <c r="AU94" i="185" s="1"/>
  <c r="AS94" i="185"/>
  <c r="V98" i="185"/>
  <c r="T102" i="185"/>
  <c r="AQ99" i="185" l="1"/>
  <c r="AT96" i="185" s="1"/>
  <c r="AU96" i="185" s="1"/>
  <c r="AS95" i="185"/>
  <c r="T103" i="185"/>
  <c r="V99" i="185"/>
  <c r="W99" i="185"/>
  <c r="X99" i="185" s="1"/>
  <c r="AQ100" i="185" l="1"/>
  <c r="AT97" i="185" s="1"/>
  <c r="AU97" i="185" s="1"/>
  <c r="AS96" i="185"/>
  <c r="W100" i="185"/>
  <c r="X100" i="185" s="1"/>
  <c r="T104" i="185"/>
  <c r="V100" i="185"/>
  <c r="AS97" i="185" l="1"/>
  <c r="AQ101" i="185"/>
  <c r="AT98" i="185" s="1"/>
  <c r="AU98" i="185" s="1"/>
  <c r="V101" i="185"/>
  <c r="T105" i="185"/>
  <c r="W101" i="185"/>
  <c r="X101" i="185" s="1"/>
  <c r="AQ102" i="185" l="1"/>
  <c r="AS98" i="185"/>
  <c r="T106" i="185"/>
  <c r="W102" i="185"/>
  <c r="X102" i="185" s="1"/>
  <c r="V102" i="185"/>
  <c r="AS99" i="185" l="1"/>
  <c r="AQ103" i="185"/>
  <c r="AT99" i="185"/>
  <c r="AU99" i="185" s="1"/>
  <c r="V103" i="185"/>
  <c r="T107" i="185"/>
  <c r="W104" i="185" s="1"/>
  <c r="X104" i="185" s="1"/>
  <c r="W103" i="185"/>
  <c r="X103" i="185" s="1"/>
  <c r="AQ104" i="185" l="1"/>
  <c r="AT100" i="185"/>
  <c r="AU100" i="185" s="1"/>
  <c r="AS100" i="185"/>
  <c r="T108" i="185"/>
  <c r="V104" i="185"/>
  <c r="AQ105" i="185" l="1"/>
  <c r="AS101" i="185"/>
  <c r="AT101" i="185"/>
  <c r="AU101" i="185" s="1"/>
  <c r="V105" i="185"/>
  <c r="T109" i="185"/>
  <c r="U106" i="185" s="1"/>
  <c r="W105" i="185"/>
  <c r="X105" i="185" s="1"/>
  <c r="AT102" i="185" l="1"/>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J51" i="185"/>
  <c r="BK51" i="185" s="1"/>
  <c r="U26" i="185"/>
  <c r="U71" i="185"/>
  <c r="U32" i="185"/>
  <c r="U46" i="185"/>
  <c r="U77" i="185"/>
  <c r="U42" i="185"/>
  <c r="U41" i="185"/>
  <c r="U27" i="185"/>
  <c r="U48" i="185"/>
  <c r="U51" i="185"/>
  <c r="U28" i="185"/>
  <c r="U60" i="185"/>
  <c r="U30" i="185"/>
  <c r="U76" i="185"/>
  <c r="U31" i="185"/>
  <c r="U36" i="185"/>
  <c r="U73" i="185"/>
  <c r="U65" i="185"/>
  <c r="U15" i="185"/>
  <c r="BL51"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Y107" i="185" l="1"/>
  <c r="AQ107" i="185"/>
  <c r="AS103" i="185"/>
  <c r="Y97" i="185"/>
  <c r="Y104" i="185"/>
  <c r="Y102" i="185"/>
  <c r="BM51"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S104" i="185" l="1"/>
  <c r="AQ108" i="185"/>
  <c r="AT104" i="185"/>
  <c r="AU104" i="185" s="1"/>
  <c r="Z14" i="185"/>
  <c r="Z15" i="185" s="1"/>
  <c r="AQ109" i="185" l="1"/>
  <c r="AS105" i="185"/>
  <c r="AT105" i="185"/>
  <c r="AU105" i="185" s="1"/>
  <c r="Z16" i="185"/>
  <c r="Z17" i="185" s="1"/>
  <c r="AS107" i="185" l="1"/>
  <c r="AT109" i="185"/>
  <c r="AU109" i="185" s="1"/>
  <c r="AS109" i="185"/>
  <c r="AR109" i="185"/>
  <c r="BL57"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BJ57" i="185"/>
  <c r="BK57" i="185" s="1"/>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V106" i="185" l="1"/>
  <c r="AV103" i="185"/>
  <c r="AV102" i="185"/>
  <c r="AV107" i="185"/>
  <c r="AV104" i="185"/>
  <c r="BM57" i="185"/>
  <c r="AV109" i="185"/>
  <c r="AV58" i="185"/>
  <c r="AV72" i="185"/>
  <c r="AV40" i="185"/>
  <c r="AV68" i="185"/>
  <c r="AV77" i="185"/>
  <c r="AV20" i="185"/>
  <c r="AV21" i="185"/>
  <c r="AV73" i="185"/>
  <c r="AV70" i="185"/>
  <c r="AV67" i="185"/>
  <c r="AV41" i="185"/>
  <c r="AV56" i="185"/>
  <c r="AV75" i="185"/>
  <c r="AV42" i="185"/>
  <c r="AV43" i="185"/>
  <c r="AV74" i="185"/>
  <c r="AV69" i="185"/>
  <c r="AV61" i="185"/>
  <c r="AV59" i="185"/>
  <c r="AV80" i="185"/>
  <c r="AV30" i="185"/>
  <c r="AV48" i="185"/>
  <c r="AV38" i="185"/>
  <c r="AV36" i="185"/>
  <c r="AV45" i="185"/>
  <c r="AV46" i="185"/>
  <c r="AV51" i="185"/>
  <c r="AV19" i="185"/>
  <c r="AV71" i="185"/>
  <c r="AV64" i="185"/>
  <c r="AV37" i="185"/>
  <c r="AV33" i="185"/>
  <c r="AV28" i="185"/>
  <c r="AV53" i="185"/>
  <c r="AV27" i="185"/>
  <c r="AV25" i="185"/>
  <c r="AV66" i="185"/>
  <c r="AV79" i="185"/>
  <c r="AV26" i="185"/>
  <c r="AV14" i="185"/>
  <c r="AV15" i="185"/>
  <c r="AV57" i="185"/>
  <c r="AV35" i="185"/>
  <c r="AV34" i="185"/>
  <c r="AV55" i="185"/>
  <c r="AV63" i="185"/>
  <c r="AV18" i="185"/>
  <c r="AV44" i="185"/>
  <c r="AV31" i="185"/>
  <c r="AV50" i="185"/>
  <c r="AV65" i="185"/>
  <c r="AV49" i="185"/>
  <c r="AV76" i="185"/>
  <c r="AV62" i="185"/>
  <c r="AV24" i="185"/>
  <c r="AV52" i="185"/>
  <c r="AV29" i="185"/>
  <c r="AV17" i="185"/>
  <c r="AV22" i="185"/>
  <c r="AV60" i="185"/>
  <c r="AV78" i="185"/>
  <c r="AV32" i="185"/>
  <c r="AV39" i="185"/>
  <c r="AV47" i="185"/>
  <c r="AV16" i="185"/>
  <c r="AV54" i="185"/>
  <c r="AV23" i="185"/>
  <c r="AV81" i="185"/>
  <c r="AV82" i="185"/>
  <c r="AV86" i="185"/>
  <c r="AV85" i="185"/>
  <c r="AV84" i="185"/>
  <c r="AV83" i="185"/>
  <c r="AV87" i="185"/>
  <c r="AV88" i="185"/>
  <c r="AV92" i="185"/>
  <c r="AV89" i="185"/>
  <c r="AV90" i="185"/>
  <c r="AV91" i="185"/>
  <c r="AV93" i="185"/>
  <c r="AV94" i="185"/>
  <c r="AV95" i="185"/>
  <c r="AV96" i="185"/>
  <c r="AV97" i="185"/>
  <c r="AV98" i="185"/>
  <c r="AV100" i="185"/>
  <c r="AV108" i="185"/>
  <c r="AV105" i="185"/>
  <c r="AV99" i="185"/>
  <c r="AV101" i="185"/>
  <c r="AB15" i="185"/>
  <c r="AC15" i="185"/>
  <c r="AD15" i="185" s="1"/>
  <c r="Z19" i="185"/>
  <c r="AW14" i="185" l="1"/>
  <c r="AW15" i="185" s="1"/>
  <c r="Z20" i="185"/>
  <c r="AC16" i="185"/>
  <c r="AD16" i="185" s="1"/>
  <c r="AW16" i="185" l="1"/>
  <c r="AW17" i="185" s="1"/>
  <c r="AB17" i="185"/>
  <c r="Z21" i="185"/>
  <c r="AB18" i="185" s="1"/>
  <c r="AC17" i="185"/>
  <c r="AD17" i="185" s="1"/>
  <c r="AW18" i="185" l="1"/>
  <c r="AW19" i="185" s="1"/>
  <c r="AZ14" i="185"/>
  <c r="BA14" i="185" s="1"/>
  <c r="AY14" i="185"/>
  <c r="Z22" i="185"/>
  <c r="AB19" i="185" s="1"/>
  <c r="AC18" i="185"/>
  <c r="AD18" i="185" s="1"/>
  <c r="AW20" i="185" l="1"/>
  <c r="AZ15" i="185"/>
  <c r="BA15" i="185" s="1"/>
  <c r="AZ16" i="185"/>
  <c r="BA16" i="185" s="1"/>
  <c r="AY15" i="185"/>
  <c r="AC19" i="185"/>
  <c r="AD19" i="185" s="1"/>
  <c r="Z23" i="185"/>
  <c r="AY17" i="185" l="1"/>
  <c r="AW21" i="185"/>
  <c r="AW22" i="185" s="1"/>
  <c r="AZ17" i="185"/>
  <c r="BA17" i="185" s="1"/>
  <c r="AC20" i="185"/>
  <c r="AD20" i="185" s="1"/>
  <c r="Z24" i="185"/>
  <c r="AB20" i="185"/>
  <c r="AZ19" i="185" l="1"/>
  <c r="BA19" i="185" s="1"/>
  <c r="AY19" i="185"/>
  <c r="AZ18" i="185"/>
  <c r="BA18" i="185" s="1"/>
  <c r="AW23" i="185"/>
  <c r="AY18" i="185"/>
  <c r="AC21" i="185"/>
  <c r="AD21" i="185" s="1"/>
  <c r="Z25" i="185"/>
  <c r="AC22" i="185" s="1"/>
  <c r="AD22" i="185" s="1"/>
  <c r="AB21" i="185"/>
  <c r="AZ20" i="185" l="1"/>
  <c r="BA20" i="185" s="1"/>
  <c r="AY20" i="185"/>
  <c r="AW24" i="185"/>
  <c r="AB22" i="185"/>
  <c r="Z26" i="185"/>
  <c r="AY21" i="185" l="1"/>
  <c r="AW25" i="185"/>
  <c r="AZ21" i="185"/>
  <c r="BA21" i="185" s="1"/>
  <c r="Z27" i="185"/>
  <c r="AC23" i="185"/>
  <c r="AD23" i="185" s="1"/>
  <c r="AB23" i="185"/>
  <c r="AY22" i="185" l="1"/>
  <c r="AW26" i="185"/>
  <c r="AZ22" i="185"/>
  <c r="BA22" i="185" s="1"/>
  <c r="AB24" i="185"/>
  <c r="Z28" i="185"/>
  <c r="AB25" i="185" s="1"/>
  <c r="AC24" i="185"/>
  <c r="AD24" i="185" s="1"/>
  <c r="AY23" i="185" l="1"/>
  <c r="AW27" i="185"/>
  <c r="AZ23" i="185"/>
  <c r="BA23" i="185" s="1"/>
  <c r="AC25" i="185"/>
  <c r="AD25" i="185" s="1"/>
  <c r="Z29" i="185"/>
  <c r="AZ24" i="185" l="1"/>
  <c r="BA24" i="185" s="1"/>
  <c r="AW28" i="185"/>
  <c r="AY24" i="185"/>
  <c r="Z30" i="185"/>
  <c r="AC27" i="185" s="1"/>
  <c r="AD27" i="185" s="1"/>
  <c r="AB26" i="185"/>
  <c r="AC26" i="185"/>
  <c r="AD26" i="185" s="1"/>
  <c r="AZ25" i="185" l="1"/>
  <c r="BA25" i="185" s="1"/>
  <c r="AW29" i="185"/>
  <c r="AY25" i="185"/>
  <c r="AB27" i="185"/>
  <c r="Z31" i="185"/>
  <c r="AY26" i="185" l="1"/>
  <c r="AW30" i="185"/>
  <c r="AZ26" i="185"/>
  <c r="BA26" i="185" s="1"/>
  <c r="AC28" i="185"/>
  <c r="AD28" i="185" s="1"/>
  <c r="Z32" i="185"/>
  <c r="AB28" i="185"/>
  <c r="AW31" i="185" l="1"/>
  <c r="AY27" i="185"/>
  <c r="AZ27" i="185"/>
  <c r="BA27" i="185" s="1"/>
  <c r="Z33" i="185"/>
  <c r="AC29" i="185"/>
  <c r="AD29" i="185" s="1"/>
  <c r="AB29" i="185"/>
  <c r="AZ28" i="185" l="1"/>
  <c r="BA28" i="185" s="1"/>
  <c r="AW32" i="185"/>
  <c r="AY28" i="185"/>
  <c r="AB30" i="185"/>
  <c r="Z34" i="185"/>
  <c r="AB31" i="185" s="1"/>
  <c r="AC30" i="185"/>
  <c r="AD30" i="185" s="1"/>
  <c r="AY29" i="185" l="1"/>
  <c r="AW33" i="185"/>
  <c r="AZ29" i="185"/>
  <c r="BA29" i="185" s="1"/>
  <c r="Z35" i="185"/>
  <c r="AC31" i="185"/>
  <c r="AD31" i="185" s="1"/>
  <c r="AY30" i="185" l="1"/>
  <c r="AW34" i="185"/>
  <c r="AZ30" i="185"/>
  <c r="BA30" i="185" s="1"/>
  <c r="Z36" i="185"/>
  <c r="AC32" i="185"/>
  <c r="AD32" i="185" s="1"/>
  <c r="AB32" i="185"/>
  <c r="AZ31" i="185" l="1"/>
  <c r="BA31" i="185" s="1"/>
  <c r="AW35" i="185"/>
  <c r="AY31" i="185"/>
  <c r="AB33" i="185"/>
  <c r="Z37" i="185"/>
  <c r="AC33" i="185"/>
  <c r="AD33" i="185" s="1"/>
  <c r="AW36" i="185" l="1"/>
  <c r="AZ33" i="185" s="1"/>
  <c r="BA33" i="185" s="1"/>
  <c r="AZ32" i="185"/>
  <c r="BA32" i="185" s="1"/>
  <c r="AY32" i="185"/>
  <c r="Z38" i="185"/>
  <c r="AB34" i="185"/>
  <c r="AC34" i="185"/>
  <c r="AD34" i="185" s="1"/>
  <c r="AW37" i="185" l="1"/>
  <c r="AY33" i="185"/>
  <c r="Z39" i="185"/>
  <c r="AB35" i="185"/>
  <c r="AC35" i="185"/>
  <c r="AD35" i="185" s="1"/>
  <c r="AW38" i="185" l="1"/>
  <c r="AZ34" i="185"/>
  <c r="BA34" i="185" s="1"/>
  <c r="AY34" i="185"/>
  <c r="Z40" i="185"/>
  <c r="AC36" i="185"/>
  <c r="AD36" i="185" s="1"/>
  <c r="AB36" i="185"/>
  <c r="AW39" i="185" l="1"/>
  <c r="AY36" i="185" s="1"/>
  <c r="AY35" i="185"/>
  <c r="AZ35" i="185"/>
  <c r="BA35" i="185" s="1"/>
  <c r="AC37" i="185"/>
  <c r="AD37" i="185" s="1"/>
  <c r="Z41" i="185"/>
  <c r="AB38" i="185" s="1"/>
  <c r="AB37" i="185"/>
  <c r="AZ36" i="185" l="1"/>
  <c r="BA36" i="185" s="1"/>
  <c r="AW40" i="185"/>
  <c r="AZ37" i="185" s="1"/>
  <c r="BA37" i="185" s="1"/>
  <c r="Z42" i="185"/>
  <c r="AC38" i="185"/>
  <c r="AD38" i="185" s="1"/>
  <c r="AW41" i="185" l="1"/>
  <c r="AY37" i="185"/>
  <c r="Z43" i="185"/>
  <c r="AC39" i="185"/>
  <c r="AD39" i="185" s="1"/>
  <c r="AB39" i="185"/>
  <c r="AY38" i="185" l="1"/>
  <c r="AW42" i="185"/>
  <c r="AZ39" i="185" s="1"/>
  <c r="BA39" i="185" s="1"/>
  <c r="AZ38" i="185"/>
  <c r="BA38" i="185" s="1"/>
  <c r="AB40" i="185"/>
  <c r="Z44" i="185"/>
  <c r="AC40" i="185"/>
  <c r="AD40" i="185" s="1"/>
  <c r="AW43" i="185" l="1"/>
  <c r="AY39" i="185"/>
  <c r="AB41" i="185"/>
  <c r="Z45" i="185"/>
  <c r="AC41" i="185"/>
  <c r="AD41" i="185" s="1"/>
  <c r="AW44" i="185" l="1"/>
  <c r="AZ40" i="185"/>
  <c r="BA40" i="185" s="1"/>
  <c r="AY40" i="185"/>
  <c r="AC42" i="185"/>
  <c r="AD42" i="185" s="1"/>
  <c r="Z46" i="185"/>
  <c r="AB43" i="185" s="1"/>
  <c r="AB42" i="185"/>
  <c r="AW45" i="185" l="1"/>
  <c r="AZ41" i="185"/>
  <c r="BA41" i="185" s="1"/>
  <c r="AY41" i="185"/>
  <c r="Z47" i="185"/>
  <c r="AB44" i="185" s="1"/>
  <c r="AC43" i="185"/>
  <c r="AD43" i="185" s="1"/>
  <c r="AY42" i="185" l="1"/>
  <c r="AW46" i="185"/>
  <c r="AZ42" i="185"/>
  <c r="BA42" i="185" s="1"/>
  <c r="AC44" i="185"/>
  <c r="AD44" i="185" s="1"/>
  <c r="Z48" i="185"/>
  <c r="AW47" i="185" l="1"/>
  <c r="AY44" i="185" s="1"/>
  <c r="AY43" i="185"/>
  <c r="AZ43" i="185"/>
  <c r="BA43" i="185" s="1"/>
  <c r="Z49" i="185"/>
  <c r="AB45" i="185"/>
  <c r="AC45" i="185"/>
  <c r="AD45" i="185" s="1"/>
  <c r="AZ44" i="185" l="1"/>
  <c r="BA44" i="185" s="1"/>
  <c r="AW48" i="185"/>
  <c r="AY45" i="185" s="1"/>
  <c r="Z50" i="185"/>
  <c r="AB47" i="185" s="1"/>
  <c r="AB46" i="185"/>
  <c r="AC46" i="185"/>
  <c r="AD46" i="185" s="1"/>
  <c r="AW49" i="185" l="1"/>
  <c r="AZ45" i="185"/>
  <c r="BA45" i="185" s="1"/>
  <c r="Z51" i="185"/>
  <c r="AB48" i="185" s="1"/>
  <c r="AC47" i="185"/>
  <c r="AD47" i="185" s="1"/>
  <c r="AW50" i="185" l="1"/>
  <c r="AZ47" i="185" s="1"/>
  <c r="BA47" i="185" s="1"/>
  <c r="AY46" i="185"/>
  <c r="AZ46" i="185"/>
  <c r="BA46" i="185" s="1"/>
  <c r="Z52" i="185"/>
  <c r="AC48" i="185"/>
  <c r="AD48" i="185" s="1"/>
  <c r="AY47" i="185" l="1"/>
  <c r="AW51" i="185"/>
  <c r="AZ48" i="185" s="1"/>
  <c r="BA48" i="185" s="1"/>
  <c r="Z53" i="185"/>
  <c r="AB49" i="185"/>
  <c r="AC49" i="185"/>
  <c r="AD49" i="185" s="1"/>
  <c r="AW52" i="185" l="1"/>
  <c r="AZ49" i="185" s="1"/>
  <c r="BA49" i="185" s="1"/>
  <c r="AY48" i="185"/>
  <c r="Z54" i="185"/>
  <c r="AB50" i="185"/>
  <c r="AC50" i="185"/>
  <c r="AD50" i="185" s="1"/>
  <c r="AY49" i="185" l="1"/>
  <c r="AW53" i="185"/>
  <c r="AB51" i="185"/>
  <c r="Z55" i="185"/>
  <c r="AC52" i="185" s="1"/>
  <c r="AD52" i="185" s="1"/>
  <c r="AC51" i="185"/>
  <c r="AD51" i="185" s="1"/>
  <c r="AZ50" i="185" l="1"/>
  <c r="BA50" i="185" s="1"/>
  <c r="AY50" i="185"/>
  <c r="AW54" i="185"/>
  <c r="Z56" i="185"/>
  <c r="AC53" i="185" s="1"/>
  <c r="AD53" i="185" s="1"/>
  <c r="AB52" i="185"/>
  <c r="AW55" i="185" l="1"/>
  <c r="AZ51" i="185"/>
  <c r="BA51" i="185" s="1"/>
  <c r="AY51" i="185"/>
  <c r="Z57" i="185"/>
  <c r="AB54" i="185" s="1"/>
  <c r="AB53" i="185"/>
  <c r="AZ52" i="185" l="1"/>
  <c r="BA52" i="185" s="1"/>
  <c r="AW56" i="185"/>
  <c r="AY52" i="185"/>
  <c r="Z58" i="185"/>
  <c r="AC54" i="185"/>
  <c r="AD54" i="185" s="1"/>
  <c r="AY53" i="185" l="1"/>
  <c r="AW57" i="185"/>
  <c r="AZ53" i="185"/>
  <c r="BA53" i="185" s="1"/>
  <c r="Z59" i="185"/>
  <c r="AC55" i="185"/>
  <c r="AD55" i="185" s="1"/>
  <c r="AB55" i="185"/>
  <c r="AY54" i="185" l="1"/>
  <c r="AW58" i="185"/>
  <c r="AZ54" i="185"/>
  <c r="BA54" i="185" s="1"/>
  <c r="Z60" i="185"/>
  <c r="AC56" i="185"/>
  <c r="AD56" i="185" s="1"/>
  <c r="AB56" i="185"/>
  <c r="AW59" i="185" l="1"/>
  <c r="AZ55" i="185"/>
  <c r="BA55" i="185" s="1"/>
  <c r="AY55" i="185"/>
  <c r="Z61" i="185"/>
  <c r="AC58" i="185" s="1"/>
  <c r="AD58" i="185" s="1"/>
  <c r="AC57" i="185"/>
  <c r="AD57" i="185" s="1"/>
  <c r="AB57" i="185"/>
  <c r="AZ56" i="185" l="1"/>
  <c r="BA56" i="185" s="1"/>
  <c r="AY56" i="185"/>
  <c r="AW60" i="185"/>
  <c r="AB58" i="185"/>
  <c r="Z62" i="185"/>
  <c r="AW61" i="185" l="1"/>
  <c r="AZ57" i="185"/>
  <c r="BA57" i="185" s="1"/>
  <c r="AY57" i="185"/>
  <c r="Z63" i="185"/>
  <c r="AB59" i="185"/>
  <c r="AC59" i="185"/>
  <c r="AD59" i="185" s="1"/>
  <c r="AZ58" i="185" l="1"/>
  <c r="BA58" i="185" s="1"/>
  <c r="AW62" i="185"/>
  <c r="AY59" i="185" s="1"/>
  <c r="AY58" i="185"/>
  <c r="Z64" i="185"/>
  <c r="AC60" i="185"/>
  <c r="AD60" i="185" s="1"/>
  <c r="AB60" i="185"/>
  <c r="AZ59" i="185" l="1"/>
  <c r="BA59" i="185" s="1"/>
  <c r="AW63" i="185"/>
  <c r="AY60" i="185" s="1"/>
  <c r="AC61" i="185"/>
  <c r="AD61" i="185" s="1"/>
  <c r="Z65" i="185"/>
  <c r="AB61" i="185"/>
  <c r="AW64" i="185" l="1"/>
  <c r="AZ60" i="185"/>
  <c r="BA60" i="185" s="1"/>
  <c r="AB62" i="185"/>
  <c r="Z66" i="185"/>
  <c r="AC62" i="185"/>
  <c r="AD62" i="185" s="1"/>
  <c r="AZ61" i="185" l="1"/>
  <c r="BA61" i="185" s="1"/>
  <c r="AY61" i="185"/>
  <c r="AW65" i="185"/>
  <c r="Z67" i="185"/>
  <c r="AC63" i="185"/>
  <c r="AD63" i="185" s="1"/>
  <c r="AB63" i="185"/>
  <c r="AW66" i="185" l="1"/>
  <c r="AY63" i="185" s="1"/>
  <c r="AZ62" i="185"/>
  <c r="BA62" i="185" s="1"/>
  <c r="AY62" i="185"/>
  <c r="Z68" i="185"/>
  <c r="AC64" i="185"/>
  <c r="AD64" i="185" s="1"/>
  <c r="AB64" i="185"/>
  <c r="AW67" i="185" l="1"/>
  <c r="AZ64" i="185" s="1"/>
  <c r="BA64" i="185" s="1"/>
  <c r="AZ63" i="185"/>
  <c r="BA63" i="185" s="1"/>
  <c r="Z69" i="185"/>
  <c r="AC65" i="185"/>
  <c r="AD65" i="185" s="1"/>
  <c r="AB65" i="185"/>
  <c r="AW68" i="185" l="1"/>
  <c r="AY64" i="185"/>
  <c r="Z70" i="185"/>
  <c r="AC66" i="185"/>
  <c r="AD66" i="185" s="1"/>
  <c r="AB66" i="185"/>
  <c r="AZ65" i="185" l="1"/>
  <c r="BA65" i="185" s="1"/>
  <c r="AW69" i="185"/>
  <c r="AY65" i="185"/>
  <c r="Z71" i="185"/>
  <c r="AB67" i="185"/>
  <c r="AC67" i="185"/>
  <c r="AD67" i="185" s="1"/>
  <c r="AZ66" i="185" l="1"/>
  <c r="BA66" i="185" s="1"/>
  <c r="AY66" i="185"/>
  <c r="AW70" i="185"/>
  <c r="Z72" i="185"/>
  <c r="AC69" i="185" s="1"/>
  <c r="AD69" i="185" s="1"/>
  <c r="AC68" i="185"/>
  <c r="AD68" i="185" s="1"/>
  <c r="AB68" i="185"/>
  <c r="AW71" i="185" l="1"/>
  <c r="AZ68" i="185" s="1"/>
  <c r="BA68" i="185" s="1"/>
  <c r="AZ67" i="185"/>
  <c r="BA67" i="185" s="1"/>
  <c r="AY67" i="185"/>
  <c r="AB69" i="185"/>
  <c r="Z73" i="185"/>
  <c r="AY68" i="185" l="1"/>
  <c r="AW72" i="185"/>
  <c r="AZ69" i="185" s="1"/>
  <c r="BA69" i="185" s="1"/>
  <c r="AC70" i="185"/>
  <c r="AD70" i="185" s="1"/>
  <c r="Z74" i="185"/>
  <c r="AB71" i="185" s="1"/>
  <c r="AB70" i="185"/>
  <c r="AW73" i="185" l="1"/>
  <c r="AY69" i="185"/>
  <c r="AC71" i="185"/>
  <c r="AD71" i="185" s="1"/>
  <c r="Z75" i="185"/>
  <c r="AB72" i="185" s="1"/>
  <c r="AW74" i="185" l="1"/>
  <c r="AZ70" i="185"/>
  <c r="BA70" i="185" s="1"/>
  <c r="AY70" i="185"/>
  <c r="Z76" i="185"/>
  <c r="AC72" i="185"/>
  <c r="AD72" i="185" s="1"/>
  <c r="AY71" i="185" l="1"/>
  <c r="AW75" i="185"/>
  <c r="AZ71" i="185"/>
  <c r="BA71" i="185" s="1"/>
  <c r="Z77" i="185"/>
  <c r="AB74" i="185" s="1"/>
  <c r="AB73" i="185"/>
  <c r="AC73" i="185"/>
  <c r="AD73" i="185" s="1"/>
  <c r="AZ72" i="185" l="1"/>
  <c r="BA72" i="185" s="1"/>
  <c r="AW76" i="185"/>
  <c r="AY72" i="185"/>
  <c r="Z78" i="185"/>
  <c r="AC74" i="185"/>
  <c r="AD74" i="185" s="1"/>
  <c r="AW77" i="185" l="1"/>
  <c r="AY73" i="185"/>
  <c r="AZ73" i="185"/>
  <c r="BA73" i="185" s="1"/>
  <c r="AB75" i="185"/>
  <c r="Z79" i="185"/>
  <c r="AC75" i="185"/>
  <c r="AD75" i="185" s="1"/>
  <c r="AZ74" i="185" l="1"/>
  <c r="BA74" i="185" s="1"/>
  <c r="AW78" i="185"/>
  <c r="AY74" i="185"/>
  <c r="Z80" i="185"/>
  <c r="AC76" i="185"/>
  <c r="AD76" i="185" s="1"/>
  <c r="AB76" i="185"/>
  <c r="AY75" i="185" l="1"/>
  <c r="AW79" i="185"/>
  <c r="AY76" i="185" s="1"/>
  <c r="AZ75" i="185"/>
  <c r="BA75" i="185" s="1"/>
  <c r="Z81" i="185"/>
  <c r="AB78" i="185" s="1"/>
  <c r="AB77" i="185"/>
  <c r="AC77" i="185"/>
  <c r="AD77" i="185" s="1"/>
  <c r="AW80" i="185" l="1"/>
  <c r="AZ76" i="185"/>
  <c r="BA76" i="185" s="1"/>
  <c r="AC78" i="185"/>
  <c r="AD78" i="185" s="1"/>
  <c r="Z82" i="185"/>
  <c r="AZ77" i="185" l="1"/>
  <c r="BA77" i="185" s="1"/>
  <c r="AW81" i="185"/>
  <c r="AY78" i="185" s="1"/>
  <c r="AY77" i="185"/>
  <c r="Z83" i="185"/>
  <c r="AC79" i="185"/>
  <c r="AD79" i="185" s="1"/>
  <c r="AB79" i="185"/>
  <c r="AZ78" i="185" l="1"/>
  <c r="BA78" i="185" s="1"/>
  <c r="AW82" i="185"/>
  <c r="AC80" i="185"/>
  <c r="AD80" i="185" s="1"/>
  <c r="Z84" i="185"/>
  <c r="AB80" i="185"/>
  <c r="AW83" i="185" l="1"/>
  <c r="AZ79" i="185"/>
  <c r="BA79" i="185" s="1"/>
  <c r="AY79" i="185"/>
  <c r="Z85" i="185"/>
  <c r="AC82" i="185" s="1"/>
  <c r="AD82" i="185" s="1"/>
  <c r="AB81" i="185"/>
  <c r="AC81" i="185"/>
  <c r="AD81" i="185" s="1"/>
  <c r="AZ80" i="185" l="1"/>
  <c r="BA80" i="185" s="1"/>
  <c r="AW84" i="185"/>
  <c r="AY80" i="185"/>
  <c r="Z86" i="185"/>
  <c r="AC83" i="185" s="1"/>
  <c r="AD83" i="185" s="1"/>
  <c r="AB82" i="185"/>
  <c r="AW85" i="185" l="1"/>
  <c r="AY81" i="185"/>
  <c r="AZ81" i="185"/>
  <c r="BA81" i="185" s="1"/>
  <c r="Z87" i="185"/>
  <c r="AB83" i="185"/>
  <c r="AW86" i="185" l="1"/>
  <c r="AY83" i="185" s="1"/>
  <c r="AY82" i="185"/>
  <c r="AZ82" i="185"/>
  <c r="BA82" i="185" s="1"/>
  <c r="Z88" i="185"/>
  <c r="AB84" i="185"/>
  <c r="AC84" i="185"/>
  <c r="AD84" i="185" s="1"/>
  <c r="AW87" i="185" l="1"/>
  <c r="AZ83" i="185"/>
  <c r="BA83" i="185" s="1"/>
  <c r="Z89" i="185"/>
  <c r="AB86" i="185" s="1"/>
  <c r="AC85" i="185"/>
  <c r="AD85" i="185" s="1"/>
  <c r="AB85" i="185"/>
  <c r="AW88" i="185" l="1"/>
  <c r="AZ84" i="185"/>
  <c r="BA84" i="185" s="1"/>
  <c r="AY84" i="185"/>
  <c r="Z90" i="185"/>
  <c r="AC86" i="185"/>
  <c r="AD86" i="185" s="1"/>
  <c r="AW89" i="185" l="1"/>
  <c r="AY86" i="185" s="1"/>
  <c r="AY85" i="185"/>
  <c r="AZ85" i="185"/>
  <c r="BA85" i="185" s="1"/>
  <c r="Z91" i="185"/>
  <c r="AC88" i="185" s="1"/>
  <c r="AD88" i="185" s="1"/>
  <c r="AC87" i="185"/>
  <c r="AD87" i="185" s="1"/>
  <c r="AB87" i="185"/>
  <c r="AW90" i="185" l="1"/>
  <c r="AZ87" i="185" s="1"/>
  <c r="BA87" i="185" s="1"/>
  <c r="AZ86" i="185"/>
  <c r="BA86" i="185" s="1"/>
  <c r="Z92" i="185"/>
  <c r="AB88" i="185"/>
  <c r="AY87" i="185" l="1"/>
  <c r="AW91" i="185"/>
  <c r="AB89" i="185"/>
  <c r="Z93" i="185"/>
  <c r="AB90" i="185" s="1"/>
  <c r="AC89" i="185"/>
  <c r="AD89" i="185" s="1"/>
  <c r="AW92" i="185" l="1"/>
  <c r="AY88" i="185"/>
  <c r="AZ88" i="185"/>
  <c r="BA88" i="185" s="1"/>
  <c r="AC90" i="185"/>
  <c r="AD90" i="185" s="1"/>
  <c r="Z94" i="185"/>
  <c r="AW93" i="185" l="1"/>
  <c r="AY89" i="185"/>
  <c r="AZ89" i="185"/>
  <c r="BA89" i="185" s="1"/>
  <c r="AC91" i="185"/>
  <c r="AD91" i="185" s="1"/>
  <c r="Z95" i="185"/>
  <c r="AB92" i="185" s="1"/>
  <c r="AB91" i="185"/>
  <c r="AY90" i="185" l="1"/>
  <c r="AW94" i="185"/>
  <c r="AZ90" i="185"/>
  <c r="BA90" i="185" s="1"/>
  <c r="Z96" i="185"/>
  <c r="AC92" i="185"/>
  <c r="AD92" i="185" s="1"/>
  <c r="AW95" i="185" l="1"/>
  <c r="AY91" i="185"/>
  <c r="AZ91" i="185"/>
  <c r="BA91" i="185" s="1"/>
  <c r="Z97" i="185"/>
  <c r="AC93" i="185"/>
  <c r="AD93" i="185" s="1"/>
  <c r="AB93" i="185"/>
  <c r="AW96" i="185" l="1"/>
  <c r="AY92" i="185"/>
  <c r="AZ92" i="185"/>
  <c r="BA92" i="185" s="1"/>
  <c r="AB94" i="185"/>
  <c r="Z98" i="185"/>
  <c r="AC94" i="185"/>
  <c r="AD94" i="185" s="1"/>
  <c r="AY93" i="185" l="1"/>
  <c r="AW97" i="185"/>
  <c r="AZ93" i="185"/>
  <c r="BA93" i="185" s="1"/>
  <c r="Z99" i="185"/>
  <c r="AC96" i="185" s="1"/>
  <c r="AD96" i="185" s="1"/>
  <c r="AC95" i="185"/>
  <c r="AD95" i="185" s="1"/>
  <c r="AB95" i="185"/>
  <c r="AY94" i="185" l="1"/>
  <c r="AZ94" i="185"/>
  <c r="BA94" i="185" s="1"/>
  <c r="AW98" i="185"/>
  <c r="AZ95" i="185" s="1"/>
  <c r="BA95" i="185" s="1"/>
  <c r="AB96" i="185"/>
  <c r="Z100" i="185"/>
  <c r="AY95" i="185" l="1"/>
  <c r="AW99" i="185"/>
  <c r="AY96" i="185" s="1"/>
  <c r="Z101" i="185"/>
  <c r="AC97" i="185"/>
  <c r="AD97" i="185" s="1"/>
  <c r="AB97" i="185"/>
  <c r="AW100" i="185" l="1"/>
  <c r="AZ96" i="185"/>
  <c r="BA96" i="185" s="1"/>
  <c r="AC98" i="185"/>
  <c r="AD98" i="185" s="1"/>
  <c r="Z102" i="185"/>
  <c r="AB99" i="185" s="1"/>
  <c r="AB98" i="185"/>
  <c r="AW101" i="185" l="1"/>
  <c r="AZ97" i="185"/>
  <c r="BA97" i="185" s="1"/>
  <c r="AY97" i="185"/>
  <c r="AC99" i="185"/>
  <c r="AD99" i="185" s="1"/>
  <c r="Z103" i="185"/>
  <c r="AC100" i="185" s="1"/>
  <c r="AD100" i="185" s="1"/>
  <c r="AY98" i="185" l="1"/>
  <c r="AW102" i="185"/>
  <c r="AZ98" i="185"/>
  <c r="BA98" i="185" s="1"/>
  <c r="Z104" i="185"/>
  <c r="AB100" i="185"/>
  <c r="AY99" i="185" l="1"/>
  <c r="AW103" i="185"/>
  <c r="AY100" i="185" s="1"/>
  <c r="AZ99" i="185"/>
  <c r="BA99" i="185" s="1"/>
  <c r="Z105" i="185"/>
  <c r="AB101" i="185"/>
  <c r="AC101" i="185"/>
  <c r="AD101" i="185" s="1"/>
  <c r="AZ100" i="185" l="1"/>
  <c r="BA100" i="185" s="1"/>
  <c r="AW104" i="185"/>
  <c r="AZ101" i="185" s="1"/>
  <c r="BA101" i="185" s="1"/>
  <c r="AB102" i="185"/>
  <c r="AC102" i="185"/>
  <c r="AD102" i="185" s="1"/>
  <c r="Z106" i="185"/>
  <c r="AY101" i="185" l="1"/>
  <c r="AW105" i="185"/>
  <c r="Z107" i="185"/>
  <c r="AB103" i="185"/>
  <c r="AC103" i="185"/>
  <c r="AD103" i="185" s="1"/>
  <c r="AZ102" i="185" l="1"/>
  <c r="BA102" i="185" s="1"/>
  <c r="AY102" i="185"/>
  <c r="AW106" i="185"/>
  <c r="Z108" i="185"/>
  <c r="AB104" i="185"/>
  <c r="AC104" i="185"/>
  <c r="AD104" i="185" s="1"/>
  <c r="AY103" i="185" l="1"/>
  <c r="AW107" i="185"/>
  <c r="AZ103" i="185"/>
  <c r="BA103" i="185" s="1"/>
  <c r="AB105" i="185"/>
  <c r="Z109" i="185"/>
  <c r="AB108" i="185" s="1"/>
  <c r="AC105" i="185"/>
  <c r="AD105" i="185" s="1"/>
  <c r="AY104" i="185" l="1"/>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J52" i="185"/>
  <c r="BK52"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L52"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W109" i="185" l="1"/>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M52" i="185"/>
  <c r="AE103" i="185"/>
  <c r="AX107" i="185" l="1"/>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BJ58" i="185"/>
  <c r="BK58" i="185" s="1"/>
  <c r="AX64" i="185"/>
  <c r="AX79" i="185"/>
  <c r="AX65" i="185"/>
  <c r="AX21" i="185"/>
  <c r="AX80" i="185"/>
  <c r="AX72" i="185"/>
  <c r="AX25" i="185"/>
  <c r="AX39" i="185"/>
  <c r="AX30" i="185"/>
  <c r="AX52" i="185"/>
  <c r="AX69" i="185"/>
  <c r="AX71" i="185"/>
  <c r="AX31" i="185"/>
  <c r="AX44" i="185"/>
  <c r="AX14" i="185"/>
  <c r="AX49" i="185"/>
  <c r="AX81" i="185"/>
  <c r="AX22" i="185"/>
  <c r="BL58"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BB104" i="185" l="1"/>
  <c r="BB106" i="185"/>
  <c r="BM58"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BC14" i="185" l="1"/>
  <c r="BC15" i="185" s="1"/>
  <c r="BC16" i="185" s="1"/>
  <c r="AH15" i="185"/>
  <c r="AF16" i="185"/>
  <c r="BC17" i="185" l="1"/>
  <c r="AH16" i="185"/>
  <c r="AF17" i="185"/>
  <c r="BC18" i="185" l="1"/>
  <c r="AF18" i="185"/>
  <c r="AF19" i="185" s="1"/>
  <c r="AH17" i="185"/>
  <c r="BC19" i="185" l="1"/>
  <c r="BC20" i="185" s="1"/>
  <c r="BC21" i="185" s="1"/>
  <c r="BC22" i="185" s="1"/>
  <c r="AH19" i="185"/>
  <c r="AF20" i="185"/>
  <c r="AH18" i="185"/>
  <c r="BC23" i="185" l="1"/>
  <c r="AH20" i="185"/>
  <c r="AF21" i="185"/>
  <c r="BC24" i="185" l="1"/>
  <c r="AH21" i="185"/>
  <c r="AF22" i="185"/>
  <c r="BC25" i="185" l="1"/>
  <c r="AH22" i="185"/>
  <c r="AF23" i="185"/>
  <c r="BC26" i="185" l="1"/>
  <c r="AH23" i="185"/>
  <c r="AF24" i="185"/>
  <c r="BC27" i="185" l="1"/>
  <c r="AH24" i="185"/>
  <c r="AF25" i="185"/>
  <c r="BC28" i="185" l="1"/>
  <c r="AH25" i="185"/>
  <c r="AF26" i="185"/>
  <c r="BC29" i="185" l="1"/>
  <c r="AH26" i="185"/>
  <c r="AF27" i="185"/>
  <c r="BC30" i="185" l="1"/>
  <c r="AH27" i="185"/>
  <c r="AF28" i="185"/>
  <c r="BC31" i="185" l="1"/>
  <c r="AH28" i="185"/>
  <c r="AF29" i="185"/>
  <c r="BC32" i="185" l="1"/>
  <c r="AH29" i="185"/>
  <c r="AF30" i="185"/>
  <c r="BC33" i="185" l="1"/>
  <c r="AH30" i="185"/>
  <c r="AF31" i="185"/>
  <c r="BC34" i="185" l="1"/>
  <c r="AH31" i="185"/>
  <c r="AF32" i="185"/>
  <c r="BC35" i="185" l="1"/>
  <c r="AH32" i="185"/>
  <c r="AF33" i="185"/>
  <c r="BC36" i="185" l="1"/>
  <c r="AH33" i="185"/>
  <c r="AF34" i="185"/>
  <c r="BC37" i="185" l="1"/>
  <c r="AH34" i="185"/>
  <c r="AF35" i="185"/>
  <c r="BC38" i="185" l="1"/>
  <c r="AH35" i="185"/>
  <c r="AF36" i="185"/>
  <c r="BC39" i="185" l="1"/>
  <c r="AH36" i="185"/>
  <c r="AF37" i="185"/>
  <c r="BC40" i="185" l="1"/>
  <c r="AH37" i="185"/>
  <c r="AF38" i="185"/>
  <c r="BC41" i="185" l="1"/>
  <c r="AH38" i="185"/>
  <c r="AF39" i="185"/>
  <c r="BC42" i="185" l="1"/>
  <c r="AH39" i="185"/>
  <c r="AF40" i="185"/>
  <c r="BC43" i="185" l="1"/>
  <c r="AH40" i="185"/>
  <c r="AF41" i="185"/>
  <c r="BC44" i="185" l="1"/>
  <c r="AH41" i="185"/>
  <c r="AF42" i="185"/>
  <c r="BC45" i="185" l="1"/>
  <c r="AH42" i="185"/>
  <c r="AF43" i="185"/>
  <c r="BC46" i="185" l="1"/>
  <c r="AH43" i="185"/>
  <c r="AF44" i="185"/>
  <c r="BC47" i="185" l="1"/>
  <c r="AH44" i="185"/>
  <c r="AF45" i="185"/>
  <c r="BC48" i="185" l="1"/>
  <c r="AH45" i="185"/>
  <c r="AF46" i="185"/>
  <c r="BC49" i="185" l="1"/>
  <c r="AH46" i="185"/>
  <c r="AF47" i="185"/>
  <c r="BC50" i="185" l="1"/>
  <c r="AH47" i="185"/>
  <c r="AF48" i="185"/>
  <c r="BC51" i="185" l="1"/>
  <c r="AH48" i="185"/>
  <c r="AF49" i="185"/>
  <c r="BC52" i="185" l="1"/>
  <c r="AH49" i="185"/>
  <c r="AF50" i="185"/>
  <c r="BC53" i="185" l="1"/>
  <c r="AH50" i="185"/>
  <c r="AF51" i="185"/>
  <c r="BC54" i="185" l="1"/>
  <c r="AH51" i="185"/>
  <c r="AF52" i="185"/>
  <c r="BC55" i="185" l="1"/>
  <c r="AH52" i="185"/>
  <c r="AF53" i="185"/>
  <c r="BC56" i="185" l="1"/>
  <c r="AH53" i="185"/>
  <c r="AF54" i="185"/>
  <c r="BC57" i="185" l="1"/>
  <c r="AH54" i="185"/>
  <c r="AF55" i="185"/>
  <c r="BC58" i="185" l="1"/>
  <c r="AH55" i="185"/>
  <c r="AF56" i="185"/>
  <c r="BC59" i="185" l="1"/>
  <c r="AH56" i="185"/>
  <c r="AF57" i="185"/>
  <c r="BC60" i="185" l="1"/>
  <c r="AH57" i="185"/>
  <c r="AF58" i="185"/>
  <c r="BC61" i="185" l="1"/>
  <c r="AH58" i="185"/>
  <c r="AF59" i="185"/>
  <c r="BC62" i="185" l="1"/>
  <c r="AH59" i="185"/>
  <c r="AF60" i="185"/>
  <c r="BC63" i="185" l="1"/>
  <c r="AH60" i="185"/>
  <c r="AF61" i="185"/>
  <c r="BC64" i="185" l="1"/>
  <c r="AH61" i="185"/>
  <c r="AF62" i="185"/>
  <c r="BC65" i="185" l="1"/>
  <c r="AH62" i="185"/>
  <c r="AF63" i="185"/>
  <c r="BC66" i="185" l="1"/>
  <c r="AH63" i="185"/>
  <c r="AF64" i="185"/>
  <c r="BC67" i="185" l="1"/>
  <c r="AH64" i="185"/>
  <c r="AF65" i="185"/>
  <c r="BC68" i="185" l="1"/>
  <c r="AH65" i="185"/>
  <c r="AF66" i="185"/>
  <c r="BC69" i="185" l="1"/>
  <c r="AH66" i="185"/>
  <c r="AF67" i="185"/>
  <c r="BC70" i="185" l="1"/>
  <c r="AH67" i="185"/>
  <c r="AF68" i="185"/>
  <c r="BC71" i="185" l="1"/>
  <c r="AH68" i="185"/>
  <c r="AF69" i="185"/>
  <c r="BC72" i="185" l="1"/>
  <c r="AH69" i="185"/>
  <c r="AF70" i="185"/>
  <c r="BC73" i="185" l="1"/>
  <c r="AH70" i="185"/>
  <c r="AF71" i="185"/>
  <c r="BC74" i="185" l="1"/>
  <c r="AH71" i="185"/>
  <c r="AF72" i="185"/>
  <c r="BC75" i="185" l="1"/>
  <c r="AH72" i="185"/>
  <c r="AF73" i="185"/>
  <c r="BC76" i="185" l="1"/>
  <c r="AH73" i="185"/>
  <c r="AF74" i="185"/>
  <c r="BC77" i="185" l="1"/>
  <c r="AH74" i="185"/>
  <c r="AF75" i="185"/>
  <c r="BC78" i="185" l="1"/>
  <c r="AH75" i="185"/>
  <c r="AF76" i="185"/>
  <c r="BC79" i="185" l="1"/>
  <c r="AH76" i="185"/>
  <c r="AF77" i="185"/>
  <c r="BC80" i="185" l="1"/>
  <c r="AH77" i="185"/>
  <c r="AF78" i="185"/>
  <c r="BC81" i="185" l="1"/>
  <c r="AH78" i="185"/>
  <c r="AF79" i="185"/>
  <c r="BC82" i="185" l="1"/>
  <c r="AH79" i="185"/>
  <c r="AF80" i="185"/>
  <c r="BC83" i="185" l="1"/>
  <c r="AH80" i="185"/>
  <c r="AF81" i="185"/>
  <c r="BC84" i="185" l="1"/>
  <c r="AH81" i="185"/>
  <c r="AF82" i="185"/>
  <c r="BC85" i="185" l="1"/>
  <c r="AH82" i="185"/>
  <c r="AF83" i="185"/>
  <c r="BC86" i="185" l="1"/>
  <c r="AH83" i="185"/>
  <c r="AF84" i="185"/>
  <c r="BC87" i="185" l="1"/>
  <c r="AH84" i="185"/>
  <c r="AF85" i="185"/>
  <c r="BC88" i="185" l="1"/>
  <c r="AH85" i="185"/>
  <c r="AF86" i="185"/>
  <c r="BC89" i="185" l="1"/>
  <c r="AH86" i="185"/>
  <c r="AF87" i="185"/>
  <c r="BC90" i="185" l="1"/>
  <c r="AH87" i="185"/>
  <c r="AF88" i="185"/>
  <c r="BC91" i="185" l="1"/>
  <c r="AH88" i="185"/>
  <c r="AF89" i="185"/>
  <c r="BC92" i="185" l="1"/>
  <c r="AH89" i="185"/>
  <c r="AF90" i="185"/>
  <c r="BC93" i="185" l="1"/>
  <c r="AH90" i="185"/>
  <c r="AF91" i="185"/>
  <c r="BC94" i="185" l="1"/>
  <c r="AH91" i="185"/>
  <c r="AF92" i="185"/>
  <c r="BC95" i="185" l="1"/>
  <c r="AH92" i="185"/>
  <c r="AF93" i="185"/>
  <c r="BC96" i="185" l="1"/>
  <c r="AH93" i="185"/>
  <c r="AF94" i="185"/>
  <c r="BC97" i="185" l="1"/>
  <c r="AH94" i="185"/>
  <c r="AF95" i="185"/>
  <c r="BC98" i="185" l="1"/>
  <c r="AH95" i="185"/>
  <c r="AF96" i="185"/>
  <c r="BC99" i="185" l="1"/>
  <c r="AH96" i="185"/>
  <c r="AF97" i="185"/>
  <c r="BC100" i="185" l="1"/>
  <c r="AH97" i="185"/>
  <c r="AF98" i="185"/>
  <c r="BC101" i="185" l="1"/>
  <c r="AH98" i="185"/>
  <c r="AF99" i="185"/>
  <c r="BC102" i="185" l="1"/>
  <c r="AH99" i="185"/>
  <c r="AF100" i="185"/>
  <c r="BC103" i="185" l="1"/>
  <c r="AH100" i="185"/>
  <c r="AF101" i="185"/>
  <c r="BC104" i="185" l="1"/>
  <c r="AH101" i="185"/>
  <c r="AF102" i="185"/>
  <c r="BC105" i="185" l="1"/>
  <c r="AH102" i="185"/>
  <c r="AF103" i="185"/>
  <c r="BC106" i="185" l="1"/>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L59" i="185"/>
  <c r="BD70" i="185"/>
  <c r="BD81" i="185"/>
  <c r="BD56" i="185"/>
  <c r="BD64" i="185"/>
  <c r="BD83" i="185"/>
  <c r="BD67" i="185"/>
  <c r="BD48" i="185"/>
  <c r="BD77" i="185"/>
  <c r="BD31" i="185"/>
  <c r="BD61" i="185"/>
  <c r="BJ59" i="185"/>
  <c r="BK59" i="185" s="1"/>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BM59" i="185" l="1"/>
  <c r="AH108" i="185"/>
  <c r="AF109" i="185"/>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L53" i="185"/>
  <c r="AG64" i="185"/>
  <c r="AG30" i="185"/>
  <c r="AG25" i="185"/>
  <c r="AG65" i="185"/>
  <c r="AG66" i="185"/>
  <c r="AG82" i="185"/>
  <c r="AG18" i="185"/>
  <c r="AG53" i="185"/>
  <c r="AG28" i="185"/>
  <c r="AG37" i="185"/>
  <c r="BJ53" i="185"/>
  <c r="BK53"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M53"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Right-click and edit hyperlink and paste google location in this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<sst xmlns="http://schemas.openxmlformats.org/spreadsheetml/2006/main" count="1290" uniqueCount="741">
  <si>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</si>
  <si>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</si>
  <si>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</si>
  <si>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</si>
  <si>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</si>
  <si>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</si>
  <si>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</si>
  <si>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</si>
  <si>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</si>
  <si>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</si>
  <si>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</si>
  <si>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</si>
  <si>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</si>
  <si>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</si>
  <si>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</si>
  <si>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</si>
  <si>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</si>
  <si>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</si>
  <si>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</si>
  <si>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</si>
  <si>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</si>
  <si>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</si>
  <si>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</si>
  <si>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</si>
  <si>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</si>
  <si>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</si>
  <si>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</si>
  <si>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</si>
  <si>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</si>
  <si>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</si>
  <si>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</si>
  <si>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</si>
  <si>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</si>
  <si>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</si>
  <si>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</si>
  <si>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</si>
  <si>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</si>
  <si>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</si>
  <si>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</si>
  <si>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</si>
  <si>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</si>
  <si>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</si>
  <si>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</si>
  <si>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</si>
  <si>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</si>
  <si>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</si>
  <si>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</si>
  <si>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</si>
  <si>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</si>
  <si>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</si>
  <si>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</si>
  <si>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</si>
  <si>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</si>
  <si>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</si>
  <si>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</si>
  <si>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</si>
  <si>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</si>
  <si>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</si>
  <si>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</si>
  <si>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</si>
  <si>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</si>
  <si>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</si>
  <si>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</si>
  <si>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</si>
  <si>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</si>
  <si>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</si>
  <si>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</si>
  <si>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</si>
  <si>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</si>
  <si>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</si>
  <si>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</si>
  <si>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</si>
  <si>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</si>
  <si>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</si>
  <si>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</si>
  <si>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</si>
  <si>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</si>
  <si>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</si>
  <si>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</si>
  <si>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</si>
  <si>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</si>
  <si>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</si>
  <si>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</si>
  <si>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</si>
  <si>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</si>
  <si>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</si>
  <si>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</si>
  <si>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</si>
  <si>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</si>
  <si>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</si>
  <si>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</si>
  <si>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</si>
  <si>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</si>
  <si>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</si>
  <si>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</si>
  <si>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</si>
  <si>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</si>
  <si>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</si>
  <si>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</si>
  <si>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</si>
  <si>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</si>
  <si>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</si>
  <si>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</si>
  <si>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</si>
  <si>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</si>
  <si>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</si>
  <si>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</si>
  <si>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</si>
  <si>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</si>
  <si>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</si>
  <si>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</si>
  <si>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</si>
  <si>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</si>
  <si>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</si>
  <si>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</si>
  <si>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</si>
  <si>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</si>
  <si>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</si>
  <si>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</si>
  <si>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</si>
  <si>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</si>
  <si>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</si>
  <si>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</si>
  <si>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</si>
  <si>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</si>
  <si>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</si>
  <si>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</si>
  <si>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</si>
  <si>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</si>
  <si>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</si>
  <si>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</si>
  <si>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</si>
  <si>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</si>
  <si>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</si>
  <si>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</si>
  <si>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</si>
  <si>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</si>
  <si>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</si>
  <si>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</si>
  <si>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</si>
  <si>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</si>
  <si>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</si>
  <si>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</si>
  <si>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</si>
  <si>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</si>
  <si>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</si>
  <si>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</si>
  <si>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</si>
  <si>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</si>
  <si>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</si>
  <si>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</si>
  <si>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</si>
  <si>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</si>
  <si>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</si>
  <si>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</si>
  <si>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</si>
  <si>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</si>
  <si>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</si>
  <si>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</si>
  <si>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</si>
  <si>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</si>
  <si>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</si>
  <si>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</si>
  <si>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</si>
  <si>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</si>
  <si>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</si>
  <si>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</si>
  <si>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</si>
  <si>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</si>
  <si>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</si>
  <si>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</si>
  <si>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</si>
  <si>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</si>
  <si>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</si>
  <si>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</si>
  <si>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</si>
  <si>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</si>
  <si>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</si>
  <si>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</si>
  <si>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</si>
  <si>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</si>
  <si>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</si>
  <si>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</si>
  <si>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</si>
  <si>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</si>
  <si>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</si>
  <si>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</si>
  <si>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</si>
  <si>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</si>
  <si>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</si>
  <si>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</si>
  <si>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</si>
  <si>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</si>
  <si>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</si>
  <si>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</si>
  <si>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</si>
  <si>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</si>
  <si>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</si>
  <si>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</si>
  <si>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</si>
  <si>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</si>
  <si>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</si>
  <si>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</si>
  <si>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</si>
  <si>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</si>
  <si>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</si>
  <si>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</si>
  <si>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</si>
  <si>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</si>
  <si>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</si>
  <si>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</si>
  <si>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</si>
  <si>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</si>
  <si>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</si>
  <si>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</si>
  <si>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</si>
  <si>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</si>
  <si>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</si>
  <si>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</si>
  <si>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</si>
  <si>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</si>
  <si>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</si>
  <si>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</si>
  <si>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</si>
  <si>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</si>
  <si>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</si>
  <si>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</si>
  <si>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</si>
  <si>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</si>
  <si>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</si>
  <si>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</si>
  <si>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</si>
  <si>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</si>
  <si>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</si>
  <si>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</si>
  <si>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</si>
  <si>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</si>
  <si>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</si>
  <si>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</si>
  <si>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</si>
  <si>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</si>
  <si>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</si>
  <si>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</si>
  <si>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</si>
  <si>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</si>
  <si>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</si>
  <si>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</si>
  <si>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</si>
  <si>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</si>
  <si>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</si>
  <si>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</si>
  <si>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</si>
  <si>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</si>
  <si>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</si>
  <si>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</si>
  <si>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</si>
  <si>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</si>
  <si>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</si>
  <si>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</si>
  <si>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</si>
  <si>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</si>
  <si>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</si>
  <si>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</si>
  <si>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</si>
  <si>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</si>
  <si>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</si>
  <si>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</si>
  <si>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</si>
  <si>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</si>
  <si>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</si>
  <si>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</si>
  <si>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</si>
  <si>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</si>
  <si>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</si>
  <si>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</si>
  <si>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</si>
  <si>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</si>
  <si>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</si>
  <si>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</si>
  <si>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</si>
  <si>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</si>
  <si>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</si>
  <si>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</si>
  <si>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</si>
  <si>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</si>
  <si>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</si>
  <si>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</si>
  <si>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</si>
  <si>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</si>
  <si>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</si>
  <si>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</si>
  <si>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</si>
  <si>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</si>
  <si>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</si>
  <si>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</si>
  <si>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</si>
  <si>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</si>
  <si>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</si>
  <si>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</si>
  <si>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</si>
  <si>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</si>
  <si>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</si>
  <si>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</si>
  <si>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</si>
  <si>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</si>
  <si>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</si>
  <si>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</si>
  <si>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</si>
  <si>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</si>
  <si>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</si>
  <si>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</si>
  <si>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</si>
  <si>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</si>
  <si>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</si>
  <si>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</si>
  <si>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</si>
  <si>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</si>
  <si>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</si>
  <si>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</si>
  <si>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</si>
  <si>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</si>
  <si>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</si>
  <si>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</si>
  <si>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</si>
  <si>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</si>
  <si>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</si>
  <si>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</si>
  <si>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</si>
  <si>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</si>
  <si>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</si>
  <si>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</si>
  <si>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</si>
  <si>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</si>
  <si>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</si>
  <si>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</si>
  <si>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</si>
  <si>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</si>
  <si>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</si>
  <si>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</si>
  <si>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</si>
  <si>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</si>
  <si>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</si>
  <si>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</si>
  <si>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</si>
  <si>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</si>
  <si>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</si>
  <si>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</si>
  <si>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</si>
  <si>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</si>
  <si>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</si>
  <si>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</si>
  <si>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</si>
  <si>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</si>
  <si>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</si>
  <si>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</si>
  <si>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</si>
  <si>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</si>
  <si>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</si>
  <si>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</si>
  <si>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</si>
  <si>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</si>
  <si>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</si>
  <si>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</si>
  <si>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</si>
  <si>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</si>
  <si>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</si>
  <si>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</si>
  <si>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</si>
  <si>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</si>
  <si>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</si>
  <si>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</si>
  <si>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</si>
  <si>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</si>
  <si>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</si>
  <si>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</si>
  <si>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</si>
  <si>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</si>
  <si>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</si>
  <si>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</si>
  <si>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</si>
  <si>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</si>
  <si>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</si>
  <si>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</si>
  <si>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</si>
  <si>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</si>
  <si>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</si>
  <si>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</si>
  <si>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</si>
  <si>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</si>
  <si>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</si>
  <si>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</si>
  <si>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</si>
  <si>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</si>
  <si>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</si>
  <si>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</si>
  <si>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</si>
  <si>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</si>
  <si>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</si>
  <si>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</si>
  <si>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</si>
  <si>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</si>
  <si>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</si>
  <si>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</si>
  <si>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</si>
  <si>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</si>
  <si>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</si>
  <si>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</si>
  <si>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</si>
  <si>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</si>
  <si>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</si>
  <si>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</si>
  <si>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</si>
  <si>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</si>
  <si>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</si>
  <si>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</si>
  <si>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</si>
  <si>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</si>
  <si>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</si>
  <si>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</si>
  <si>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</si>
  <si>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</si>
  <si>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</si>
  <si>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</si>
  <si>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</si>
  <si>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</si>
  <si>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</si>
  <si>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</si>
  <si>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</si>
  <si>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</si>
  <si>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</si>
  <si>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</si>
  <si>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</si>
  <si>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</si>
  <si>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</si>
  <si>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</si>
  <si>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</si>
  <si>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</si>
  <si>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</si>
  <si>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</si>
  <si>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</si>
  <si>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</si>
  <si>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</si>
  <si>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</si>
  <si>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</si>
  <si>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</si>
  <si>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</si>
  <si>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</si>
  <si>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</si>
  <si>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</si>
  <si>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</si>
  <si>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</si>
  <si>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</si>
  <si>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</si>
  <si>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</si>
  <si>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</si>
  <si>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</si>
  <si>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</si>
  <si>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</si>
  <si>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</si>
  <si>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</si>
  <si>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</si>
  <si>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</si>
  <si>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</si>
  <si>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</si>
  <si>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</si>
  <si>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</si>
  <si>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</si>
  <si>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</si>
  <si>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</si>
  <si>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</si>
  <si>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</si>
  <si>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</si>
  <si>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</si>
  <si>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</si>
  <si>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</si>
  <si>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</si>
  <si>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</si>
  <si>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</si>
  <si>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</si>
  <si>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</si>
  <si>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</si>
  <si>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</si>
  <si>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</si>
  <si>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</si>
  <si>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</si>
  <si>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</si>
  <si>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</si>
  <si>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</si>
  <si>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</si>
  <si>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</si>
  <si>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</si>
  <si>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</si>
  <si>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</si>
  <si>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</si>
  <si>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</si>
  <si>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</si>
  <si>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</si>
  <si>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</si>
  <si>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</si>
  <si>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</si>
  <si>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</si>
  <si>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</si>
  <si>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</si>
  <si>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</si>
  <si>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</si>
  <si>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</si>
  <si>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</si>
  <si>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</si>
  <si>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</si>
  <si>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</si>
  <si>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</si>
  <si>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</si>
  <si>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</si>
  <si>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</si>
  <si>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</si>
  <si>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</si>
  <si>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</si>
  <si>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</si>
  <si>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</si>
  <si>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</si>
  <si>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</si>
  <si>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</si>
  <si>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</si>
  <si>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</si>
  <si>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</si>
  <si>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</si>
  <si>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</si>
  <si>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</si>
  <si>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</si>
  <si>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</si>
  <si>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</si>
  <si>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</si>
  <si>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</si>
  <si>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</si>
  <si>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</si>
  <si>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</si>
  <si>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</si>
  <si>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</si>
  <si>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</si>
  <si>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</si>
  <si>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</si>
  <si>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</si>
  <si>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</si>
  <si>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</si>
  <si>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</si>
  <si>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</si>
  <si>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</si>
  <si>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</si>
  <si>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</si>
  <si>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</si>
  <si>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</si>
  <si>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</si>
  <si>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</si>
  <si>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</si>
  <si>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</si>
  <si>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</si>
  <si>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</si>
  <si>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</si>
  <si>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</si>
  <si>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</si>
  <si>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</si>
  <si>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</si>
  <si>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</si>
  <si>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</si>
  <si>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</si>
  <si>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</si>
  <si>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</si>
  <si>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</si>
  <si>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</si>
  <si>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</si>
  <si>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</si>
  <si>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</si>
  <si>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</si>
  <si>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</si>
  <si>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</si>
  <si>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</si>
  <si>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</si>
  <si>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</si>
  <si>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</si>
  <si>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</si>
  <si>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</si>
  <si>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</si>
  <si>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</si>
  <si>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</si>
  <si>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</si>
  <si>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</si>
  <si>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</si>
  <si>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</si>
  <si>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</si>
  <si>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</si>
  <si>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</si>
  <si>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</si>
  <si>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</si>
  <si>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</si>
  <si>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</si>
  <si>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</si>
  <si>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</si>
  <si>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</si>
  <si>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</si>
  <si>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</si>
  <si>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</si>
  <si>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</si>
  <si>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</si>
  <si>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</si>
  <si>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</si>
  <si>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</si>
  <si>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</si>
  <si>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</si>
  <si>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</si>
  <si>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</si>
  <si>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</si>
  <si>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</si>
  <si>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</si>
  <si>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</si>
  <si>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</si>
  <si>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</si>
  <si>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</si>
  <si>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</si>
  <si>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</si>
  <si>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</si>
  <si>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</si>
  <si>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</si>
  <si>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</si>
  <si>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</si>
  <si>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</si>
  <si>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</si>
  <si>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</si>
  <si>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</si>
  <si>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</si>
  <si>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</si>
  <si>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</si>
  <si>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</si>
  <si>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</si>
  <si>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</si>
  <si>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</si>
  <si>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</si>
  <si>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</si>
  <si>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</si>
  <si>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</si>
  <si>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</si>
  <si>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</si>
  <si>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</si>
  <si>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</si>
  <si>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</si>
  <si>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</si>
  <si>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</si>
  <si>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</si>
  <si>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</si>
  <si>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</si>
  <si>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</si>
  <si>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</si>
  <si>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</si>
  <si>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</si>
  <si>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</si>
  <si>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</si>
  <si>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</si>
  <si>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</si>
  <si>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</si>
  <si>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</si>
  <si>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</si>
  <si>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</si>
  <si>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</si>
  <si>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</si>
  <si>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</si>
  <si>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</si>
  <si>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</si>
  <si>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</si>
  <si>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</si>
  <si>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</si>
  <si>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</si>
  <si>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</si>
  <si>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</si>
  <si>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</si>
  <si>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</si>
  <si>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</si>
  <si>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</si>
  <si>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</si>
  <si>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</si>
  <si>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</si>
  <si>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</si>
  <si>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</si>
  <si>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</si>
  <si>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</si>
  <si>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</si>
  <si>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</si>
  <si>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</si>
  <si>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</si>
  <si>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</si>
  <si>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</si>
  <si>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</si>
  <si>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</si>
  <si>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</si>
  <si>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</si>
  <si>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</si>
  <si>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</si>
  <si>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</si>
  <si>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</si>
  <si>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</si>
  <si>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</si>
  <si>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</si>
  <si>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</si>
  <si>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</si>
  <si>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</si>
  <si>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</si>
  <si>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</si>
  <si>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</si>
  <si>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</si>
  <si>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</si>
  <si>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</si>
  <si>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</si>
  <si>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</si>
  <si>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</si>
  <si>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</si>
  <si>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</si>
  <si>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</si>
  <si>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</si>
  <si>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</si>
  <si>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</si>
  <si>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</si>
  <si>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</si>
  <si>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This Guidance comes from a different section of the OMUTCD, and it is included in this spreadsheet as an interim measure until a signal can be installed, if a signal is warranted.</t>
  </si>
  <si>
    <t>The Hours calculated for this Guidance are calculated similarly to Warrant 1.</t>
  </si>
  <si>
    <t>This isn’t so much a warrant, but an additional option to pursue in the case of a signal warrant is not satisfied.</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</si>
  <si>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</si>
  <si>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</si>
  <si>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</si>
  <si>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</si>
  <si>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</si>
  <si>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</si>
  <si>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</si>
  <si>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</si>
  <si>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</si>
  <si>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</si>
  <si>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</si>
  <si>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</si>
  <si>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Liberty Township</t>
  </si>
  <si>
    <t>Lanham Engineering, LLC</t>
  </si>
  <si>
    <t>Burgess &amp; Niple</t>
  </si>
  <si>
    <t>Princeton Glendale Rd, SR-747</t>
  </si>
  <si>
    <t>SR-747/SR-129 EB</t>
  </si>
  <si>
    <t>Butler County Veterans Hwy EB, SR-129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</si>
</sst>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7"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
      <u/>
      <sz val="10"/>
      <color theme="10"/>
      <name val="Arial"/>
      <family val="2"/>
    </font>
  </fonts>
  <fills count="22">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s>
  <borders count="5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8">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6" fillId="0" borderId="0" applyNumberFormat="0" applyFill="0" applyBorder="0" applyAlignment="0" applyProtection="0"/>
  </cellStyleXfs>
  <cellXfs count="831">
    <xf numFmtId="0" fontId="0" fillId="0" borderId="0" xfId="0"/>
    <xf numFmtId="0" fontId="0" fillId="0" borderId="0" xfId="0" applyAlignment="1">
      <alignment horizontal="center"/>
    </xf>
    <xf numFmtId="0" fontId="0" fillId="0" borderId="0" xfId="0" applyBorder="1"/>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8" applyBorder="1"/>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applyBorder="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5" fillId="0" borderId="0" xfId="0" applyFont="1" applyFill="1" applyBorder="1"/>
    <xf numFmtId="0" fontId="2" fillId="0" borderId="0" xfId="0" applyFont="1" applyAlignment="1">
      <alignment horizontal="right"/>
    </xf>
    <xf numFmtId="0" fontId="2" fillId="0" borderId="0" xfId="0" applyFont="1"/>
    <xf numFmtId="0" fontId="2" fillId="4" borderId="0" xfId="0" applyFont="1" applyFill="1"/>
    <xf numFmtId="0" fontId="0" fillId="0" borderId="0" xfId="0" applyFill="1" applyBorder="1"/>
    <xf numFmtId="0" fontId="5" fillId="0" borderId="0" xfId="0" applyFont="1" applyFill="1" applyBorder="1" applyAlignment="1">
      <alignment horizontal="center" vertical="center" wrapText="1"/>
    </xf>
    <xf numFmtId="18" fontId="0" fillId="0" borderId="0" xfId="0" applyNumberFormat="1" applyFill="1" applyBorder="1"/>
    <xf numFmtId="0" fontId="5" fillId="0" borderId="0" xfId="0" applyFont="1" applyAlignment="1">
      <alignment horizontal="right"/>
    </xf>
    <xf numFmtId="0" fontId="5" fillId="0" borderId="0" xfId="0" applyFont="1" applyFill="1" applyBorder="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0" fillId="0" borderId="0" xfId="0" applyBorder="1" applyAlignment="1">
      <alignment horizontal="center"/>
    </xf>
    <xf numFmtId="0" fontId="3" fillId="0" borderId="0" xfId="11" applyFont="1" applyFill="1" applyBorder="1" applyAlignment="1">
      <alignment horizontal="center" vertical="center" wrapText="1"/>
    </xf>
    <xf numFmtId="0" fontId="0" fillId="4" borderId="0" xfId="0" applyFill="1" applyBorder="1"/>
    <xf numFmtId="0" fontId="20" fillId="4" borderId="0" xfId="0" applyFont="1" applyFill="1" applyAlignment="1"/>
    <xf numFmtId="0" fontId="2" fillId="4" borderId="0" xfId="0" applyFont="1" applyFill="1" applyAlignment="1">
      <alignment wrapText="1"/>
    </xf>
    <xf numFmtId="0" fontId="0" fillId="4" borderId="0" xfId="0" applyFill="1" applyBorder="1" applyAlignment="1"/>
    <xf numFmtId="0" fontId="5" fillId="4" borderId="0" xfId="0" applyFont="1" applyFill="1" applyBorder="1" applyAlignment="1">
      <alignment horizontal="center" vertical="center"/>
    </xf>
    <xf numFmtId="0" fontId="5" fillId="4" borderId="0" xfId="0" applyFont="1" applyFill="1" applyBorder="1" applyAlignment="1">
      <alignment horizontal="center" vertical="center" wrapText="1"/>
    </xf>
    <xf numFmtId="18" fontId="0" fillId="4" borderId="0" xfId="0" applyNumberFormat="1" applyFill="1" applyBorder="1"/>
    <xf numFmtId="164" fontId="0" fillId="4" borderId="0" xfId="0" applyNumberFormat="1" applyFill="1" applyBorder="1"/>
    <xf numFmtId="0" fontId="5" fillId="4" borderId="0" xfId="0" applyFont="1" applyFill="1" applyBorder="1"/>
    <xf numFmtId="0" fontId="3" fillId="4" borderId="0" xfId="8" applyFont="1" applyFill="1"/>
    <xf numFmtId="0" fontId="5" fillId="4" borderId="0" xfId="8" applyFill="1"/>
    <xf numFmtId="0" fontId="5" fillId="4" borderId="0" xfId="8" applyFill="1" applyBorder="1" applyAlignment="1"/>
    <xf numFmtId="0" fontId="5" fillId="4" borderId="0" xfId="8" applyFill="1" applyBorder="1"/>
    <xf numFmtId="0" fontId="5" fillId="4" borderId="0" xfId="8" applyFill="1" applyBorder="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Border="1" applyAlignment="1">
      <alignment horizontal="center"/>
    </xf>
    <xf numFmtId="1" fontId="8" fillId="4" borderId="0" xfId="8" applyNumberFormat="1" applyFont="1" applyFill="1" applyBorder="1" applyAlignment="1">
      <alignment horizontal="center"/>
    </xf>
    <xf numFmtId="0" fontId="8" fillId="4" borderId="0" xfId="8" applyFont="1" applyFill="1" applyBorder="1" applyAlignment="1">
      <alignment horizontal="center"/>
    </xf>
    <xf numFmtId="2" fontId="8" fillId="4" borderId="0" xfId="8" applyNumberFormat="1" applyFont="1" applyFill="1" applyBorder="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applyAlignment="1"/>
    <xf numFmtId="0" fontId="5" fillId="4" borderId="10" xfId="8" applyFill="1" applyBorder="1" applyAlignment="1"/>
    <xf numFmtId="0" fontId="5" fillId="4" borderId="10" xfId="8" applyFill="1" applyBorder="1" applyAlignment="1">
      <alignment horizontal="left"/>
    </xf>
    <xf numFmtId="0" fontId="5" fillId="4" borderId="0" xfId="8" applyFill="1" applyAlignment="1">
      <alignment horizontal="center"/>
    </xf>
    <xf numFmtId="0" fontId="4" fillId="4" borderId="0" xfId="8" applyFont="1" applyFill="1"/>
    <xf numFmtId="0" fontId="2" fillId="4" borderId="0" xfId="0" applyFont="1" applyFill="1" applyBorder="1"/>
    <xf numFmtId="0" fontId="2" fillId="0" borderId="5" xfId="0" applyFont="1" applyBorder="1"/>
    <xf numFmtId="0" fontId="5" fillId="0" borderId="0" xfId="0" applyFont="1" applyAlignment="1">
      <alignment horizontal="right"/>
    </xf>
    <xf numFmtId="0" fontId="2" fillId="0" borderId="0" xfId="0" applyFont="1" applyBorder="1" applyAlignment="1">
      <alignment horizontal="center"/>
    </xf>
    <xf numFmtId="0" fontId="2" fillId="0" borderId="0" xfId="0" applyFont="1" applyBorder="1" applyAlignment="1">
      <alignment horizontal="left" wrapText="1"/>
    </xf>
    <xf numFmtId="0" fontId="24" fillId="4" borderId="0" xfId="0" applyFont="1" applyFill="1"/>
    <xf numFmtId="0" fontId="24" fillId="4" borderId="0" xfId="0" applyFont="1" applyFill="1" applyBorder="1"/>
    <xf numFmtId="0" fontId="0" fillId="0" borderId="3" xfId="0" applyFill="1" applyBorder="1"/>
    <xf numFmtId="0" fontId="0" fillId="0" borderId="3" xfId="0" applyFill="1"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0" fillId="0" borderId="0" xfId="0" applyFill="1"/>
    <xf numFmtId="0" fontId="5" fillId="0" borderId="0" xfId="0" applyFont="1" applyFill="1" applyAlignment="1"/>
    <xf numFmtId="0" fontId="2" fillId="0" borderId="0" xfId="0" applyFont="1" applyFill="1"/>
    <xf numFmtId="0" fontId="2" fillId="0" borderId="0" xfId="0" applyFont="1" applyFill="1" applyBorder="1"/>
    <xf numFmtId="0" fontId="9" fillId="0" borderId="0" xfId="0" applyFont="1" applyFill="1" applyAlignment="1">
      <alignment vertical="center"/>
    </xf>
    <xf numFmtId="0" fontId="2" fillId="0" borderId="0" xfId="0" applyFont="1" applyFill="1" applyAlignment="1">
      <alignment horizontal="right"/>
    </xf>
    <xf numFmtId="0" fontId="5" fillId="0" borderId="0" xfId="0" applyFont="1" applyFill="1" applyAlignment="1">
      <alignment wrapText="1"/>
    </xf>
    <xf numFmtId="0" fontId="5" fillId="0" borderId="0" xfId="0" applyFont="1" applyFill="1" applyAlignment="1">
      <alignment horizontal="right"/>
    </xf>
    <xf numFmtId="0" fontId="8" fillId="0" borderId="0" xfId="0" applyFont="1" applyFill="1" applyAlignment="1">
      <alignment horizontal="right"/>
    </xf>
    <xf numFmtId="0" fontId="5" fillId="0" borderId="0" xfId="0" applyFont="1" applyFill="1"/>
    <xf numFmtId="0" fontId="5"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lignment horizontal="center"/>
    </xf>
    <xf numFmtId="0" fontId="3" fillId="0" borderId="0" xfId="0" applyFont="1" applyFill="1" applyAlignment="1">
      <alignment horizontal="right"/>
    </xf>
    <xf numFmtId="0" fontId="28" fillId="0" borderId="0" xfId="0" applyFont="1" applyFill="1" applyAlignment="1">
      <alignment horizontal="right"/>
    </xf>
    <xf numFmtId="0" fontId="28" fillId="0" borderId="0" xfId="0" applyFont="1" applyFill="1"/>
    <xf numFmtId="0" fontId="28" fillId="0" borderId="0" xfId="0" applyFont="1" applyFill="1" applyBorder="1" applyAlignment="1">
      <alignment horizontal="right"/>
    </xf>
    <xf numFmtId="0" fontId="3" fillId="0" borderId="0" xfId="0" applyFont="1" applyFill="1" applyAlignment="1">
      <alignment horizontal="center"/>
    </xf>
    <xf numFmtId="0" fontId="3" fillId="0" borderId="0" xfId="0" applyFont="1" applyFill="1" applyAlignment="1">
      <alignment horizontal="left"/>
    </xf>
    <xf numFmtId="0" fontId="30" fillId="0" borderId="0" xfId="0" applyFont="1" applyFill="1" applyAlignment="1">
      <alignment horizontal="right"/>
    </xf>
    <xf numFmtId="0" fontId="0" fillId="8" borderId="3" xfId="0" applyFill="1" applyBorder="1"/>
    <xf numFmtId="0" fontId="18" fillId="0" borderId="0" xfId="0" applyFont="1" applyFill="1" applyAlignment="1">
      <alignment vertical="center"/>
    </xf>
    <xf numFmtId="0" fontId="0" fillId="0" borderId="0" xfId="0" applyFill="1" applyBorder="1" applyAlignment="1"/>
    <xf numFmtId="0" fontId="0" fillId="0" borderId="0" xfId="0" applyFill="1" applyAlignment="1"/>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Fill="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Fill="1" applyBorder="1"/>
    <xf numFmtId="0" fontId="8" fillId="0" borderId="3" xfId="0" applyFont="1" applyFill="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Fill="1" applyAlignment="1">
      <alignment wrapText="1"/>
    </xf>
    <xf numFmtId="0" fontId="21" fillId="0" borderId="7" xfId="0" applyFont="1" applyFill="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2" xfId="0" applyFont="1" applyFill="1" applyBorder="1" applyAlignment="1">
      <alignment horizontal="right"/>
    </xf>
    <xf numFmtId="0" fontId="2" fillId="8" borderId="11" xfId="0" applyFont="1" applyFill="1" applyBorder="1"/>
    <xf numFmtId="0" fontId="28" fillId="0" borderId="3" xfId="0" applyFont="1" applyFill="1" applyBorder="1" applyAlignment="1">
      <alignment horizontal="right"/>
    </xf>
    <xf numFmtId="0" fontId="2" fillId="8" borderId="3" xfId="0" applyFont="1" applyFill="1" applyBorder="1" applyAlignment="1">
      <alignment horizontal="center"/>
    </xf>
    <xf numFmtId="18" fontId="9" fillId="0" borderId="3" xfId="11" applyNumberFormat="1" applyFont="1" applyFill="1" applyBorder="1" applyAlignment="1">
      <alignment vertical="center"/>
    </xf>
    <xf numFmtId="0" fontId="21"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0" fontId="9" fillId="0" borderId="3" xfId="0" applyFont="1" applyFill="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0" fontId="5" fillId="0" borderId="0" xfId="0" applyFont="1" applyFill="1" applyBorder="1" applyAlignment="1"/>
    <xf numFmtId="18" fontId="9" fillId="0" borderId="3" xfId="11" applyNumberFormat="1" applyFont="1" applyFill="1" applyBorder="1" applyAlignment="1">
      <alignment horizontal="right"/>
    </xf>
    <xf numFmtId="1" fontId="9" fillId="0" borderId="3" xfId="11" applyNumberFormat="1" applyFont="1" applyFill="1" applyBorder="1"/>
    <xf numFmtId="0" fontId="9" fillId="0" borderId="3" xfId="11" applyNumberFormat="1" applyFont="1" applyFill="1" applyBorder="1" applyAlignment="1">
      <alignment horizontal="center" vertical="center"/>
    </xf>
    <xf numFmtId="0" fontId="27" fillId="4" borderId="3" xfId="11" applyNumberFormat="1" applyFont="1" applyFill="1" applyBorder="1" applyAlignment="1">
      <alignment horizontal="center"/>
    </xf>
    <xf numFmtId="0" fontId="16" fillId="4" borderId="3" xfId="11" applyNumberFormat="1" applyFont="1" applyFill="1" applyBorder="1"/>
    <xf numFmtId="0" fontId="34" fillId="4" borderId="3" xfId="11" applyNumberFormat="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NumberFormat="1" applyFont="1" applyFill="1" applyBorder="1" applyAlignment="1"/>
    <xf numFmtId="0" fontId="39" fillId="8" borderId="3" xfId="11" applyNumberFormat="1" applyFont="1" applyFill="1" applyBorder="1" applyAlignment="1">
      <alignment horizontal="center"/>
    </xf>
    <xf numFmtId="0" fontId="40" fillId="4" borderId="3" xfId="11" applyNumberFormat="1" applyFont="1" applyFill="1" applyBorder="1" applyAlignment="1"/>
    <xf numFmtId="0" fontId="41" fillId="4" borderId="3" xfId="11" applyNumberFormat="1" applyFont="1" applyFill="1" applyBorder="1" applyAlignment="1"/>
    <xf numFmtId="0" fontId="5" fillId="0" borderId="0" xfId="0" applyFont="1" applyFill="1" applyBorder="1" applyAlignment="1">
      <alignment horizontal="center"/>
    </xf>
    <xf numFmtId="1" fontId="9" fillId="0" borderId="16" xfId="11"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9" fillId="0" borderId="3" xfId="0" applyNumberFormat="1" applyFont="1" applyFill="1" applyBorder="1" applyAlignment="1">
      <alignment horizontal="center" vertical="center"/>
    </xf>
    <xf numFmtId="0" fontId="9" fillId="0" borderId="3" xfId="11" applyFont="1" applyFill="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Border="1" applyAlignment="1">
      <alignment vertical="top" wrapText="1"/>
    </xf>
    <xf numFmtId="0" fontId="2" fillId="0" borderId="0" xfId="0" applyFont="1" applyAlignment="1">
      <alignment horizontal="left" vertical="top" wrapText="1"/>
    </xf>
    <xf numFmtId="0" fontId="3" fillId="0" borderId="0" xfId="0" applyFont="1" applyFill="1"/>
    <xf numFmtId="0" fontId="3" fillId="3" borderId="3" xfId="0" applyFont="1" applyFill="1" applyBorder="1"/>
    <xf numFmtId="0" fontId="0" fillId="0" borderId="0" xfId="0" applyAlignment="1">
      <alignment horizontal="right"/>
    </xf>
    <xf numFmtId="0" fontId="36" fillId="0" borderId="0" xfId="0" applyFont="1" applyFill="1" applyBorder="1" applyAlignment="1">
      <alignment horizontal="center" wrapText="1"/>
    </xf>
    <xf numFmtId="0" fontId="6" fillId="8" borderId="0" xfId="0" applyFont="1" applyFill="1" applyBorder="1" applyAlignment="1">
      <alignment horizontal="center" vertical="center"/>
    </xf>
    <xf numFmtId="164" fontId="9" fillId="0" borderId="16" xfId="11" applyNumberFormat="1" applyFont="1" applyFill="1" applyBorder="1" applyAlignment="1">
      <alignment horizontal="right"/>
    </xf>
    <xf numFmtId="164" fontId="9" fillId="0" borderId="3" xfId="11" applyNumberFormat="1" applyFont="1" applyFill="1" applyBorder="1" applyAlignment="1">
      <alignment horizontal="right"/>
    </xf>
    <xf numFmtId="164" fontId="0" fillId="8" borderId="3" xfId="0" applyNumberFormat="1" applyFill="1" applyBorder="1" applyAlignment="1">
      <alignment horizontal="center" vertical="center"/>
    </xf>
    <xf numFmtId="0" fontId="9" fillId="0" borderId="0" xfId="0" applyFont="1" applyFill="1"/>
    <xf numFmtId="0" fontId="2" fillId="4" borderId="0" xfId="0" applyFont="1" applyFill="1" applyAlignment="1"/>
    <xf numFmtId="0" fontId="5" fillId="0" borderId="0" xfId="0" applyFont="1" applyFill="1" applyBorder="1" applyAlignment="1">
      <alignment horizontal="center"/>
    </xf>
    <xf numFmtId="0" fontId="28" fillId="0" borderId="0" xfId="0" applyFont="1" applyFill="1" applyBorder="1" applyAlignment="1">
      <alignment wrapText="1"/>
    </xf>
    <xf numFmtId="0" fontId="37" fillId="7" borderId="3" xfId="11" applyNumberFormat="1" applyFont="1" applyFill="1" applyBorder="1" applyAlignment="1">
      <alignment horizontal="center" vertical="center"/>
    </xf>
    <xf numFmtId="0" fontId="2" fillId="8" borderId="3"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3" fillId="0" borderId="0" xfId="0" applyFont="1" applyFill="1" applyBorder="1" applyAlignment="1">
      <alignment horizontal="center"/>
    </xf>
    <xf numFmtId="0" fontId="3" fillId="0" borderId="0" xfId="0"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Alignment="1">
      <alignment horizontal="center" vertical="center"/>
    </xf>
    <xf numFmtId="0" fontId="0" fillId="8" borderId="3" xfId="0" applyFill="1" applyBorder="1" applyAlignment="1">
      <alignment horizontal="center" vertical="center"/>
    </xf>
    <xf numFmtId="0" fontId="19" fillId="4" borderId="0" xfId="0" applyFont="1" applyFill="1" applyAlignment="1">
      <alignment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0" fontId="3" fillId="0" borderId="0" xfId="0" applyFont="1" applyFill="1" applyBorder="1" applyAlignment="1">
      <alignment horizontal="right"/>
    </xf>
    <xf numFmtId="0" fontId="0" fillId="0" borderId="8" xfId="0" applyFill="1" applyBorder="1"/>
    <xf numFmtId="1" fontId="9" fillId="0" borderId="0" xfId="0" applyNumberFormat="1" applyFont="1" applyFill="1" applyBorder="1" applyAlignment="1">
      <alignment horizontal="center" vertical="center"/>
    </xf>
    <xf numFmtId="0" fontId="19" fillId="0" borderId="0" xfId="0" applyFont="1" applyFill="1"/>
    <xf numFmtId="0" fontId="28" fillId="0" borderId="0" xfId="0" applyFont="1" applyAlignment="1">
      <alignment horizontal="right"/>
    </xf>
    <xf numFmtId="0" fontId="3" fillId="0" borderId="0" xfId="0" applyFont="1" applyFill="1" applyBorder="1" applyAlignment="1">
      <alignment vertical="center"/>
    </xf>
    <xf numFmtId="0" fontId="2" fillId="0" borderId="0" xfId="0" applyFont="1" applyAlignment="1">
      <alignment horizontal="right" vertical="top"/>
    </xf>
    <xf numFmtId="0" fontId="28" fillId="0" borderId="3" xfId="0" applyFont="1" applyBorder="1"/>
    <xf numFmtId="0" fontId="11" fillId="0" borderId="0" xfId="0" applyFont="1" applyFill="1" applyAlignment="1"/>
    <xf numFmtId="0" fontId="37" fillId="0" borderId="3" xfId="11" applyNumberFormat="1" applyFont="1" applyFill="1" applyBorder="1" applyAlignment="1">
      <alignment horizontal="center" vertical="center"/>
    </xf>
    <xf numFmtId="0" fontId="28" fillId="0" borderId="8" xfId="0" applyFont="1" applyFill="1" applyBorder="1" applyAlignment="1">
      <alignment wrapText="1"/>
    </xf>
    <xf numFmtId="0" fontId="28" fillId="0" borderId="0" xfId="0" applyFont="1" applyAlignment="1">
      <alignment horizontal="right"/>
    </xf>
    <xf numFmtId="0" fontId="28" fillId="0" borderId="0" xfId="0" applyFont="1" applyBorder="1" applyAlignment="1">
      <alignment horizontal="right"/>
    </xf>
    <xf numFmtId="0" fontId="28" fillId="0" borderId="0" xfId="0" applyFont="1" applyFill="1" applyAlignment="1">
      <alignment horizontal="right" wrapText="1"/>
    </xf>
    <xf numFmtId="0" fontId="5" fillId="0" borderId="0" xfId="0" applyFont="1" applyFill="1" applyBorder="1" applyAlignment="1">
      <alignment horizontal="center"/>
    </xf>
    <xf numFmtId="18" fontId="9" fillId="0" borderId="7" xfId="11" applyNumberFormat="1" applyFont="1" applyFill="1" applyBorder="1" applyAlignment="1">
      <alignment horizontal="right"/>
    </xf>
    <xf numFmtId="0" fontId="28" fillId="4" borderId="3" xfId="0" applyFont="1" applyFill="1" applyBorder="1" applyAlignment="1">
      <alignment wrapText="1"/>
    </xf>
    <xf numFmtId="0" fontId="8" fillId="0" borderId="0" xfId="0" applyFont="1" applyFill="1" applyAlignment="1">
      <alignment wrapText="1"/>
    </xf>
    <xf numFmtId="0" fontId="28" fillId="0" borderId="5" xfId="0" applyFont="1" applyFill="1" applyBorder="1" applyAlignment="1">
      <alignment horizontal="right"/>
    </xf>
    <xf numFmtId="0" fontId="0" fillId="0" borderId="6" xfId="0" applyFill="1" applyBorder="1" applyAlignment="1">
      <alignment horizontal="center" vertical="center"/>
    </xf>
    <xf numFmtId="0" fontId="0" fillId="0" borderId="8" xfId="0" applyFill="1" applyBorder="1" applyAlignment="1"/>
    <xf numFmtId="0" fontId="0" fillId="0" borderId="6" xfId="0" applyFill="1" applyBorder="1" applyAlignment="1">
      <alignment horizontal="center"/>
    </xf>
    <xf numFmtId="0" fontId="28" fillId="0" borderId="0" xfId="0" applyFont="1" applyBorder="1" applyAlignment="1">
      <alignment wrapText="1"/>
    </xf>
    <xf numFmtId="0" fontId="2" fillId="0" borderId="0" xfId="0" applyFont="1" applyFill="1" applyBorder="1" applyAlignment="1"/>
    <xf numFmtId="0" fontId="28" fillId="0" borderId="0" xfId="0" applyFont="1" applyFill="1" applyBorder="1" applyAlignment="1">
      <alignment horizontal="right"/>
    </xf>
    <xf numFmtId="0" fontId="2" fillId="0" borderId="0" xfId="0" applyFont="1" applyFill="1" applyBorder="1" applyAlignment="1">
      <alignment horizontal="center" vertical="center"/>
    </xf>
    <xf numFmtId="0" fontId="5" fillId="4" borderId="6" xfId="8" applyFill="1" applyBorder="1" applyAlignment="1">
      <alignment horizontal="center"/>
    </xf>
    <xf numFmtId="0" fontId="0" fillId="0" borderId="0" xfId="0" applyAlignment="1">
      <alignment horizontal="center" vertic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applyFill="1" applyBorder="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Fill="1" applyBorder="1" applyAlignment="1">
      <alignment horizontal="center" vertical="center"/>
    </xf>
    <xf numFmtId="0" fontId="0" fillId="0" borderId="0" xfId="0"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3" fillId="8" borderId="15" xfId="0" applyFont="1" applyFill="1" applyBorder="1" applyAlignment="1">
      <alignment horizontal="center"/>
    </xf>
    <xf numFmtId="0" fontId="0" fillId="0" borderId="0" xfId="0" applyFill="1" applyAlignment="1">
      <alignment wrapText="1"/>
    </xf>
    <xf numFmtId="0" fontId="19" fillId="0" borderId="0" xfId="0" applyFont="1" applyFill="1" applyBorder="1" applyAlignment="1">
      <alignment horizontal="center"/>
    </xf>
    <xf numFmtId="0" fontId="19" fillId="0" borderId="10" xfId="0" applyFont="1" applyFill="1" applyBorder="1" applyAlignment="1">
      <alignment horizontal="center"/>
    </xf>
    <xf numFmtId="0" fontId="19" fillId="0" borderId="8" xfId="0" applyFont="1" applyFill="1" applyBorder="1" applyAlignment="1">
      <alignment horizont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Alignment="1" applyProtection="1">
      <protection locked="0"/>
    </xf>
    <xf numFmtId="0" fontId="0" fillId="6" borderId="6" xfId="0" applyFill="1" applyBorder="1" applyAlignment="1" applyProtection="1">
      <protection locked="0"/>
    </xf>
    <xf numFmtId="0" fontId="0" fillId="6" borderId="10" xfId="0" applyFill="1" applyBorder="1" applyAlignment="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pplyProtection="1">
      <alignment horizontal="center" vertical="center"/>
    </xf>
    <xf numFmtId="0" fontId="24" fillId="2" borderId="25" xfId="0" applyFont="1" applyFill="1" applyBorder="1" applyAlignment="1" applyProtection="1">
      <alignment horizontal="center" vertical="center" wrapText="1"/>
    </xf>
    <xf numFmtId="18" fontId="24" fillId="2" borderId="2" xfId="0" applyNumberFormat="1" applyFont="1" applyFill="1" applyBorder="1" applyProtection="1"/>
    <xf numFmtId="18" fontId="24" fillId="2" borderId="25" xfId="0" applyNumberFormat="1" applyFont="1" applyFill="1" applyBorder="1" applyProtection="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protection locked="0"/>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applyAlignment="1">
      <alignment horizontal="center" vertical="center"/>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Border="1" applyAlignment="1">
      <alignment horizontal="center" vertical="center"/>
    </xf>
    <xf numFmtId="0" fontId="2" fillId="6" borderId="3" xfId="0" applyFont="1" applyFill="1" applyBorder="1" applyAlignment="1" applyProtection="1">
      <alignment horizontal="center"/>
      <protection locked="0"/>
    </xf>
    <xf numFmtId="0" fontId="0" fillId="8" borderId="3" xfId="0" applyFill="1" applyBorder="1" applyAlignment="1">
      <alignment horizontal="center" vertical="center"/>
    </xf>
    <xf numFmtId="0" fontId="28" fillId="8" borderId="3" xfId="0" applyFont="1" applyFill="1" applyBorder="1" applyAlignment="1">
      <alignment horizontal="center"/>
    </xf>
    <xf numFmtId="0" fontId="0" fillId="0" borderId="9" xfId="0" applyFill="1"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Fill="1" applyAlignment="1">
      <alignment horizontal="right" vertical="center"/>
    </xf>
    <xf numFmtId="0" fontId="9" fillId="0" borderId="0" xfId="0" applyFont="1" applyFill="1" applyBorder="1"/>
    <xf numFmtId="0" fontId="21" fillId="0" borderId="0" xfId="0" applyFont="1" applyFill="1" applyBorder="1" applyAlignment="1">
      <alignment vertical="center" wrapText="1"/>
    </xf>
    <xf numFmtId="0" fontId="21" fillId="0" borderId="0" xfId="0" applyFont="1" applyFill="1" applyBorder="1" applyAlignment="1">
      <alignment wrapText="1"/>
    </xf>
    <xf numFmtId="0" fontId="0" fillId="0" borderId="0" xfId="0" applyFill="1" applyAlignment="1">
      <alignment vertical="center"/>
    </xf>
    <xf numFmtId="1" fontId="9" fillId="0" borderId="0" xfId="0" applyNumberFormat="1" applyFont="1" applyFill="1" applyBorder="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Fill="1" applyBorder="1" applyAlignment="1">
      <alignment horizontal="right"/>
    </xf>
    <xf numFmtId="1" fontId="0" fillId="0" borderId="3" xfId="0" applyNumberFormat="1" applyFill="1" applyBorder="1"/>
    <xf numFmtId="1" fontId="2" fillId="0" borderId="3" xfId="0" applyNumberFormat="1" applyFont="1" applyFill="1" applyBorder="1" applyAlignment="1"/>
    <xf numFmtId="0" fontId="2" fillId="11" borderId="3" xfId="0" applyFont="1" applyFill="1" applyBorder="1" applyAlignment="1"/>
    <xf numFmtId="0" fontId="9" fillId="11" borderId="3" xfId="0" applyFont="1" applyFill="1" applyBorder="1" applyAlignment="1"/>
    <xf numFmtId="0" fontId="9" fillId="11" borderId="8" xfId="0" applyFont="1" applyFill="1" applyBorder="1" applyAlignment="1"/>
    <xf numFmtId="0" fontId="2" fillId="11" borderId="7" xfId="0" applyFont="1" applyFill="1" applyBorder="1" applyAlignment="1"/>
    <xf numFmtId="0" fontId="2" fillId="11" borderId="8" xfId="0" applyFont="1" applyFill="1" applyBorder="1" applyAlignment="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Fill="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Fill="1"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Fill="1" applyBorder="1" applyAlignment="1">
      <alignment vertical="center"/>
    </xf>
    <xf numFmtId="0" fontId="0" fillId="12" borderId="0" xfId="0" applyFill="1"/>
    <xf numFmtId="0" fontId="28" fillId="12" borderId="0" xfId="0" applyFont="1" applyFill="1" applyBorder="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Border="1" applyAlignment="1">
      <alignment horizontal="left" vertical="center"/>
    </xf>
    <xf numFmtId="0" fontId="3" fillId="12" borderId="0" xfId="0" applyFont="1" applyFill="1" applyBorder="1" applyAlignment="1">
      <alignment horizontal="righ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xf numFmtId="0" fontId="0" fillId="12" borderId="0" xfId="0" applyFill="1" applyBorder="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Border="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Border="1" applyAlignment="1">
      <alignment horizontal="center" vertical="center"/>
    </xf>
    <xf numFmtId="0" fontId="21" fillId="12" borderId="0" xfId="0" applyFont="1" applyFill="1" applyBorder="1" applyAlignment="1">
      <alignment horizontal="center" vertical="center" wrapText="1"/>
    </xf>
    <xf numFmtId="0" fontId="9" fillId="12" borderId="0" xfId="0" applyFont="1" applyFill="1" applyAlignment="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6" borderId="3" xfId="0" applyFont="1" applyFill="1" applyBorder="1" applyAlignment="1" applyProtection="1">
      <alignment horizontal="center"/>
      <protection locked="0"/>
    </xf>
    <xf numFmtId="0" fontId="2" fillId="4" borderId="0" xfId="8" applyFont="1" applyFill="1" applyAlignment="1">
      <alignment horizontal="right"/>
    </xf>
    <xf numFmtId="0" fontId="2" fillId="4" borderId="0" xfId="0" applyFont="1" applyFill="1" applyBorder="1" applyAlignment="1">
      <alignment vertical="center" wrapText="1"/>
    </xf>
    <xf numFmtId="0" fontId="5" fillId="4" borderId="3" xfId="8" applyFill="1" applyBorder="1" applyAlignment="1">
      <alignment horizontal="center" vertical="center"/>
    </xf>
    <xf numFmtId="14" fontId="0" fillId="6" borderId="3" xfId="0" applyNumberFormat="1" applyFill="1" applyBorder="1" applyAlignment="1" applyProtection="1">
      <alignment horizontal="center"/>
      <protection locked="0"/>
    </xf>
    <xf numFmtId="0" fontId="0" fillId="0" borderId="0" xfId="0" applyFill="1" applyBorder="1" applyAlignment="1">
      <alignment horizontal="center"/>
    </xf>
    <xf numFmtId="164" fontId="0" fillId="0" borderId="0" xfId="0" applyNumberFormat="1" applyFill="1" applyAlignment="1">
      <alignment horizontal="right"/>
    </xf>
    <xf numFmtId="0" fontId="2" fillId="0" borderId="0" xfId="0" applyFont="1" applyFill="1" applyAlignment="1"/>
    <xf numFmtId="0" fontId="34" fillId="4" borderId="3" xfId="11" applyNumberFormat="1" applyFont="1" applyFill="1" applyBorder="1" applyAlignment="1">
      <alignment horizontal="center"/>
    </xf>
    <xf numFmtId="0" fontId="0" fillId="8" borderId="0" xfId="0" applyFill="1"/>
    <xf numFmtId="0" fontId="23" fillId="0" borderId="0" xfId="11" applyFont="1" applyFill="1" applyBorder="1" applyAlignment="1">
      <alignment horizontal="center" vertical="center" wrapText="1"/>
    </xf>
    <xf numFmtId="0" fontId="23" fillId="0" borderId="0" xfId="11" applyFont="1" applyFill="1" applyBorder="1" applyAlignment="1">
      <alignment vertical="center" wrapText="1"/>
    </xf>
    <xf numFmtId="0" fontId="22" fillId="0" borderId="0" xfId="11" applyFont="1" applyFill="1" applyBorder="1" applyAlignment="1">
      <alignment vertical="center"/>
    </xf>
    <xf numFmtId="0" fontId="23" fillId="0" borderId="0" xfId="11" applyFont="1" applyFill="1" applyBorder="1" applyAlignment="1">
      <alignment vertical="center"/>
    </xf>
    <xf numFmtId="0" fontId="0" fillId="0" borderId="0" xfId="0" applyFill="1" applyBorder="1" applyAlignment="1">
      <alignment horizontal="center" vertical="center"/>
    </xf>
    <xf numFmtId="164" fontId="0" fillId="8" borderId="3" xfId="0" applyNumberFormat="1" applyFill="1" applyBorder="1" applyAlignment="1">
      <alignment horizontal="center"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Fill="1" applyAlignment="1">
      <alignment horizontal="right"/>
    </xf>
    <xf numFmtId="0" fontId="0" fillId="8" borderId="3" xfId="0" applyFill="1" applyBorder="1" applyProtection="1"/>
    <xf numFmtId="0" fontId="2" fillId="6" borderId="3" xfId="0" applyFont="1" applyFill="1" applyBorder="1" applyAlignment="1" applyProtection="1">
      <alignment horizontal="center"/>
      <protection locked="0"/>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applyAlignment="1"/>
    <xf numFmtId="0" fontId="28" fillId="0" borderId="0" xfId="0" applyFont="1" applyBorder="1" applyAlignment="1">
      <alignment horizontal="right" wrapText="1"/>
    </xf>
    <xf numFmtId="0" fontId="5" fillId="0" borderId="0" xfId="0" applyFont="1" applyFill="1" applyBorder="1" applyAlignment="1" applyProtection="1">
      <alignment horizontal="center" vertical="center" shrinkToFit="1"/>
      <protection locked="0"/>
    </xf>
    <xf numFmtId="0" fontId="34" fillId="4" borderId="3" xfId="11" applyNumberFormat="1" applyFont="1" applyFill="1" applyBorder="1" applyAlignment="1">
      <alignment horizontal="center"/>
    </xf>
    <xf numFmtId="0" fontId="39" fillId="8" borderId="3" xfId="11" applyNumberFormat="1" applyFont="1" applyFill="1" applyBorder="1" applyAlignment="1">
      <alignment horizontal="center"/>
    </xf>
    <xf numFmtId="0" fontId="0" fillId="8" borderId="3" xfId="0" applyFill="1" applyBorder="1" applyAlignment="1">
      <alignment horizontal="center" vertical="center"/>
    </xf>
    <xf numFmtId="0" fontId="0" fillId="0" borderId="0" xfId="0" applyFill="1" applyAlignment="1">
      <alignment vertical="top"/>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0" fontId="2" fillId="0" borderId="0" xfId="0" applyFont="1" applyBorder="1" applyAlignment="1">
      <alignment horizontal="center" vertical="center"/>
    </xf>
    <xf numFmtId="18" fontId="0" fillId="0" borderId="0" xfId="0" applyNumberFormat="1" applyBorder="1" applyAlignment="1">
      <alignment horizontal="center" vertical="center"/>
    </xf>
    <xf numFmtId="0" fontId="2" fillId="0" borderId="8" xfId="0" applyFont="1" applyBorder="1" applyAlignment="1">
      <alignment horizontal="center" vertical="center"/>
    </xf>
    <xf numFmtId="18" fontId="0" fillId="0" borderId="13" xfId="0" applyNumberFormat="1" applyBorder="1" applyAlignment="1">
      <alignment horizontal="center" vertical="center"/>
    </xf>
    <xf numFmtId="18" fontId="0" fillId="0" borderId="2" xfId="0" applyNumberFormat="1" applyBorder="1" applyAlignment="1">
      <alignment horizontal="center" vertical="center"/>
    </xf>
    <xf numFmtId="0" fontId="2" fillId="0" borderId="5" xfId="0" applyFont="1" applyBorder="1" applyAlignment="1">
      <alignment horizontal="center" vertical="center"/>
    </xf>
    <xf numFmtId="18" fontId="0" fillId="0" borderId="11" xfId="0" applyNumberFormat="1" applyBorder="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NumberFormat="1" applyFont="1" applyFill="1" applyBorder="1" applyAlignment="1">
      <alignment horizontal="center"/>
    </xf>
    <xf numFmtId="0" fontId="16" fillId="4" borderId="44" xfId="11" applyNumberFormat="1" applyFont="1" applyFill="1" applyBorder="1"/>
    <xf numFmtId="0" fontId="34" fillId="4" borderId="41" xfId="11" applyNumberFormat="1" applyFont="1" applyFill="1" applyBorder="1" applyAlignment="1">
      <alignment horizontal="center"/>
    </xf>
    <xf numFmtId="0" fontId="37" fillId="7" borderId="41" xfId="11" applyNumberFormat="1" applyFont="1" applyFill="1" applyBorder="1" applyAlignment="1">
      <alignment horizontal="center" vertical="center"/>
    </xf>
    <xf numFmtId="18" fontId="9" fillId="0" borderId="44" xfId="11" applyNumberFormat="1" applyFont="1" applyFill="1" applyBorder="1" applyAlignment="1">
      <alignment horizontal="right"/>
    </xf>
    <xf numFmtId="0" fontId="9" fillId="0" borderId="41" xfId="11" applyNumberFormat="1" applyFont="1" applyFill="1" applyBorder="1" applyAlignment="1">
      <alignment horizontal="center" vertical="center"/>
    </xf>
    <xf numFmtId="0" fontId="39" fillId="4" borderId="44" xfId="11" applyNumberFormat="1" applyFont="1" applyFill="1" applyBorder="1" applyAlignment="1"/>
    <xf numFmtId="0" fontId="39" fillId="8" borderId="41" xfId="11" applyNumberFormat="1" applyFont="1" applyFill="1" applyBorder="1" applyAlignment="1">
      <alignment horizontal="center"/>
    </xf>
    <xf numFmtId="0" fontId="40" fillId="4" borderId="45" xfId="11" applyNumberFormat="1" applyFont="1" applyFill="1" applyBorder="1" applyAlignment="1"/>
    <xf numFmtId="0" fontId="41" fillId="4" borderId="46" xfId="11" applyNumberFormat="1" applyFont="1" applyFill="1" applyBorder="1" applyAlignment="1"/>
    <xf numFmtId="18" fontId="0" fillId="6" borderId="44" xfId="0" applyNumberFormat="1" applyFill="1" applyBorder="1" applyAlignment="1" applyProtection="1">
      <alignment horizontal="center" vertical="center"/>
      <protection locked="0"/>
    </xf>
    <xf numFmtId="1" fontId="0" fillId="0" borderId="0" xfId="0" applyNumberFormat="1"/>
    <xf numFmtId="164" fontId="0" fillId="0" borderId="0" xfId="0" applyNumberFormat="1"/>
    <xf numFmtId="0" fontId="2" fillId="0" borderId="0" xfId="0" applyFont="1" applyAlignment="1">
      <alignment horizontal="center" vertical="center"/>
    </xf>
    <xf numFmtId="1" fontId="9" fillId="0" borderId="3" xfId="11" applyNumberFormat="1" applyFont="1" applyBorder="1"/>
    <xf numFmtId="18" fontId="0" fillId="0" borderId="0" xfId="0" applyNumberFormat="1" applyAlignment="1">
      <alignment horizontal="center" vertical="center"/>
    </xf>
    <xf numFmtId="1" fontId="0" fillId="0" borderId="0" xfId="0" applyNumberFormat="1" applyAlignment="1">
      <alignment horizontal="center" vertical="center"/>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19" fontId="0" fillId="0" borderId="23" xfId="0" applyNumberFormat="1" applyBorder="1" applyProtection="1">
      <protection locked="0"/>
    </xf>
    <xf numFmtId="19" fontId="0" fillId="0" borderId="49" xfId="0" applyNumberFormat="1" applyBorder="1" applyProtection="1">
      <protection locked="0"/>
    </xf>
    <xf numFmtId="19" fontId="0" fillId="0" borderId="20" xfId="0" applyNumberFormat="1"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19" fontId="0" fillId="0" borderId="48" xfId="0" applyNumberFormat="1" applyBorder="1" applyProtection="1">
      <protection locked="0"/>
    </xf>
    <xf numFmtId="0" fontId="0" fillId="0" borderId="27" xfId="0" applyBorder="1" applyProtection="1">
      <protection locked="0"/>
    </xf>
    <xf numFmtId="0" fontId="24" fillId="14" borderId="3" xfId="0" applyFont="1" applyFill="1" applyBorder="1" applyAlignment="1">
      <alignment horizontal="center"/>
    </xf>
    <xf numFmtId="0" fontId="2" fillId="13" borderId="3" xfId="0" applyFont="1" applyFill="1" applyBorder="1" applyAlignment="1">
      <alignment horizontal="center"/>
    </xf>
    <xf numFmtId="0" fontId="46" fillId="0" borderId="0" xfId="0" applyFont="1" applyAlignment="1">
      <alignment horizontal="left" wrapText="1"/>
    </xf>
    <xf numFmtId="0" fontId="2" fillId="16" borderId="3" xfId="0" applyFont="1" applyFill="1" applyBorder="1" applyAlignment="1">
      <alignment horizontal="center"/>
    </xf>
    <xf numFmtId="0" fontId="24" fillId="15"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46" fillId="0" borderId="0" xfId="0" applyFont="1" applyAlignment="1">
      <alignment horizontal="left" vertical="center" wrapText="1"/>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3" fillId="0" borderId="0" xfId="0" applyFont="1" applyAlignment="1">
      <alignment horizontal="center" vertical="center" wrapText="1"/>
    </xf>
    <xf numFmtId="0" fontId="2" fillId="0" borderId="3" xfId="0" applyFont="1" applyBorder="1" applyAlignment="1">
      <alignment horizontal="left"/>
    </xf>
    <xf numFmtId="0" fontId="3" fillId="0" borderId="0" xfId="0" applyFont="1" applyFill="1" applyAlignment="1">
      <alignment horizontal="center" vertical="center" wrapText="1"/>
    </xf>
    <xf numFmtId="0" fontId="0" fillId="6" borderId="3" xfId="0" applyFill="1" applyBorder="1" applyAlignment="1" applyProtection="1">
      <alignment horizontal="center" vertical="center"/>
      <protection locked="0"/>
    </xf>
    <xf numFmtId="0" fontId="9" fillId="0" borderId="0" xfId="0" applyNumberFormat="1" applyFont="1" applyFill="1" applyAlignment="1">
      <alignment horizontal="center" vertical="center" wrapText="1"/>
    </xf>
    <xf numFmtId="0" fontId="12" fillId="8" borderId="3" xfId="0" applyFont="1" applyFill="1" applyBorder="1" applyAlignment="1">
      <alignment horizontal="center" vertical="center"/>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8" fillId="0" borderId="0" xfId="0" applyFont="1" applyAlignment="1">
      <alignment horizontal="right" vertical="top" wrapText="1"/>
    </xf>
    <xf numFmtId="0" fontId="28" fillId="0" borderId="0" xfId="0" applyFont="1" applyAlignment="1">
      <alignment horizontal="right"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8" fillId="0" borderId="0" xfId="0" applyFont="1" applyBorder="1" applyAlignment="1">
      <alignment horizontal="right" vertical="center"/>
    </xf>
    <xf numFmtId="0" fontId="28" fillId="0" borderId="0" xfId="0" applyFont="1" applyBorder="1" applyAlignment="1">
      <alignment horizontal="right"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3" fillId="0" borderId="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Alignment="1">
      <alignment horizontal="center" vertical="center" wrapText="1"/>
    </xf>
    <xf numFmtId="0" fontId="9" fillId="4" borderId="0" xfId="0" applyFont="1" applyFill="1" applyAlignment="1">
      <alignment horizontal="center" vertical="center" wrapText="1"/>
    </xf>
    <xf numFmtId="0" fontId="0" fillId="6" borderId="0" xfId="0" applyFill="1" applyAlignment="1" applyProtection="1">
      <alignment horizontal="left"/>
      <protection locked="0"/>
    </xf>
    <xf numFmtId="0" fontId="3" fillId="4" borderId="0" xfId="0" applyFont="1" applyFill="1" applyBorder="1" applyAlignment="1">
      <alignment horizontal="center" vertical="center" wrapText="1"/>
    </xf>
    <xf numFmtId="164" fontId="9" fillId="4"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Border="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2" fillId="6" borderId="3" xfId="0" applyFont="1" applyFill="1" applyBorder="1" applyAlignment="1" applyProtection="1">
      <alignment horizontal="center" vertical="center"/>
      <protection locked="0"/>
    </xf>
    <xf numFmtId="0" fontId="3" fillId="4"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 fillId="6" borderId="3" xfId="0" applyFont="1" applyFill="1" applyBorder="1" applyAlignment="1" applyProtection="1">
      <alignment horizontal="center"/>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2" fillId="0" borderId="3" xfId="0" applyFont="1" applyBorder="1" applyAlignment="1">
      <alignment horizontal="left" vertical="center" wrapText="1"/>
    </xf>
    <xf numFmtId="18" fontId="12" fillId="8" borderId="3" xfId="0" applyNumberFormat="1" applyFont="1" applyFill="1" applyBorder="1" applyAlignment="1">
      <alignment horizontal="center" vertical="center"/>
    </xf>
    <xf numFmtId="0" fontId="8" fillId="0" borderId="0" xfId="0" applyFont="1" applyFill="1" applyBorder="1" applyAlignment="1">
      <alignment horizontal="center" vertical="center" wrapText="1"/>
    </xf>
    <xf numFmtId="0" fontId="28" fillId="0" borderId="0" xfId="0" applyFont="1" applyAlignment="1">
      <alignment horizontal="center" vertical="top"/>
    </xf>
    <xf numFmtId="0" fontId="56" fillId="6" borderId="7" xfId="17" applyFill="1" applyBorder="1" applyAlignment="1" applyProtection="1">
      <alignment horizontal="center" vertical="center"/>
      <protection locked="0"/>
    </xf>
    <xf numFmtId="0" fontId="56"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0" fillId="6" borderId="10" xfId="0" applyFill="1" applyBorder="1" applyAlignment="1" applyProtection="1">
      <alignment horizontal="center" vertical="center"/>
      <protection locked="0"/>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8" fillId="0" borderId="9" xfId="0" applyFont="1" applyBorder="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4" fillId="2" borderId="39" xfId="0" applyFont="1" applyFill="1" applyBorder="1" applyAlignment="1">
      <alignment horizontal="center" vertical="center"/>
    </xf>
    <xf numFmtId="0" fontId="24" fillId="2" borderId="0"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pplyProtection="1">
      <alignment horizontal="center" vertical="center"/>
    </xf>
    <xf numFmtId="0" fontId="25" fillId="2" borderId="25" xfId="0" applyFont="1" applyFill="1" applyBorder="1" applyAlignment="1" applyProtection="1">
      <alignment horizontal="center"/>
    </xf>
    <xf numFmtId="0" fontId="24" fillId="2" borderId="25" xfId="0" applyFont="1" applyFill="1" applyBorder="1" applyAlignment="1" applyProtection="1">
      <alignment horizontal="center"/>
    </xf>
    <xf numFmtId="0" fontId="26" fillId="2" borderId="25" xfId="0" applyFont="1" applyFill="1" applyBorder="1" applyAlignment="1" applyProtection="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28" fillId="0" borderId="0" xfId="0" applyFont="1" applyFill="1" applyBorder="1" applyAlignment="1">
      <alignment horizontal="right"/>
    </xf>
    <xf numFmtId="0" fontId="42" fillId="0" borderId="0" xfId="0" applyFont="1" applyFill="1" applyBorder="1" applyAlignment="1">
      <alignment horizontal="right"/>
    </xf>
    <xf numFmtId="0" fontId="42" fillId="0" borderId="2" xfId="0" applyFont="1" applyFill="1" applyBorder="1" applyAlignment="1">
      <alignment horizontal="right"/>
    </xf>
    <xf numFmtId="0" fontId="2" fillId="0" borderId="7" xfId="11" applyNumberFormat="1" applyFont="1" applyFill="1" applyBorder="1" applyAlignment="1" applyProtection="1">
      <alignment horizontal="center" vertical="center"/>
    </xf>
    <xf numFmtId="0" fontId="2" fillId="0" borderId="10" xfId="11" applyNumberFormat="1" applyFont="1" applyFill="1" applyBorder="1" applyAlignment="1" applyProtection="1">
      <alignment horizontal="center" vertical="center"/>
    </xf>
    <xf numFmtId="9" fontId="34" fillId="4" borderId="3" xfId="11" applyNumberFormat="1" applyFont="1" applyFill="1" applyBorder="1" applyAlignment="1">
      <alignment horizontal="center"/>
    </xf>
    <xf numFmtId="0" fontId="34" fillId="4" borderId="3" xfId="11" applyNumberFormat="1" applyFont="1" applyFill="1" applyBorder="1" applyAlignment="1">
      <alignment horizontal="center"/>
    </xf>
    <xf numFmtId="0" fontId="34" fillId="4" borderId="3" xfId="11" applyNumberFormat="1" applyFont="1" applyFill="1" applyBorder="1" applyAlignment="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39" fillId="8" borderId="3" xfId="11" applyNumberFormat="1" applyFont="1" applyFill="1" applyBorder="1" applyAlignment="1">
      <alignment horizontal="center"/>
    </xf>
    <xf numFmtId="0" fontId="36" fillId="4" borderId="3" xfId="11" applyNumberFormat="1" applyFont="1" applyFill="1" applyBorder="1" applyAlignment="1">
      <alignment horizontal="center" wrapText="1"/>
    </xf>
    <xf numFmtId="0" fontId="32" fillId="0" borderId="0" xfId="0" applyFont="1" applyFill="1" applyAlignment="1">
      <alignment horizontal="center" wrapText="1"/>
    </xf>
    <xf numFmtId="0" fontId="28" fillId="4" borderId="9"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Fill="1" applyBorder="1" applyAlignment="1">
      <alignment horizontal="right"/>
    </xf>
    <xf numFmtId="0" fontId="9" fillId="0" borderId="6" xfId="0" applyFont="1" applyFill="1" applyBorder="1" applyAlignment="1">
      <alignment horizontal="right"/>
    </xf>
    <xf numFmtId="0" fontId="9" fillId="0" borderId="10" xfId="0" applyFont="1" applyFill="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164" fontId="21" fillId="4" borderId="3" xfId="0" applyNumberFormat="1"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0"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Fill="1" applyBorder="1" applyAlignment="1">
      <alignment horizontal="center" wrapText="1"/>
    </xf>
    <xf numFmtId="0" fontId="21" fillId="0" borderId="3" xfId="0" applyFont="1" applyFill="1" applyBorder="1" applyAlignment="1">
      <alignment horizontal="center" vertical="center" wrapText="1"/>
    </xf>
    <xf numFmtId="0" fontId="31" fillId="0" borderId="3" xfId="0" applyFont="1" applyFill="1" applyBorder="1" applyAlignment="1">
      <alignment horizontal="center"/>
    </xf>
    <xf numFmtId="0" fontId="2" fillId="8" borderId="3" xfId="0" applyFont="1" applyFill="1" applyBorder="1" applyAlignment="1" applyProtection="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Fill="1" applyBorder="1" applyAlignment="1">
      <alignment horizontal="center" vertical="center" wrapText="1"/>
    </xf>
    <xf numFmtId="164" fontId="0" fillId="8" borderId="3" xfId="0" applyNumberFormat="1" applyFill="1" applyBorder="1" applyAlignment="1">
      <alignment horizontal="center" vertical="center"/>
    </xf>
    <xf numFmtId="0" fontId="21" fillId="4" borderId="16" xfId="0" applyFont="1" applyFill="1" applyBorder="1" applyAlignment="1">
      <alignment horizontal="center" wrapText="1"/>
    </xf>
    <xf numFmtId="0" fontId="21" fillId="4" borderId="7" xfId="0" applyFont="1" applyFill="1" applyBorder="1" applyAlignment="1">
      <alignment horizontal="center" wrapText="1"/>
    </xf>
    <xf numFmtId="0" fontId="28" fillId="0" borderId="0" xfId="0" applyFont="1" applyFill="1" applyBorder="1" applyAlignment="1">
      <alignment horizontal="right" wrapText="1"/>
    </xf>
    <xf numFmtId="0" fontId="8" fillId="0" borderId="0" xfId="0" applyFont="1" applyFill="1" applyAlignment="1">
      <alignment horizontal="right" wrapText="1"/>
    </xf>
    <xf numFmtId="0" fontId="21" fillId="4" borderId="14" xfId="0" applyFont="1" applyFill="1" applyBorder="1" applyAlignment="1">
      <alignment horizontal="center" wrapText="1"/>
    </xf>
    <xf numFmtId="0" fontId="2" fillId="9" borderId="27"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Fill="1" applyBorder="1" applyAlignment="1">
      <alignment horizontal="right" wrapText="1"/>
    </xf>
    <xf numFmtId="0" fontId="9" fillId="0" borderId="0" xfId="0" applyFont="1" applyFill="1" applyBorder="1" applyAlignment="1">
      <alignment horizontal="right" wrapText="1"/>
    </xf>
    <xf numFmtId="0" fontId="28" fillId="0" borderId="9" xfId="0" applyFont="1" applyFill="1" applyBorder="1" applyAlignment="1">
      <alignment horizontal="right"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0" borderId="9"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8" fillId="0" borderId="9" xfId="0" applyFont="1" applyFill="1" applyBorder="1" applyAlignment="1">
      <alignment horizontal="right" vertical="top" wrapText="1"/>
    </xf>
    <xf numFmtId="0" fontId="8" fillId="0" borderId="0" xfId="0" applyFont="1" applyFill="1" applyBorder="1" applyAlignment="1">
      <alignment horizontal="right" vertical="top" wrapText="1"/>
    </xf>
    <xf numFmtId="0" fontId="9" fillId="12" borderId="0" xfId="0" applyFont="1" applyFill="1" applyBorder="1" applyAlignment="1">
      <alignment horizontal="center" vertic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9" fillId="0" borderId="0" xfId="0" applyFont="1" applyFill="1" applyAlignment="1">
      <alignment horizontal="center"/>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12" borderId="0" xfId="0" applyFont="1" applyFill="1" applyAlignment="1">
      <alignment horizontal="center"/>
    </xf>
    <xf numFmtId="0" fontId="53" fillId="0" borderId="0" xfId="0" applyFont="1" applyFill="1" applyAlignment="1">
      <alignment horizontal="right" wrapText="1"/>
    </xf>
    <xf numFmtId="0" fontId="31" fillId="0" borderId="0" xfId="0" applyFont="1" applyFill="1" applyAlignment="1">
      <alignment horizontal="center" wrapText="1"/>
    </xf>
    <xf numFmtId="0" fontId="28" fillId="0" borderId="0" xfId="0" applyFont="1" applyFill="1" applyAlignment="1">
      <alignment horizontal="right" wrapText="1"/>
    </xf>
    <xf numFmtId="0" fontId="21" fillId="0" borderId="0" xfId="0" applyFont="1" applyFill="1" applyAlignment="1">
      <alignment horizontal="right" vertical="center" wrapText="1"/>
    </xf>
    <xf numFmtId="0" fontId="28" fillId="0" borderId="2" xfId="0" applyFont="1" applyFill="1" applyBorder="1" applyAlignment="1">
      <alignment horizontal="right"/>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31" fillId="0" borderId="0" xfId="0" applyFont="1" applyFill="1" applyAlignment="1">
      <alignment horizontal="left" wrapText="1"/>
    </xf>
    <xf numFmtId="0" fontId="28" fillId="0" borderId="0" xfId="0" applyFont="1" applyFill="1" applyBorder="1" applyAlignment="1">
      <alignment horizontal="center"/>
    </xf>
    <xf numFmtId="0" fontId="2" fillId="0" borderId="0" xfId="0" applyFont="1" applyFill="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3" fillId="0" borderId="3" xfId="0" applyFont="1" applyFill="1" applyBorder="1" applyAlignment="1">
      <alignment horizontal="center"/>
    </xf>
    <xf numFmtId="0" fontId="31" fillId="0" borderId="0" xfId="0" applyFont="1" applyFill="1" applyAlignment="1">
      <alignment horizontal="center"/>
    </xf>
    <xf numFmtId="0" fontId="8" fillId="0" borderId="0" xfId="0" applyFont="1" applyFill="1" applyAlignment="1">
      <alignment horizontal="center"/>
    </xf>
    <xf numFmtId="0" fontId="8" fillId="0" borderId="8" xfId="0" applyFont="1" applyFill="1" applyBorder="1" applyAlignment="1">
      <alignment horizontal="center"/>
    </xf>
    <xf numFmtId="0" fontId="28" fillId="0" borderId="2" xfId="0" applyFont="1" applyFill="1" applyBorder="1" applyAlignment="1">
      <alignment horizontal="right" wrapText="1"/>
    </xf>
    <xf numFmtId="0" fontId="39" fillId="8" borderId="46" xfId="11" applyNumberFormat="1" applyFont="1" applyFill="1" applyBorder="1" applyAlignment="1">
      <alignment horizontal="center"/>
    </xf>
    <xf numFmtId="0" fontId="39" fillId="8" borderId="47" xfId="11" applyNumberFormat="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36" fillId="0" borderId="0" xfId="0" applyFont="1" applyFill="1" applyBorder="1" applyAlignment="1">
      <alignment horizontal="center" wrapText="1"/>
    </xf>
    <xf numFmtId="0" fontId="5" fillId="6" borderId="3" xfId="0" applyFont="1" applyFill="1" applyBorder="1" applyAlignment="1" applyProtection="1">
      <alignment horizontal="center" vertical="center"/>
      <protection locked="0"/>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3" xfId="11" applyFont="1" applyFill="1"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3" xfId="11" applyFont="1" applyFill="1" applyBorder="1" applyAlignment="1">
      <alignment horizontal="center" wrapText="1"/>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NumberFormat="1" applyFont="1" applyFill="1" applyBorder="1" applyAlignment="1">
      <alignment horizontal="center" vertical="center"/>
    </xf>
    <xf numFmtId="0" fontId="34" fillId="4" borderId="13" xfId="11" applyNumberFormat="1" applyFont="1" applyFill="1" applyBorder="1" applyAlignment="1">
      <alignment horizontal="center" vertical="center"/>
    </xf>
    <xf numFmtId="0" fontId="34" fillId="4" borderId="4" xfId="11" applyNumberFormat="1" applyFont="1" applyFill="1" applyBorder="1" applyAlignment="1">
      <alignment horizontal="center" vertical="center"/>
    </xf>
    <xf numFmtId="0" fontId="34" fillId="4" borderId="11" xfId="11" applyNumberFormat="1" applyFont="1" applyFill="1" applyBorder="1" applyAlignment="1">
      <alignment horizontal="center" vertical="center"/>
    </xf>
    <xf numFmtId="0" fontId="34" fillId="4" borderId="42" xfId="11" applyNumberFormat="1" applyFont="1" applyFill="1" applyBorder="1" applyAlignment="1">
      <alignment horizontal="center" vertical="center"/>
    </xf>
    <xf numFmtId="0" fontId="34" fillId="4" borderId="29" xfId="11" applyNumberFormat="1" applyFont="1" applyFill="1" applyBorder="1" applyAlignment="1">
      <alignment horizontal="center" vertical="center"/>
    </xf>
    <xf numFmtId="0" fontId="2" fillId="7" borderId="43" xfId="11" applyNumberFormat="1" applyFont="1" applyFill="1" applyBorder="1" applyAlignment="1" applyProtection="1">
      <alignment horizontal="center" vertical="center"/>
    </xf>
    <xf numFmtId="0" fontId="2" fillId="7" borderId="6" xfId="11" applyNumberFormat="1" applyFont="1" applyFill="1" applyBorder="1" applyAlignment="1" applyProtection="1">
      <alignment horizontal="center" vertical="center"/>
    </xf>
    <xf numFmtId="0" fontId="2" fillId="7" borderId="10" xfId="11" applyNumberFormat="1" applyFont="1" applyFill="1" applyBorder="1" applyAlignment="1" applyProtection="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Border="1" applyAlignment="1">
      <alignment horizontal="center" vertical="center" wrapText="1"/>
    </xf>
    <xf numFmtId="0" fontId="27" fillId="4" borderId="2" xfId="11" applyFont="1" applyFill="1" applyBorder="1" applyAlignment="1">
      <alignment horizontal="center" vertical="center" wrapText="1"/>
    </xf>
    <xf numFmtId="0" fontId="27" fillId="19" borderId="27" xfId="11" applyFont="1" applyFill="1" applyBorder="1" applyAlignment="1">
      <alignment horizontal="center" vertical="center" wrapText="1"/>
    </xf>
    <xf numFmtId="0" fontId="27" fillId="19" borderId="0" xfId="11" applyFont="1" applyFill="1" applyBorder="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Border="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4" borderId="0" xfId="0" applyFont="1" applyFill="1" applyAlignment="1">
      <alignment horizontal="center"/>
    </xf>
    <xf numFmtId="0" fontId="8" fillId="0" borderId="15"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horizontal="center" vertical="center"/>
    </xf>
    <xf numFmtId="0" fontId="9" fillId="0" borderId="3" xfId="0" applyFont="1" applyFill="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0" fillId="6" borderId="3" xfId="0" applyFill="1" applyBorder="1" applyAlignment="1" applyProtection="1">
      <alignment horizontal="center" vertical="center" wrapText="1"/>
      <protection locked="0"/>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Font="1" applyFill="1" applyBorder="1" applyAlignment="1">
      <alignment horizontal="center" vertical="top"/>
    </xf>
    <xf numFmtId="0" fontId="0" fillId="0" borderId="3" xfId="0" applyFill="1" applyBorder="1" applyAlignment="1">
      <alignment horizontal="left" vertical="top" wrapText="1"/>
    </xf>
    <xf numFmtId="0" fontId="0" fillId="0" borderId="3" xfId="0" applyFill="1" applyBorder="1" applyAlignment="1">
      <alignment horizontal="center"/>
    </xf>
    <xf numFmtId="0" fontId="3" fillId="0" borderId="3" xfId="0" applyFont="1" applyFill="1" applyBorder="1" applyAlignment="1">
      <alignment horizontal="right" vertical="center" wrapText="1"/>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xf>
    <xf numFmtId="0" fontId="6"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vertic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5" fillId="4" borderId="5" xfId="8" applyFont="1" applyFill="1" applyBorder="1" applyAlignment="1">
      <alignment horizontal="center"/>
    </xf>
    <xf numFmtId="0" fontId="5" fillId="4" borderId="5" xfId="8" applyFill="1" applyBorder="1" applyAlignment="1">
      <alignment horizontal="center"/>
    </xf>
    <xf numFmtId="0" fontId="5" fillId="4" borderId="11" xfId="8" applyFill="1" applyBorder="1"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14" fillId="4" borderId="0" xfId="8" applyFont="1" applyFill="1" applyAlignment="1">
      <alignment horizontal="center" vertical="center" textRotation="180"/>
    </xf>
    <xf numFmtId="0" fontId="5" fillId="4" borderId="5" xfId="8" applyFill="1" applyBorder="1" applyAlignment="1"/>
    <xf numFmtId="14" fontId="5" fillId="4" borderId="5" xfId="8" applyNumberFormat="1" applyFont="1"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6" fillId="4" borderId="0" xfId="0" applyFont="1" applyFill="1" applyBorder="1" applyAlignment="1">
      <alignment horizontal="center"/>
    </xf>
    <xf numFmtId="0" fontId="0" fillId="4" borderId="0" xfId="0" applyFill="1" applyBorder="1" applyAlignment="1">
      <alignment horizontal="center"/>
    </xf>
    <xf numFmtId="0" fontId="7" fillId="4" borderId="0" xfId="0" applyFont="1" applyFill="1" applyBorder="1" applyAlignment="1">
      <alignment horizont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52" fillId="2" borderId="0" xfId="0" applyFont="1" applyFill="1" applyAlignment="1">
      <alignment horizontal="center" vertical="center"/>
    </xf>
    <xf numFmtId="0" fontId="52" fillId="2" borderId="0" xfId="8" applyFont="1" applyFill="1" applyAlignment="1">
      <alignment horizontal="center" vertical="center"/>
    </xf>
    <xf numFmtId="0" fontId="52" fillId="2" borderId="0" xfId="0" applyFont="1" applyFill="1" applyBorder="1" applyAlignment="1">
      <alignment horizontal="center" vertical="center"/>
    </xf>
    <xf numFmtId="0" fontId="52" fillId="2" borderId="5" xfId="0" applyFont="1" applyFill="1" applyBorder="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Border="1" applyAlignment="1">
      <alignment horizontal="center" vertical="center"/>
    </xf>
    <xf numFmtId="0" fontId="52" fillId="2" borderId="5" xfId="8" applyFont="1" applyFill="1" applyBorder="1" applyAlignment="1">
      <alignment horizontal="center" vertical="center"/>
    </xf>
  </cellXfs>
  <cellStyles count="18">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646">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2260</c:v>
                </c:pt>
                <c:pt idx="1">
                  <c:v>2440</c:v>
                </c:pt>
                <c:pt idx="2">
                  <c:v>1724</c:v>
                </c:pt>
                <c:pt idx="3">
                  <c:v>2099</c:v>
                </c:pt>
              </c:numCache>
            </c:numRef>
          </c:xVal>
          <c:yVal>
            <c:numRef>
              <c:f>'Warrant 2'!$BM$50:$BM$53</c:f>
              <c:numCache>
                <c:formatCode>0</c:formatCode>
                <c:ptCount val="4"/>
                <c:pt idx="0">
                  <c:v>176</c:v>
                </c:pt>
                <c:pt idx="1">
                  <c:v>167</c:v>
                </c:pt>
                <c:pt idx="2">
                  <c:v>160</c:v>
                </c:pt>
                <c:pt idx="3">
                  <c:v>156</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14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2048</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2048</c:v>
                </c:pt>
                <c:pt idx="1">
                  <c:v>2048</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70BE-44EF-97BB-FD46CAD8A537}"/>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70BE-44EF-97BB-FD46CAD8A537}"/>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70BE-44EF-97BB-FD46CAD8A537}"/>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2260</c:v>
                </c:pt>
                <c:pt idx="1">
                  <c:v>2440</c:v>
                </c:pt>
                <c:pt idx="2">
                  <c:v>1724</c:v>
                </c:pt>
                <c:pt idx="3">
                  <c:v>2099</c:v>
                </c:pt>
              </c:numCache>
            </c:numRef>
          </c:xVal>
          <c:yVal>
            <c:numRef>
              <c:f>'Warrant 2'!$BM$56:$BM$59</c:f>
              <c:numCache>
                <c:formatCode>0</c:formatCode>
                <c:ptCount val="4"/>
                <c:pt idx="0">
                  <c:v>176</c:v>
                </c:pt>
                <c:pt idx="1">
                  <c:v>167</c:v>
                </c:pt>
                <c:pt idx="2">
                  <c:v>160</c:v>
                </c:pt>
                <c:pt idx="3">
                  <c:v>156</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2127</c:v>
                </c:pt>
              </c:numCache>
            </c:numRef>
          </c:xVal>
          <c:yVal>
            <c:numRef>
              <c:f>'Warrant 3'!$Z$31</c:f>
              <c:numCache>
                <c:formatCode>0</c:formatCode>
                <c:ptCount val="1"/>
                <c:pt idx="0">
                  <c:v>210</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2127</c:v>
                </c:pt>
              </c:numCache>
            </c:numRef>
          </c:xVal>
          <c:yVal>
            <c:numRef>
              <c:f>'Warrant 3'!$Z$31</c:f>
              <c:numCache>
                <c:formatCode>0</c:formatCode>
                <c:ptCount val="1"/>
                <c:pt idx="0">
                  <c:v>210</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2458</c:v>
                </c:pt>
                <c:pt idx="1">
                  <c:v>2311</c:v>
                </c:pt>
                <c:pt idx="2">
                  <c:v>2173</c:v>
                </c:pt>
                <c:pt idx="3">
                  <c:v>2035</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2458</c:v>
                </c:pt>
                <c:pt idx="1">
                  <c:v>2311</c:v>
                </c:pt>
                <c:pt idx="2">
                  <c:v>2173</c:v>
                </c:pt>
                <c:pt idx="3">
                  <c:v>2035</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2048</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2048</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122795"/>
          <a:ext cx="434974" cy="60579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73475" y="7140049"/>
          <a:ext cx="511236" cy="61393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218375" y="7103766"/>
          <a:ext cx="456158" cy="61529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76019" y="7086971"/>
          <a:ext cx="461336" cy="60986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341760" y="7080644"/>
          <a:ext cx="428995" cy="61936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717242" y="21183600"/>
          <a:ext cx="1007533" cy="147637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8049683" y="21229108"/>
          <a:ext cx="1178984" cy="149542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660467" y="21210058"/>
          <a:ext cx="1055158" cy="1488017"/>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1027833" y="21238633"/>
          <a:ext cx="1087967" cy="148590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456583" y="21210058"/>
          <a:ext cx="1062567" cy="1497542"/>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717242" y="21183600"/>
          <a:ext cx="1007533" cy="147637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8049683" y="21229108"/>
          <a:ext cx="1178984" cy="149542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660467" y="21210058"/>
          <a:ext cx="1055158" cy="1488017"/>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1027833" y="21238633"/>
          <a:ext cx="1003300" cy="148590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2371917" y="21210058"/>
          <a:ext cx="1062566" cy="1497542"/>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72953</xdr:colOff>
      <xdr:row>0</xdr:row>
      <xdr:rowOff>57150</xdr:rowOff>
    </xdr:from>
    <xdr:to>
      <xdr:col>67</xdr:col>
      <xdr:colOff>541801</xdr:colOff>
      <xdr:row>47</xdr:row>
      <xdr:rowOff>84888</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74533</xdr:colOff>
      <xdr:row>59</xdr:row>
      <xdr:rowOff>73737</xdr:rowOff>
    </xdr:from>
    <xdr:to>
      <xdr:col>67</xdr:col>
      <xdr:colOff>513112</xdr:colOff>
      <xdr:row>87</xdr:row>
      <xdr:rowOff>118915</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69</xdr:row>
      <xdr:rowOff>90489</xdr:rowOff>
    </xdr:from>
    <xdr:to>
      <xdr:col>5</xdr:col>
      <xdr:colOff>966062</xdr:colOff>
      <xdr:row>103</xdr:row>
      <xdr:rowOff>15624</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53</xdr:row>
      <xdr:rowOff>74999</xdr:rowOff>
    </xdr:from>
    <xdr:to>
      <xdr:col>5</xdr:col>
      <xdr:colOff>956048</xdr:colOff>
      <xdr:row>70</xdr:row>
      <xdr:rowOff>74645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4559143518"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04">
        <m/>
        <n v="0"/>
        <n v="455"/>
        <n v="1016"/>
        <n v="1574"/>
        <n v="2127"/>
        <n v="2173"/>
        <n v="2146"/>
        <n v="2099"/>
        <n v="2083"/>
        <n v="1955"/>
        <n v="1822"/>
        <n v="1724"/>
        <n v="1575"/>
        <n v="1603"/>
        <n v="1573"/>
        <n v="1533"/>
        <n v="1529"/>
        <n v="1509"/>
        <n v="1532"/>
        <n v="1602"/>
        <n v="1673"/>
        <n v="1710"/>
        <n v="1740"/>
        <n v="1752"/>
        <n v="1758"/>
        <n v="1709"/>
        <n v="1665"/>
        <n v="1651"/>
        <n v="1656"/>
        <n v="1678"/>
        <n v="1723"/>
        <n v="1792"/>
        <n v="1854"/>
        <n v="2024"/>
        <n v="2035"/>
        <n v="2048"/>
        <n v="2160"/>
        <n v="2260"/>
        <n v="2311"/>
        <n v="2425"/>
        <n v="2434"/>
        <n v="2440"/>
        <n v="2458"/>
        <n v="2332"/>
        <n v="2162"/>
        <n v="1974"/>
        <n v="1812"/>
        <n v="1320"/>
        <n v="871"/>
        <n v="428"/>
        <n v="828" u="1"/>
        <n v="826" u="1"/>
        <n v="557" u="1"/>
        <n v="553" u="1"/>
        <n v="345" u="1"/>
        <n v="504" u="1"/>
        <n v="598" u="1"/>
        <n v="501" u="1"/>
        <n v="863" u="1"/>
        <n v="543" u="1"/>
        <n v="1" u="1"/>
        <n v="859" u="1"/>
        <n v="533" u="1"/>
        <n v="798" u="1"/>
        <n v="739" u="1"/>
        <n v="845" u="1"/>
        <n v="898" u="1"/>
        <n v="578" u="1"/>
        <n v="521" u="1"/>
        <n v="839" u="1"/>
        <n v="678" u="1"/>
        <n v="275" u="1"/>
        <n v="515" u="1"/>
        <n v="513" u="1"/>
        <n v="725" u="1"/>
        <n v="670" u="1"/>
        <n v="431" u="1"/>
        <n v="484" u="1"/>
        <n v="615" u="1"/>
        <n v="721" u="1"/>
        <n v="613" u="1"/>
        <n v="156" u="1"/>
        <n v="660" u="1"/>
        <n v="605" u="1"/>
        <n v="542" u="1"/>
        <n v="540" u="1"/>
        <n v="646" u="1"/>
        <n v="858" u="1"/>
        <n v="799" u="1"/>
        <n v="638" u="1"/>
        <n v="844" u="1"/>
        <n v="147" u="1"/>
        <n v="575" u="1"/>
        <n v="573" u="1"/>
        <n v="12345" u="1"/>
        <n v="891" u="1"/>
        <n v="836" u="1"/>
        <n v="1500" u="1"/>
        <n v="569" u="1"/>
        <n v="514" u="1"/>
        <n v="512" u="1"/>
        <n v="565" u="1"/>
        <n v="671"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4559375003"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226" count="70">
        <m/>
        <n v="0"/>
        <n v="31"/>
        <n v="73"/>
        <n v="138"/>
        <n v="210"/>
        <n v="204"/>
        <n v="188"/>
        <n v="156"/>
        <n v="169"/>
        <n v="160"/>
        <n v="140"/>
        <n v="136"/>
        <n v="127"/>
        <n v="124"/>
        <n v="125"/>
        <n v="133"/>
        <n v="141"/>
        <n v="128"/>
        <n v="120"/>
        <n v="119"/>
        <n v="132"/>
        <n v="134"/>
        <n v="122"/>
        <n v="130"/>
        <n v="154"/>
        <n v="163"/>
        <n v="176"/>
        <n v="179"/>
        <n v="171"/>
        <n v="167"/>
        <n v="153"/>
        <n v="158"/>
        <n v="145"/>
        <n v="111"/>
        <n v="69"/>
        <n v="36"/>
        <n v="15"/>
        <n v="143" u="1"/>
        <n v="196" u="1"/>
        <n v="222" u="1"/>
        <n v="168" u="1"/>
        <n v="121" u="1"/>
        <n v="39" u="1"/>
        <n v="166" u="1"/>
        <n v="219" u="1"/>
        <n v="165" u="1"/>
        <n v="191" u="1"/>
        <n v="217" u="1"/>
        <n v="162" u="1"/>
        <n v="135" u="1"/>
        <n v="159" u="1"/>
        <n v="157" u="1"/>
        <n v="129" u="1"/>
        <n v="75" u="1"/>
        <n v="180" u="1"/>
        <n v="205" u="1"/>
        <n v="178" u="1"/>
        <n v="150" u="1"/>
        <n v="149" u="1"/>
        <n v="148" u="1"/>
        <n v="98" u="1"/>
        <n v="174" u="1"/>
        <n v="200" u="1"/>
        <n v="173" u="1"/>
        <n v="226" u="1"/>
        <n v="146" u="1"/>
        <n v="225" u="1"/>
        <n v="123" u="1"/>
        <n v="224"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9"/>
    <x v="19"/>
  </r>
  <r>
    <x v="20"/>
    <x v="20"/>
  </r>
  <r>
    <x v="21"/>
    <x v="21"/>
  </r>
  <r>
    <x v="22"/>
    <x v="22"/>
  </r>
  <r>
    <x v="23"/>
    <x v="23"/>
  </r>
  <r>
    <x v="24"/>
    <x v="24"/>
  </r>
  <r>
    <x v="24"/>
    <x v="25"/>
  </r>
  <r>
    <x v="25"/>
    <x v="26"/>
  </r>
  <r>
    <x v="26"/>
    <x v="27"/>
  </r>
  <r>
    <x v="27"/>
    <x v="28"/>
  </r>
  <r>
    <x v="28"/>
    <x v="29"/>
  </r>
  <r>
    <x v="29"/>
    <x v="30"/>
  </r>
  <r>
    <x v="30"/>
    <x v="31"/>
  </r>
  <r>
    <x v="31"/>
    <x v="32"/>
  </r>
  <r>
    <x v="32"/>
    <x v="33"/>
  </r>
  <r>
    <x v="33"/>
    <x v="34"/>
  </r>
  <r>
    <x v="10"/>
    <x v="35"/>
  </r>
  <r>
    <x v="34"/>
    <x v="36"/>
  </r>
  <r>
    <x v="35"/>
    <x v="37"/>
  </r>
  <r>
    <x v="36"/>
    <x v="38"/>
  </r>
  <r>
    <x v="37"/>
    <x v="39"/>
  </r>
  <r>
    <x v="38"/>
    <x v="40"/>
  </r>
  <r>
    <x v="39"/>
    <x v="41"/>
  </r>
  <r>
    <x v="40"/>
    <x v="42"/>
  </r>
  <r>
    <x v="41"/>
    <x v="43"/>
  </r>
  <r>
    <x v="42"/>
    <x v="44"/>
  </r>
  <r>
    <x v="43"/>
    <x v="45"/>
  </r>
  <r>
    <x v="44"/>
    <x v="46"/>
  </r>
  <r>
    <x v="45"/>
    <x v="47"/>
  </r>
  <r>
    <x v="46"/>
    <x v="48"/>
  </r>
  <r>
    <x v="47"/>
    <x v="49"/>
  </r>
  <r>
    <x v="48"/>
    <x v="50"/>
  </r>
  <r>
    <x v="49"/>
    <x v="51"/>
  </r>
  <r>
    <x v="50"/>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8"/>
    <x v="10"/>
  </r>
  <r>
    <x v="8"/>
    <x v="11"/>
  </r>
  <r>
    <x v="10"/>
    <x v="12"/>
  </r>
  <r>
    <x v="11"/>
    <x v="13"/>
  </r>
  <r>
    <x v="11"/>
    <x v="14"/>
  </r>
  <r>
    <x v="12"/>
    <x v="15"/>
  </r>
  <r>
    <x v="13"/>
    <x v="16"/>
  </r>
  <r>
    <x v="14"/>
    <x v="17"/>
  </r>
  <r>
    <x v="15"/>
    <x v="18"/>
  </r>
  <r>
    <x v="16"/>
    <x v="19"/>
  </r>
  <r>
    <x v="12"/>
    <x v="20"/>
  </r>
  <r>
    <x v="17"/>
    <x v="21"/>
  </r>
  <r>
    <x v="11"/>
    <x v="22"/>
  </r>
  <r>
    <x v="18"/>
    <x v="23"/>
  </r>
  <r>
    <x v="14"/>
    <x v="24"/>
  </r>
  <r>
    <x v="19"/>
    <x v="25"/>
  </r>
  <r>
    <x v="20"/>
    <x v="26"/>
  </r>
  <r>
    <x v="21"/>
    <x v="27"/>
  </r>
  <r>
    <x v="12"/>
    <x v="28"/>
  </r>
  <r>
    <x v="22"/>
    <x v="29"/>
  </r>
  <r>
    <x v="18"/>
    <x v="30"/>
  </r>
  <r>
    <x v="16"/>
    <x v="31"/>
  </r>
  <r>
    <x v="13"/>
    <x v="32"/>
  </r>
  <r>
    <x v="20"/>
    <x v="33"/>
  </r>
  <r>
    <x v="21"/>
    <x v="34"/>
  </r>
  <r>
    <x v="23"/>
    <x v="35"/>
  </r>
  <r>
    <x v="24"/>
    <x v="36"/>
  </r>
  <r>
    <x v="17"/>
    <x v="37"/>
  </r>
  <r>
    <x v="25"/>
    <x v="38"/>
  </r>
  <r>
    <x v="26"/>
    <x v="39"/>
  </r>
  <r>
    <x v="27"/>
    <x v="40"/>
  </r>
  <r>
    <x v="28"/>
    <x v="41"/>
  </r>
  <r>
    <x v="27"/>
    <x v="42"/>
  </r>
  <r>
    <x v="29"/>
    <x v="43"/>
  </r>
  <r>
    <x v="30"/>
    <x v="44"/>
  </r>
  <r>
    <x v="31"/>
    <x v="45"/>
  </r>
  <r>
    <x v="32"/>
    <x v="46"/>
  </r>
  <r>
    <x v="33"/>
    <x v="47"/>
  </r>
  <r>
    <x v="21"/>
    <x v="48"/>
  </r>
  <r>
    <x v="34"/>
    <x v="49"/>
  </r>
  <r>
    <x v="35"/>
    <x v="50"/>
  </r>
  <r>
    <x v="36"/>
    <x v="51"/>
  </r>
  <r>
    <x v="37"/>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5"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04">
        <item x="0"/>
        <item m="1" x="95"/>
        <item x="43"/>
        <item x="42"/>
        <item x="41"/>
        <item x="40"/>
        <item x="44"/>
        <item x="39"/>
        <item x="38"/>
        <item x="6"/>
        <item x="45"/>
        <item x="37"/>
        <item x="7"/>
        <item x="5"/>
        <item x="8"/>
        <item x="9"/>
        <item x="36"/>
        <item x="35"/>
        <item x="34"/>
        <item x="46"/>
        <item x="10"/>
        <item x="33"/>
        <item x="11"/>
        <item x="47"/>
        <item x="32"/>
        <item x="25"/>
        <item x="24"/>
        <item x="23"/>
        <item x="12"/>
        <item x="31"/>
        <item x="22"/>
        <item x="26"/>
        <item x="30"/>
        <item x="21"/>
        <item x="27"/>
        <item x="29"/>
        <item x="28"/>
        <item x="14"/>
        <item x="20"/>
        <item x="13"/>
        <item x="4"/>
        <item x="15"/>
        <item x="16"/>
        <item x="19"/>
        <item x="17"/>
        <item x="18"/>
        <item m="1" x="98"/>
        <item x="48"/>
        <item x="3"/>
        <item m="1" x="67"/>
        <item m="1" x="96"/>
        <item x="49"/>
        <item m="1" x="59"/>
        <item m="1" x="62"/>
        <item m="1" x="88"/>
        <item m="1" x="66"/>
        <item m="1" x="91"/>
        <item m="1" x="70"/>
        <item m="1" x="97"/>
        <item m="1" x="51"/>
        <item m="1" x="52"/>
        <item m="1" x="89"/>
        <item m="1" x="64"/>
        <item m="1" x="65"/>
        <item m="1" x="75"/>
        <item m="1" x="80"/>
        <item m="1" x="71"/>
        <item m="1" x="103"/>
        <item m="1" x="76"/>
        <item m="1" x="83"/>
        <item m="1" x="87"/>
        <item m="1" x="90"/>
        <item m="1" x="79"/>
        <item m="1" x="81"/>
        <item m="1" x="84"/>
        <item m="1" x="57"/>
        <item m="1" x="68"/>
        <item m="1" x="93"/>
        <item m="1" x="94"/>
        <item m="1" x="99"/>
        <item m="1" x="102"/>
        <item m="1" x="53"/>
        <item m="1" x="54"/>
        <item m="1" x="60"/>
        <item m="1" x="85"/>
        <item m="1" x="86"/>
        <item m="1" x="63"/>
        <item m="1" x="69"/>
        <item m="1" x="73"/>
        <item m="1" x="100"/>
        <item m="1" x="74"/>
        <item m="1" x="101"/>
        <item m="1" x="56"/>
        <item m="1" x="58"/>
        <item m="1" x="78"/>
        <item x="2"/>
        <item m="1" x="77"/>
        <item x="50"/>
        <item m="1" x="55"/>
        <item m="1" x="72"/>
        <item m="1" x="82"/>
        <item m="1" x="92"/>
        <item m="1" x="61"/>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2"/>
      <x v="44"/>
    </i>
    <i>
      <x v="3"/>
      <x v="43"/>
    </i>
    <i>
      <x v="4"/>
      <x v="42"/>
    </i>
    <i>
      <x v="5"/>
      <x v="41"/>
    </i>
    <i>
      <x v="6"/>
      <x v="45"/>
    </i>
    <i>
      <x v="7"/>
      <x v="40"/>
    </i>
    <i>
      <x v="8"/>
      <x v="39"/>
    </i>
    <i>
      <x v="9"/>
      <x v="5"/>
    </i>
    <i>
      <x v="10"/>
      <x v="46"/>
    </i>
    <i>
      <x v="11"/>
      <x v="38"/>
    </i>
    <i>
      <x v="12"/>
      <x v="6"/>
    </i>
    <i>
      <x v="13"/>
      <x v="4"/>
    </i>
    <i>
      <x v="14"/>
      <x v="7"/>
    </i>
    <i>
      <x v="15"/>
      <x v="8"/>
    </i>
    <i>
      <x v="16"/>
      <x v="37"/>
    </i>
    <i>
      <x v="17"/>
      <x v="36"/>
    </i>
    <i>
      <x v="18"/>
      <x v="35"/>
    </i>
    <i>
      <x v="19"/>
      <x v="47"/>
    </i>
    <i>
      <x v="20"/>
      <x v="9"/>
    </i>
    <i r="1">
      <x v="34"/>
    </i>
    <i>
      <x v="21"/>
      <x v="33"/>
    </i>
    <i>
      <x v="22"/>
      <x v="10"/>
    </i>
    <i>
      <x v="23"/>
      <x v="48"/>
    </i>
    <i>
      <x v="24"/>
      <x v="32"/>
    </i>
    <i>
      <x v="25"/>
      <x v="25"/>
    </i>
    <i>
      <x v="26"/>
      <x v="23"/>
    </i>
    <i r="1">
      <x v="24"/>
    </i>
    <i>
      <x v="27"/>
      <x v="22"/>
    </i>
    <i>
      <x v="28"/>
      <x v="11"/>
    </i>
    <i>
      <x v="29"/>
      <x v="31"/>
    </i>
    <i>
      <x v="30"/>
      <x v="21"/>
    </i>
    <i>
      <x v="31"/>
      <x v="26"/>
    </i>
    <i>
      <x v="32"/>
      <x v="30"/>
    </i>
    <i>
      <x v="33"/>
      <x v="20"/>
    </i>
    <i>
      <x v="34"/>
      <x v="27"/>
    </i>
    <i>
      <x v="35"/>
      <x v="29"/>
    </i>
    <i>
      <x v="36"/>
      <x v="28"/>
    </i>
    <i>
      <x v="37"/>
      <x v="13"/>
    </i>
    <i>
      <x v="38"/>
      <x v="19"/>
    </i>
    <i>
      <x v="39"/>
      <x v="12"/>
    </i>
    <i>
      <x v="40"/>
      <x v="3"/>
    </i>
    <i>
      <x v="41"/>
      <x v="14"/>
    </i>
    <i>
      <x v="42"/>
      <x v="15"/>
    </i>
    <i>
      <x v="43"/>
      <x v="18"/>
    </i>
    <i>
      <x v="44"/>
      <x v="16"/>
    </i>
    <i>
      <x v="45"/>
      <x v="17"/>
    </i>
    <i>
      <x v="47"/>
      <x v="49"/>
    </i>
    <i>
      <x v="48"/>
      <x v="2"/>
    </i>
    <i>
      <x v="51"/>
      <x v="50"/>
    </i>
    <i>
      <x v="95"/>
      <x v="1"/>
    </i>
    <i>
      <x v="97"/>
      <x v="51"/>
    </i>
    <i>
      <x v="103"/>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76">
    <format dxfId="497">
      <pivotArea outline="0" collapsedLevelsAreSubtotals="1" fieldPosition="0"/>
    </format>
    <format dxfId="496">
      <pivotArea type="all" dataOnly="0" outline="0" fieldPosition="0"/>
    </format>
    <format dxfId="495">
      <pivotArea field="0" type="button" dataOnly="0" labelOnly="1" outline="0" axis="axisRow" fieldPosition="0"/>
    </format>
    <format dxfId="494">
      <pivotArea field="1" type="button" dataOnly="0" labelOnly="1" outline="0" axis="axisRow" fieldPosition="1"/>
    </format>
    <format dxfId="493">
      <pivotArea dataOnly="0" labelOnly="1" outline="0" fieldPosition="0">
        <references count="1">
          <reference field="0" count="50">
            <x v="0"/>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6"/>
            <x v="98"/>
            <x v="99"/>
          </reference>
        </references>
      </pivotArea>
    </format>
    <format dxfId="492">
      <pivotArea dataOnly="0" labelOnly="1" outline="0" fieldPosition="0">
        <references count="1">
          <reference field="0" count="4">
            <x v="100"/>
            <x v="101"/>
            <x v="102"/>
            <x v="103"/>
          </reference>
        </references>
      </pivotArea>
    </format>
    <format dxfId="491">
      <pivotArea dataOnly="0" labelOnly="1" outline="0" fieldPosition="0">
        <references count="2">
          <reference field="0" count="1" selected="0">
            <x v="0"/>
          </reference>
          <reference field="1" count="1">
            <x v="72"/>
          </reference>
        </references>
      </pivotArea>
    </format>
    <format dxfId="490">
      <pivotArea dataOnly="0" labelOnly="1" outline="0" fieldPosition="0">
        <references count="2">
          <reference field="0" count="1" selected="0">
            <x v="49"/>
          </reference>
          <reference field="1" count="1">
            <x v="36"/>
          </reference>
        </references>
      </pivotArea>
    </format>
    <format dxfId="489">
      <pivotArea dataOnly="0" labelOnly="1" outline="0" fieldPosition="0">
        <references count="2">
          <reference field="0" count="1" selected="0">
            <x v="50"/>
          </reference>
          <reference field="1" count="1">
            <x v="37"/>
          </reference>
        </references>
      </pivotArea>
    </format>
    <format dxfId="488">
      <pivotArea dataOnly="0" labelOnly="1" outline="0" fieldPosition="0">
        <references count="2">
          <reference field="0" count="1" selected="0">
            <x v="51"/>
          </reference>
          <reference field="1" count="1">
            <x v="38"/>
          </reference>
        </references>
      </pivotArea>
    </format>
    <format dxfId="487">
      <pivotArea dataOnly="0" labelOnly="1" outline="0" fieldPosition="0">
        <references count="2">
          <reference field="0" count="1" selected="0">
            <x v="52"/>
          </reference>
          <reference field="1" count="1">
            <x v="4"/>
          </reference>
        </references>
      </pivotArea>
    </format>
    <format dxfId="486">
      <pivotArea dataOnly="0" labelOnly="1" outline="0" fieldPosition="0">
        <references count="2">
          <reference field="0" count="1" selected="0">
            <x v="53"/>
          </reference>
          <reference field="1" count="1">
            <x v="39"/>
          </reference>
        </references>
      </pivotArea>
    </format>
    <format dxfId="485">
      <pivotArea dataOnly="0" labelOnly="1" outline="0" fieldPosition="0">
        <references count="2">
          <reference field="0" count="1" selected="0">
            <x v="54"/>
          </reference>
          <reference field="1" count="1">
            <x v="41"/>
          </reference>
        </references>
      </pivotArea>
    </format>
    <format dxfId="484">
      <pivotArea dataOnly="0" labelOnly="1" outline="0" fieldPosition="0">
        <references count="2">
          <reference field="0" count="1" selected="0">
            <x v="55"/>
          </reference>
          <reference field="1" count="1">
            <x v="5"/>
          </reference>
        </references>
      </pivotArea>
    </format>
    <format dxfId="483">
      <pivotArea dataOnly="0" labelOnly="1" outline="0" fieldPosition="0">
        <references count="2">
          <reference field="0" count="1" selected="0">
            <x v="56"/>
          </reference>
          <reference field="1" count="1">
            <x v="3"/>
          </reference>
        </references>
      </pivotArea>
    </format>
    <format dxfId="482">
      <pivotArea dataOnly="0" labelOnly="1" outline="0" fieldPosition="0">
        <references count="2">
          <reference field="0" count="1" selected="0">
            <x v="57"/>
          </reference>
          <reference field="1" count="1">
            <x v="40"/>
          </reference>
        </references>
      </pivotArea>
    </format>
    <format dxfId="481">
      <pivotArea dataOnly="0" labelOnly="1" outline="0" fieldPosition="0">
        <references count="2">
          <reference field="0" count="1" selected="0">
            <x v="58"/>
          </reference>
          <reference field="1" count="1">
            <x v="35"/>
          </reference>
        </references>
      </pivotArea>
    </format>
    <format dxfId="480">
      <pivotArea dataOnly="0" labelOnly="1" outline="0" fieldPosition="0">
        <references count="2">
          <reference field="0" count="1" selected="0">
            <x v="59"/>
          </reference>
          <reference field="1" count="1">
            <x v="42"/>
          </reference>
        </references>
      </pivotArea>
    </format>
    <format dxfId="479">
      <pivotArea dataOnly="0" labelOnly="1" outline="0" fieldPosition="0">
        <references count="2">
          <reference field="0" count="1" selected="0">
            <x v="60"/>
          </reference>
          <reference field="1" count="1">
            <x v="43"/>
          </reference>
        </references>
      </pivotArea>
    </format>
    <format dxfId="478">
      <pivotArea dataOnly="0" labelOnly="1" outline="0" fieldPosition="0">
        <references count="2">
          <reference field="0" count="1" selected="0">
            <x v="61"/>
          </reference>
          <reference field="1" count="1">
            <x v="34"/>
          </reference>
        </references>
      </pivotArea>
    </format>
    <format dxfId="477">
      <pivotArea dataOnly="0" labelOnly="1" outline="0" fieldPosition="0">
        <references count="2">
          <reference field="0" count="1" selected="0">
            <x v="62"/>
          </reference>
          <reference field="1" count="1">
            <x v="44"/>
          </reference>
        </references>
      </pivotArea>
    </format>
    <format dxfId="476">
      <pivotArea dataOnly="0" labelOnly="1" outline="0" fieldPosition="0">
        <references count="2">
          <reference field="0" count="1" selected="0">
            <x v="63"/>
          </reference>
          <reference field="1" count="1">
            <x v="6"/>
          </reference>
        </references>
      </pivotArea>
    </format>
    <format dxfId="475">
      <pivotArea dataOnly="0" labelOnly="1" outline="0" fieldPosition="0">
        <references count="2">
          <reference field="0" count="1" selected="0">
            <x v="64"/>
          </reference>
          <reference field="1" count="1">
            <x v="45"/>
          </reference>
        </references>
      </pivotArea>
    </format>
    <format dxfId="474">
      <pivotArea dataOnly="0" labelOnly="1" outline="0" fieldPosition="0">
        <references count="2">
          <reference field="0" count="1" selected="0">
            <x v="65"/>
          </reference>
          <reference field="1" count="1">
            <x v="33"/>
          </reference>
        </references>
      </pivotArea>
    </format>
    <format dxfId="473">
      <pivotArea dataOnly="0" labelOnly="1" outline="0" fieldPosition="0">
        <references count="2">
          <reference field="0" count="1" selected="0">
            <x v="66"/>
          </reference>
          <reference field="1" count="1">
            <x v="31"/>
          </reference>
        </references>
      </pivotArea>
    </format>
    <format dxfId="472">
      <pivotArea dataOnly="0" labelOnly="1" outline="0" fieldPosition="0">
        <references count="2">
          <reference field="0" count="1" selected="0">
            <x v="67"/>
          </reference>
          <reference field="1" count="1">
            <x v="30"/>
          </reference>
        </references>
      </pivotArea>
    </format>
    <format dxfId="471">
      <pivotArea dataOnly="0" labelOnly="1" outline="0" fieldPosition="0">
        <references count="2">
          <reference field="0" count="1" selected="0">
            <x v="68"/>
          </reference>
          <reference field="1" count="1">
            <x v="32"/>
          </reference>
        </references>
      </pivotArea>
    </format>
    <format dxfId="470">
      <pivotArea dataOnly="0" labelOnly="1" outline="0" fieldPosition="0">
        <references count="2">
          <reference field="0" count="1" selected="0">
            <x v="69"/>
          </reference>
          <reference field="1" count="1">
            <x v="7"/>
          </reference>
        </references>
      </pivotArea>
    </format>
    <format dxfId="469">
      <pivotArea dataOnly="0" labelOnly="1" outline="0" fieldPosition="0">
        <references count="2">
          <reference field="0" count="1" selected="0">
            <x v="70"/>
          </reference>
          <reference field="1" count="1">
            <x v="46"/>
          </reference>
        </references>
      </pivotArea>
    </format>
    <format dxfId="468">
      <pivotArea dataOnly="0" labelOnly="1" outline="0" fieldPosition="0">
        <references count="2">
          <reference field="0" count="1" selected="0">
            <x v="71"/>
          </reference>
          <reference field="1" count="1">
            <x v="29"/>
          </reference>
        </references>
      </pivotArea>
    </format>
    <format dxfId="467">
      <pivotArea dataOnly="0" labelOnly="1" outline="0" fieldPosition="0">
        <references count="2">
          <reference field="0" count="1" selected="0">
            <x v="72"/>
          </reference>
          <reference field="1" count="1">
            <x v="8"/>
          </reference>
        </references>
      </pivotArea>
    </format>
    <format dxfId="466">
      <pivotArea dataOnly="0" labelOnly="1" outline="0" fieldPosition="0">
        <references count="2">
          <reference field="0" count="1" selected="0">
            <x v="73"/>
          </reference>
          <reference field="1" count="1">
            <x v="47"/>
          </reference>
        </references>
      </pivotArea>
    </format>
    <format dxfId="465">
      <pivotArea dataOnly="0" labelOnly="1" outline="0" fieldPosition="0">
        <references count="2">
          <reference field="0" count="1" selected="0">
            <x v="74"/>
          </reference>
          <reference field="1" count="1">
            <x v="2"/>
          </reference>
        </references>
      </pivotArea>
    </format>
    <format dxfId="464">
      <pivotArea dataOnly="0" labelOnly="1" outline="0" fieldPosition="0">
        <references count="2">
          <reference field="0" count="1" selected="0">
            <x v="75"/>
          </reference>
          <reference field="1" count="1">
            <x v="28"/>
          </reference>
        </references>
      </pivotArea>
    </format>
    <format dxfId="463">
      <pivotArea dataOnly="0" labelOnly="1" outline="0" fieldPosition="0">
        <references count="2">
          <reference field="0" count="1" selected="0">
            <x v="76"/>
          </reference>
          <reference field="1" count="1">
            <x v="24"/>
          </reference>
        </references>
      </pivotArea>
    </format>
    <format dxfId="462">
      <pivotArea dataOnly="0" labelOnly="1" outline="0" fieldPosition="0">
        <references count="2">
          <reference field="0" count="1" selected="0">
            <x v="77"/>
          </reference>
          <reference field="1" count="1">
            <x v="10"/>
          </reference>
        </references>
      </pivotArea>
    </format>
    <format dxfId="461">
      <pivotArea dataOnly="0" labelOnly="1" outline="0" fieldPosition="0">
        <references count="2">
          <reference field="0" count="1" selected="0">
            <x v="78"/>
          </reference>
          <reference field="1" count="1">
            <x v="9"/>
          </reference>
        </references>
      </pivotArea>
    </format>
    <format dxfId="460">
      <pivotArea dataOnly="0" labelOnly="1" outline="0" fieldPosition="0">
        <references count="2">
          <reference field="0" count="1" selected="0">
            <x v="79"/>
          </reference>
          <reference field="1" count="1">
            <x v="27"/>
          </reference>
        </references>
      </pivotArea>
    </format>
    <format dxfId="459">
      <pivotArea dataOnly="0" labelOnly="1" outline="0" fieldPosition="0">
        <references count="2">
          <reference field="0" count="1" selected="0">
            <x v="80"/>
          </reference>
          <reference field="1" count="1">
            <x v="25"/>
          </reference>
        </references>
      </pivotArea>
    </format>
    <format dxfId="458">
      <pivotArea dataOnly="0" labelOnly="1" outline="0" fieldPosition="0">
        <references count="2">
          <reference field="0" count="1" selected="0">
            <x v="81"/>
          </reference>
          <reference field="1" count="1">
            <x v="22"/>
          </reference>
        </references>
      </pivotArea>
    </format>
    <format dxfId="457">
      <pivotArea dataOnly="0" labelOnly="1" outline="0" fieldPosition="0">
        <references count="2">
          <reference field="0" count="1" selected="0">
            <x v="82"/>
          </reference>
          <reference field="1" count="1">
            <x v="23"/>
          </reference>
        </references>
      </pivotArea>
    </format>
    <format dxfId="456">
      <pivotArea dataOnly="0" labelOnly="1" outline="0" fieldPosition="0">
        <references count="2">
          <reference field="0" count="1" selected="0">
            <x v="83"/>
          </reference>
          <reference field="1" count="1">
            <x v="26"/>
          </reference>
        </references>
      </pivotArea>
    </format>
    <format dxfId="455">
      <pivotArea dataOnly="0" labelOnly="1" outline="0" fieldPosition="0">
        <references count="2">
          <reference field="0" count="1" selected="0">
            <x v="84"/>
          </reference>
          <reference field="1" count="1">
            <x v="11"/>
          </reference>
        </references>
      </pivotArea>
    </format>
    <format dxfId="454">
      <pivotArea dataOnly="0" labelOnly="1" outline="0" fieldPosition="0">
        <references count="2">
          <reference field="0" count="1" selected="0">
            <x v="85"/>
          </reference>
          <reference field="1" count="1">
            <x v="21"/>
          </reference>
        </references>
      </pivotArea>
    </format>
    <format dxfId="453">
      <pivotArea dataOnly="0" labelOnly="1" outline="0" fieldPosition="0">
        <references count="2">
          <reference field="0" count="1" selected="0">
            <x v="86"/>
          </reference>
          <reference field="1" count="1">
            <x v="12"/>
          </reference>
        </references>
      </pivotArea>
    </format>
    <format dxfId="452">
      <pivotArea dataOnly="0" labelOnly="1" outline="0" fieldPosition="0">
        <references count="2">
          <reference field="0" count="1" selected="0">
            <x v="87"/>
          </reference>
          <reference field="1" count="1">
            <x v="18"/>
          </reference>
        </references>
      </pivotArea>
    </format>
    <format dxfId="451">
      <pivotArea dataOnly="0" labelOnly="1" outline="0" fieldPosition="0">
        <references count="2">
          <reference field="0" count="1" selected="0">
            <x v="88"/>
          </reference>
          <reference field="1" count="1">
            <x v="13"/>
          </reference>
        </references>
      </pivotArea>
    </format>
    <format dxfId="450">
      <pivotArea dataOnly="0" labelOnly="1" outline="0" fieldPosition="0">
        <references count="2">
          <reference field="0" count="1" selected="0">
            <x v="89"/>
          </reference>
          <reference field="1" count="1">
            <x v="19"/>
          </reference>
        </references>
      </pivotArea>
    </format>
    <format dxfId="449">
      <pivotArea dataOnly="0" labelOnly="1" outline="0" fieldPosition="0">
        <references count="2">
          <reference field="0" count="1" selected="0">
            <x v="90"/>
          </reference>
          <reference field="1" count="1">
            <x v="20"/>
          </reference>
        </references>
      </pivotArea>
    </format>
    <format dxfId="448">
      <pivotArea dataOnly="0" labelOnly="1" outline="0" fieldPosition="0">
        <references count="2">
          <reference field="0" count="1" selected="0">
            <x v="91"/>
          </reference>
          <reference field="1" count="1">
            <x v="16"/>
          </reference>
        </references>
      </pivotArea>
    </format>
    <format dxfId="447">
      <pivotArea dataOnly="0" labelOnly="1" outline="0" fieldPosition="0">
        <references count="2">
          <reference field="0" count="1" selected="0">
            <x v="92"/>
          </reference>
          <reference field="1" count="1">
            <x v="17"/>
          </reference>
        </references>
      </pivotArea>
    </format>
    <format dxfId="446">
      <pivotArea dataOnly="0" labelOnly="1" outline="0" fieldPosition="0">
        <references count="2">
          <reference field="0" count="1" selected="0">
            <x v="93"/>
          </reference>
          <reference field="1" count="1">
            <x v="15"/>
          </reference>
        </references>
      </pivotArea>
    </format>
    <format dxfId="445">
      <pivotArea dataOnly="0" labelOnly="1" outline="0" fieldPosition="0">
        <references count="2">
          <reference field="0" count="1" selected="0">
            <x v="94"/>
          </reference>
          <reference field="1" count="1">
            <x v="14"/>
          </reference>
        </references>
      </pivotArea>
    </format>
    <format dxfId="444">
      <pivotArea dataOnly="0" labelOnly="1" outline="0" fieldPosition="0">
        <references count="2">
          <reference field="0" count="1" selected="0">
            <x v="96"/>
          </reference>
          <reference field="1" count="1">
            <x v="48"/>
          </reference>
        </references>
      </pivotArea>
    </format>
    <format dxfId="443">
      <pivotArea dataOnly="0" labelOnly="1" outline="0" fieldPosition="0">
        <references count="2">
          <reference field="0" count="1" selected="0">
            <x v="98"/>
          </reference>
          <reference field="1" count="1">
            <x v="1"/>
          </reference>
        </references>
      </pivotArea>
    </format>
    <format dxfId="442">
      <pivotArea dataOnly="0" labelOnly="1" outline="0" fieldPosition="0">
        <references count="2">
          <reference field="0" count="1" selected="0">
            <x v="99"/>
          </reference>
          <reference field="1" count="1">
            <x v="49"/>
          </reference>
        </references>
      </pivotArea>
    </format>
    <format dxfId="441">
      <pivotArea dataOnly="0" labelOnly="1" outline="0" fieldPosition="0">
        <references count="2">
          <reference field="0" count="1" selected="0">
            <x v="100"/>
          </reference>
          <reference field="1" count="1">
            <x v="50"/>
          </reference>
        </references>
      </pivotArea>
    </format>
    <format dxfId="440">
      <pivotArea dataOnly="0" labelOnly="1" outline="0" fieldPosition="0">
        <references count="2">
          <reference field="0" count="1" selected="0">
            <x v="101"/>
          </reference>
          <reference field="1" count="1">
            <x v="0"/>
          </reference>
        </references>
      </pivotArea>
    </format>
    <format dxfId="439">
      <pivotArea dataOnly="0" labelOnly="1" outline="0" fieldPosition="0">
        <references count="2">
          <reference field="0" count="1" selected="0">
            <x v="102"/>
          </reference>
          <reference field="1" count="1">
            <x v="51"/>
          </reference>
        </references>
      </pivotArea>
    </format>
    <format dxfId="438">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 dxfId="437">
      <pivotArea type="all" dataOnly="0" outline="0" fieldPosition="0"/>
    </format>
    <format dxfId="436">
      <pivotArea field="0" type="button" dataOnly="0" labelOnly="1" outline="0" axis="axisRow" fieldPosition="0"/>
    </format>
    <format dxfId="435">
      <pivotArea field="1" type="button" dataOnly="0" labelOnly="1" outline="0" axis="axisRow" fieldPosition="1"/>
    </format>
    <format dxfId="434">
      <pivotArea dataOnly="0" labelOnly="1" outline="0" fieldPosition="0">
        <references count="1">
          <reference field="0" count="50">
            <x v="0"/>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6"/>
            <x v="98"/>
            <x v="99"/>
          </reference>
        </references>
      </pivotArea>
    </format>
    <format dxfId="433">
      <pivotArea dataOnly="0" labelOnly="1" outline="0" fieldPosition="0">
        <references count="1">
          <reference field="0" count="3">
            <x v="101"/>
            <x v="102"/>
            <x v="103"/>
          </reference>
        </references>
      </pivotArea>
    </format>
    <format dxfId="432">
      <pivotArea dataOnly="0" labelOnly="1" outline="0" fieldPosition="0">
        <references count="2">
          <reference field="0" count="1" selected="0">
            <x v="0"/>
          </reference>
          <reference field="1" count="1">
            <x v="72"/>
          </reference>
        </references>
      </pivotArea>
    </format>
    <format dxfId="431">
      <pivotArea dataOnly="0" labelOnly="1" outline="0" fieldPosition="0">
        <references count="2">
          <reference field="0" count="1" selected="0">
            <x v="49"/>
          </reference>
          <reference field="1" count="1">
            <x v="36"/>
          </reference>
        </references>
      </pivotArea>
    </format>
    <format dxfId="430">
      <pivotArea dataOnly="0" labelOnly="1" outline="0" fieldPosition="0">
        <references count="2">
          <reference field="0" count="1" selected="0">
            <x v="50"/>
          </reference>
          <reference field="1" count="1">
            <x v="37"/>
          </reference>
        </references>
      </pivotArea>
    </format>
    <format dxfId="429">
      <pivotArea dataOnly="0" labelOnly="1" outline="0" fieldPosition="0">
        <references count="2">
          <reference field="0" count="1" selected="0">
            <x v="51"/>
          </reference>
          <reference field="1" count="1">
            <x v="38"/>
          </reference>
        </references>
      </pivotArea>
    </format>
    <format dxfId="428">
      <pivotArea dataOnly="0" labelOnly="1" outline="0" fieldPosition="0">
        <references count="2">
          <reference field="0" count="1" selected="0">
            <x v="52"/>
          </reference>
          <reference field="1" count="1">
            <x v="4"/>
          </reference>
        </references>
      </pivotArea>
    </format>
    <format dxfId="427">
      <pivotArea dataOnly="0" labelOnly="1" outline="0" fieldPosition="0">
        <references count="2">
          <reference field="0" count="1" selected="0">
            <x v="53"/>
          </reference>
          <reference field="1" count="1">
            <x v="39"/>
          </reference>
        </references>
      </pivotArea>
    </format>
    <format dxfId="426">
      <pivotArea dataOnly="0" labelOnly="1" outline="0" fieldPosition="0">
        <references count="2">
          <reference field="0" count="1" selected="0">
            <x v="54"/>
          </reference>
          <reference field="1" count="1">
            <x v="41"/>
          </reference>
        </references>
      </pivotArea>
    </format>
    <format dxfId="425">
      <pivotArea dataOnly="0" labelOnly="1" outline="0" fieldPosition="0">
        <references count="2">
          <reference field="0" count="1" selected="0">
            <x v="55"/>
          </reference>
          <reference field="1" count="1">
            <x v="5"/>
          </reference>
        </references>
      </pivotArea>
    </format>
    <format dxfId="424">
      <pivotArea dataOnly="0" labelOnly="1" outline="0" fieldPosition="0">
        <references count="2">
          <reference field="0" count="1" selected="0">
            <x v="56"/>
          </reference>
          <reference field="1" count="1">
            <x v="3"/>
          </reference>
        </references>
      </pivotArea>
    </format>
    <format dxfId="423">
      <pivotArea dataOnly="0" labelOnly="1" outline="0" fieldPosition="0">
        <references count="2">
          <reference field="0" count="1" selected="0">
            <x v="57"/>
          </reference>
          <reference field="1" count="1">
            <x v="40"/>
          </reference>
        </references>
      </pivotArea>
    </format>
    <format dxfId="422">
      <pivotArea dataOnly="0" labelOnly="1" outline="0" fieldPosition="0">
        <references count="2">
          <reference field="0" count="1" selected="0">
            <x v="58"/>
          </reference>
          <reference field="1" count="1">
            <x v="35"/>
          </reference>
        </references>
      </pivotArea>
    </format>
    <format dxfId="421">
      <pivotArea dataOnly="0" labelOnly="1" outline="0" fieldPosition="0">
        <references count="2">
          <reference field="0" count="1" selected="0">
            <x v="59"/>
          </reference>
          <reference field="1" count="1">
            <x v="42"/>
          </reference>
        </references>
      </pivotArea>
    </format>
    <format dxfId="420">
      <pivotArea dataOnly="0" labelOnly="1" outline="0" fieldPosition="0">
        <references count="2">
          <reference field="0" count="1" selected="0">
            <x v="60"/>
          </reference>
          <reference field="1" count="1">
            <x v="43"/>
          </reference>
        </references>
      </pivotArea>
    </format>
    <format dxfId="419">
      <pivotArea dataOnly="0" labelOnly="1" outline="0" fieldPosition="0">
        <references count="2">
          <reference field="0" count="1" selected="0">
            <x v="61"/>
          </reference>
          <reference field="1" count="1">
            <x v="34"/>
          </reference>
        </references>
      </pivotArea>
    </format>
    <format dxfId="418">
      <pivotArea dataOnly="0" labelOnly="1" outline="0" fieldPosition="0">
        <references count="2">
          <reference field="0" count="1" selected="0">
            <x v="62"/>
          </reference>
          <reference field="1" count="1">
            <x v="44"/>
          </reference>
        </references>
      </pivotArea>
    </format>
    <format dxfId="417">
      <pivotArea dataOnly="0" labelOnly="1" outline="0" fieldPosition="0">
        <references count="2">
          <reference field="0" count="1" selected="0">
            <x v="63"/>
          </reference>
          <reference field="1" count="1">
            <x v="6"/>
          </reference>
        </references>
      </pivotArea>
    </format>
    <format dxfId="416">
      <pivotArea dataOnly="0" labelOnly="1" outline="0" fieldPosition="0">
        <references count="2">
          <reference field="0" count="1" selected="0">
            <x v="64"/>
          </reference>
          <reference field="1" count="1">
            <x v="45"/>
          </reference>
        </references>
      </pivotArea>
    </format>
    <format dxfId="415">
      <pivotArea dataOnly="0" labelOnly="1" outline="0" fieldPosition="0">
        <references count="2">
          <reference field="0" count="1" selected="0">
            <x v="65"/>
          </reference>
          <reference field="1" count="1">
            <x v="33"/>
          </reference>
        </references>
      </pivotArea>
    </format>
    <format dxfId="414">
      <pivotArea dataOnly="0" labelOnly="1" outline="0" fieldPosition="0">
        <references count="2">
          <reference field="0" count="1" selected="0">
            <x v="66"/>
          </reference>
          <reference field="1" count="1">
            <x v="31"/>
          </reference>
        </references>
      </pivotArea>
    </format>
    <format dxfId="413">
      <pivotArea dataOnly="0" labelOnly="1" outline="0" fieldPosition="0">
        <references count="2">
          <reference field="0" count="1" selected="0">
            <x v="67"/>
          </reference>
          <reference field="1" count="1">
            <x v="30"/>
          </reference>
        </references>
      </pivotArea>
    </format>
    <format dxfId="412">
      <pivotArea dataOnly="0" labelOnly="1" outline="0" fieldPosition="0">
        <references count="2">
          <reference field="0" count="1" selected="0">
            <x v="68"/>
          </reference>
          <reference field="1" count="1">
            <x v="32"/>
          </reference>
        </references>
      </pivotArea>
    </format>
    <format dxfId="411">
      <pivotArea dataOnly="0" labelOnly="1" outline="0" fieldPosition="0">
        <references count="2">
          <reference field="0" count="1" selected="0">
            <x v="69"/>
          </reference>
          <reference field="1" count="1">
            <x v="7"/>
          </reference>
        </references>
      </pivotArea>
    </format>
    <format dxfId="410">
      <pivotArea dataOnly="0" labelOnly="1" outline="0" fieldPosition="0">
        <references count="2">
          <reference field="0" count="1" selected="0">
            <x v="70"/>
          </reference>
          <reference field="1" count="1">
            <x v="46"/>
          </reference>
        </references>
      </pivotArea>
    </format>
    <format dxfId="409">
      <pivotArea dataOnly="0" labelOnly="1" outline="0" fieldPosition="0">
        <references count="2">
          <reference field="0" count="1" selected="0">
            <x v="71"/>
          </reference>
          <reference field="1" count="1">
            <x v="29"/>
          </reference>
        </references>
      </pivotArea>
    </format>
    <format dxfId="408">
      <pivotArea dataOnly="0" labelOnly="1" outline="0" fieldPosition="0">
        <references count="2">
          <reference field="0" count="1" selected="0">
            <x v="72"/>
          </reference>
          <reference field="1" count="1">
            <x v="8"/>
          </reference>
        </references>
      </pivotArea>
    </format>
    <format dxfId="407">
      <pivotArea dataOnly="0" labelOnly="1" outline="0" fieldPosition="0">
        <references count="2">
          <reference field="0" count="1" selected="0">
            <x v="73"/>
          </reference>
          <reference field="1" count="1">
            <x v="47"/>
          </reference>
        </references>
      </pivotArea>
    </format>
    <format dxfId="406">
      <pivotArea dataOnly="0" labelOnly="1" outline="0" fieldPosition="0">
        <references count="2">
          <reference field="0" count="1" selected="0">
            <x v="74"/>
          </reference>
          <reference field="1" count="1">
            <x v="2"/>
          </reference>
        </references>
      </pivotArea>
    </format>
    <format dxfId="405">
      <pivotArea dataOnly="0" labelOnly="1" outline="0" fieldPosition="0">
        <references count="2">
          <reference field="0" count="1" selected="0">
            <x v="75"/>
          </reference>
          <reference field="1" count="1">
            <x v="28"/>
          </reference>
        </references>
      </pivotArea>
    </format>
    <format dxfId="404">
      <pivotArea dataOnly="0" labelOnly="1" outline="0" fieldPosition="0">
        <references count="2">
          <reference field="0" count="1" selected="0">
            <x v="76"/>
          </reference>
          <reference field="1" count="1">
            <x v="24"/>
          </reference>
        </references>
      </pivotArea>
    </format>
    <format dxfId="403">
      <pivotArea dataOnly="0" labelOnly="1" outline="0" fieldPosition="0">
        <references count="2">
          <reference field="0" count="1" selected="0">
            <x v="77"/>
          </reference>
          <reference field="1" count="1">
            <x v="10"/>
          </reference>
        </references>
      </pivotArea>
    </format>
    <format dxfId="402">
      <pivotArea dataOnly="0" labelOnly="1" outline="0" fieldPosition="0">
        <references count="2">
          <reference field="0" count="1" selected="0">
            <x v="78"/>
          </reference>
          <reference field="1" count="1">
            <x v="9"/>
          </reference>
        </references>
      </pivotArea>
    </format>
    <format dxfId="401">
      <pivotArea dataOnly="0" labelOnly="1" outline="0" fieldPosition="0">
        <references count="2">
          <reference field="0" count="1" selected="0">
            <x v="79"/>
          </reference>
          <reference field="1" count="1">
            <x v="27"/>
          </reference>
        </references>
      </pivotArea>
    </format>
    <format dxfId="400">
      <pivotArea dataOnly="0" labelOnly="1" outline="0" fieldPosition="0">
        <references count="2">
          <reference field="0" count="1" selected="0">
            <x v="80"/>
          </reference>
          <reference field="1" count="1">
            <x v="25"/>
          </reference>
        </references>
      </pivotArea>
    </format>
    <format dxfId="399">
      <pivotArea dataOnly="0" labelOnly="1" outline="0" fieldPosition="0">
        <references count="2">
          <reference field="0" count="1" selected="0">
            <x v="81"/>
          </reference>
          <reference field="1" count="1">
            <x v="22"/>
          </reference>
        </references>
      </pivotArea>
    </format>
    <format dxfId="398">
      <pivotArea dataOnly="0" labelOnly="1" outline="0" fieldPosition="0">
        <references count="2">
          <reference field="0" count="1" selected="0">
            <x v="82"/>
          </reference>
          <reference field="1" count="1">
            <x v="23"/>
          </reference>
        </references>
      </pivotArea>
    </format>
    <format dxfId="397">
      <pivotArea dataOnly="0" labelOnly="1" outline="0" fieldPosition="0">
        <references count="2">
          <reference field="0" count="1" selected="0">
            <x v="83"/>
          </reference>
          <reference field="1" count="1">
            <x v="26"/>
          </reference>
        </references>
      </pivotArea>
    </format>
    <format dxfId="396">
      <pivotArea dataOnly="0" labelOnly="1" outline="0" fieldPosition="0">
        <references count="2">
          <reference field="0" count="1" selected="0">
            <x v="84"/>
          </reference>
          <reference field="1" count="1">
            <x v="11"/>
          </reference>
        </references>
      </pivotArea>
    </format>
    <format dxfId="395">
      <pivotArea dataOnly="0" labelOnly="1" outline="0" fieldPosition="0">
        <references count="2">
          <reference field="0" count="1" selected="0">
            <x v="85"/>
          </reference>
          <reference field="1" count="1">
            <x v="21"/>
          </reference>
        </references>
      </pivotArea>
    </format>
    <format dxfId="394">
      <pivotArea dataOnly="0" labelOnly="1" outline="0" fieldPosition="0">
        <references count="2">
          <reference field="0" count="1" selected="0">
            <x v="86"/>
          </reference>
          <reference field="1" count="1">
            <x v="12"/>
          </reference>
        </references>
      </pivotArea>
    </format>
    <format dxfId="393">
      <pivotArea dataOnly="0" labelOnly="1" outline="0" fieldPosition="0">
        <references count="2">
          <reference field="0" count="1" selected="0">
            <x v="87"/>
          </reference>
          <reference field="1" count="1">
            <x v="18"/>
          </reference>
        </references>
      </pivotArea>
    </format>
    <format dxfId="392">
      <pivotArea dataOnly="0" labelOnly="1" outline="0" fieldPosition="0">
        <references count="2">
          <reference field="0" count="1" selected="0">
            <x v="88"/>
          </reference>
          <reference field="1" count="1">
            <x v="13"/>
          </reference>
        </references>
      </pivotArea>
    </format>
    <format dxfId="391">
      <pivotArea dataOnly="0" labelOnly="1" outline="0" fieldPosition="0">
        <references count="2">
          <reference field="0" count="1" selected="0">
            <x v="89"/>
          </reference>
          <reference field="1" count="1">
            <x v="19"/>
          </reference>
        </references>
      </pivotArea>
    </format>
    <format dxfId="390">
      <pivotArea dataOnly="0" labelOnly="1" outline="0" fieldPosition="0">
        <references count="2">
          <reference field="0" count="1" selected="0">
            <x v="90"/>
          </reference>
          <reference field="1" count="1">
            <x v="20"/>
          </reference>
        </references>
      </pivotArea>
    </format>
    <format dxfId="389">
      <pivotArea dataOnly="0" labelOnly="1" outline="0" fieldPosition="0">
        <references count="2">
          <reference field="0" count="1" selected="0">
            <x v="91"/>
          </reference>
          <reference field="1" count="1">
            <x v="16"/>
          </reference>
        </references>
      </pivotArea>
    </format>
    <format dxfId="388">
      <pivotArea dataOnly="0" labelOnly="1" outline="0" fieldPosition="0">
        <references count="2">
          <reference field="0" count="1" selected="0">
            <x v="92"/>
          </reference>
          <reference field="1" count="1">
            <x v="17"/>
          </reference>
        </references>
      </pivotArea>
    </format>
    <format dxfId="387">
      <pivotArea dataOnly="0" labelOnly="1" outline="0" fieldPosition="0">
        <references count="2">
          <reference field="0" count="1" selected="0">
            <x v="93"/>
          </reference>
          <reference field="1" count="1">
            <x v="15"/>
          </reference>
        </references>
      </pivotArea>
    </format>
    <format dxfId="386">
      <pivotArea dataOnly="0" labelOnly="1" outline="0" fieldPosition="0">
        <references count="2">
          <reference field="0" count="1" selected="0">
            <x v="94"/>
          </reference>
          <reference field="1" count="1">
            <x v="14"/>
          </reference>
        </references>
      </pivotArea>
    </format>
    <format dxfId="385">
      <pivotArea dataOnly="0" labelOnly="1" outline="0" fieldPosition="0">
        <references count="2">
          <reference field="0" count="1" selected="0">
            <x v="96"/>
          </reference>
          <reference field="1" count="1">
            <x v="48"/>
          </reference>
        </references>
      </pivotArea>
    </format>
    <format dxfId="384">
      <pivotArea dataOnly="0" labelOnly="1" outline="0" fieldPosition="0">
        <references count="2">
          <reference field="0" count="1" selected="0">
            <x v="98"/>
          </reference>
          <reference field="1" count="1">
            <x v="1"/>
          </reference>
        </references>
      </pivotArea>
    </format>
    <format dxfId="383">
      <pivotArea dataOnly="0" labelOnly="1" outline="0" fieldPosition="0">
        <references count="2">
          <reference field="0" count="1" selected="0">
            <x v="99"/>
          </reference>
          <reference field="1" count="1">
            <x v="49"/>
          </reference>
        </references>
      </pivotArea>
    </format>
    <format dxfId="382">
      <pivotArea dataOnly="0" labelOnly="1" outline="0" fieldPosition="0">
        <references count="2">
          <reference field="0" count="1" selected="0">
            <x v="101"/>
          </reference>
          <reference field="1" count="1">
            <x v="0"/>
          </reference>
        </references>
      </pivotArea>
    </format>
    <format dxfId="381">
      <pivotArea dataOnly="0" labelOnly="1" outline="0" fieldPosition="0">
        <references count="2">
          <reference field="0" count="1" selected="0">
            <x v="102"/>
          </reference>
          <reference field="1" count="2">
            <x v="50"/>
            <x v="51"/>
          </reference>
        </references>
      </pivotArea>
    </format>
    <format dxfId="380">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 dxfId="379">
      <pivotArea type="all" dataOnly="0" outline="0" fieldPosition="0"/>
    </format>
    <format dxfId="378">
      <pivotArea field="0" type="button" dataOnly="0" labelOnly="1" outline="0" axis="axisRow" fieldPosition="0"/>
    </format>
    <format dxfId="377">
      <pivotArea field="1" type="button" dataOnly="0" labelOnly="1" outline="0" axis="axisRow" fieldPosition="1"/>
    </format>
    <format dxfId="376">
      <pivotArea dataOnly="0" labelOnly="1" outline="0" fieldPosition="0">
        <references count="1">
          <reference field="0" count="50">
            <x v="0"/>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6"/>
            <x v="98"/>
            <x v="99"/>
          </reference>
        </references>
      </pivotArea>
    </format>
    <format dxfId="375">
      <pivotArea dataOnly="0" labelOnly="1" outline="0" fieldPosition="0">
        <references count="1">
          <reference field="0" count="3">
            <x v="101"/>
            <x v="102"/>
            <x v="103"/>
          </reference>
        </references>
      </pivotArea>
    </format>
    <format dxfId="374">
      <pivotArea dataOnly="0" labelOnly="1" outline="0" fieldPosition="0">
        <references count="2">
          <reference field="0" count="1" selected="0">
            <x v="0"/>
          </reference>
          <reference field="1" count="1">
            <x v="72"/>
          </reference>
        </references>
      </pivotArea>
    </format>
    <format dxfId="373">
      <pivotArea dataOnly="0" labelOnly="1" outline="0" fieldPosition="0">
        <references count="2">
          <reference field="0" count="1" selected="0">
            <x v="49"/>
          </reference>
          <reference field="1" count="1">
            <x v="36"/>
          </reference>
        </references>
      </pivotArea>
    </format>
    <format dxfId="372">
      <pivotArea dataOnly="0" labelOnly="1" outline="0" fieldPosition="0">
        <references count="2">
          <reference field="0" count="1" selected="0">
            <x v="50"/>
          </reference>
          <reference field="1" count="1">
            <x v="37"/>
          </reference>
        </references>
      </pivotArea>
    </format>
    <format dxfId="371">
      <pivotArea dataOnly="0" labelOnly="1" outline="0" fieldPosition="0">
        <references count="2">
          <reference field="0" count="1" selected="0">
            <x v="51"/>
          </reference>
          <reference field="1" count="1">
            <x v="38"/>
          </reference>
        </references>
      </pivotArea>
    </format>
    <format dxfId="370">
      <pivotArea dataOnly="0" labelOnly="1" outline="0" fieldPosition="0">
        <references count="2">
          <reference field="0" count="1" selected="0">
            <x v="52"/>
          </reference>
          <reference field="1" count="1">
            <x v="4"/>
          </reference>
        </references>
      </pivotArea>
    </format>
    <format dxfId="369">
      <pivotArea dataOnly="0" labelOnly="1" outline="0" fieldPosition="0">
        <references count="2">
          <reference field="0" count="1" selected="0">
            <x v="53"/>
          </reference>
          <reference field="1" count="1">
            <x v="39"/>
          </reference>
        </references>
      </pivotArea>
    </format>
    <format dxfId="368">
      <pivotArea dataOnly="0" labelOnly="1" outline="0" fieldPosition="0">
        <references count="2">
          <reference field="0" count="1" selected="0">
            <x v="54"/>
          </reference>
          <reference field="1" count="1">
            <x v="41"/>
          </reference>
        </references>
      </pivotArea>
    </format>
    <format dxfId="367">
      <pivotArea dataOnly="0" labelOnly="1" outline="0" fieldPosition="0">
        <references count="2">
          <reference field="0" count="1" selected="0">
            <x v="55"/>
          </reference>
          <reference field="1" count="1">
            <x v="5"/>
          </reference>
        </references>
      </pivotArea>
    </format>
    <format dxfId="366">
      <pivotArea dataOnly="0" labelOnly="1" outline="0" fieldPosition="0">
        <references count="2">
          <reference field="0" count="1" selected="0">
            <x v="56"/>
          </reference>
          <reference field="1" count="1">
            <x v="3"/>
          </reference>
        </references>
      </pivotArea>
    </format>
    <format dxfId="365">
      <pivotArea dataOnly="0" labelOnly="1" outline="0" fieldPosition="0">
        <references count="2">
          <reference field="0" count="1" selected="0">
            <x v="57"/>
          </reference>
          <reference field="1" count="1">
            <x v="40"/>
          </reference>
        </references>
      </pivotArea>
    </format>
    <format dxfId="364">
      <pivotArea dataOnly="0" labelOnly="1" outline="0" fieldPosition="0">
        <references count="2">
          <reference field="0" count="1" selected="0">
            <x v="58"/>
          </reference>
          <reference field="1" count="1">
            <x v="35"/>
          </reference>
        </references>
      </pivotArea>
    </format>
    <format dxfId="363">
      <pivotArea dataOnly="0" labelOnly="1" outline="0" fieldPosition="0">
        <references count="2">
          <reference field="0" count="1" selected="0">
            <x v="59"/>
          </reference>
          <reference field="1" count="1">
            <x v="42"/>
          </reference>
        </references>
      </pivotArea>
    </format>
    <format dxfId="362">
      <pivotArea dataOnly="0" labelOnly="1" outline="0" fieldPosition="0">
        <references count="2">
          <reference field="0" count="1" selected="0">
            <x v="60"/>
          </reference>
          <reference field="1" count="1">
            <x v="43"/>
          </reference>
        </references>
      </pivotArea>
    </format>
    <format dxfId="361">
      <pivotArea dataOnly="0" labelOnly="1" outline="0" fieldPosition="0">
        <references count="2">
          <reference field="0" count="1" selected="0">
            <x v="61"/>
          </reference>
          <reference field="1" count="1">
            <x v="34"/>
          </reference>
        </references>
      </pivotArea>
    </format>
    <format dxfId="360">
      <pivotArea dataOnly="0" labelOnly="1" outline="0" fieldPosition="0">
        <references count="2">
          <reference field="0" count="1" selected="0">
            <x v="62"/>
          </reference>
          <reference field="1" count="1">
            <x v="44"/>
          </reference>
        </references>
      </pivotArea>
    </format>
    <format dxfId="359">
      <pivotArea dataOnly="0" labelOnly="1" outline="0" fieldPosition="0">
        <references count="2">
          <reference field="0" count="1" selected="0">
            <x v="63"/>
          </reference>
          <reference field="1" count="1">
            <x v="6"/>
          </reference>
        </references>
      </pivotArea>
    </format>
    <format dxfId="358">
      <pivotArea dataOnly="0" labelOnly="1" outline="0" fieldPosition="0">
        <references count="2">
          <reference field="0" count="1" selected="0">
            <x v="64"/>
          </reference>
          <reference field="1" count="1">
            <x v="45"/>
          </reference>
        </references>
      </pivotArea>
    </format>
    <format dxfId="357">
      <pivotArea dataOnly="0" labelOnly="1" outline="0" fieldPosition="0">
        <references count="2">
          <reference field="0" count="1" selected="0">
            <x v="65"/>
          </reference>
          <reference field="1" count="1">
            <x v="33"/>
          </reference>
        </references>
      </pivotArea>
    </format>
    <format dxfId="356">
      <pivotArea dataOnly="0" labelOnly="1" outline="0" fieldPosition="0">
        <references count="2">
          <reference field="0" count="1" selected="0">
            <x v="66"/>
          </reference>
          <reference field="1" count="1">
            <x v="31"/>
          </reference>
        </references>
      </pivotArea>
    </format>
    <format dxfId="355">
      <pivotArea dataOnly="0" labelOnly="1" outline="0" fieldPosition="0">
        <references count="2">
          <reference field="0" count="1" selected="0">
            <x v="67"/>
          </reference>
          <reference field="1" count="1">
            <x v="30"/>
          </reference>
        </references>
      </pivotArea>
    </format>
    <format dxfId="354">
      <pivotArea dataOnly="0" labelOnly="1" outline="0" fieldPosition="0">
        <references count="2">
          <reference field="0" count="1" selected="0">
            <x v="68"/>
          </reference>
          <reference field="1" count="1">
            <x v="32"/>
          </reference>
        </references>
      </pivotArea>
    </format>
    <format dxfId="353">
      <pivotArea dataOnly="0" labelOnly="1" outline="0" fieldPosition="0">
        <references count="2">
          <reference field="0" count="1" selected="0">
            <x v="69"/>
          </reference>
          <reference field="1" count="1">
            <x v="7"/>
          </reference>
        </references>
      </pivotArea>
    </format>
    <format dxfId="352">
      <pivotArea dataOnly="0" labelOnly="1" outline="0" fieldPosition="0">
        <references count="2">
          <reference field="0" count="1" selected="0">
            <x v="70"/>
          </reference>
          <reference field="1" count="1">
            <x v="46"/>
          </reference>
        </references>
      </pivotArea>
    </format>
    <format dxfId="351">
      <pivotArea dataOnly="0" labelOnly="1" outline="0" fieldPosition="0">
        <references count="2">
          <reference field="0" count="1" selected="0">
            <x v="71"/>
          </reference>
          <reference field="1" count="1">
            <x v="29"/>
          </reference>
        </references>
      </pivotArea>
    </format>
    <format dxfId="350">
      <pivotArea dataOnly="0" labelOnly="1" outline="0" fieldPosition="0">
        <references count="2">
          <reference field="0" count="1" selected="0">
            <x v="72"/>
          </reference>
          <reference field="1" count="1">
            <x v="8"/>
          </reference>
        </references>
      </pivotArea>
    </format>
    <format dxfId="349">
      <pivotArea dataOnly="0" labelOnly="1" outline="0" fieldPosition="0">
        <references count="2">
          <reference field="0" count="1" selected="0">
            <x v="73"/>
          </reference>
          <reference field="1" count="1">
            <x v="47"/>
          </reference>
        </references>
      </pivotArea>
    </format>
    <format dxfId="348">
      <pivotArea dataOnly="0" labelOnly="1" outline="0" fieldPosition="0">
        <references count="2">
          <reference field="0" count="1" selected="0">
            <x v="74"/>
          </reference>
          <reference field="1" count="1">
            <x v="2"/>
          </reference>
        </references>
      </pivotArea>
    </format>
    <format dxfId="347">
      <pivotArea dataOnly="0" labelOnly="1" outline="0" fieldPosition="0">
        <references count="2">
          <reference field="0" count="1" selected="0">
            <x v="75"/>
          </reference>
          <reference field="1" count="1">
            <x v="28"/>
          </reference>
        </references>
      </pivotArea>
    </format>
    <format dxfId="346">
      <pivotArea dataOnly="0" labelOnly="1" outline="0" fieldPosition="0">
        <references count="2">
          <reference field="0" count="1" selected="0">
            <x v="76"/>
          </reference>
          <reference field="1" count="1">
            <x v="24"/>
          </reference>
        </references>
      </pivotArea>
    </format>
    <format dxfId="345">
      <pivotArea dataOnly="0" labelOnly="1" outline="0" fieldPosition="0">
        <references count="2">
          <reference field="0" count="1" selected="0">
            <x v="77"/>
          </reference>
          <reference field="1" count="1">
            <x v="10"/>
          </reference>
        </references>
      </pivotArea>
    </format>
    <format dxfId="344">
      <pivotArea dataOnly="0" labelOnly="1" outline="0" fieldPosition="0">
        <references count="2">
          <reference field="0" count="1" selected="0">
            <x v="78"/>
          </reference>
          <reference field="1" count="1">
            <x v="9"/>
          </reference>
        </references>
      </pivotArea>
    </format>
    <format dxfId="343">
      <pivotArea dataOnly="0" labelOnly="1" outline="0" fieldPosition="0">
        <references count="2">
          <reference field="0" count="1" selected="0">
            <x v="79"/>
          </reference>
          <reference field="1" count="1">
            <x v="27"/>
          </reference>
        </references>
      </pivotArea>
    </format>
    <format dxfId="342">
      <pivotArea dataOnly="0" labelOnly="1" outline="0" fieldPosition="0">
        <references count="2">
          <reference field="0" count="1" selected="0">
            <x v="80"/>
          </reference>
          <reference field="1" count="1">
            <x v="25"/>
          </reference>
        </references>
      </pivotArea>
    </format>
    <format dxfId="341">
      <pivotArea dataOnly="0" labelOnly="1" outline="0" fieldPosition="0">
        <references count="2">
          <reference field="0" count="1" selected="0">
            <x v="81"/>
          </reference>
          <reference field="1" count="1">
            <x v="22"/>
          </reference>
        </references>
      </pivotArea>
    </format>
    <format dxfId="340">
      <pivotArea dataOnly="0" labelOnly="1" outline="0" fieldPosition="0">
        <references count="2">
          <reference field="0" count="1" selected="0">
            <x v="82"/>
          </reference>
          <reference field="1" count="1">
            <x v="23"/>
          </reference>
        </references>
      </pivotArea>
    </format>
    <format dxfId="339">
      <pivotArea dataOnly="0" labelOnly="1" outline="0" fieldPosition="0">
        <references count="2">
          <reference field="0" count="1" selected="0">
            <x v="83"/>
          </reference>
          <reference field="1" count="1">
            <x v="26"/>
          </reference>
        </references>
      </pivotArea>
    </format>
    <format dxfId="338">
      <pivotArea dataOnly="0" labelOnly="1" outline="0" fieldPosition="0">
        <references count="2">
          <reference field="0" count="1" selected="0">
            <x v="84"/>
          </reference>
          <reference field="1" count="1">
            <x v="11"/>
          </reference>
        </references>
      </pivotArea>
    </format>
    <format dxfId="337">
      <pivotArea dataOnly="0" labelOnly="1" outline="0" fieldPosition="0">
        <references count="2">
          <reference field="0" count="1" selected="0">
            <x v="85"/>
          </reference>
          <reference field="1" count="1">
            <x v="21"/>
          </reference>
        </references>
      </pivotArea>
    </format>
    <format dxfId="336">
      <pivotArea dataOnly="0" labelOnly="1" outline="0" fieldPosition="0">
        <references count="2">
          <reference field="0" count="1" selected="0">
            <x v="86"/>
          </reference>
          <reference field="1" count="1">
            <x v="12"/>
          </reference>
        </references>
      </pivotArea>
    </format>
    <format dxfId="335">
      <pivotArea dataOnly="0" labelOnly="1" outline="0" fieldPosition="0">
        <references count="2">
          <reference field="0" count="1" selected="0">
            <x v="87"/>
          </reference>
          <reference field="1" count="1">
            <x v="18"/>
          </reference>
        </references>
      </pivotArea>
    </format>
    <format dxfId="334">
      <pivotArea dataOnly="0" labelOnly="1" outline="0" fieldPosition="0">
        <references count="2">
          <reference field="0" count="1" selected="0">
            <x v="88"/>
          </reference>
          <reference field="1" count="1">
            <x v="13"/>
          </reference>
        </references>
      </pivotArea>
    </format>
    <format dxfId="333">
      <pivotArea dataOnly="0" labelOnly="1" outline="0" fieldPosition="0">
        <references count="2">
          <reference field="0" count="1" selected="0">
            <x v="89"/>
          </reference>
          <reference field="1" count="1">
            <x v="19"/>
          </reference>
        </references>
      </pivotArea>
    </format>
    <format dxfId="332">
      <pivotArea dataOnly="0" labelOnly="1" outline="0" fieldPosition="0">
        <references count="2">
          <reference field="0" count="1" selected="0">
            <x v="90"/>
          </reference>
          <reference field="1" count="1">
            <x v="20"/>
          </reference>
        </references>
      </pivotArea>
    </format>
    <format dxfId="331">
      <pivotArea dataOnly="0" labelOnly="1" outline="0" fieldPosition="0">
        <references count="2">
          <reference field="0" count="1" selected="0">
            <x v="91"/>
          </reference>
          <reference field="1" count="1">
            <x v="16"/>
          </reference>
        </references>
      </pivotArea>
    </format>
    <format dxfId="330">
      <pivotArea dataOnly="0" labelOnly="1" outline="0" fieldPosition="0">
        <references count="2">
          <reference field="0" count="1" selected="0">
            <x v="92"/>
          </reference>
          <reference field="1" count="1">
            <x v="17"/>
          </reference>
        </references>
      </pivotArea>
    </format>
    <format dxfId="329">
      <pivotArea dataOnly="0" labelOnly="1" outline="0" fieldPosition="0">
        <references count="2">
          <reference field="0" count="1" selected="0">
            <x v="93"/>
          </reference>
          <reference field="1" count="1">
            <x v="15"/>
          </reference>
        </references>
      </pivotArea>
    </format>
    <format dxfId="328">
      <pivotArea dataOnly="0" labelOnly="1" outline="0" fieldPosition="0">
        <references count="2">
          <reference field="0" count="1" selected="0">
            <x v="94"/>
          </reference>
          <reference field="1" count="1">
            <x v="14"/>
          </reference>
        </references>
      </pivotArea>
    </format>
    <format dxfId="327">
      <pivotArea dataOnly="0" labelOnly="1" outline="0" fieldPosition="0">
        <references count="2">
          <reference field="0" count="1" selected="0">
            <x v="96"/>
          </reference>
          <reference field="1" count="1">
            <x v="48"/>
          </reference>
        </references>
      </pivotArea>
    </format>
    <format dxfId="326">
      <pivotArea dataOnly="0" labelOnly="1" outline="0" fieldPosition="0">
        <references count="2">
          <reference field="0" count="1" selected="0">
            <x v="98"/>
          </reference>
          <reference field="1" count="1">
            <x v="1"/>
          </reference>
        </references>
      </pivotArea>
    </format>
    <format dxfId="325">
      <pivotArea dataOnly="0" labelOnly="1" outline="0" fieldPosition="0">
        <references count="2">
          <reference field="0" count="1" selected="0">
            <x v="99"/>
          </reference>
          <reference field="1" count="1">
            <x v="49"/>
          </reference>
        </references>
      </pivotArea>
    </format>
    <format dxfId="324">
      <pivotArea dataOnly="0" labelOnly="1" outline="0" fieldPosition="0">
        <references count="2">
          <reference field="0" count="1" selected="0">
            <x v="101"/>
          </reference>
          <reference field="1" count="1">
            <x v="0"/>
          </reference>
        </references>
      </pivotArea>
    </format>
    <format dxfId="323">
      <pivotArea dataOnly="0" labelOnly="1" outline="0" fieldPosition="0">
        <references count="2">
          <reference field="0" count="1" selected="0">
            <x v="102"/>
          </reference>
          <reference field="1" count="2">
            <x v="50"/>
            <x v="51"/>
          </reference>
        </references>
      </pivotArea>
    </format>
    <format dxfId="322">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70">
        <item x="0"/>
        <item m="1" x="65"/>
        <item m="1" x="67"/>
        <item m="1" x="69"/>
        <item m="1" x="40"/>
        <item m="1" x="45"/>
        <item m="1" x="48"/>
        <item x="5"/>
        <item m="1" x="56"/>
        <item x="6"/>
        <item m="1" x="63"/>
        <item m="1" x="39"/>
        <item m="1" x="47"/>
        <item x="7"/>
        <item m="1" x="55"/>
        <item x="28"/>
        <item m="1" x="57"/>
        <item x="27"/>
        <item m="1" x="62"/>
        <item m="1" x="64"/>
        <item x="29"/>
        <item x="9"/>
        <item m="1" x="41"/>
        <item x="30"/>
        <item m="1" x="44"/>
        <item m="1" x="46"/>
        <item x="26"/>
        <item m="1" x="49"/>
        <item x="10"/>
        <item m="1" x="51"/>
        <item x="32"/>
        <item m="1" x="52"/>
        <item x="8"/>
        <item x="25"/>
        <item x="31"/>
        <item m="1" x="58"/>
        <item m="1" x="59"/>
        <item m="1" x="60"/>
        <item m="1" x="66"/>
        <item x="33"/>
        <item m="1" x="38"/>
        <item x="17"/>
        <item x="11"/>
        <item x="4"/>
        <item x="12"/>
        <item m="1" x="50"/>
        <item x="22"/>
        <item x="16"/>
        <item x="21"/>
        <item x="24"/>
        <item m="1" x="53"/>
        <item x="18"/>
        <item x="13"/>
        <item x="15"/>
        <item x="14"/>
        <item m="1" x="68"/>
        <item x="23"/>
        <item m="1" x="42"/>
        <item x="19"/>
        <item x="20"/>
        <item x="34"/>
        <item m="1" x="61"/>
        <item m="1" x="54"/>
        <item x="3"/>
        <item x="35"/>
        <item m="1" x="43"/>
        <item x="36"/>
        <item x="2"/>
        <item x="37"/>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7"/>
      <x v="4"/>
    </i>
    <i>
      <x v="9"/>
      <x v="5"/>
    </i>
    <i>
      <x v="13"/>
      <x v="6"/>
    </i>
    <i>
      <x v="15"/>
      <x v="40"/>
    </i>
    <i>
      <x v="17"/>
      <x v="39"/>
    </i>
    <i r="1">
      <x v="41"/>
    </i>
    <i>
      <x v="20"/>
      <x v="42"/>
    </i>
    <i>
      <x v="21"/>
      <x v="8"/>
    </i>
    <i>
      <x v="23"/>
      <x v="43"/>
    </i>
    <i>
      <x v="26"/>
      <x v="38"/>
    </i>
    <i>
      <x v="28"/>
      <x v="11"/>
    </i>
    <i>
      <x v="30"/>
      <x v="45"/>
    </i>
    <i>
      <x v="32"/>
      <x v="7"/>
    </i>
    <i r="1">
      <x v="9"/>
    </i>
    <i r="1">
      <x v="10"/>
    </i>
    <i>
      <x v="33"/>
      <x v="37"/>
    </i>
    <i>
      <x v="34"/>
      <x v="44"/>
    </i>
    <i>
      <x v="39"/>
      <x v="46"/>
    </i>
    <i>
      <x v="41"/>
      <x v="20"/>
    </i>
    <i r="1">
      <x v="36"/>
    </i>
    <i>
      <x v="42"/>
      <x v="12"/>
    </i>
    <i r="1">
      <x v="13"/>
    </i>
    <i r="1">
      <x v="21"/>
    </i>
    <i>
      <x v="43"/>
      <x v="3"/>
    </i>
    <i>
      <x v="44"/>
      <x v="14"/>
    </i>
    <i r="1">
      <x v="19"/>
    </i>
    <i r="1">
      <x v="27"/>
    </i>
    <i>
      <x v="46"/>
      <x v="28"/>
    </i>
    <i>
      <x v="47"/>
      <x v="18"/>
    </i>
    <i r="1">
      <x v="30"/>
    </i>
    <i>
      <x v="48"/>
      <x v="26"/>
    </i>
    <i r="1">
      <x v="33"/>
    </i>
    <i r="1">
      <x v="47"/>
    </i>
    <i>
      <x v="49"/>
      <x v="35"/>
    </i>
    <i>
      <x v="51"/>
      <x v="22"/>
    </i>
    <i r="1">
      <x v="29"/>
    </i>
    <i>
      <x v="52"/>
      <x v="15"/>
    </i>
    <i r="1">
      <x v="31"/>
    </i>
    <i>
      <x v="53"/>
      <x v="17"/>
    </i>
    <i>
      <x v="54"/>
      <x v="16"/>
    </i>
    <i r="1">
      <x v="23"/>
    </i>
    <i>
      <x v="56"/>
      <x v="34"/>
    </i>
    <i>
      <x v="58"/>
      <x v="24"/>
    </i>
    <i>
      <x v="59"/>
      <x v="25"/>
    </i>
    <i r="1">
      <x v="32"/>
    </i>
    <i>
      <x v="60"/>
      <x v="48"/>
    </i>
    <i>
      <x v="63"/>
      <x v="2"/>
    </i>
    <i>
      <x v="64"/>
      <x v="49"/>
    </i>
    <i>
      <x v="66"/>
      <x v="50"/>
    </i>
    <i>
      <x v="67"/>
      <x v="1"/>
    </i>
    <i>
      <x v="68"/>
      <x v="51"/>
    </i>
    <i>
      <x v="69"/>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41">
    <format dxfId="638">
      <pivotArea type="all" dataOnly="0" outline="0" fieldPosition="0"/>
    </format>
    <format dxfId="637">
      <pivotArea field="0" type="button" dataOnly="0" labelOnly="1" outline="0" axis="axisRow" fieldPosition="0"/>
    </format>
    <format dxfId="636">
      <pivotArea field="1" type="button" dataOnly="0" labelOnly="1" outline="0" axis="axisRow" fieldPosition="1"/>
    </format>
    <format dxfId="635">
      <pivotArea dataOnly="0" labelOnly="1" outline="0" fieldPosition="0">
        <references count="1">
          <reference field="0" count="0"/>
        </references>
      </pivotArea>
    </format>
    <format dxfId="634">
      <pivotArea dataOnly="0" labelOnly="1" outline="0" fieldPosition="0">
        <references count="2">
          <reference field="0" count="1" selected="0">
            <x v="0"/>
          </reference>
          <reference field="1" count="1">
            <x v="72"/>
          </reference>
        </references>
      </pivotArea>
    </format>
    <format dxfId="633">
      <pivotArea dataOnly="0" labelOnly="1" outline="0" fieldPosition="0">
        <references count="2">
          <reference field="0" count="1" selected="0">
            <x v="1"/>
          </reference>
          <reference field="1" count="2">
            <x v="36"/>
            <x v="42"/>
          </reference>
        </references>
      </pivotArea>
    </format>
    <format dxfId="632">
      <pivotArea dataOnly="0" labelOnly="1" outline="0" fieldPosition="0">
        <references count="2">
          <reference field="0" count="1" selected="0">
            <x v="2"/>
          </reference>
          <reference field="1" count="1">
            <x v="37"/>
          </reference>
        </references>
      </pivotArea>
    </format>
    <format dxfId="631">
      <pivotArea dataOnly="0" labelOnly="1" outline="0" fieldPosition="0">
        <references count="2">
          <reference field="0" count="1" selected="0">
            <x v="3"/>
          </reference>
          <reference field="1" count="1">
            <x v="38"/>
          </reference>
        </references>
      </pivotArea>
    </format>
    <format dxfId="630">
      <pivotArea dataOnly="0" labelOnly="1" outline="0" fieldPosition="0">
        <references count="2">
          <reference field="0" count="1" selected="0">
            <x v="4"/>
          </reference>
          <reference field="1" count="1">
            <x v="43"/>
          </reference>
        </references>
      </pivotArea>
    </format>
    <format dxfId="629">
      <pivotArea dataOnly="0" labelOnly="1" outline="0" fieldPosition="0">
        <references count="2">
          <reference field="0" count="1" selected="0">
            <x v="5"/>
          </reference>
          <reference field="1" count="3">
            <x v="39"/>
            <x v="40"/>
            <x v="41"/>
          </reference>
        </references>
      </pivotArea>
    </format>
    <format dxfId="628">
      <pivotArea dataOnly="0" labelOnly="1" outline="0" fieldPosition="0">
        <references count="2">
          <reference field="0" count="1" selected="0">
            <x v="6"/>
          </reference>
          <reference field="1" count="1">
            <x v="35"/>
          </reference>
        </references>
      </pivotArea>
    </format>
    <format dxfId="627">
      <pivotArea dataOnly="0" labelOnly="1" outline="0" fieldPosition="0">
        <references count="2">
          <reference field="0" count="1" selected="0">
            <x v="8"/>
          </reference>
          <reference field="1" count="1">
            <x v="34"/>
          </reference>
        </references>
      </pivotArea>
    </format>
    <format dxfId="626">
      <pivotArea dataOnly="0" labelOnly="1" outline="0" fieldPosition="0">
        <references count="2">
          <reference field="0" count="1" selected="0">
            <x v="10"/>
          </reference>
          <reference field="1" count="1">
            <x v="44"/>
          </reference>
        </references>
      </pivotArea>
    </format>
    <format dxfId="625">
      <pivotArea dataOnly="0" labelOnly="1" outline="0" fieldPosition="0">
        <references count="2">
          <reference field="0" count="1" selected="0">
            <x v="11"/>
          </reference>
          <reference field="1" count="1">
            <x v="33"/>
          </reference>
        </references>
      </pivotArea>
    </format>
    <format dxfId="624">
      <pivotArea dataOnly="0" labelOnly="1" outline="0" fieldPosition="0">
        <references count="2">
          <reference field="0" count="1" selected="0">
            <x v="12"/>
          </reference>
          <reference field="1" count="1">
            <x v="45"/>
          </reference>
        </references>
      </pivotArea>
    </format>
    <format dxfId="623">
      <pivotArea dataOnly="0" labelOnly="1" outline="0" fieldPosition="0">
        <references count="2">
          <reference field="0" count="1" selected="0">
            <x v="13"/>
          </reference>
          <reference field="1" count="1">
            <x v="7"/>
          </reference>
        </references>
      </pivotArea>
    </format>
    <format dxfId="622">
      <pivotArea dataOnly="0" labelOnly="1" outline="0" fieldPosition="0">
        <references count="2">
          <reference field="0" count="1" selected="0">
            <x v="14"/>
          </reference>
          <reference field="1" count="1">
            <x v="28"/>
          </reference>
        </references>
      </pivotArea>
    </format>
    <format dxfId="621">
      <pivotArea dataOnly="0" labelOnly="1" outline="0" fieldPosition="0">
        <references count="2">
          <reference field="0" count="1" selected="0">
            <x v="16"/>
          </reference>
          <reference field="1" count="1">
            <x v="29"/>
          </reference>
        </references>
      </pivotArea>
    </format>
    <format dxfId="620">
      <pivotArea dataOnly="0" labelOnly="1" outline="0" fieldPosition="0">
        <references count="2">
          <reference field="0" count="1" selected="0">
            <x v="17"/>
          </reference>
          <reference field="1" count="1">
            <x v="32"/>
          </reference>
        </references>
      </pivotArea>
    </format>
    <format dxfId="619">
      <pivotArea dataOnly="0" labelOnly="1" outline="0" fieldPosition="0">
        <references count="2">
          <reference field="0" count="1" selected="0">
            <x v="18"/>
          </reference>
          <reference field="1" count="2">
            <x v="16"/>
            <x v="46"/>
          </reference>
        </references>
      </pivotArea>
    </format>
    <format dxfId="618">
      <pivotArea dataOnly="0" labelOnly="1" outline="0" fieldPosition="0">
        <references count="2">
          <reference field="0" count="1" selected="0">
            <x v="19"/>
          </reference>
          <reference field="1" count="2">
            <x v="6"/>
            <x v="8"/>
          </reference>
        </references>
      </pivotArea>
    </format>
    <format dxfId="617">
      <pivotArea dataOnly="0" labelOnly="1" outline="0" fieldPosition="0">
        <references count="2">
          <reference field="0" count="1" selected="0">
            <x v="22"/>
          </reference>
          <reference field="1" count="1">
            <x v="31"/>
          </reference>
        </references>
      </pivotArea>
    </format>
    <format dxfId="616">
      <pivotArea dataOnly="0" labelOnly="1" outline="0" fieldPosition="0">
        <references count="2">
          <reference field="0" count="1" selected="0">
            <x v="24"/>
          </reference>
          <reference field="1" count="1">
            <x v="27"/>
          </reference>
        </references>
      </pivotArea>
    </format>
    <format dxfId="615">
      <pivotArea dataOnly="0" labelOnly="1" outline="0" fieldPosition="0">
        <references count="2">
          <reference field="0" count="1" selected="0">
            <x v="25"/>
          </reference>
          <reference field="1" count="1">
            <x v="17"/>
          </reference>
        </references>
      </pivotArea>
    </format>
    <format dxfId="614">
      <pivotArea dataOnly="0" labelOnly="1" outline="0" fieldPosition="0">
        <references count="2">
          <reference field="0" count="1" selected="0">
            <x v="26"/>
          </reference>
          <reference field="1" count="1">
            <x v="26"/>
          </reference>
        </references>
      </pivotArea>
    </format>
    <format dxfId="613">
      <pivotArea dataOnly="0" labelOnly="1" outline="0" fieldPosition="0">
        <references count="2">
          <reference field="0" count="1" selected="0">
            <x v="27"/>
          </reference>
          <reference field="1" count="1">
            <x v="22"/>
          </reference>
        </references>
      </pivotArea>
    </format>
    <format dxfId="612">
      <pivotArea dataOnly="0" labelOnly="1" outline="0" fieldPosition="0">
        <references count="2">
          <reference field="0" count="1" selected="0">
            <x v="28"/>
          </reference>
          <reference field="1" count="2">
            <x v="19"/>
            <x v="21"/>
          </reference>
        </references>
      </pivotArea>
    </format>
    <format dxfId="611">
      <pivotArea dataOnly="0" labelOnly="1" outline="0" fieldPosition="0">
        <references count="2">
          <reference field="0" count="1" selected="0">
            <x v="29"/>
          </reference>
          <reference field="1" count="1">
            <x v="15"/>
          </reference>
        </references>
      </pivotArea>
    </format>
    <format dxfId="610">
      <pivotArea dataOnly="0" labelOnly="1" outline="0" fieldPosition="0">
        <references count="2">
          <reference field="0" count="1" selected="0">
            <x v="30"/>
          </reference>
          <reference field="1" count="1">
            <x v="47"/>
          </reference>
        </references>
      </pivotArea>
    </format>
    <format dxfId="609">
      <pivotArea dataOnly="0" labelOnly="1" outline="0" fieldPosition="0">
        <references count="2">
          <reference field="0" count="1" selected="0">
            <x v="31"/>
          </reference>
          <reference field="1" count="2">
            <x v="18"/>
            <x v="30"/>
          </reference>
        </references>
      </pivotArea>
    </format>
    <format dxfId="608">
      <pivotArea dataOnly="0" labelOnly="1" outline="0" fieldPosition="0">
        <references count="2">
          <reference field="0" count="1" selected="0">
            <x v="32"/>
          </reference>
          <reference field="1" count="1">
            <x v="9"/>
          </reference>
        </references>
      </pivotArea>
    </format>
    <format dxfId="607">
      <pivotArea dataOnly="0" labelOnly="1" outline="0" fieldPosition="0">
        <references count="2">
          <reference field="0" count="1" selected="0">
            <x v="34"/>
          </reference>
          <reference field="1" count="1">
            <x v="23"/>
          </reference>
        </references>
      </pivotArea>
    </format>
    <format dxfId="606">
      <pivotArea dataOnly="0" labelOnly="1" outline="0" fieldPosition="0">
        <references count="2">
          <reference field="0" count="1" selected="0">
            <x v="35"/>
          </reference>
          <reference field="1" count="1">
            <x v="5"/>
          </reference>
        </references>
      </pivotArea>
    </format>
    <format dxfId="605">
      <pivotArea dataOnly="0" labelOnly="1" outline="0" fieldPosition="0">
        <references count="2">
          <reference field="0" count="1" selected="0">
            <x v="36"/>
          </reference>
          <reference field="1" count="1">
            <x v="14"/>
          </reference>
        </references>
      </pivotArea>
    </format>
    <format dxfId="604">
      <pivotArea dataOnly="0" labelOnly="1" outline="0" fieldPosition="0">
        <references count="2">
          <reference field="0" count="1" selected="0">
            <x v="37"/>
          </reference>
          <reference field="1" count="1">
            <x v="24"/>
          </reference>
        </references>
      </pivotArea>
    </format>
    <format dxfId="603">
      <pivotArea dataOnly="0" labelOnly="1" outline="0" fieldPosition="0">
        <references count="2">
          <reference field="0" count="1" selected="0">
            <x v="38"/>
          </reference>
          <reference field="1" count="1">
            <x v="20"/>
          </reference>
        </references>
      </pivotArea>
    </format>
    <format dxfId="602">
      <pivotArea dataOnly="0" labelOnly="1" outline="0" fieldPosition="0">
        <references count="2">
          <reference field="0" count="1" selected="0">
            <x v="40"/>
          </reference>
          <reference field="1" count="3">
            <x v="4"/>
            <x v="10"/>
            <x v="25"/>
          </reference>
        </references>
      </pivotArea>
    </format>
    <format dxfId="601">
      <pivotArea dataOnly="0" labelOnly="1" outline="0" fieldPosition="0">
        <references count="2">
          <reference field="0" count="1" selected="0">
            <x v="45"/>
          </reference>
          <reference field="1" count="1">
            <x v="13"/>
          </reference>
        </references>
      </pivotArea>
    </format>
    <format dxfId="600">
      <pivotArea dataOnly="0" labelOnly="1" outline="0" fieldPosition="0">
        <references count="2">
          <reference field="0" count="1" selected="0">
            <x v="50"/>
          </reference>
          <reference field="1" count="1">
            <x v="3"/>
          </reference>
        </references>
      </pivotArea>
    </format>
    <format dxfId="599">
      <pivotArea dataOnly="0" labelOnly="1" outline="0" fieldPosition="0">
        <references count="2">
          <reference field="0" count="1" selected="0">
            <x v="51"/>
          </reference>
          <reference field="1" count="1">
            <x v="11"/>
          </reference>
        </references>
      </pivotArea>
    </format>
    <format dxfId="598">
      <pivotArea dataOnly="0" labelOnly="1" outline="0" fieldPosition="0">
        <references count="2">
          <reference field="0" count="1" selected="0">
            <x v="55"/>
          </reference>
          <reference field="1" count="1">
            <x v="12"/>
          </reference>
        </references>
      </pivotArea>
    </format>
    <format dxfId="597">
      <pivotArea dataOnly="0" labelOnly="1" outline="0" fieldPosition="0">
        <references count="2">
          <reference field="0" count="1" selected="0">
            <x v="57"/>
          </reference>
          <reference field="1" count="1">
            <x v="48"/>
          </reference>
        </references>
      </pivotArea>
    </format>
    <format dxfId="596">
      <pivotArea dataOnly="0" labelOnly="1" outline="0" fieldPosition="0">
        <references count="2">
          <reference field="0" count="1" selected="0">
            <x v="61"/>
          </reference>
          <reference field="1" count="1">
            <x v="2"/>
          </reference>
        </references>
      </pivotArea>
    </format>
    <format dxfId="595">
      <pivotArea dataOnly="0" labelOnly="1" outline="0" fieldPosition="0">
        <references count="2">
          <reference field="0" count="1" selected="0">
            <x v="62"/>
          </reference>
          <reference field="1" count="2">
            <x v="1"/>
            <x v="49"/>
          </reference>
        </references>
      </pivotArea>
    </format>
    <format dxfId="594">
      <pivotArea dataOnly="0" labelOnly="1" outline="0" fieldPosition="0">
        <references count="2">
          <reference field="0" count="1" selected="0">
            <x v="65"/>
          </reference>
          <reference field="1" count="1">
            <x v="0"/>
          </reference>
        </references>
      </pivotArea>
    </format>
    <format dxfId="593">
      <pivotArea dataOnly="0" labelOnly="1" outline="0" fieldPosition="0">
        <references count="2">
          <reference field="0" count="1" selected="0">
            <x v="66"/>
          </reference>
          <reference field="1" count="1">
            <x v="50"/>
          </reference>
        </references>
      </pivotArea>
    </format>
    <format dxfId="592">
      <pivotArea dataOnly="0" labelOnly="1" outline="0" fieldPosition="0">
        <references count="2">
          <reference field="0" count="1" selected="0">
            <x v="69"/>
          </reference>
          <reference field="1" count="21">
            <x v="51"/>
            <x v="52"/>
            <x v="53"/>
            <x v="54"/>
            <x v="55"/>
            <x v="56"/>
            <x v="57"/>
            <x v="58"/>
            <x v="59"/>
            <x v="60"/>
            <x v="61"/>
            <x v="62"/>
            <x v="63"/>
            <x v="64"/>
            <x v="65"/>
            <x v="66"/>
            <x v="67"/>
            <x v="68"/>
            <x v="69"/>
            <x v="70"/>
            <x v="71"/>
          </reference>
        </references>
      </pivotArea>
    </format>
    <format dxfId="591">
      <pivotArea type="all" dataOnly="0" outline="0" fieldPosition="0"/>
    </format>
    <format dxfId="590">
      <pivotArea field="0" type="button" dataOnly="0" labelOnly="1" outline="0" axis="axisRow" fieldPosition="0"/>
    </format>
    <format dxfId="589">
      <pivotArea field="1" type="button" dataOnly="0" labelOnly="1" outline="0" axis="axisRow" fieldPosition="1"/>
    </format>
    <format dxfId="588">
      <pivotArea dataOnly="0" labelOnly="1" outline="0" fieldPosition="0">
        <references count="1">
          <reference field="0" count="0"/>
        </references>
      </pivotArea>
    </format>
    <format dxfId="587">
      <pivotArea dataOnly="0" labelOnly="1" outline="0" fieldPosition="0">
        <references count="2">
          <reference field="0" count="1" selected="0">
            <x v="0"/>
          </reference>
          <reference field="1" count="1">
            <x v="72"/>
          </reference>
        </references>
      </pivotArea>
    </format>
    <format dxfId="586">
      <pivotArea dataOnly="0" labelOnly="1" outline="0" fieldPosition="0">
        <references count="2">
          <reference field="0" count="1" selected="0">
            <x v="1"/>
          </reference>
          <reference field="1" count="2">
            <x v="36"/>
            <x v="42"/>
          </reference>
        </references>
      </pivotArea>
    </format>
    <format dxfId="585">
      <pivotArea dataOnly="0" labelOnly="1" outline="0" fieldPosition="0">
        <references count="2">
          <reference field="0" count="1" selected="0">
            <x v="2"/>
          </reference>
          <reference field="1" count="1">
            <x v="37"/>
          </reference>
        </references>
      </pivotArea>
    </format>
    <format dxfId="584">
      <pivotArea dataOnly="0" labelOnly="1" outline="0" fieldPosition="0">
        <references count="2">
          <reference field="0" count="1" selected="0">
            <x v="3"/>
          </reference>
          <reference field="1" count="1">
            <x v="38"/>
          </reference>
        </references>
      </pivotArea>
    </format>
    <format dxfId="583">
      <pivotArea dataOnly="0" labelOnly="1" outline="0" fieldPosition="0">
        <references count="2">
          <reference field="0" count="1" selected="0">
            <x v="4"/>
          </reference>
          <reference field="1" count="1">
            <x v="43"/>
          </reference>
        </references>
      </pivotArea>
    </format>
    <format dxfId="582">
      <pivotArea dataOnly="0" labelOnly="1" outline="0" fieldPosition="0">
        <references count="2">
          <reference field="0" count="1" selected="0">
            <x v="5"/>
          </reference>
          <reference field="1" count="3">
            <x v="39"/>
            <x v="40"/>
            <x v="41"/>
          </reference>
        </references>
      </pivotArea>
    </format>
    <format dxfId="581">
      <pivotArea dataOnly="0" labelOnly="1" outline="0" fieldPosition="0">
        <references count="2">
          <reference field="0" count="1" selected="0">
            <x v="6"/>
          </reference>
          <reference field="1" count="1">
            <x v="35"/>
          </reference>
        </references>
      </pivotArea>
    </format>
    <format dxfId="580">
      <pivotArea dataOnly="0" labelOnly="1" outline="0" fieldPosition="0">
        <references count="2">
          <reference field="0" count="1" selected="0">
            <x v="8"/>
          </reference>
          <reference field="1" count="1">
            <x v="34"/>
          </reference>
        </references>
      </pivotArea>
    </format>
    <format dxfId="579">
      <pivotArea dataOnly="0" labelOnly="1" outline="0" fieldPosition="0">
        <references count="2">
          <reference field="0" count="1" selected="0">
            <x v="10"/>
          </reference>
          <reference field="1" count="1">
            <x v="44"/>
          </reference>
        </references>
      </pivotArea>
    </format>
    <format dxfId="578">
      <pivotArea dataOnly="0" labelOnly="1" outline="0" fieldPosition="0">
        <references count="2">
          <reference field="0" count="1" selected="0">
            <x v="11"/>
          </reference>
          <reference field="1" count="1">
            <x v="33"/>
          </reference>
        </references>
      </pivotArea>
    </format>
    <format dxfId="577">
      <pivotArea dataOnly="0" labelOnly="1" outline="0" fieldPosition="0">
        <references count="2">
          <reference field="0" count="1" selected="0">
            <x v="12"/>
          </reference>
          <reference field="1" count="1">
            <x v="45"/>
          </reference>
        </references>
      </pivotArea>
    </format>
    <format dxfId="576">
      <pivotArea dataOnly="0" labelOnly="1" outline="0" fieldPosition="0">
        <references count="2">
          <reference field="0" count="1" selected="0">
            <x v="13"/>
          </reference>
          <reference field="1" count="1">
            <x v="7"/>
          </reference>
        </references>
      </pivotArea>
    </format>
    <format dxfId="575">
      <pivotArea dataOnly="0" labelOnly="1" outline="0" fieldPosition="0">
        <references count="2">
          <reference field="0" count="1" selected="0">
            <x v="14"/>
          </reference>
          <reference field="1" count="1">
            <x v="28"/>
          </reference>
        </references>
      </pivotArea>
    </format>
    <format dxfId="574">
      <pivotArea dataOnly="0" labelOnly="1" outline="0" fieldPosition="0">
        <references count="2">
          <reference field="0" count="1" selected="0">
            <x v="16"/>
          </reference>
          <reference field="1" count="1">
            <x v="29"/>
          </reference>
        </references>
      </pivotArea>
    </format>
    <format dxfId="573">
      <pivotArea dataOnly="0" labelOnly="1" outline="0" fieldPosition="0">
        <references count="2">
          <reference field="0" count="1" selected="0">
            <x v="17"/>
          </reference>
          <reference field="1" count="1">
            <x v="32"/>
          </reference>
        </references>
      </pivotArea>
    </format>
    <format dxfId="572">
      <pivotArea dataOnly="0" labelOnly="1" outline="0" fieldPosition="0">
        <references count="2">
          <reference field="0" count="1" selected="0">
            <x v="18"/>
          </reference>
          <reference field="1" count="2">
            <x v="16"/>
            <x v="46"/>
          </reference>
        </references>
      </pivotArea>
    </format>
    <format dxfId="571">
      <pivotArea dataOnly="0" labelOnly="1" outline="0" fieldPosition="0">
        <references count="2">
          <reference field="0" count="1" selected="0">
            <x v="19"/>
          </reference>
          <reference field="1" count="2">
            <x v="6"/>
            <x v="8"/>
          </reference>
        </references>
      </pivotArea>
    </format>
    <format dxfId="570">
      <pivotArea dataOnly="0" labelOnly="1" outline="0" fieldPosition="0">
        <references count="2">
          <reference field="0" count="1" selected="0">
            <x v="22"/>
          </reference>
          <reference field="1" count="1">
            <x v="31"/>
          </reference>
        </references>
      </pivotArea>
    </format>
    <format dxfId="569">
      <pivotArea dataOnly="0" labelOnly="1" outline="0" fieldPosition="0">
        <references count="2">
          <reference field="0" count="1" selected="0">
            <x v="24"/>
          </reference>
          <reference field="1" count="1">
            <x v="27"/>
          </reference>
        </references>
      </pivotArea>
    </format>
    <format dxfId="568">
      <pivotArea dataOnly="0" labelOnly="1" outline="0" fieldPosition="0">
        <references count="2">
          <reference field="0" count="1" selected="0">
            <x v="25"/>
          </reference>
          <reference field="1" count="1">
            <x v="17"/>
          </reference>
        </references>
      </pivotArea>
    </format>
    <format dxfId="567">
      <pivotArea dataOnly="0" labelOnly="1" outline="0" fieldPosition="0">
        <references count="2">
          <reference field="0" count="1" selected="0">
            <x v="26"/>
          </reference>
          <reference field="1" count="1">
            <x v="26"/>
          </reference>
        </references>
      </pivotArea>
    </format>
    <format dxfId="566">
      <pivotArea dataOnly="0" labelOnly="1" outline="0" fieldPosition="0">
        <references count="2">
          <reference field="0" count="1" selected="0">
            <x v="27"/>
          </reference>
          <reference field="1" count="1">
            <x v="22"/>
          </reference>
        </references>
      </pivotArea>
    </format>
    <format dxfId="565">
      <pivotArea dataOnly="0" labelOnly="1" outline="0" fieldPosition="0">
        <references count="2">
          <reference field="0" count="1" selected="0">
            <x v="28"/>
          </reference>
          <reference field="1" count="2">
            <x v="19"/>
            <x v="21"/>
          </reference>
        </references>
      </pivotArea>
    </format>
    <format dxfId="564">
      <pivotArea dataOnly="0" labelOnly="1" outline="0" fieldPosition="0">
        <references count="2">
          <reference field="0" count="1" selected="0">
            <x v="29"/>
          </reference>
          <reference field="1" count="1">
            <x v="15"/>
          </reference>
        </references>
      </pivotArea>
    </format>
    <format dxfId="563">
      <pivotArea dataOnly="0" labelOnly="1" outline="0" fieldPosition="0">
        <references count="2">
          <reference field="0" count="1" selected="0">
            <x v="30"/>
          </reference>
          <reference field="1" count="1">
            <x v="47"/>
          </reference>
        </references>
      </pivotArea>
    </format>
    <format dxfId="562">
      <pivotArea dataOnly="0" labelOnly="1" outline="0" fieldPosition="0">
        <references count="2">
          <reference field="0" count="1" selected="0">
            <x v="31"/>
          </reference>
          <reference field="1" count="2">
            <x v="18"/>
            <x v="30"/>
          </reference>
        </references>
      </pivotArea>
    </format>
    <format dxfId="561">
      <pivotArea dataOnly="0" labelOnly="1" outline="0" fieldPosition="0">
        <references count="2">
          <reference field="0" count="1" selected="0">
            <x v="32"/>
          </reference>
          <reference field="1" count="1">
            <x v="9"/>
          </reference>
        </references>
      </pivotArea>
    </format>
    <format dxfId="560">
      <pivotArea dataOnly="0" labelOnly="1" outline="0" fieldPosition="0">
        <references count="2">
          <reference field="0" count="1" selected="0">
            <x v="34"/>
          </reference>
          <reference field="1" count="1">
            <x v="23"/>
          </reference>
        </references>
      </pivotArea>
    </format>
    <format dxfId="559">
      <pivotArea dataOnly="0" labelOnly="1" outline="0" fieldPosition="0">
        <references count="2">
          <reference field="0" count="1" selected="0">
            <x v="35"/>
          </reference>
          <reference field="1" count="1">
            <x v="5"/>
          </reference>
        </references>
      </pivotArea>
    </format>
    <format dxfId="558">
      <pivotArea dataOnly="0" labelOnly="1" outline="0" fieldPosition="0">
        <references count="2">
          <reference field="0" count="1" selected="0">
            <x v="36"/>
          </reference>
          <reference field="1" count="1">
            <x v="14"/>
          </reference>
        </references>
      </pivotArea>
    </format>
    <format dxfId="557">
      <pivotArea dataOnly="0" labelOnly="1" outline="0" fieldPosition="0">
        <references count="2">
          <reference field="0" count="1" selected="0">
            <x v="37"/>
          </reference>
          <reference field="1" count="1">
            <x v="24"/>
          </reference>
        </references>
      </pivotArea>
    </format>
    <format dxfId="556">
      <pivotArea dataOnly="0" labelOnly="1" outline="0" fieldPosition="0">
        <references count="2">
          <reference field="0" count="1" selected="0">
            <x v="38"/>
          </reference>
          <reference field="1" count="1">
            <x v="20"/>
          </reference>
        </references>
      </pivotArea>
    </format>
    <format dxfId="555">
      <pivotArea dataOnly="0" labelOnly="1" outline="0" fieldPosition="0">
        <references count="2">
          <reference field="0" count="1" selected="0">
            <x v="40"/>
          </reference>
          <reference field="1" count="3">
            <x v="4"/>
            <x v="10"/>
            <x v="25"/>
          </reference>
        </references>
      </pivotArea>
    </format>
    <format dxfId="554">
      <pivotArea dataOnly="0" labelOnly="1" outline="0" fieldPosition="0">
        <references count="2">
          <reference field="0" count="1" selected="0">
            <x v="45"/>
          </reference>
          <reference field="1" count="1">
            <x v="13"/>
          </reference>
        </references>
      </pivotArea>
    </format>
    <format dxfId="553">
      <pivotArea dataOnly="0" labelOnly="1" outline="0" fieldPosition="0">
        <references count="2">
          <reference field="0" count="1" selected="0">
            <x v="50"/>
          </reference>
          <reference field="1" count="1">
            <x v="3"/>
          </reference>
        </references>
      </pivotArea>
    </format>
    <format dxfId="552">
      <pivotArea dataOnly="0" labelOnly="1" outline="0" fieldPosition="0">
        <references count="2">
          <reference field="0" count="1" selected="0">
            <x v="51"/>
          </reference>
          <reference field="1" count="1">
            <x v="11"/>
          </reference>
        </references>
      </pivotArea>
    </format>
    <format dxfId="551">
      <pivotArea dataOnly="0" labelOnly="1" outline="0" fieldPosition="0">
        <references count="2">
          <reference field="0" count="1" selected="0">
            <x v="55"/>
          </reference>
          <reference field="1" count="1">
            <x v="12"/>
          </reference>
        </references>
      </pivotArea>
    </format>
    <format dxfId="550">
      <pivotArea dataOnly="0" labelOnly="1" outline="0" fieldPosition="0">
        <references count="2">
          <reference field="0" count="1" selected="0">
            <x v="57"/>
          </reference>
          <reference field="1" count="1">
            <x v="48"/>
          </reference>
        </references>
      </pivotArea>
    </format>
    <format dxfId="549">
      <pivotArea dataOnly="0" labelOnly="1" outline="0" fieldPosition="0">
        <references count="2">
          <reference field="0" count="1" selected="0">
            <x v="61"/>
          </reference>
          <reference field="1" count="1">
            <x v="2"/>
          </reference>
        </references>
      </pivotArea>
    </format>
    <format dxfId="548">
      <pivotArea dataOnly="0" labelOnly="1" outline="0" fieldPosition="0">
        <references count="2">
          <reference field="0" count="1" selected="0">
            <x v="62"/>
          </reference>
          <reference field="1" count="2">
            <x v="1"/>
            <x v="49"/>
          </reference>
        </references>
      </pivotArea>
    </format>
    <format dxfId="547">
      <pivotArea dataOnly="0" labelOnly="1" outline="0" fieldPosition="0">
        <references count="2">
          <reference field="0" count="1" selected="0">
            <x v="65"/>
          </reference>
          <reference field="1" count="1">
            <x v="0"/>
          </reference>
        </references>
      </pivotArea>
    </format>
    <format dxfId="546">
      <pivotArea dataOnly="0" labelOnly="1" outline="0" fieldPosition="0">
        <references count="2">
          <reference field="0" count="1" selected="0">
            <x v="66"/>
          </reference>
          <reference field="1" count="1">
            <x v="50"/>
          </reference>
        </references>
      </pivotArea>
    </format>
    <format dxfId="545">
      <pivotArea dataOnly="0" labelOnly="1" outline="0" fieldPosition="0">
        <references count="2">
          <reference field="0" count="1" selected="0">
            <x v="69"/>
          </reference>
          <reference field="1" count="21">
            <x v="51"/>
            <x v="52"/>
            <x v="53"/>
            <x v="54"/>
            <x v="55"/>
            <x v="56"/>
            <x v="57"/>
            <x v="58"/>
            <x v="59"/>
            <x v="60"/>
            <x v="61"/>
            <x v="62"/>
            <x v="63"/>
            <x v="64"/>
            <x v="65"/>
            <x v="66"/>
            <x v="67"/>
            <x v="68"/>
            <x v="69"/>
            <x v="70"/>
            <x v="71"/>
          </reference>
        </references>
      </pivotArea>
    </format>
    <format dxfId="544">
      <pivotArea type="all" dataOnly="0" outline="0" fieldPosition="0"/>
    </format>
    <format dxfId="543">
      <pivotArea field="0" type="button" dataOnly="0" labelOnly="1" outline="0" axis="axisRow" fieldPosition="0"/>
    </format>
    <format dxfId="542">
      <pivotArea field="1" type="button" dataOnly="0" labelOnly="1" outline="0" axis="axisRow" fieldPosition="1"/>
    </format>
    <format dxfId="541">
      <pivotArea dataOnly="0" labelOnly="1" outline="0" fieldPosition="0">
        <references count="1">
          <reference field="0" count="0"/>
        </references>
      </pivotArea>
    </format>
    <format dxfId="540">
      <pivotArea dataOnly="0" labelOnly="1" outline="0" fieldPosition="0">
        <references count="2">
          <reference field="0" count="1" selected="0">
            <x v="0"/>
          </reference>
          <reference field="1" count="1">
            <x v="72"/>
          </reference>
        </references>
      </pivotArea>
    </format>
    <format dxfId="539">
      <pivotArea dataOnly="0" labelOnly="1" outline="0" fieldPosition="0">
        <references count="2">
          <reference field="0" count="1" selected="0">
            <x v="1"/>
          </reference>
          <reference field="1" count="2">
            <x v="36"/>
            <x v="42"/>
          </reference>
        </references>
      </pivotArea>
    </format>
    <format dxfId="538">
      <pivotArea dataOnly="0" labelOnly="1" outline="0" fieldPosition="0">
        <references count="2">
          <reference field="0" count="1" selected="0">
            <x v="2"/>
          </reference>
          <reference field="1" count="1">
            <x v="37"/>
          </reference>
        </references>
      </pivotArea>
    </format>
    <format dxfId="537">
      <pivotArea dataOnly="0" labelOnly="1" outline="0" fieldPosition="0">
        <references count="2">
          <reference field="0" count="1" selected="0">
            <x v="3"/>
          </reference>
          <reference field="1" count="1">
            <x v="38"/>
          </reference>
        </references>
      </pivotArea>
    </format>
    <format dxfId="536">
      <pivotArea dataOnly="0" labelOnly="1" outline="0" fieldPosition="0">
        <references count="2">
          <reference field="0" count="1" selected="0">
            <x v="4"/>
          </reference>
          <reference field="1" count="1">
            <x v="43"/>
          </reference>
        </references>
      </pivotArea>
    </format>
    <format dxfId="535">
      <pivotArea dataOnly="0" labelOnly="1" outline="0" fieldPosition="0">
        <references count="2">
          <reference field="0" count="1" selected="0">
            <x v="5"/>
          </reference>
          <reference field="1" count="3">
            <x v="39"/>
            <x v="40"/>
            <x v="41"/>
          </reference>
        </references>
      </pivotArea>
    </format>
    <format dxfId="534">
      <pivotArea dataOnly="0" labelOnly="1" outline="0" fieldPosition="0">
        <references count="2">
          <reference field="0" count="1" selected="0">
            <x v="6"/>
          </reference>
          <reference field="1" count="1">
            <x v="35"/>
          </reference>
        </references>
      </pivotArea>
    </format>
    <format dxfId="533">
      <pivotArea dataOnly="0" labelOnly="1" outline="0" fieldPosition="0">
        <references count="2">
          <reference field="0" count="1" selected="0">
            <x v="8"/>
          </reference>
          <reference field="1" count="1">
            <x v="34"/>
          </reference>
        </references>
      </pivotArea>
    </format>
    <format dxfId="532">
      <pivotArea dataOnly="0" labelOnly="1" outline="0" fieldPosition="0">
        <references count="2">
          <reference field="0" count="1" selected="0">
            <x v="10"/>
          </reference>
          <reference field="1" count="1">
            <x v="44"/>
          </reference>
        </references>
      </pivotArea>
    </format>
    <format dxfId="531">
      <pivotArea dataOnly="0" labelOnly="1" outline="0" fieldPosition="0">
        <references count="2">
          <reference field="0" count="1" selected="0">
            <x v="11"/>
          </reference>
          <reference field="1" count="1">
            <x v="33"/>
          </reference>
        </references>
      </pivotArea>
    </format>
    <format dxfId="530">
      <pivotArea dataOnly="0" labelOnly="1" outline="0" fieldPosition="0">
        <references count="2">
          <reference field="0" count="1" selected="0">
            <x v="12"/>
          </reference>
          <reference field="1" count="1">
            <x v="45"/>
          </reference>
        </references>
      </pivotArea>
    </format>
    <format dxfId="529">
      <pivotArea dataOnly="0" labelOnly="1" outline="0" fieldPosition="0">
        <references count="2">
          <reference field="0" count="1" selected="0">
            <x v="13"/>
          </reference>
          <reference field="1" count="1">
            <x v="7"/>
          </reference>
        </references>
      </pivotArea>
    </format>
    <format dxfId="528">
      <pivotArea dataOnly="0" labelOnly="1" outline="0" fieldPosition="0">
        <references count="2">
          <reference field="0" count="1" selected="0">
            <x v="14"/>
          </reference>
          <reference field="1" count="1">
            <x v="28"/>
          </reference>
        </references>
      </pivotArea>
    </format>
    <format dxfId="527">
      <pivotArea dataOnly="0" labelOnly="1" outline="0" fieldPosition="0">
        <references count="2">
          <reference field="0" count="1" selected="0">
            <x v="16"/>
          </reference>
          <reference field="1" count="1">
            <x v="29"/>
          </reference>
        </references>
      </pivotArea>
    </format>
    <format dxfId="526">
      <pivotArea dataOnly="0" labelOnly="1" outline="0" fieldPosition="0">
        <references count="2">
          <reference field="0" count="1" selected="0">
            <x v="17"/>
          </reference>
          <reference field="1" count="1">
            <x v="32"/>
          </reference>
        </references>
      </pivotArea>
    </format>
    <format dxfId="525">
      <pivotArea dataOnly="0" labelOnly="1" outline="0" fieldPosition="0">
        <references count="2">
          <reference field="0" count="1" selected="0">
            <x v="18"/>
          </reference>
          <reference field="1" count="2">
            <x v="16"/>
            <x v="46"/>
          </reference>
        </references>
      </pivotArea>
    </format>
    <format dxfId="524">
      <pivotArea dataOnly="0" labelOnly="1" outline="0" fieldPosition="0">
        <references count="2">
          <reference field="0" count="1" selected="0">
            <x v="19"/>
          </reference>
          <reference field="1" count="2">
            <x v="6"/>
            <x v="8"/>
          </reference>
        </references>
      </pivotArea>
    </format>
    <format dxfId="523">
      <pivotArea dataOnly="0" labelOnly="1" outline="0" fieldPosition="0">
        <references count="2">
          <reference field="0" count="1" selected="0">
            <x v="22"/>
          </reference>
          <reference field="1" count="1">
            <x v="31"/>
          </reference>
        </references>
      </pivotArea>
    </format>
    <format dxfId="522">
      <pivotArea dataOnly="0" labelOnly="1" outline="0" fieldPosition="0">
        <references count="2">
          <reference field="0" count="1" selected="0">
            <x v="24"/>
          </reference>
          <reference field="1" count="1">
            <x v="27"/>
          </reference>
        </references>
      </pivotArea>
    </format>
    <format dxfId="521">
      <pivotArea dataOnly="0" labelOnly="1" outline="0" fieldPosition="0">
        <references count="2">
          <reference field="0" count="1" selected="0">
            <x v="25"/>
          </reference>
          <reference field="1" count="1">
            <x v="17"/>
          </reference>
        </references>
      </pivotArea>
    </format>
    <format dxfId="520">
      <pivotArea dataOnly="0" labelOnly="1" outline="0" fieldPosition="0">
        <references count="2">
          <reference field="0" count="1" selected="0">
            <x v="26"/>
          </reference>
          <reference field="1" count="1">
            <x v="26"/>
          </reference>
        </references>
      </pivotArea>
    </format>
    <format dxfId="519">
      <pivotArea dataOnly="0" labelOnly="1" outline="0" fieldPosition="0">
        <references count="2">
          <reference field="0" count="1" selected="0">
            <x v="27"/>
          </reference>
          <reference field="1" count="1">
            <x v="22"/>
          </reference>
        </references>
      </pivotArea>
    </format>
    <format dxfId="518">
      <pivotArea dataOnly="0" labelOnly="1" outline="0" fieldPosition="0">
        <references count="2">
          <reference field="0" count="1" selected="0">
            <x v="28"/>
          </reference>
          <reference field="1" count="2">
            <x v="19"/>
            <x v="21"/>
          </reference>
        </references>
      </pivotArea>
    </format>
    <format dxfId="517">
      <pivotArea dataOnly="0" labelOnly="1" outline="0" fieldPosition="0">
        <references count="2">
          <reference field="0" count="1" selected="0">
            <x v="29"/>
          </reference>
          <reference field="1" count="1">
            <x v="15"/>
          </reference>
        </references>
      </pivotArea>
    </format>
    <format dxfId="516">
      <pivotArea dataOnly="0" labelOnly="1" outline="0" fieldPosition="0">
        <references count="2">
          <reference field="0" count="1" selected="0">
            <x v="30"/>
          </reference>
          <reference field="1" count="1">
            <x v="47"/>
          </reference>
        </references>
      </pivotArea>
    </format>
    <format dxfId="515">
      <pivotArea dataOnly="0" labelOnly="1" outline="0" fieldPosition="0">
        <references count="2">
          <reference field="0" count="1" selected="0">
            <x v="31"/>
          </reference>
          <reference field="1" count="2">
            <x v="18"/>
            <x v="30"/>
          </reference>
        </references>
      </pivotArea>
    </format>
    <format dxfId="514">
      <pivotArea dataOnly="0" labelOnly="1" outline="0" fieldPosition="0">
        <references count="2">
          <reference field="0" count="1" selected="0">
            <x v="32"/>
          </reference>
          <reference field="1" count="1">
            <x v="9"/>
          </reference>
        </references>
      </pivotArea>
    </format>
    <format dxfId="513">
      <pivotArea dataOnly="0" labelOnly="1" outline="0" fieldPosition="0">
        <references count="2">
          <reference field="0" count="1" selected="0">
            <x v="34"/>
          </reference>
          <reference field="1" count="1">
            <x v="23"/>
          </reference>
        </references>
      </pivotArea>
    </format>
    <format dxfId="512">
      <pivotArea dataOnly="0" labelOnly="1" outline="0" fieldPosition="0">
        <references count="2">
          <reference field="0" count="1" selected="0">
            <x v="35"/>
          </reference>
          <reference field="1" count="1">
            <x v="5"/>
          </reference>
        </references>
      </pivotArea>
    </format>
    <format dxfId="511">
      <pivotArea dataOnly="0" labelOnly="1" outline="0" fieldPosition="0">
        <references count="2">
          <reference field="0" count="1" selected="0">
            <x v="36"/>
          </reference>
          <reference field="1" count="1">
            <x v="14"/>
          </reference>
        </references>
      </pivotArea>
    </format>
    <format dxfId="510">
      <pivotArea dataOnly="0" labelOnly="1" outline="0" fieldPosition="0">
        <references count="2">
          <reference field="0" count="1" selected="0">
            <x v="37"/>
          </reference>
          <reference field="1" count="1">
            <x v="24"/>
          </reference>
        </references>
      </pivotArea>
    </format>
    <format dxfId="509">
      <pivotArea dataOnly="0" labelOnly="1" outline="0" fieldPosition="0">
        <references count="2">
          <reference field="0" count="1" selected="0">
            <x v="38"/>
          </reference>
          <reference field="1" count="1">
            <x v="20"/>
          </reference>
        </references>
      </pivotArea>
    </format>
    <format dxfId="508">
      <pivotArea dataOnly="0" labelOnly="1" outline="0" fieldPosition="0">
        <references count="2">
          <reference field="0" count="1" selected="0">
            <x v="40"/>
          </reference>
          <reference field="1" count="3">
            <x v="4"/>
            <x v="10"/>
            <x v="25"/>
          </reference>
        </references>
      </pivotArea>
    </format>
    <format dxfId="507">
      <pivotArea dataOnly="0" labelOnly="1" outline="0" fieldPosition="0">
        <references count="2">
          <reference field="0" count="1" selected="0">
            <x v="45"/>
          </reference>
          <reference field="1" count="1">
            <x v="13"/>
          </reference>
        </references>
      </pivotArea>
    </format>
    <format dxfId="506">
      <pivotArea dataOnly="0" labelOnly="1" outline="0" fieldPosition="0">
        <references count="2">
          <reference field="0" count="1" selected="0">
            <x v="50"/>
          </reference>
          <reference field="1" count="1">
            <x v="3"/>
          </reference>
        </references>
      </pivotArea>
    </format>
    <format dxfId="505">
      <pivotArea dataOnly="0" labelOnly="1" outline="0" fieldPosition="0">
        <references count="2">
          <reference field="0" count="1" selected="0">
            <x v="51"/>
          </reference>
          <reference field="1" count="1">
            <x v="11"/>
          </reference>
        </references>
      </pivotArea>
    </format>
    <format dxfId="504">
      <pivotArea dataOnly="0" labelOnly="1" outline="0" fieldPosition="0">
        <references count="2">
          <reference field="0" count="1" selected="0">
            <x v="55"/>
          </reference>
          <reference field="1" count="1">
            <x v="12"/>
          </reference>
        </references>
      </pivotArea>
    </format>
    <format dxfId="503">
      <pivotArea dataOnly="0" labelOnly="1" outline="0" fieldPosition="0">
        <references count="2">
          <reference field="0" count="1" selected="0">
            <x v="57"/>
          </reference>
          <reference field="1" count="1">
            <x v="48"/>
          </reference>
        </references>
      </pivotArea>
    </format>
    <format dxfId="502">
      <pivotArea dataOnly="0" labelOnly="1" outline="0" fieldPosition="0">
        <references count="2">
          <reference field="0" count="1" selected="0">
            <x v="61"/>
          </reference>
          <reference field="1" count="1">
            <x v="2"/>
          </reference>
        </references>
      </pivotArea>
    </format>
    <format dxfId="501">
      <pivotArea dataOnly="0" labelOnly="1" outline="0" fieldPosition="0">
        <references count="2">
          <reference field="0" count="1" selected="0">
            <x v="62"/>
          </reference>
          <reference field="1" count="2">
            <x v="1"/>
            <x v="49"/>
          </reference>
        </references>
      </pivotArea>
    </format>
    <format dxfId="500">
      <pivotArea dataOnly="0" labelOnly="1" outline="0" fieldPosition="0">
        <references count="2">
          <reference field="0" count="1" selected="0">
            <x v="65"/>
          </reference>
          <reference field="1" count="1">
            <x v="0"/>
          </reference>
        </references>
      </pivotArea>
    </format>
    <format dxfId="499">
      <pivotArea dataOnly="0" labelOnly="1" outline="0" fieldPosition="0">
        <references count="2">
          <reference field="0" count="1" selected="0">
            <x v="66"/>
          </reference>
          <reference field="1" count="1">
            <x v="50"/>
          </reference>
        </references>
      </pivotArea>
    </format>
    <format dxfId="498">
      <pivotArea dataOnly="0" labelOnly="1" outline="0" fieldPosition="0">
        <references count="2">
          <reference field="0" count="1" selected="0">
            <x v="69"/>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oo.gl/maps/R2cjABKKhHkHJwPP9"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25"/>
  <sheetViews>
    <sheetView view="pageLayout" zoomScale="85" zoomScaleNormal="100" zoomScalePageLayoutView="85" workbookViewId="0">
      <selection activeCell="F89" sqref="F89"/>
    </sheetView>
  </sheetViews>
  <sheetFormatPr defaultRowHeight="13.2" x14ac:dyDescent="0.25"/>
  <cols>
    <col min="1" max="1" width="3.21875" customWidth="1"/>
  </cols>
  <sheetData>
    <row r="1" spans="1:10" x14ac:dyDescent="0.25">
      <c r="A1" s="456" t="s">
        <v>577</v>
      </c>
      <c r="B1" s="456"/>
      <c r="C1" s="456"/>
      <c r="D1" s="456"/>
      <c r="E1" s="456"/>
      <c r="F1" s="456"/>
      <c r="G1" s="456"/>
      <c r="H1" s="456"/>
      <c r="I1" s="456"/>
      <c r="J1" s="456"/>
    </row>
    <row r="3" spans="1:10" ht="14.4" x14ac:dyDescent="0.3">
      <c r="A3" s="360">
        <v>1</v>
      </c>
      <c r="B3" s="354" t="s">
        <v>614</v>
      </c>
    </row>
    <row r="4" spans="1:10" ht="14.4" x14ac:dyDescent="0.3">
      <c r="A4" s="360">
        <v>2</v>
      </c>
      <c r="B4" s="354" t="s">
        <v>615</v>
      </c>
    </row>
    <row r="5" spans="1:10" ht="30" customHeight="1" x14ac:dyDescent="0.3">
      <c r="A5" s="360">
        <v>3</v>
      </c>
      <c r="B5" s="458" t="s">
        <v>616</v>
      </c>
      <c r="C5" s="458"/>
      <c r="D5" s="458"/>
      <c r="E5" s="458"/>
      <c r="F5" s="458"/>
      <c r="G5" s="458"/>
      <c r="H5" s="458"/>
      <c r="I5" s="458"/>
      <c r="J5" s="458"/>
    </row>
    <row r="7" spans="1:10" x14ac:dyDescent="0.25">
      <c r="A7" s="457" t="s">
        <v>578</v>
      </c>
      <c r="B7" s="457"/>
      <c r="C7" s="457"/>
      <c r="D7" s="457"/>
      <c r="E7" s="457"/>
      <c r="F7" s="457"/>
      <c r="G7" s="457"/>
      <c r="H7" s="457"/>
      <c r="I7" s="457"/>
      <c r="J7" s="457"/>
    </row>
    <row r="9" spans="1:10" ht="14.4" x14ac:dyDescent="0.3">
      <c r="A9" s="360">
        <v>1</v>
      </c>
      <c r="B9" s="354" t="s">
        <v>617</v>
      </c>
    </row>
    <row r="10" spans="1:10" ht="30" customHeight="1" x14ac:dyDescent="0.3">
      <c r="A10" s="360">
        <v>2</v>
      </c>
      <c r="B10" s="458" t="s">
        <v>618</v>
      </c>
      <c r="C10" s="458"/>
      <c r="D10" s="458"/>
      <c r="E10" s="458"/>
      <c r="F10" s="458"/>
      <c r="G10" s="458"/>
      <c r="H10" s="458"/>
      <c r="I10" s="458"/>
      <c r="J10" s="458"/>
    </row>
    <row r="11" spans="1:10" ht="14.4" x14ac:dyDescent="0.3">
      <c r="A11" s="360">
        <v>3</v>
      </c>
      <c r="B11" s="354" t="s">
        <v>619</v>
      </c>
    </row>
    <row r="12" spans="1:10" ht="14.4" x14ac:dyDescent="0.3">
      <c r="A12" s="360">
        <v>4</v>
      </c>
      <c r="B12" s="354" t="s">
        <v>620</v>
      </c>
    </row>
    <row r="13" spans="1:10" ht="30" customHeight="1" x14ac:dyDescent="0.3">
      <c r="A13" s="360">
        <v>5</v>
      </c>
      <c r="B13" s="458" t="s">
        <v>621</v>
      </c>
      <c r="C13" s="458"/>
      <c r="D13" s="458"/>
      <c r="E13" s="458"/>
      <c r="F13" s="458"/>
      <c r="G13" s="458"/>
      <c r="H13" s="458"/>
      <c r="I13" s="458"/>
      <c r="J13" s="458"/>
    </row>
    <row r="14" spans="1:10" ht="30" customHeight="1" x14ac:dyDescent="0.3">
      <c r="A14" s="360">
        <v>6</v>
      </c>
      <c r="B14" s="458" t="s">
        <v>622</v>
      </c>
      <c r="C14" s="458"/>
      <c r="D14" s="458"/>
      <c r="E14" s="458"/>
      <c r="F14" s="458"/>
      <c r="G14" s="458"/>
      <c r="H14" s="458"/>
      <c r="I14" s="458"/>
      <c r="J14" s="458"/>
    </row>
    <row r="15" spans="1:10" ht="59.25" customHeight="1" x14ac:dyDescent="0.3">
      <c r="A15" s="360">
        <v>7</v>
      </c>
      <c r="B15" s="458" t="s">
        <v>623</v>
      </c>
      <c r="C15" s="458"/>
      <c r="D15" s="458"/>
      <c r="E15" s="458"/>
      <c r="F15" s="458"/>
      <c r="G15" s="458"/>
      <c r="H15" s="458"/>
      <c r="I15" s="458"/>
      <c r="J15" s="458"/>
    </row>
    <row r="16" spans="1:10" ht="4.5" customHeight="1" x14ac:dyDescent="0.25"/>
    <row r="17" spans="1:10" x14ac:dyDescent="0.25">
      <c r="A17" s="460" t="s">
        <v>579</v>
      </c>
      <c r="B17" s="460"/>
      <c r="C17" s="460"/>
      <c r="D17" s="460"/>
      <c r="E17" s="460"/>
      <c r="F17" s="460"/>
      <c r="G17" s="460"/>
      <c r="H17" s="460"/>
      <c r="I17" s="460"/>
      <c r="J17" s="460"/>
    </row>
    <row r="19" spans="1:10" s="356" customFormat="1" ht="30.3" customHeight="1" x14ac:dyDescent="0.3">
      <c r="A19" s="361">
        <v>1</v>
      </c>
      <c r="B19" s="458" t="s">
        <v>624</v>
      </c>
      <c r="C19" s="458"/>
      <c r="D19" s="458"/>
      <c r="E19" s="458"/>
      <c r="F19" s="458"/>
      <c r="G19" s="458"/>
      <c r="H19" s="458"/>
      <c r="I19" s="458"/>
      <c r="J19" s="458"/>
    </row>
    <row r="22" spans="1:10" x14ac:dyDescent="0.25">
      <c r="A22" s="459" t="s">
        <v>580</v>
      </c>
      <c r="B22" s="459"/>
      <c r="C22" s="459"/>
      <c r="D22" s="459"/>
      <c r="E22" s="459"/>
      <c r="F22" s="459"/>
      <c r="G22" s="459"/>
      <c r="H22" s="459"/>
      <c r="I22" s="459"/>
      <c r="J22" s="459"/>
    </row>
    <row r="24" spans="1:10" s="356" customFormat="1" ht="30.3" customHeight="1" x14ac:dyDescent="0.3">
      <c r="A24" s="361">
        <v>1</v>
      </c>
      <c r="B24" s="458" t="s">
        <v>581</v>
      </c>
      <c r="C24" s="458"/>
      <c r="D24" s="458"/>
      <c r="E24" s="458"/>
      <c r="F24" s="458"/>
      <c r="G24" s="458"/>
      <c r="H24" s="458"/>
      <c r="I24" s="458"/>
      <c r="J24" s="458"/>
    </row>
    <row r="25" spans="1:10" s="356" customFormat="1" ht="42" customHeight="1" x14ac:dyDescent="0.3">
      <c r="A25" s="361">
        <v>2</v>
      </c>
      <c r="B25" s="458" t="s">
        <v>625</v>
      </c>
      <c r="C25" s="458"/>
      <c r="D25" s="458"/>
      <c r="E25" s="458"/>
      <c r="F25" s="458"/>
      <c r="G25" s="458"/>
      <c r="H25" s="458"/>
      <c r="I25" s="458"/>
      <c r="J25" s="458"/>
    </row>
    <row r="26" spans="1:10" s="356" customFormat="1" ht="45" customHeight="1" x14ac:dyDescent="0.3">
      <c r="A26" s="361">
        <v>3</v>
      </c>
      <c r="B26" s="458" t="s">
        <v>626</v>
      </c>
      <c r="C26" s="458"/>
      <c r="D26" s="458"/>
      <c r="E26" s="458"/>
      <c r="F26" s="458"/>
      <c r="G26" s="458"/>
      <c r="H26" s="458"/>
      <c r="I26" s="458"/>
      <c r="J26" s="458"/>
    </row>
    <row r="27" spans="1:10" s="356" customFormat="1" ht="30.3" customHeight="1" x14ac:dyDescent="0.3">
      <c r="A27" s="361">
        <v>4</v>
      </c>
      <c r="B27" s="458" t="s">
        <v>627</v>
      </c>
      <c r="C27" s="458"/>
      <c r="D27" s="458"/>
      <c r="E27" s="458"/>
      <c r="F27" s="458"/>
      <c r="G27" s="458"/>
      <c r="H27" s="458"/>
      <c r="I27" s="458"/>
      <c r="J27" s="458"/>
    </row>
    <row r="28" spans="1:10" s="356" customFormat="1" ht="120" customHeight="1" x14ac:dyDescent="0.3">
      <c r="A28" s="361">
        <v>5</v>
      </c>
      <c r="B28" s="458" t="s">
        <v>628</v>
      </c>
      <c r="C28" s="458"/>
      <c r="D28" s="458"/>
      <c r="E28" s="458"/>
      <c r="F28" s="458"/>
      <c r="G28" s="458"/>
      <c r="H28" s="458"/>
      <c r="I28" s="458"/>
      <c r="J28" s="458"/>
    </row>
    <row r="29" spans="1:10" s="356" customFormat="1" ht="30.3" customHeight="1" x14ac:dyDescent="0.3">
      <c r="A29" s="361">
        <v>6</v>
      </c>
      <c r="B29" s="458" t="s">
        <v>629</v>
      </c>
      <c r="C29" s="458"/>
      <c r="D29" s="458"/>
      <c r="E29" s="458"/>
      <c r="F29" s="458"/>
      <c r="G29" s="458"/>
      <c r="H29" s="458"/>
      <c r="I29" s="458"/>
      <c r="J29" s="458"/>
    </row>
    <row r="31" spans="1:10" x14ac:dyDescent="0.25">
      <c r="A31" s="459" t="s">
        <v>582</v>
      </c>
      <c r="B31" s="459"/>
      <c r="C31" s="459"/>
      <c r="D31" s="459"/>
      <c r="E31" s="459"/>
      <c r="F31" s="459"/>
      <c r="G31" s="459"/>
      <c r="H31" s="459"/>
      <c r="I31" s="459"/>
      <c r="J31" s="459"/>
    </row>
    <row r="33" spans="1:11" s="356" customFormat="1" ht="30.3" customHeight="1" x14ac:dyDescent="0.3">
      <c r="A33" s="361">
        <v>1</v>
      </c>
      <c r="B33" s="458" t="s">
        <v>630</v>
      </c>
      <c r="C33" s="458"/>
      <c r="D33" s="458"/>
      <c r="E33" s="458"/>
      <c r="F33" s="458"/>
      <c r="G33" s="458"/>
      <c r="H33" s="458"/>
      <c r="I33" s="458"/>
      <c r="J33" s="458"/>
    </row>
    <row r="34" spans="1:11" s="356" customFormat="1" ht="30.3" customHeight="1" x14ac:dyDescent="0.3">
      <c r="A34" s="361">
        <v>2</v>
      </c>
      <c r="B34" s="458" t="s">
        <v>631</v>
      </c>
      <c r="C34" s="458"/>
      <c r="D34" s="458"/>
      <c r="E34" s="458"/>
      <c r="F34" s="458"/>
      <c r="G34" s="458"/>
      <c r="H34" s="458"/>
      <c r="I34" s="458"/>
      <c r="J34" s="458"/>
    </row>
    <row r="35" spans="1:11" ht="14.4" x14ac:dyDescent="0.3">
      <c r="A35" s="360">
        <v>3</v>
      </c>
      <c r="B35" s="354" t="s">
        <v>632</v>
      </c>
    </row>
    <row r="36" spans="1:11" ht="14.4" x14ac:dyDescent="0.3">
      <c r="A36" s="360">
        <v>4</v>
      </c>
      <c r="B36" s="354" t="s">
        <v>633</v>
      </c>
    </row>
    <row r="37" spans="1:11" s="356" customFormat="1" ht="27" customHeight="1" x14ac:dyDescent="0.3">
      <c r="A37" s="361">
        <v>5</v>
      </c>
      <c r="B37" s="458" t="s">
        <v>634</v>
      </c>
      <c r="C37" s="458"/>
      <c r="D37" s="458"/>
      <c r="E37" s="458"/>
      <c r="F37" s="458"/>
      <c r="G37" s="458"/>
      <c r="H37" s="458"/>
      <c r="I37" s="458"/>
      <c r="J37" s="458"/>
    </row>
    <row r="38" spans="1:11" s="356" customFormat="1" ht="45.75" customHeight="1" x14ac:dyDescent="0.3">
      <c r="A38" s="361">
        <v>6</v>
      </c>
      <c r="B38" s="458" t="s">
        <v>635</v>
      </c>
      <c r="C38" s="458"/>
      <c r="D38" s="458"/>
      <c r="E38" s="458"/>
      <c r="F38" s="458"/>
      <c r="G38" s="458"/>
      <c r="H38" s="458"/>
      <c r="I38" s="458"/>
      <c r="J38" s="458"/>
    </row>
    <row r="39" spans="1:11" ht="14.4" x14ac:dyDescent="0.3">
      <c r="A39" s="360">
        <v>7</v>
      </c>
      <c r="B39" s="354" t="s">
        <v>636</v>
      </c>
    </row>
    <row r="40" spans="1:11" ht="14.4" x14ac:dyDescent="0.25">
      <c r="A40" s="360" t="s">
        <v>610</v>
      </c>
      <c r="B40" s="359" t="s">
        <v>609</v>
      </c>
      <c r="C40" s="358"/>
      <c r="D40" s="358"/>
      <c r="E40" s="358"/>
      <c r="F40" s="358"/>
      <c r="G40" s="358"/>
      <c r="H40" s="358"/>
      <c r="I40" s="358"/>
      <c r="J40" s="358"/>
      <c r="K40" s="358"/>
    </row>
    <row r="41" spans="1:11" ht="14.4" x14ac:dyDescent="0.25">
      <c r="A41" s="360" t="s">
        <v>611</v>
      </c>
      <c r="B41" s="358" t="s">
        <v>583</v>
      </c>
      <c r="C41" s="358"/>
      <c r="D41" s="358"/>
      <c r="E41" s="358"/>
      <c r="F41" s="358"/>
      <c r="G41" s="358"/>
      <c r="H41" s="358"/>
      <c r="I41" s="358"/>
      <c r="J41" s="358"/>
      <c r="K41" s="358"/>
    </row>
    <row r="42" spans="1:11" ht="14.4" x14ac:dyDescent="0.25">
      <c r="A42" s="360" t="s">
        <v>612</v>
      </c>
      <c r="B42" s="358" t="s">
        <v>584</v>
      </c>
      <c r="C42" s="358"/>
      <c r="D42" s="358"/>
      <c r="E42" s="358"/>
      <c r="F42" s="358"/>
      <c r="G42" s="358"/>
      <c r="H42" s="358"/>
      <c r="I42" s="358"/>
      <c r="J42" s="358"/>
      <c r="K42" s="358"/>
    </row>
    <row r="43" spans="1:11" s="356" customFormat="1" ht="30.3" customHeight="1" x14ac:dyDescent="0.25">
      <c r="A43" s="361" t="s">
        <v>613</v>
      </c>
      <c r="B43" s="464" t="s">
        <v>585</v>
      </c>
      <c r="C43" s="464"/>
      <c r="D43" s="464"/>
      <c r="E43" s="464"/>
      <c r="F43" s="464"/>
      <c r="G43" s="464"/>
      <c r="H43" s="464"/>
      <c r="I43" s="464"/>
      <c r="J43" s="464"/>
      <c r="K43" s="357"/>
    </row>
    <row r="44" spans="1:11" ht="14.4" x14ac:dyDescent="0.25">
      <c r="A44" s="360" t="s">
        <v>608</v>
      </c>
      <c r="B44" s="358" t="s">
        <v>586</v>
      </c>
      <c r="C44" s="358"/>
      <c r="D44" s="358"/>
      <c r="E44" s="358"/>
      <c r="F44" s="358"/>
      <c r="G44" s="358"/>
      <c r="H44" s="358"/>
      <c r="I44" s="358"/>
      <c r="J44" s="358"/>
      <c r="K44" s="358"/>
    </row>
    <row r="45" spans="1:11" s="356" customFormat="1" ht="30.3" customHeight="1" x14ac:dyDescent="0.3">
      <c r="A45" s="362">
        <v>8</v>
      </c>
      <c r="B45" s="458" t="s">
        <v>637</v>
      </c>
      <c r="C45" s="458"/>
      <c r="D45" s="458"/>
      <c r="E45" s="458"/>
      <c r="F45" s="458"/>
      <c r="G45" s="458"/>
      <c r="H45" s="458"/>
      <c r="I45" s="458"/>
      <c r="J45" s="458"/>
    </row>
    <row r="46" spans="1:11" s="356" customFormat="1" ht="30.3" customHeight="1" x14ac:dyDescent="0.3">
      <c r="A46" s="362">
        <v>9</v>
      </c>
      <c r="B46" s="458" t="s">
        <v>638</v>
      </c>
      <c r="C46" s="458"/>
      <c r="D46" s="458"/>
      <c r="E46" s="458"/>
      <c r="F46" s="458"/>
      <c r="G46" s="458"/>
      <c r="H46" s="458"/>
      <c r="I46" s="458"/>
      <c r="J46" s="458"/>
    </row>
    <row r="47" spans="1:11" ht="14.4" x14ac:dyDescent="0.3">
      <c r="A47" s="360">
        <v>10</v>
      </c>
      <c r="B47" s="354" t="s">
        <v>639</v>
      </c>
    </row>
    <row r="48" spans="1:11" s="356" customFormat="1" ht="30.3" customHeight="1" x14ac:dyDescent="0.3">
      <c r="A48" s="361">
        <v>11</v>
      </c>
      <c r="B48" s="458" t="s">
        <v>640</v>
      </c>
      <c r="C48" s="458"/>
      <c r="D48" s="458"/>
      <c r="E48" s="458"/>
      <c r="F48" s="458"/>
      <c r="G48" s="458"/>
      <c r="H48" s="458"/>
      <c r="I48" s="458"/>
      <c r="J48" s="458"/>
    </row>
    <row r="50" spans="1:11" x14ac:dyDescent="0.25">
      <c r="A50" s="459" t="s">
        <v>587</v>
      </c>
      <c r="B50" s="459"/>
      <c r="C50" s="459"/>
      <c r="D50" s="459"/>
      <c r="E50" s="459"/>
      <c r="F50" s="459"/>
      <c r="G50" s="459"/>
      <c r="H50" s="459"/>
      <c r="I50" s="459"/>
      <c r="J50" s="459"/>
    </row>
    <row r="52" spans="1:11" s="356" customFormat="1" ht="30.3" customHeight="1" x14ac:dyDescent="0.3">
      <c r="A52" s="361">
        <v>1</v>
      </c>
      <c r="B52" s="458" t="s">
        <v>588</v>
      </c>
      <c r="C52" s="458"/>
      <c r="D52" s="458"/>
      <c r="E52" s="458"/>
      <c r="F52" s="458"/>
      <c r="G52" s="458"/>
      <c r="H52" s="458"/>
      <c r="I52" s="458"/>
      <c r="J52" s="458"/>
    </row>
    <row r="53" spans="1:11" s="356" customFormat="1" ht="30.3" customHeight="1" x14ac:dyDescent="0.3">
      <c r="A53" s="361">
        <v>2</v>
      </c>
      <c r="B53" s="458" t="s">
        <v>589</v>
      </c>
      <c r="C53" s="458"/>
      <c r="D53" s="458"/>
      <c r="E53" s="458"/>
      <c r="F53" s="458"/>
      <c r="G53" s="458"/>
      <c r="H53" s="458"/>
      <c r="I53" s="458"/>
      <c r="J53" s="458"/>
    </row>
    <row r="54" spans="1:11" ht="30" customHeight="1" x14ac:dyDescent="0.25">
      <c r="A54" s="360">
        <v>3</v>
      </c>
      <c r="B54" s="464" t="s">
        <v>590</v>
      </c>
      <c r="C54" s="464"/>
      <c r="D54" s="464"/>
      <c r="E54" s="464"/>
      <c r="F54" s="464"/>
      <c r="G54" s="464"/>
      <c r="H54" s="464"/>
      <c r="I54" s="464"/>
      <c r="J54" s="464"/>
    </row>
    <row r="55" spans="1:11" ht="14.4" x14ac:dyDescent="0.3">
      <c r="A55" s="360">
        <v>4</v>
      </c>
      <c r="B55" s="354" t="s">
        <v>591</v>
      </c>
    </row>
    <row r="56" spans="1:11" s="356" customFormat="1" ht="30.3" customHeight="1" x14ac:dyDescent="0.3">
      <c r="A56" s="361">
        <v>5</v>
      </c>
      <c r="B56" s="458" t="s">
        <v>592</v>
      </c>
      <c r="C56" s="458"/>
      <c r="D56" s="458"/>
      <c r="E56" s="458"/>
      <c r="F56" s="458"/>
      <c r="G56" s="458"/>
      <c r="H56" s="458"/>
      <c r="I56" s="458"/>
      <c r="J56" s="458"/>
    </row>
    <row r="58" spans="1:11" x14ac:dyDescent="0.25">
      <c r="A58" s="459" t="s">
        <v>593</v>
      </c>
      <c r="B58" s="459"/>
      <c r="C58" s="459"/>
      <c r="D58" s="459"/>
      <c r="E58" s="459"/>
      <c r="F58" s="459"/>
      <c r="G58" s="459"/>
      <c r="H58" s="459"/>
      <c r="I58" s="459"/>
      <c r="J58" s="459"/>
    </row>
    <row r="60" spans="1:11" ht="14.4" x14ac:dyDescent="0.3">
      <c r="A60" s="360">
        <v>1</v>
      </c>
      <c r="B60" s="354" t="s">
        <v>641</v>
      </c>
    </row>
    <row r="61" spans="1:11" s="356" customFormat="1" ht="30.3" customHeight="1" x14ac:dyDescent="0.3">
      <c r="A61" s="361">
        <v>2</v>
      </c>
      <c r="B61" s="458" t="s">
        <v>642</v>
      </c>
      <c r="C61" s="458"/>
      <c r="D61" s="458"/>
      <c r="E61" s="458"/>
      <c r="F61" s="458"/>
      <c r="G61" s="458"/>
      <c r="H61" s="458"/>
      <c r="I61" s="458"/>
      <c r="J61" s="458"/>
    </row>
    <row r="62" spans="1:11" s="356" customFormat="1" ht="30.3" customHeight="1" x14ac:dyDescent="0.25">
      <c r="A62" s="361" t="s">
        <v>610</v>
      </c>
      <c r="B62" s="464" t="s">
        <v>607</v>
      </c>
      <c r="C62" s="464"/>
      <c r="D62" s="464"/>
      <c r="E62" s="464"/>
      <c r="F62" s="464"/>
      <c r="G62" s="464"/>
      <c r="H62" s="464"/>
      <c r="I62" s="464"/>
      <c r="J62" s="464"/>
      <c r="K62" s="357"/>
    </row>
    <row r="63" spans="1:11" s="356" customFormat="1" ht="30.3" customHeight="1" x14ac:dyDescent="0.25">
      <c r="A63" s="361" t="s">
        <v>606</v>
      </c>
      <c r="B63" s="464" t="s">
        <v>605</v>
      </c>
      <c r="C63" s="464"/>
      <c r="D63" s="464"/>
      <c r="E63" s="464"/>
      <c r="F63" s="464"/>
      <c r="G63" s="464"/>
      <c r="H63" s="464"/>
      <c r="I63" s="464"/>
      <c r="J63" s="464"/>
    </row>
    <row r="64" spans="1:11" s="356" customFormat="1" ht="30.3" customHeight="1" x14ac:dyDescent="0.3">
      <c r="A64" s="361">
        <v>3</v>
      </c>
      <c r="B64" s="458" t="s">
        <v>643</v>
      </c>
      <c r="C64" s="458"/>
      <c r="D64" s="458"/>
      <c r="E64" s="458"/>
      <c r="F64" s="458"/>
      <c r="G64" s="458"/>
      <c r="H64" s="458"/>
      <c r="I64" s="458"/>
      <c r="J64" s="458"/>
    </row>
    <row r="66" spans="1:10" x14ac:dyDescent="0.25">
      <c r="A66" s="459" t="s">
        <v>594</v>
      </c>
      <c r="B66" s="459"/>
      <c r="C66" s="459"/>
      <c r="D66" s="459"/>
      <c r="E66" s="459"/>
      <c r="F66" s="459"/>
      <c r="G66" s="459"/>
      <c r="H66" s="459"/>
      <c r="I66" s="459"/>
      <c r="J66" s="459"/>
    </row>
    <row r="68" spans="1:10" s="356" customFormat="1" ht="30.3" customHeight="1" x14ac:dyDescent="0.3">
      <c r="A68" s="361">
        <v>1</v>
      </c>
      <c r="B68" s="458" t="s">
        <v>644</v>
      </c>
      <c r="C68" s="458"/>
      <c r="D68" s="458"/>
      <c r="E68" s="458"/>
      <c r="F68" s="458"/>
      <c r="G68" s="458"/>
      <c r="H68" s="458"/>
      <c r="I68" s="458"/>
      <c r="J68" s="458"/>
    </row>
    <row r="70" spans="1:10" x14ac:dyDescent="0.25">
      <c r="A70" s="459" t="s">
        <v>595</v>
      </c>
      <c r="B70" s="459"/>
      <c r="C70" s="459"/>
      <c r="D70" s="459"/>
      <c r="E70" s="459"/>
      <c r="F70" s="459"/>
      <c r="G70" s="459"/>
      <c r="H70" s="459"/>
      <c r="I70" s="459"/>
      <c r="J70" s="459"/>
    </row>
    <row r="72" spans="1:10" ht="14.4" x14ac:dyDescent="0.3">
      <c r="A72" s="360">
        <v>1</v>
      </c>
      <c r="B72" s="354" t="s">
        <v>645</v>
      </c>
    </row>
    <row r="74" spans="1:10" x14ac:dyDescent="0.25">
      <c r="A74" s="459" t="s">
        <v>596</v>
      </c>
      <c r="B74" s="459"/>
      <c r="C74" s="459"/>
      <c r="D74" s="459"/>
      <c r="E74" s="459"/>
      <c r="F74" s="459"/>
      <c r="G74" s="459"/>
      <c r="H74" s="459"/>
      <c r="I74" s="459"/>
      <c r="J74" s="459"/>
    </row>
    <row r="76" spans="1:10" s="356" customFormat="1" ht="44.25" customHeight="1" x14ac:dyDescent="0.3">
      <c r="A76" s="361">
        <v>1</v>
      </c>
      <c r="B76" s="458" t="s">
        <v>646</v>
      </c>
      <c r="C76" s="458"/>
      <c r="D76" s="458"/>
      <c r="E76" s="458"/>
      <c r="F76" s="458"/>
      <c r="G76" s="458"/>
      <c r="H76" s="458"/>
      <c r="I76" s="458"/>
      <c r="J76" s="458"/>
    </row>
    <row r="77" spans="1:10" ht="30" customHeight="1" x14ac:dyDescent="0.3">
      <c r="A77" s="360">
        <v>2</v>
      </c>
      <c r="B77" s="458" t="s">
        <v>647</v>
      </c>
      <c r="C77" s="458"/>
      <c r="D77" s="458"/>
      <c r="E77" s="458"/>
      <c r="F77" s="458"/>
      <c r="G77" s="458"/>
      <c r="H77" s="458"/>
      <c r="I77" s="458"/>
      <c r="J77" s="458"/>
    </row>
    <row r="78" spans="1:10" ht="14.4" x14ac:dyDescent="0.3">
      <c r="A78" s="360">
        <v>3</v>
      </c>
      <c r="B78" s="354" t="s">
        <v>648</v>
      </c>
    </row>
    <row r="79" spans="1:10" s="356" customFormat="1" ht="30.3" customHeight="1" x14ac:dyDescent="0.3">
      <c r="A79" s="361">
        <v>4</v>
      </c>
      <c r="B79" s="458" t="s">
        <v>649</v>
      </c>
      <c r="C79" s="458"/>
      <c r="D79" s="458"/>
      <c r="E79" s="458"/>
      <c r="F79" s="458"/>
      <c r="G79" s="458"/>
      <c r="H79" s="458"/>
      <c r="I79" s="458"/>
      <c r="J79" s="458"/>
    </row>
    <row r="81" spans="1:10" x14ac:dyDescent="0.25">
      <c r="A81" s="462" t="s">
        <v>597</v>
      </c>
      <c r="B81" s="462"/>
      <c r="C81" s="462"/>
      <c r="D81" s="462"/>
      <c r="E81" s="462"/>
      <c r="F81" s="462"/>
      <c r="G81" s="462"/>
      <c r="H81" s="462"/>
      <c r="I81" s="462"/>
      <c r="J81" s="462"/>
    </row>
    <row r="83" spans="1:10" s="356" customFormat="1" ht="30.3" customHeight="1" x14ac:dyDescent="0.3">
      <c r="A83" s="361">
        <v>1</v>
      </c>
      <c r="B83" s="458" t="s">
        <v>720</v>
      </c>
      <c r="C83" s="458"/>
      <c r="D83" s="458"/>
      <c r="E83" s="458"/>
      <c r="F83" s="458"/>
      <c r="G83" s="458"/>
      <c r="H83" s="458"/>
      <c r="I83" s="458"/>
      <c r="J83" s="458"/>
    </row>
    <row r="84" spans="1:10" s="356" customFormat="1" ht="30.3" customHeight="1" x14ac:dyDescent="0.3">
      <c r="A84" s="361">
        <v>2</v>
      </c>
      <c r="B84" s="458" t="s">
        <v>650</v>
      </c>
      <c r="C84" s="458"/>
      <c r="D84" s="458"/>
      <c r="E84" s="458"/>
      <c r="F84" s="458"/>
      <c r="G84" s="458"/>
      <c r="H84" s="458"/>
      <c r="I84" s="458"/>
      <c r="J84" s="458"/>
    </row>
    <row r="85" spans="1:10" ht="14.4" x14ac:dyDescent="0.3">
      <c r="A85" s="360">
        <v>3</v>
      </c>
      <c r="B85" s="354" t="s">
        <v>721</v>
      </c>
    </row>
    <row r="86" spans="1:10" ht="14.4" x14ac:dyDescent="0.3">
      <c r="A86" s="360">
        <v>4</v>
      </c>
      <c r="B86" s="354" t="s">
        <v>706</v>
      </c>
    </row>
    <row r="88" spans="1:10" x14ac:dyDescent="0.25">
      <c r="A88" s="463" t="s">
        <v>598</v>
      </c>
      <c r="B88" s="463"/>
      <c r="C88" s="463"/>
      <c r="D88" s="463"/>
      <c r="E88" s="463"/>
      <c r="F88" s="463"/>
      <c r="G88" s="463"/>
      <c r="H88" s="463"/>
      <c r="I88" s="463"/>
      <c r="J88" s="463"/>
    </row>
    <row r="90" spans="1:10" s="356" customFormat="1" ht="30.3" customHeight="1" x14ac:dyDescent="0.3">
      <c r="A90" s="361">
        <v>1</v>
      </c>
      <c r="B90" s="458" t="s">
        <v>722</v>
      </c>
      <c r="C90" s="458"/>
      <c r="D90" s="458"/>
      <c r="E90" s="458"/>
      <c r="F90" s="458"/>
      <c r="G90" s="458"/>
      <c r="H90" s="458"/>
      <c r="I90" s="458"/>
      <c r="J90" s="458"/>
    </row>
    <row r="91" spans="1:10" s="356" customFormat="1" ht="30.3" customHeight="1" x14ac:dyDescent="0.3">
      <c r="A91" s="361">
        <v>2</v>
      </c>
      <c r="B91" s="458" t="s">
        <v>651</v>
      </c>
      <c r="C91" s="458"/>
      <c r="D91" s="458"/>
      <c r="E91" s="458"/>
      <c r="F91" s="458"/>
      <c r="G91" s="458"/>
      <c r="H91" s="458"/>
      <c r="I91" s="458"/>
      <c r="J91" s="458"/>
    </row>
    <row r="92" spans="1:10" ht="14.4" x14ac:dyDescent="0.3">
      <c r="A92" s="360">
        <v>3</v>
      </c>
      <c r="B92" s="354" t="s">
        <v>652</v>
      </c>
    </row>
    <row r="94" spans="1:10" x14ac:dyDescent="0.25">
      <c r="A94" s="461" t="s">
        <v>599</v>
      </c>
      <c r="B94" s="461"/>
      <c r="C94" s="461"/>
      <c r="D94" s="461"/>
      <c r="E94" s="461"/>
      <c r="F94" s="461"/>
      <c r="G94" s="461"/>
      <c r="H94" s="461"/>
      <c r="I94" s="461"/>
      <c r="J94" s="461"/>
    </row>
    <row r="96" spans="1:10" ht="14.4" x14ac:dyDescent="0.3">
      <c r="A96" s="363">
        <v>1</v>
      </c>
      <c r="B96" s="355" t="s">
        <v>653</v>
      </c>
    </row>
    <row r="97" spans="1:10" ht="14.4" x14ac:dyDescent="0.3">
      <c r="A97" s="363">
        <v>2</v>
      </c>
      <c r="B97" s="354" t="s">
        <v>654</v>
      </c>
    </row>
    <row r="98" spans="1:10" ht="14.4" x14ac:dyDescent="0.3">
      <c r="A98" s="363">
        <v>3</v>
      </c>
      <c r="B98" s="354" t="s">
        <v>655</v>
      </c>
    </row>
    <row r="100" spans="1:10" x14ac:dyDescent="0.25">
      <c r="A100" s="461" t="s">
        <v>600</v>
      </c>
      <c r="B100" s="461"/>
      <c r="C100" s="461"/>
      <c r="D100" s="461"/>
      <c r="E100" s="461"/>
      <c r="F100" s="461"/>
      <c r="G100" s="461"/>
      <c r="H100" s="461"/>
      <c r="I100" s="461"/>
      <c r="J100" s="461"/>
    </row>
    <row r="102" spans="1:10" ht="14.4" x14ac:dyDescent="0.3">
      <c r="A102" s="363">
        <v>1</v>
      </c>
      <c r="B102" s="355" t="s">
        <v>653</v>
      </c>
    </row>
    <row r="103" spans="1:10" ht="14.4" x14ac:dyDescent="0.3">
      <c r="A103" s="363">
        <v>2</v>
      </c>
      <c r="B103" s="354" t="s">
        <v>656</v>
      </c>
    </row>
    <row r="105" spans="1:10" x14ac:dyDescent="0.25">
      <c r="A105" s="461" t="s">
        <v>601</v>
      </c>
      <c r="B105" s="461"/>
      <c r="C105" s="461"/>
      <c r="D105" s="461"/>
      <c r="E105" s="461"/>
      <c r="F105" s="461"/>
      <c r="G105" s="461"/>
      <c r="H105" s="461"/>
      <c r="I105" s="461"/>
      <c r="J105" s="461"/>
    </row>
    <row r="107" spans="1:10" ht="14.4" x14ac:dyDescent="0.3">
      <c r="A107" s="363">
        <v>1</v>
      </c>
      <c r="B107" s="355" t="s">
        <v>653</v>
      </c>
    </row>
    <row r="108" spans="1:10" ht="14.4" x14ac:dyDescent="0.3">
      <c r="A108" s="363">
        <v>2</v>
      </c>
      <c r="B108" s="354" t="s">
        <v>657</v>
      </c>
    </row>
    <row r="110" spans="1:10" x14ac:dyDescent="0.25">
      <c r="A110" s="461" t="s">
        <v>602</v>
      </c>
      <c r="B110" s="461"/>
      <c r="C110" s="461"/>
      <c r="D110" s="461"/>
      <c r="E110" s="461"/>
      <c r="F110" s="461"/>
      <c r="G110" s="461"/>
      <c r="H110" s="461"/>
      <c r="I110" s="461"/>
      <c r="J110" s="461"/>
    </row>
    <row r="112" spans="1:10" ht="14.4" x14ac:dyDescent="0.3">
      <c r="A112" s="360">
        <v>1</v>
      </c>
      <c r="B112" s="355" t="s">
        <v>653</v>
      </c>
    </row>
    <row r="113" spans="1:10" s="356" customFormat="1" ht="30.3" customHeight="1" x14ac:dyDescent="0.3">
      <c r="A113" s="361">
        <v>2</v>
      </c>
      <c r="B113" s="458" t="s">
        <v>658</v>
      </c>
      <c r="C113" s="458"/>
      <c r="D113" s="458"/>
      <c r="E113" s="458"/>
      <c r="F113" s="458"/>
      <c r="G113" s="458"/>
      <c r="H113" s="458"/>
      <c r="I113" s="458"/>
      <c r="J113" s="458"/>
    </row>
    <row r="114" spans="1:10" s="356" customFormat="1" ht="30.3" customHeight="1" x14ac:dyDescent="0.3">
      <c r="A114" s="361">
        <v>3</v>
      </c>
      <c r="B114" s="458" t="s">
        <v>659</v>
      </c>
      <c r="C114" s="458"/>
      <c r="D114" s="458"/>
      <c r="E114" s="458"/>
      <c r="F114" s="458"/>
      <c r="G114" s="458"/>
      <c r="H114" s="458"/>
      <c r="I114" s="458"/>
      <c r="J114" s="458"/>
    </row>
    <row r="116" spans="1:10" x14ac:dyDescent="0.25">
      <c r="A116" s="461" t="s">
        <v>603</v>
      </c>
      <c r="B116" s="461"/>
      <c r="C116" s="461"/>
      <c r="D116" s="461"/>
      <c r="E116" s="461"/>
      <c r="F116" s="461"/>
      <c r="G116" s="461"/>
      <c r="H116" s="461"/>
      <c r="I116" s="461"/>
      <c r="J116" s="461"/>
    </row>
    <row r="118" spans="1:10" ht="14.4" x14ac:dyDescent="0.3">
      <c r="A118" s="360">
        <v>1</v>
      </c>
      <c r="B118" s="355" t="s">
        <v>653</v>
      </c>
    </row>
    <row r="119" spans="1:10" s="356" customFormat="1" ht="15" customHeight="1" x14ac:dyDescent="0.3">
      <c r="A119" s="361">
        <v>2</v>
      </c>
      <c r="B119" s="458" t="s">
        <v>660</v>
      </c>
      <c r="C119" s="458"/>
      <c r="D119" s="458"/>
      <c r="E119" s="458"/>
      <c r="F119" s="458"/>
      <c r="G119" s="458"/>
      <c r="H119" s="458"/>
      <c r="I119" s="458"/>
      <c r="J119" s="458"/>
    </row>
    <row r="120" spans="1:10" s="356" customFormat="1" ht="30.3" customHeight="1" x14ac:dyDescent="0.3">
      <c r="A120" s="361">
        <v>3</v>
      </c>
      <c r="B120" s="458" t="s">
        <v>661</v>
      </c>
      <c r="C120" s="458"/>
      <c r="D120" s="458"/>
      <c r="E120" s="458"/>
      <c r="F120" s="458"/>
      <c r="G120" s="458"/>
      <c r="H120" s="458"/>
      <c r="I120" s="458"/>
      <c r="J120" s="458"/>
    </row>
    <row r="122" spans="1:10" x14ac:dyDescent="0.25">
      <c r="A122" s="461" t="s">
        <v>604</v>
      </c>
      <c r="B122" s="461"/>
      <c r="C122" s="461"/>
      <c r="D122" s="461"/>
      <c r="E122" s="461"/>
      <c r="F122" s="461"/>
      <c r="G122" s="461"/>
      <c r="H122" s="461"/>
      <c r="I122" s="461"/>
      <c r="J122" s="461"/>
    </row>
    <row r="124" spans="1:10" ht="14.4" x14ac:dyDescent="0.3">
      <c r="A124" s="360">
        <v>1</v>
      </c>
      <c r="B124" s="355" t="s">
        <v>653</v>
      </c>
    </row>
    <row r="125" spans="1:10" ht="14.4" x14ac:dyDescent="0.3">
      <c r="A125" s="360">
        <v>2</v>
      </c>
      <c r="B125" s="354" t="s">
        <v>662</v>
      </c>
    </row>
  </sheetData>
  <sheetProtection algorithmName="SHA-512" hashValue="fJ2DsvfmclyN7FyMNHKSmI/rgif0HBqVe4oinO00Um9N6+qDZhLN7yc94DmdoBSods1VnJWplJXt4FRkbbgY3w==" saltValue="7DXStGt7cU71SsEGqvNh1Q=="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B43:J43"/>
    <mergeCell ref="B56:J56"/>
    <mergeCell ref="B64:J64"/>
    <mergeCell ref="B61:J61"/>
    <mergeCell ref="A58:J58"/>
    <mergeCell ref="B45:J45"/>
    <mergeCell ref="B54:J54"/>
    <mergeCell ref="B46:J46"/>
    <mergeCell ref="B48:J48"/>
    <mergeCell ref="B52:J52"/>
    <mergeCell ref="B53:J53"/>
    <mergeCell ref="A50:J50"/>
    <mergeCell ref="B84:J84"/>
    <mergeCell ref="B79:J79"/>
    <mergeCell ref="B76:J76"/>
    <mergeCell ref="B63:J63"/>
    <mergeCell ref="B62:J62"/>
    <mergeCell ref="B77:J77"/>
    <mergeCell ref="A66:J66"/>
    <mergeCell ref="A70:J70"/>
    <mergeCell ref="A74:J74"/>
    <mergeCell ref="B34:J34"/>
    <mergeCell ref="B37:J37"/>
    <mergeCell ref="B38:J38"/>
    <mergeCell ref="B25:J25"/>
    <mergeCell ref="B26:J26"/>
    <mergeCell ref="B27:J27"/>
    <mergeCell ref="B28:J28"/>
    <mergeCell ref="B29:J29"/>
    <mergeCell ref="B33:J33"/>
    <mergeCell ref="A31:J31"/>
    <mergeCell ref="A116:J116"/>
    <mergeCell ref="A122:J122"/>
    <mergeCell ref="B120:J120"/>
    <mergeCell ref="B119:J119"/>
    <mergeCell ref="B68:J68"/>
    <mergeCell ref="A94:J94"/>
    <mergeCell ref="A100:J100"/>
    <mergeCell ref="B114:J114"/>
    <mergeCell ref="B113:J113"/>
    <mergeCell ref="B91:J91"/>
    <mergeCell ref="B90:J90"/>
    <mergeCell ref="A105:J105"/>
    <mergeCell ref="A110:J110"/>
    <mergeCell ref="B83:J83"/>
    <mergeCell ref="A81:J81"/>
    <mergeCell ref="A88:J88"/>
    <mergeCell ref="A1:J1"/>
    <mergeCell ref="A7:J7"/>
    <mergeCell ref="B5:J5"/>
    <mergeCell ref="B10:J10"/>
    <mergeCell ref="B24:J24"/>
    <mergeCell ref="A22:J22"/>
    <mergeCell ref="B13:J13"/>
    <mergeCell ref="B14:J14"/>
    <mergeCell ref="B15:J15"/>
    <mergeCell ref="A17:J17"/>
    <mergeCell ref="B19:J19"/>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M13" sqref="M13"/>
    </sheetView>
  </sheetViews>
  <sheetFormatPr defaultColWidth="9.21875" defaultRowHeight="13.2" x14ac:dyDescent="0.25"/>
  <cols>
    <col min="1" max="1" width="9.21875" style="21" customWidth="1"/>
    <col min="2" max="4" width="13" style="21" hidden="1" customWidth="1"/>
    <col min="5" max="5" width="9.21875" style="21" customWidth="1"/>
    <col min="6" max="11" width="9.21875" style="21"/>
    <col min="12" max="12" width="11.77734375" style="21" customWidth="1"/>
    <col min="13" max="13" width="7.21875" style="21" customWidth="1"/>
    <col min="14" max="16384" width="9.21875" style="21"/>
  </cols>
  <sheetData>
    <row r="1" spans="1:13" x14ac:dyDescent="0.25">
      <c r="A1" s="557" t="s">
        <v>276</v>
      </c>
      <c r="B1" s="557"/>
      <c r="C1" s="557"/>
      <c r="D1" s="557"/>
      <c r="E1" s="557"/>
      <c r="F1" s="557"/>
      <c r="G1" s="557"/>
      <c r="H1" s="557"/>
      <c r="I1" s="557"/>
      <c r="J1" s="557"/>
      <c r="K1" s="557"/>
      <c r="L1" s="557"/>
      <c r="M1" s="557"/>
    </row>
    <row r="2" spans="1:13" x14ac:dyDescent="0.25">
      <c r="A2" s="557"/>
      <c r="B2" s="557"/>
      <c r="C2" s="557"/>
      <c r="D2" s="557"/>
      <c r="E2" s="557"/>
      <c r="F2" s="557"/>
      <c r="G2" s="557"/>
      <c r="H2" s="557"/>
      <c r="I2" s="557"/>
      <c r="J2" s="557"/>
      <c r="K2" s="557"/>
      <c r="L2" s="557"/>
      <c r="M2" s="557"/>
    </row>
    <row r="3" spans="1:13" x14ac:dyDescent="0.25">
      <c r="A3" s="103"/>
      <c r="B3" s="103"/>
      <c r="C3" s="103"/>
      <c r="D3" s="103"/>
      <c r="E3" s="103"/>
      <c r="F3" s="103"/>
      <c r="G3" s="103"/>
      <c r="H3" s="103"/>
      <c r="I3" s="103"/>
      <c r="J3" s="103"/>
      <c r="K3" s="103"/>
      <c r="L3" s="103"/>
      <c r="M3" s="103"/>
    </row>
    <row r="4" spans="1:13" ht="12.75" customHeight="1" x14ac:dyDescent="0.25">
      <c r="A4" s="630" t="s">
        <v>561</v>
      </c>
      <c r="B4" s="630"/>
      <c r="C4" s="630"/>
      <c r="D4" s="630"/>
      <c r="E4" s="630"/>
      <c r="F4" s="630"/>
      <c r="G4" s="630"/>
      <c r="H4" s="630"/>
      <c r="I4" s="630"/>
      <c r="J4" s="630"/>
      <c r="K4" s="630"/>
      <c r="L4" s="630"/>
      <c r="M4" s="129"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5">
      <c r="A5" s="103"/>
      <c r="E5" s="103"/>
      <c r="F5" s="103"/>
      <c r="G5" s="103"/>
      <c r="H5" s="103"/>
      <c r="I5" s="103"/>
      <c r="J5" s="103"/>
      <c r="K5" s="103"/>
      <c r="L5" s="103"/>
      <c r="M5" s="103"/>
    </row>
    <row r="6" spans="1:13" x14ac:dyDescent="0.25">
      <c r="A6" s="103"/>
      <c r="B6" s="103"/>
      <c r="C6" s="103"/>
      <c r="D6" s="103"/>
      <c r="E6" s="697" t="s">
        <v>223</v>
      </c>
      <c r="F6" s="697"/>
      <c r="G6" s="697"/>
      <c r="H6" s="697"/>
      <c r="I6" s="697"/>
      <c r="J6" s="688" t="s">
        <v>560</v>
      </c>
      <c r="K6" s="688"/>
      <c r="L6" s="688"/>
      <c r="M6" s="103"/>
    </row>
    <row r="7" spans="1:13" x14ac:dyDescent="0.25">
      <c r="A7" s="103"/>
      <c r="E7" s="103"/>
      <c r="F7" s="117" t="s">
        <v>224</v>
      </c>
      <c r="G7" s="127" t="str">
        <f>IF('Input &amp; Findings'!G31=1, "1 Lane","2 or More Lanes")</f>
        <v>2 or More Lanes</v>
      </c>
      <c r="H7" s="128"/>
      <c r="I7" s="103"/>
      <c r="J7" s="688"/>
      <c r="K7" s="688"/>
      <c r="L7" s="688"/>
      <c r="M7" s="103"/>
    </row>
    <row r="8" spans="1:13" x14ac:dyDescent="0.25">
      <c r="A8" s="103"/>
      <c r="B8" s="103"/>
      <c r="E8" s="103"/>
      <c r="F8" s="117" t="s">
        <v>225</v>
      </c>
      <c r="G8" s="127" t="str">
        <f>IF('Input &amp; Findings'!G47=1, "1 Lane","2 or More Lanes")</f>
        <v>2 or More Lanes</v>
      </c>
      <c r="H8" s="128"/>
      <c r="I8" s="103"/>
      <c r="J8" s="688"/>
      <c r="K8" s="688"/>
      <c r="L8" s="688"/>
      <c r="M8" s="103"/>
    </row>
    <row r="9" spans="1:13" x14ac:dyDescent="0.25">
      <c r="A9" s="103"/>
      <c r="B9" s="103"/>
      <c r="E9" s="103"/>
      <c r="F9" s="103"/>
      <c r="G9" s="103"/>
      <c r="H9" s="103"/>
      <c r="I9" s="103"/>
      <c r="J9" s="688"/>
      <c r="K9" s="688"/>
      <c r="L9" s="688"/>
      <c r="M9" s="267" t="s">
        <v>110</v>
      </c>
    </row>
    <row r="10" spans="1:13" ht="12.75" customHeight="1" x14ac:dyDescent="0.25">
      <c r="A10" s="103"/>
      <c r="E10" s="103"/>
      <c r="F10" s="103"/>
      <c r="G10" s="103"/>
      <c r="H10" s="141"/>
      <c r="I10" s="141"/>
      <c r="J10" s="103"/>
      <c r="K10" s="103"/>
      <c r="L10" s="103"/>
      <c r="M10" s="103"/>
    </row>
    <row r="11" spans="1:13" ht="12.75" customHeight="1" x14ac:dyDescent="0.25">
      <c r="A11" s="688" t="s">
        <v>274</v>
      </c>
      <c r="B11" s="688"/>
      <c r="C11" s="688"/>
      <c r="D11" s="688"/>
      <c r="E11" s="688"/>
      <c r="F11" s="688"/>
      <c r="G11" s="688"/>
      <c r="H11" s="688"/>
      <c r="I11" s="688"/>
      <c r="J11" s="688"/>
      <c r="K11" s="688"/>
      <c r="L11" s="688"/>
      <c r="M11" s="103"/>
    </row>
    <row r="12" spans="1:13" ht="12.75" customHeight="1" x14ac:dyDescent="0.25">
      <c r="A12" s="688"/>
      <c r="B12" s="688"/>
      <c r="C12" s="688"/>
      <c r="D12" s="688"/>
      <c r="E12" s="688"/>
      <c r="F12" s="688"/>
      <c r="G12" s="688"/>
      <c r="H12" s="688"/>
      <c r="I12" s="688"/>
      <c r="J12" s="688"/>
      <c r="K12" s="688"/>
      <c r="L12" s="688"/>
      <c r="M12" s="103"/>
    </row>
    <row r="13" spans="1:13" ht="12.75" customHeight="1" x14ac:dyDescent="0.25">
      <c r="A13" s="688"/>
      <c r="B13" s="688"/>
      <c r="C13" s="688"/>
      <c r="D13" s="688"/>
      <c r="E13" s="688"/>
      <c r="F13" s="688"/>
      <c r="G13" s="688"/>
      <c r="H13" s="688"/>
      <c r="I13" s="688"/>
      <c r="J13" s="688"/>
      <c r="K13" s="688"/>
      <c r="L13" s="688"/>
      <c r="M13" s="265" t="s">
        <v>110</v>
      </c>
    </row>
    <row r="14" spans="1:13" x14ac:dyDescent="0.25">
      <c r="A14" s="141"/>
      <c r="B14" s="141"/>
      <c r="C14" s="141"/>
      <c r="D14" s="141"/>
      <c r="E14" s="141"/>
      <c r="F14" s="141"/>
      <c r="G14" s="141"/>
      <c r="H14" s="141"/>
      <c r="I14" s="141"/>
      <c r="J14" s="141"/>
      <c r="K14" s="141"/>
      <c r="L14" s="130" t="s">
        <v>275</v>
      </c>
      <c r="M14" s="103"/>
    </row>
    <row r="15" spans="1:13" x14ac:dyDescent="0.25">
      <c r="A15" s="103"/>
      <c r="E15" s="103"/>
      <c r="F15" s="103"/>
      <c r="G15" s="103"/>
      <c r="H15" s="103"/>
      <c r="I15" s="103"/>
      <c r="J15" s="103"/>
      <c r="K15" s="103"/>
      <c r="L15" s="103"/>
      <c r="M15" s="103"/>
    </row>
    <row r="16" spans="1:13" x14ac:dyDescent="0.25">
      <c r="A16" s="688" t="s">
        <v>562</v>
      </c>
      <c r="B16" s="688"/>
      <c r="C16" s="688"/>
      <c r="D16" s="688"/>
      <c r="E16" s="688"/>
      <c r="F16" s="688"/>
      <c r="G16" s="688"/>
      <c r="H16" s="688"/>
      <c r="I16" s="688"/>
      <c r="J16" s="688"/>
      <c r="K16" s="688"/>
      <c r="L16" s="688"/>
      <c r="M16" s="103"/>
    </row>
    <row r="17" spans="1:13" ht="12.75" customHeight="1" x14ac:dyDescent="0.25">
      <c r="A17" s="688"/>
      <c r="B17" s="688"/>
      <c r="C17" s="688"/>
      <c r="D17" s="688"/>
      <c r="E17" s="688"/>
      <c r="F17" s="688"/>
      <c r="G17" s="688"/>
      <c r="H17" s="688"/>
      <c r="I17" s="688"/>
      <c r="J17" s="688"/>
      <c r="K17" s="688"/>
      <c r="L17" s="688"/>
      <c r="M17" s="103"/>
    </row>
    <row r="18" spans="1:13" x14ac:dyDescent="0.25">
      <c r="A18" s="688"/>
      <c r="B18" s="688"/>
      <c r="C18" s="688"/>
      <c r="D18" s="688"/>
      <c r="E18" s="688"/>
      <c r="F18" s="688"/>
      <c r="G18" s="688"/>
      <c r="H18" s="688"/>
      <c r="I18" s="688"/>
      <c r="J18" s="688"/>
      <c r="K18" s="688"/>
      <c r="L18" s="688"/>
      <c r="M18" s="103"/>
    </row>
    <row r="19" spans="1:13" x14ac:dyDescent="0.25">
      <c r="A19" s="688"/>
      <c r="B19" s="688"/>
      <c r="C19" s="688"/>
      <c r="D19" s="688"/>
      <c r="E19" s="688"/>
      <c r="F19" s="688"/>
      <c r="G19" s="688"/>
      <c r="H19" s="688"/>
      <c r="I19" s="688"/>
      <c r="J19" s="688"/>
      <c r="K19" s="688"/>
      <c r="L19" s="688"/>
      <c r="M19" s="129" t="str">
        <f>IF(M4="No",IF(AND('Warrant 1'!L118&gt;7,'Warrant 1'!M118&gt;7),"Yes","No"),IF(AND(M4="Yes",'Warrant 1'!P118&gt;7,'Warrant 1'!Q118&gt;7),"Yes","No"))</f>
        <v>Yes</v>
      </c>
    </row>
    <row r="20" spans="1:13" x14ac:dyDescent="0.25">
      <c r="A20" s="118"/>
      <c r="B20" s="118"/>
      <c r="C20" s="118"/>
      <c r="D20" s="118"/>
      <c r="E20" s="118"/>
      <c r="F20" s="118"/>
      <c r="G20" s="118"/>
      <c r="H20" s="118"/>
      <c r="I20" s="118"/>
      <c r="J20" s="118"/>
      <c r="K20" s="118"/>
      <c r="L20" s="103"/>
      <c r="M20" s="103"/>
    </row>
    <row r="21" spans="1:13" ht="12.75" customHeight="1" x14ac:dyDescent="0.25">
      <c r="A21" s="688" t="s">
        <v>563</v>
      </c>
      <c r="B21" s="688"/>
      <c r="C21" s="688"/>
      <c r="D21" s="688"/>
      <c r="E21" s="688"/>
      <c r="F21" s="688"/>
      <c r="G21" s="688"/>
      <c r="H21" s="688"/>
      <c r="I21" s="688"/>
      <c r="J21" s="688"/>
      <c r="K21" s="688"/>
      <c r="L21" s="688"/>
      <c r="M21" s="103"/>
    </row>
    <row r="22" spans="1:13" x14ac:dyDescent="0.25">
      <c r="A22" s="688"/>
      <c r="B22" s="688"/>
      <c r="C22" s="688"/>
      <c r="D22" s="688"/>
      <c r="E22" s="688"/>
      <c r="F22" s="688"/>
      <c r="G22" s="688"/>
      <c r="H22" s="688"/>
      <c r="I22" s="688"/>
      <c r="J22" s="688"/>
      <c r="K22" s="688"/>
      <c r="L22" s="688"/>
      <c r="M22" s="103"/>
    </row>
    <row r="23" spans="1:13" x14ac:dyDescent="0.25">
      <c r="A23" s="688"/>
      <c r="B23" s="688"/>
      <c r="C23" s="688"/>
      <c r="D23" s="688"/>
      <c r="E23" s="688"/>
      <c r="F23" s="688"/>
      <c r="G23" s="688"/>
      <c r="H23" s="688"/>
      <c r="I23" s="688"/>
      <c r="J23" s="688"/>
      <c r="K23" s="688"/>
      <c r="L23" s="688"/>
      <c r="M23" s="103"/>
    </row>
    <row r="24" spans="1:13" x14ac:dyDescent="0.25">
      <c r="A24" s="688"/>
      <c r="B24" s="688"/>
      <c r="C24" s="688"/>
      <c r="D24" s="688"/>
      <c r="E24" s="688"/>
      <c r="F24" s="688"/>
      <c r="G24" s="688"/>
      <c r="H24" s="688"/>
      <c r="I24" s="688"/>
      <c r="J24" s="688"/>
      <c r="K24" s="688"/>
      <c r="L24" s="688"/>
      <c r="M24" s="129" t="str">
        <f>IF(M4="No",IF(AND('Warrant 1'!L118&gt;7,'Warrant 1'!M118&gt;7),"Yes","No"),IF(AND(M4="Yes",'Warrant 1'!R118&gt;7,'Warrant 1'!S118&gt;7),"Yes","No"))</f>
        <v>Yes</v>
      </c>
    </row>
    <row r="25" spans="1:13" x14ac:dyDescent="0.25">
      <c r="A25" s="118"/>
      <c r="B25" s="118"/>
      <c r="C25" s="118"/>
      <c r="D25" s="118"/>
      <c r="E25" s="118"/>
      <c r="F25" s="118"/>
      <c r="G25" s="118"/>
      <c r="H25" s="118"/>
      <c r="I25" s="118"/>
      <c r="J25" s="118"/>
      <c r="K25" s="118"/>
      <c r="L25" s="103"/>
      <c r="M25" s="103"/>
    </row>
    <row r="26" spans="1:13" ht="12.75" customHeight="1" x14ac:dyDescent="0.25">
      <c r="A26" s="688" t="s">
        <v>704</v>
      </c>
      <c r="B26" s="688"/>
      <c r="C26" s="688"/>
      <c r="D26" s="688"/>
      <c r="E26" s="688"/>
      <c r="F26" s="688"/>
      <c r="G26" s="688"/>
      <c r="H26" s="688"/>
      <c r="I26" s="688"/>
      <c r="J26" s="688"/>
      <c r="K26" s="688"/>
      <c r="L26" s="688"/>
      <c r="M26" s="103"/>
    </row>
    <row r="27" spans="1:13" x14ac:dyDescent="0.25">
      <c r="A27" s="688"/>
      <c r="B27" s="688"/>
      <c r="C27" s="688"/>
      <c r="D27" s="688"/>
      <c r="E27" s="688"/>
      <c r="F27" s="688"/>
      <c r="G27" s="688"/>
      <c r="H27" s="688"/>
      <c r="I27" s="688"/>
      <c r="J27" s="688"/>
      <c r="K27" s="688"/>
      <c r="L27" s="688"/>
      <c r="M27" s="265"/>
    </row>
    <row r="28" spans="1:13" x14ac:dyDescent="0.25">
      <c r="A28" s="118"/>
      <c r="B28" s="118"/>
      <c r="C28" s="118"/>
      <c r="D28" s="118"/>
      <c r="E28" s="118"/>
      <c r="F28" s="118"/>
      <c r="G28" s="118"/>
      <c r="H28" s="118"/>
      <c r="I28" s="118"/>
      <c r="J28" s="118"/>
      <c r="K28" s="103"/>
      <c r="L28" s="111" t="s">
        <v>436</v>
      </c>
      <c r="M28" s="103"/>
    </row>
    <row r="29" spans="1:13" x14ac:dyDescent="0.25">
      <c r="A29" s="103"/>
      <c r="B29" s="103"/>
      <c r="C29" s="103"/>
      <c r="D29" s="103"/>
      <c r="E29" s="103"/>
      <c r="F29" s="103"/>
      <c r="G29" s="103"/>
      <c r="H29" s="103"/>
      <c r="I29" s="103"/>
      <c r="J29" s="103"/>
      <c r="K29" s="110"/>
      <c r="L29" s="103"/>
      <c r="M29" s="103"/>
    </row>
    <row r="30" spans="1:13" x14ac:dyDescent="0.25">
      <c r="A30" s="103"/>
      <c r="B30" s="103"/>
      <c r="C30" s="103"/>
      <c r="D30" s="103"/>
      <c r="E30" s="103"/>
      <c r="F30" s="103"/>
      <c r="G30" s="103"/>
      <c r="H30" s="103"/>
      <c r="I30" s="117" t="s">
        <v>278</v>
      </c>
      <c r="J30" s="129" t="str">
        <f>IF(AND(M9="Yes",M13="Yes",OR(M19="Yes",M24="Yes",M27="Yes")),"Yes","No")</f>
        <v>Yes</v>
      </c>
      <c r="K30" s="103"/>
      <c r="L30" s="103"/>
      <c r="M30" s="103"/>
    </row>
    <row r="31" spans="1:13" x14ac:dyDescent="0.25">
      <c r="A31" s="103"/>
      <c r="B31" s="103"/>
      <c r="C31" s="103"/>
      <c r="D31" s="103"/>
      <c r="E31" s="103"/>
      <c r="F31" s="103"/>
      <c r="G31" s="103"/>
      <c r="H31" s="103"/>
      <c r="I31" s="103"/>
      <c r="J31" s="103"/>
      <c r="K31" s="103"/>
      <c r="L31" s="103"/>
      <c r="M31" s="103"/>
    </row>
    <row r="32" spans="1:13" x14ac:dyDescent="0.25">
      <c r="A32" s="557" t="s">
        <v>277</v>
      </c>
      <c r="B32" s="557"/>
      <c r="C32" s="557"/>
      <c r="D32" s="557"/>
      <c r="E32" s="557"/>
      <c r="F32" s="557"/>
      <c r="G32" s="557"/>
      <c r="H32" s="557"/>
      <c r="I32" s="557"/>
      <c r="J32" s="557"/>
      <c r="K32" s="557"/>
      <c r="L32" s="557"/>
      <c r="M32" s="557"/>
    </row>
    <row r="33" spans="1:13" x14ac:dyDescent="0.25">
      <c r="A33" s="557"/>
      <c r="B33" s="557"/>
      <c r="C33" s="557"/>
      <c r="D33" s="557"/>
      <c r="E33" s="557"/>
      <c r="F33" s="557"/>
      <c r="G33" s="557"/>
      <c r="H33" s="557"/>
      <c r="I33" s="557"/>
      <c r="J33" s="557"/>
      <c r="K33" s="557"/>
      <c r="L33" s="557"/>
      <c r="M33" s="557"/>
    </row>
    <row r="34" spans="1:13" x14ac:dyDescent="0.25">
      <c r="A34" s="103"/>
      <c r="B34" s="103"/>
      <c r="C34" s="103"/>
      <c r="D34" s="103"/>
      <c r="E34" s="103"/>
      <c r="F34" s="103"/>
      <c r="G34" s="103"/>
      <c r="H34" s="103"/>
      <c r="I34" s="103"/>
      <c r="J34" s="103"/>
      <c r="K34" s="103"/>
      <c r="L34" s="103"/>
      <c r="M34" s="103"/>
    </row>
    <row r="35" spans="1:13" ht="12.75" customHeight="1" x14ac:dyDescent="0.25">
      <c r="A35" s="688" t="s">
        <v>279</v>
      </c>
      <c r="B35" s="688"/>
      <c r="C35" s="688"/>
      <c r="D35" s="688"/>
      <c r="E35" s="688"/>
      <c r="F35" s="688"/>
      <c r="G35" s="688"/>
      <c r="H35" s="688"/>
      <c r="I35" s="688"/>
      <c r="J35" s="688"/>
      <c r="K35" s="688"/>
      <c r="L35" s="688"/>
      <c r="M35" s="103"/>
    </row>
    <row r="36" spans="1:13" x14ac:dyDescent="0.25">
      <c r="A36" s="688"/>
      <c r="B36" s="688"/>
      <c r="C36" s="688"/>
      <c r="D36" s="688"/>
      <c r="E36" s="688"/>
      <c r="F36" s="688"/>
      <c r="G36" s="688"/>
      <c r="H36" s="688"/>
      <c r="I36" s="688"/>
      <c r="J36" s="688"/>
      <c r="K36" s="688"/>
      <c r="L36" s="688"/>
      <c r="M36" s="103"/>
    </row>
    <row r="37" spans="1:13" x14ac:dyDescent="0.25">
      <c r="A37" s="688"/>
      <c r="B37" s="688"/>
      <c r="C37" s="688"/>
      <c r="D37" s="688"/>
      <c r="E37" s="688"/>
      <c r="F37" s="688"/>
      <c r="G37" s="688"/>
      <c r="H37" s="688"/>
      <c r="I37" s="688"/>
      <c r="J37" s="688"/>
      <c r="K37" s="688"/>
      <c r="L37" s="688"/>
      <c r="M37" s="103"/>
    </row>
    <row r="38" spans="1:13" x14ac:dyDescent="0.25">
      <c r="A38" s="688"/>
      <c r="B38" s="688"/>
      <c r="C38" s="688"/>
      <c r="D38" s="688"/>
      <c r="E38" s="688"/>
      <c r="F38" s="688"/>
      <c r="G38" s="688"/>
      <c r="H38" s="688"/>
      <c r="I38" s="688"/>
      <c r="J38" s="688"/>
      <c r="K38" s="688"/>
      <c r="L38" s="688"/>
      <c r="M38" s="267"/>
    </row>
    <row r="39" spans="1:13" x14ac:dyDescent="0.25">
      <c r="A39" s="103"/>
      <c r="B39" s="103"/>
      <c r="C39" s="103"/>
      <c r="D39" s="103"/>
      <c r="E39" s="103"/>
      <c r="F39" s="103"/>
      <c r="G39" s="103"/>
      <c r="H39" s="103"/>
      <c r="I39" s="103"/>
      <c r="J39" s="103"/>
      <c r="K39" s="103"/>
      <c r="L39" s="103"/>
      <c r="M39" s="103"/>
    </row>
    <row r="40" spans="1:13" ht="12.75" customHeight="1" x14ac:dyDescent="0.25">
      <c r="A40" s="688" t="s">
        <v>280</v>
      </c>
      <c r="B40" s="688"/>
      <c r="C40" s="688"/>
      <c r="D40" s="688"/>
      <c r="E40" s="688"/>
      <c r="F40" s="688"/>
      <c r="G40" s="688"/>
      <c r="H40" s="688"/>
      <c r="I40" s="688"/>
      <c r="J40" s="688"/>
      <c r="K40" s="688"/>
      <c r="L40" s="688"/>
      <c r="M40" s="103"/>
    </row>
    <row r="41" spans="1:13" ht="12.75" customHeight="1" x14ac:dyDescent="0.25">
      <c r="A41" s="688"/>
      <c r="B41" s="688"/>
      <c r="C41" s="688"/>
      <c r="D41" s="688"/>
      <c r="E41" s="688"/>
      <c r="F41" s="688"/>
      <c r="G41" s="688"/>
      <c r="H41" s="688"/>
      <c r="I41" s="688"/>
      <c r="J41" s="688"/>
      <c r="K41" s="688"/>
      <c r="L41" s="688"/>
      <c r="M41" s="267"/>
    </row>
    <row r="42" spans="1:13" ht="12.75" customHeight="1" x14ac:dyDescent="0.25">
      <c r="A42" s="231"/>
      <c r="B42" s="231"/>
      <c r="C42" s="231"/>
      <c r="D42" s="231"/>
      <c r="E42" s="231"/>
      <c r="F42" s="231"/>
      <c r="G42" s="231"/>
      <c r="H42" s="231"/>
      <c r="I42" s="231"/>
      <c r="J42" s="231"/>
      <c r="K42" s="231"/>
      <c r="L42" s="231"/>
      <c r="M42" s="232"/>
    </row>
    <row r="43" spans="1:13" x14ac:dyDescent="0.25">
      <c r="A43" s="103"/>
      <c r="B43" s="103"/>
      <c r="C43" s="103"/>
      <c r="D43" s="103"/>
      <c r="E43" s="103"/>
      <c r="F43" s="103"/>
      <c r="G43" s="688" t="s">
        <v>696</v>
      </c>
      <c r="H43" s="688"/>
      <c r="I43" s="688"/>
      <c r="J43" s="688"/>
      <c r="K43" s="688"/>
      <c r="L43" s="688"/>
      <c r="M43" s="103"/>
    </row>
    <row r="44" spans="1:13" x14ac:dyDescent="0.25">
      <c r="A44" s="103"/>
      <c r="B44" s="103"/>
      <c r="C44" s="103"/>
      <c r="D44" s="103"/>
      <c r="E44" s="103"/>
      <c r="F44" s="103"/>
      <c r="G44" s="688"/>
      <c r="H44" s="688"/>
      <c r="I44" s="688"/>
      <c r="J44" s="688"/>
      <c r="K44" s="688"/>
      <c r="L44" s="688"/>
      <c r="M44" s="267"/>
    </row>
    <row r="45" spans="1:13" x14ac:dyDescent="0.25">
      <c r="A45" s="103"/>
      <c r="B45" s="103"/>
      <c r="C45" s="103"/>
      <c r="D45" s="103"/>
      <c r="E45" s="103"/>
      <c r="F45" s="103"/>
      <c r="G45" s="103"/>
      <c r="H45" s="103"/>
      <c r="I45" s="103"/>
      <c r="J45" s="103"/>
      <c r="K45" s="103"/>
      <c r="L45" s="103"/>
      <c r="M45" s="103"/>
    </row>
    <row r="46" spans="1:13" x14ac:dyDescent="0.25">
      <c r="A46" s="103"/>
      <c r="B46" s="103"/>
      <c r="C46" s="103"/>
      <c r="D46" s="103"/>
      <c r="E46" s="103"/>
      <c r="F46" s="103"/>
      <c r="G46" s="103"/>
      <c r="H46" s="103"/>
      <c r="I46" s="103"/>
      <c r="J46" s="103"/>
      <c r="K46" s="103"/>
      <c r="L46" s="117" t="s">
        <v>541</v>
      </c>
      <c r="M46" s="267"/>
    </row>
    <row r="47" spans="1:13" x14ac:dyDescent="0.25">
      <c r="A47" s="103"/>
      <c r="B47" s="103"/>
      <c r="C47" s="103"/>
      <c r="D47" s="103"/>
      <c r="E47" s="103"/>
      <c r="F47" s="103"/>
      <c r="G47" s="103"/>
      <c r="H47" s="103"/>
      <c r="I47" s="103"/>
      <c r="J47" s="103"/>
      <c r="K47" s="103"/>
      <c r="L47" s="103"/>
      <c r="M47" s="103"/>
    </row>
    <row r="48" spans="1:13" ht="12.75" customHeight="1" x14ac:dyDescent="0.25">
      <c r="A48" s="103"/>
      <c r="B48" s="109"/>
      <c r="C48" s="109"/>
      <c r="D48" s="109"/>
      <c r="E48" s="103"/>
      <c r="F48" s="688" t="s">
        <v>281</v>
      </c>
      <c r="G48" s="688"/>
      <c r="H48" s="688"/>
      <c r="I48" s="688"/>
      <c r="J48" s="688"/>
      <c r="K48" s="688"/>
      <c r="L48" s="688"/>
      <c r="M48" s="103"/>
    </row>
    <row r="49" spans="1:13" x14ac:dyDescent="0.25">
      <c r="A49" s="109"/>
      <c r="B49" s="109"/>
      <c r="C49" s="109"/>
      <c r="D49" s="109"/>
      <c r="E49" s="103"/>
      <c r="F49" s="688"/>
      <c r="G49" s="688"/>
      <c r="H49" s="688"/>
      <c r="I49" s="688"/>
      <c r="J49" s="688"/>
      <c r="K49" s="688"/>
      <c r="L49" s="688"/>
      <c r="M49" s="290"/>
    </row>
    <row r="50" spans="1:13" x14ac:dyDescent="0.25">
      <c r="A50" s="103"/>
      <c r="B50" s="103"/>
      <c r="C50" s="103"/>
      <c r="D50" s="103"/>
      <c r="E50" s="103"/>
      <c r="F50" s="103"/>
      <c r="G50" s="103"/>
      <c r="H50" s="103"/>
      <c r="I50" s="103"/>
      <c r="J50" s="103"/>
      <c r="K50" s="103"/>
      <c r="L50" s="103"/>
      <c r="M50" s="103"/>
    </row>
    <row r="51" spans="1:13" x14ac:dyDescent="0.25">
      <c r="A51" s="696" t="s">
        <v>282</v>
      </c>
      <c r="B51" s="696"/>
      <c r="C51" s="696"/>
      <c r="D51" s="696"/>
      <c r="E51" s="696"/>
      <c r="F51" s="696"/>
      <c r="G51" s="696"/>
      <c r="H51" s="696"/>
      <c r="I51" s="696"/>
      <c r="J51" s="696"/>
      <c r="K51" s="696"/>
      <c r="L51" s="696"/>
      <c r="M51" s="696"/>
    </row>
    <row r="52" spans="1:13" x14ac:dyDescent="0.25">
      <c r="A52" s="696"/>
      <c r="B52" s="696"/>
      <c r="C52" s="696"/>
      <c r="D52" s="696"/>
      <c r="E52" s="696"/>
      <c r="F52" s="696"/>
      <c r="G52" s="696"/>
      <c r="H52" s="696"/>
      <c r="I52" s="696"/>
      <c r="J52" s="696"/>
      <c r="K52" s="696"/>
      <c r="L52" s="696"/>
      <c r="M52" s="696"/>
    </row>
    <row r="53" spans="1:13" x14ac:dyDescent="0.25">
      <c r="A53" s="696"/>
      <c r="B53" s="696"/>
      <c r="C53" s="696"/>
      <c r="D53" s="696"/>
      <c r="E53" s="696"/>
      <c r="F53" s="696"/>
      <c r="G53" s="696"/>
      <c r="H53" s="696"/>
      <c r="I53" s="696"/>
      <c r="J53" s="696"/>
      <c r="K53" s="696"/>
      <c r="L53" s="696"/>
      <c r="M53" s="696"/>
    </row>
    <row r="54" spans="1:13" x14ac:dyDescent="0.25">
      <c r="A54" s="103"/>
      <c r="B54" s="103"/>
      <c r="C54" s="103"/>
      <c r="D54" s="103"/>
      <c r="E54" s="103"/>
      <c r="F54" s="103"/>
      <c r="G54" s="103"/>
      <c r="H54" s="103"/>
      <c r="I54" s="103"/>
      <c r="J54" s="103"/>
      <c r="K54" s="103"/>
      <c r="L54" s="103"/>
      <c r="M54" s="103"/>
    </row>
    <row r="55" spans="1:13" x14ac:dyDescent="0.25">
      <c r="A55" s="103"/>
      <c r="B55" s="103"/>
      <c r="C55" s="103"/>
      <c r="D55" s="103"/>
      <c r="E55" s="103"/>
      <c r="F55" s="103"/>
      <c r="G55" s="103"/>
      <c r="H55" s="103"/>
      <c r="I55" s="117" t="s">
        <v>283</v>
      </c>
      <c r="J55" s="158" t="str">
        <f>IF(AND(OR(M38="Yes",M41="Yes"),OR(M44="Yes",M46="Yes",M49="Yes")),"Yes","No")</f>
        <v>No</v>
      </c>
      <c r="K55" s="103"/>
      <c r="L55" s="103"/>
      <c r="M55" s="103"/>
    </row>
    <row r="56" spans="1:13" x14ac:dyDescent="0.25">
      <c r="A56" s="103"/>
      <c r="B56" s="103"/>
      <c r="C56" s="103"/>
      <c r="D56" s="103"/>
      <c r="E56" s="103"/>
      <c r="F56" s="103"/>
      <c r="G56" s="103"/>
      <c r="H56" s="103"/>
      <c r="I56" s="103"/>
      <c r="J56" s="103"/>
      <c r="K56" s="103"/>
      <c r="L56" s="103"/>
      <c r="M56" s="103"/>
    </row>
    <row r="57" spans="1:13" x14ac:dyDescent="0.25">
      <c r="A57" s="103"/>
      <c r="B57" s="103"/>
      <c r="C57" s="103"/>
      <c r="D57" s="103"/>
      <c r="E57" s="103"/>
      <c r="F57" s="103"/>
      <c r="G57" s="103"/>
      <c r="H57" s="103"/>
      <c r="I57" s="103"/>
      <c r="J57" s="103"/>
      <c r="K57" s="103"/>
      <c r="L57" s="103"/>
      <c r="M57" s="103"/>
    </row>
    <row r="58" spans="1:13" x14ac:dyDescent="0.25">
      <c r="A58" s="103"/>
      <c r="B58" s="103"/>
      <c r="C58" s="103"/>
      <c r="D58" s="103"/>
      <c r="E58" s="103"/>
      <c r="F58" s="103"/>
      <c r="G58" s="103"/>
      <c r="H58" s="103"/>
      <c r="I58" s="103"/>
      <c r="J58" s="103"/>
      <c r="K58" s="103"/>
      <c r="L58" s="103"/>
      <c r="M58" s="103"/>
    </row>
    <row r="59" spans="1:13" x14ac:dyDescent="0.25">
      <c r="A59" s="103"/>
      <c r="B59" s="103"/>
      <c r="C59" s="103"/>
      <c r="D59" s="103"/>
      <c r="E59" s="103"/>
      <c r="F59" s="103"/>
      <c r="G59" s="103"/>
      <c r="H59" s="103"/>
      <c r="I59" s="103"/>
      <c r="J59" s="103"/>
      <c r="K59" s="103"/>
      <c r="L59" s="103"/>
      <c r="M59" s="103"/>
    </row>
    <row r="60" spans="1:13" x14ac:dyDescent="0.25">
      <c r="A60" s="103"/>
      <c r="B60" s="103"/>
      <c r="C60" s="103"/>
      <c r="D60" s="103"/>
      <c r="E60" s="103"/>
      <c r="F60" s="103"/>
      <c r="G60" s="103"/>
      <c r="H60" s="103"/>
      <c r="I60" s="103"/>
      <c r="J60" s="103"/>
      <c r="K60" s="103"/>
      <c r="L60" s="103"/>
      <c r="M60" s="103"/>
    </row>
    <row r="61" spans="1:13" x14ac:dyDescent="0.25">
      <c r="A61" s="103"/>
      <c r="B61" s="103"/>
      <c r="C61" s="103"/>
      <c r="D61" s="103"/>
      <c r="E61" s="103"/>
      <c r="F61" s="103"/>
      <c r="G61" s="103"/>
      <c r="H61" s="103"/>
      <c r="I61" s="103"/>
      <c r="J61" s="103"/>
      <c r="K61" s="103"/>
      <c r="L61" s="103"/>
      <c r="M61" s="103"/>
    </row>
    <row r="62" spans="1:13" x14ac:dyDescent="0.25">
      <c r="A62" s="103"/>
      <c r="B62" s="103"/>
      <c r="C62" s="103"/>
      <c r="D62" s="103"/>
      <c r="E62" s="103"/>
      <c r="F62" s="103"/>
      <c r="G62" s="103"/>
      <c r="H62" s="103"/>
      <c r="I62" s="103"/>
      <c r="J62" s="103"/>
      <c r="K62" s="103"/>
      <c r="L62" s="103"/>
      <c r="M62" s="103"/>
    </row>
    <row r="63" spans="1:13" x14ac:dyDescent="0.25">
      <c r="A63" s="103"/>
      <c r="B63" s="103"/>
      <c r="C63" s="103"/>
      <c r="D63" s="103"/>
      <c r="E63" s="103"/>
      <c r="F63" s="103"/>
      <c r="G63" s="103"/>
      <c r="H63" s="103"/>
      <c r="I63" s="103"/>
      <c r="J63" s="103"/>
      <c r="K63" s="103"/>
      <c r="L63" s="103"/>
      <c r="M63" s="103"/>
    </row>
    <row r="64" spans="1:13" x14ac:dyDescent="0.25">
      <c r="A64" s="103"/>
      <c r="B64" s="103"/>
      <c r="C64" s="103"/>
      <c r="D64" s="103"/>
      <c r="E64" s="103"/>
      <c r="F64" s="103"/>
      <c r="G64" s="103"/>
      <c r="H64" s="103"/>
      <c r="I64" s="103"/>
      <c r="J64" s="103"/>
      <c r="K64" s="103"/>
      <c r="L64" s="103"/>
      <c r="M64" s="103"/>
    </row>
    <row r="65" spans="1:13" x14ac:dyDescent="0.25">
      <c r="A65" s="103"/>
      <c r="B65" s="103"/>
      <c r="C65" s="103"/>
      <c r="D65" s="103"/>
      <c r="E65" s="103"/>
      <c r="F65" s="103"/>
      <c r="G65" s="103"/>
      <c r="H65" s="103"/>
      <c r="I65" s="103"/>
      <c r="J65" s="103"/>
      <c r="K65" s="103"/>
      <c r="L65" s="103"/>
      <c r="M65" s="103"/>
    </row>
    <row r="66" spans="1:13" x14ac:dyDescent="0.25">
      <c r="A66" s="103"/>
      <c r="B66" s="103"/>
      <c r="C66" s="103"/>
      <c r="D66" s="103"/>
      <c r="E66" s="103"/>
      <c r="F66" s="103"/>
      <c r="G66" s="103"/>
      <c r="H66" s="103"/>
      <c r="I66" s="103"/>
      <c r="J66" s="103"/>
      <c r="K66" s="103"/>
      <c r="L66" s="103"/>
      <c r="M66" s="103"/>
    </row>
    <row r="67" spans="1:13" x14ac:dyDescent="0.25">
      <c r="A67" s="103"/>
      <c r="B67" s="103"/>
      <c r="C67" s="103"/>
      <c r="D67" s="103"/>
      <c r="E67" s="103"/>
      <c r="F67" s="103"/>
      <c r="G67" s="103"/>
      <c r="H67" s="103"/>
      <c r="I67" s="103"/>
      <c r="J67" s="103"/>
      <c r="K67" s="103"/>
      <c r="L67" s="103"/>
      <c r="M67" s="103"/>
    </row>
    <row r="68" spans="1:13" x14ac:dyDescent="0.25">
      <c r="A68" s="103"/>
      <c r="B68" s="103"/>
      <c r="C68" s="103"/>
      <c r="D68" s="103"/>
      <c r="E68" s="103"/>
      <c r="F68" s="103"/>
      <c r="G68" s="103"/>
      <c r="H68" s="103"/>
      <c r="I68" s="103"/>
      <c r="J68" s="103"/>
      <c r="K68" s="103"/>
      <c r="L68" s="103"/>
      <c r="M68" s="103"/>
    </row>
    <row r="69" spans="1:13" x14ac:dyDescent="0.25">
      <c r="A69" s="103"/>
      <c r="B69" s="103"/>
      <c r="C69" s="103"/>
      <c r="D69" s="103"/>
      <c r="E69" s="103"/>
      <c r="F69" s="103"/>
      <c r="G69" s="103"/>
      <c r="H69" s="103"/>
      <c r="I69" s="103"/>
      <c r="J69" s="103"/>
      <c r="K69" s="103"/>
      <c r="L69" s="103"/>
      <c r="M69" s="103"/>
    </row>
    <row r="70" spans="1:13" x14ac:dyDescent="0.25">
      <c r="A70" s="103"/>
      <c r="B70" s="103"/>
      <c r="C70" s="103"/>
      <c r="D70" s="103"/>
      <c r="E70" s="103"/>
      <c r="F70" s="103"/>
      <c r="G70" s="103"/>
      <c r="H70" s="103"/>
      <c r="I70" s="103"/>
      <c r="J70" s="103"/>
      <c r="K70" s="103"/>
      <c r="L70" s="103"/>
      <c r="M70" s="103"/>
    </row>
    <row r="71" spans="1:13" x14ac:dyDescent="0.25">
      <c r="A71" s="103"/>
      <c r="B71" s="103"/>
      <c r="C71" s="103"/>
      <c r="D71" s="103"/>
      <c r="E71" s="103"/>
      <c r="F71" s="103"/>
      <c r="G71" s="103"/>
      <c r="H71" s="103"/>
      <c r="I71" s="103"/>
      <c r="J71" s="103"/>
      <c r="K71" s="103"/>
      <c r="L71" s="103"/>
      <c r="M71" s="103"/>
    </row>
    <row r="72" spans="1:13" x14ac:dyDescent="0.25">
      <c r="A72" s="103"/>
      <c r="B72" s="103"/>
      <c r="C72" s="103"/>
      <c r="D72" s="103"/>
      <c r="E72" s="103"/>
      <c r="F72" s="103"/>
      <c r="G72" s="103"/>
      <c r="H72" s="103"/>
      <c r="I72" s="103"/>
      <c r="J72" s="103"/>
      <c r="K72" s="103"/>
      <c r="L72" s="103"/>
      <c r="M72" s="103"/>
    </row>
    <row r="73" spans="1:13" x14ac:dyDescent="0.25">
      <c r="A73" s="103"/>
      <c r="B73" s="103"/>
      <c r="C73" s="103"/>
      <c r="D73" s="103"/>
      <c r="E73" s="103"/>
      <c r="F73" s="103"/>
      <c r="G73" s="103"/>
      <c r="H73" s="103"/>
      <c r="I73" s="103"/>
      <c r="J73" s="103"/>
      <c r="K73" s="103"/>
      <c r="L73" s="103"/>
      <c r="M73" s="103"/>
    </row>
    <row r="74" spans="1:13" x14ac:dyDescent="0.25">
      <c r="A74" s="103"/>
      <c r="B74" s="103"/>
      <c r="C74" s="103"/>
      <c r="D74" s="103"/>
      <c r="E74" s="103"/>
      <c r="F74" s="103"/>
      <c r="G74" s="103"/>
      <c r="H74" s="103"/>
      <c r="I74" s="103"/>
      <c r="J74" s="103"/>
      <c r="K74" s="103"/>
      <c r="L74" s="103"/>
      <c r="M74" s="103"/>
    </row>
    <row r="75" spans="1:13" x14ac:dyDescent="0.25">
      <c r="A75" s="103"/>
      <c r="B75" s="103"/>
      <c r="C75" s="103"/>
      <c r="D75" s="103"/>
      <c r="E75" s="103"/>
      <c r="F75" s="103"/>
      <c r="G75" s="103"/>
      <c r="H75" s="103"/>
      <c r="I75" s="103"/>
      <c r="J75" s="103"/>
      <c r="K75" s="103"/>
      <c r="L75" s="103"/>
      <c r="M75" s="103"/>
    </row>
    <row r="76" spans="1:13" x14ac:dyDescent="0.25">
      <c r="A76" s="103"/>
      <c r="B76" s="103"/>
      <c r="C76" s="103"/>
      <c r="D76" s="103"/>
      <c r="E76" s="103"/>
      <c r="F76" s="103"/>
      <c r="G76" s="103"/>
      <c r="H76" s="103"/>
      <c r="I76" s="103"/>
      <c r="J76" s="103"/>
      <c r="K76" s="103"/>
      <c r="L76" s="103"/>
      <c r="M76" s="103"/>
    </row>
    <row r="77" spans="1:13" x14ac:dyDescent="0.25">
      <c r="A77" s="103"/>
      <c r="B77" s="103"/>
      <c r="C77" s="103"/>
      <c r="D77" s="103"/>
      <c r="E77" s="103"/>
      <c r="F77" s="103"/>
      <c r="G77" s="103"/>
      <c r="H77" s="103"/>
      <c r="I77" s="103"/>
      <c r="J77" s="103"/>
      <c r="K77" s="103"/>
      <c r="L77" s="103"/>
      <c r="M77" s="103"/>
    </row>
    <row r="78" spans="1:13" x14ac:dyDescent="0.25">
      <c r="A78" s="103"/>
      <c r="B78" s="103"/>
      <c r="C78" s="103"/>
      <c r="D78" s="103"/>
      <c r="E78" s="103"/>
      <c r="F78" s="103"/>
      <c r="G78" s="103"/>
      <c r="H78" s="103"/>
      <c r="I78" s="103"/>
      <c r="J78" s="103"/>
      <c r="K78" s="103"/>
      <c r="L78" s="103"/>
      <c r="M78" s="103"/>
    </row>
    <row r="79" spans="1:13" x14ac:dyDescent="0.25">
      <c r="A79" s="103"/>
      <c r="B79" s="103"/>
      <c r="C79" s="103"/>
      <c r="D79" s="103"/>
      <c r="E79" s="103"/>
      <c r="F79" s="103"/>
      <c r="G79" s="103"/>
      <c r="H79" s="103"/>
      <c r="I79" s="103"/>
      <c r="J79" s="103"/>
      <c r="K79" s="103"/>
      <c r="L79" s="103"/>
      <c r="M79" s="103"/>
    </row>
    <row r="80" spans="1:13" x14ac:dyDescent="0.25">
      <c r="A80" s="103"/>
      <c r="B80" s="103"/>
      <c r="C80" s="103"/>
      <c r="D80" s="103"/>
      <c r="E80" s="103"/>
      <c r="F80" s="103"/>
      <c r="G80" s="103"/>
      <c r="H80" s="103"/>
      <c r="I80" s="103"/>
      <c r="J80" s="103"/>
      <c r="K80" s="103"/>
      <c r="L80" s="103"/>
      <c r="M80" s="103"/>
    </row>
    <row r="81" spans="1:13" x14ac:dyDescent="0.25">
      <c r="A81" s="103"/>
      <c r="B81" s="103"/>
      <c r="C81" s="103"/>
      <c r="D81" s="103"/>
      <c r="E81" s="103"/>
      <c r="F81" s="103"/>
      <c r="G81" s="103"/>
      <c r="H81" s="103"/>
      <c r="I81" s="103"/>
      <c r="J81" s="103"/>
      <c r="K81" s="103"/>
      <c r="L81" s="103"/>
      <c r="M81" s="103"/>
    </row>
    <row r="82" spans="1:13" x14ac:dyDescent="0.25">
      <c r="A82" s="103"/>
      <c r="B82" s="103"/>
      <c r="C82" s="103"/>
      <c r="D82" s="103"/>
      <c r="E82" s="103"/>
      <c r="F82" s="103"/>
      <c r="G82" s="103"/>
      <c r="H82" s="103"/>
      <c r="I82" s="103"/>
      <c r="J82" s="103"/>
      <c r="K82" s="103"/>
      <c r="L82" s="103"/>
      <c r="M82" s="103"/>
    </row>
    <row r="83" spans="1:13" x14ac:dyDescent="0.25">
      <c r="A83" s="103"/>
      <c r="B83" s="103"/>
      <c r="C83" s="103"/>
      <c r="D83" s="103"/>
      <c r="E83" s="103"/>
      <c r="F83" s="103"/>
      <c r="G83" s="103"/>
      <c r="H83" s="103"/>
      <c r="I83" s="103"/>
      <c r="J83" s="103"/>
      <c r="K83" s="103"/>
      <c r="L83" s="103"/>
      <c r="M83" s="103"/>
    </row>
    <row r="84" spans="1:13" x14ac:dyDescent="0.25">
      <c r="A84" s="103"/>
      <c r="B84" s="103"/>
      <c r="C84" s="103"/>
      <c r="D84" s="103"/>
      <c r="E84" s="103"/>
      <c r="F84" s="103"/>
      <c r="G84" s="103"/>
      <c r="H84" s="103"/>
      <c r="I84" s="103"/>
      <c r="J84" s="103"/>
      <c r="K84" s="103"/>
      <c r="L84" s="103"/>
      <c r="M84" s="103"/>
    </row>
    <row r="85" spans="1:13" x14ac:dyDescent="0.25">
      <c r="A85" s="103"/>
      <c r="B85" s="103"/>
      <c r="C85" s="103"/>
      <c r="D85" s="103"/>
      <c r="E85" s="103"/>
      <c r="F85" s="103"/>
      <c r="G85" s="103"/>
      <c r="H85" s="103"/>
      <c r="I85" s="103"/>
      <c r="J85" s="103"/>
      <c r="K85" s="103"/>
      <c r="L85" s="103"/>
      <c r="M85" s="103"/>
    </row>
    <row r="86" spans="1:13" x14ac:dyDescent="0.25">
      <c r="A86" s="103"/>
      <c r="B86" s="103"/>
      <c r="C86" s="103"/>
      <c r="D86" s="103"/>
      <c r="E86" s="103"/>
      <c r="F86" s="103"/>
      <c r="G86" s="103"/>
      <c r="H86" s="103"/>
      <c r="I86" s="103"/>
      <c r="J86" s="103"/>
      <c r="K86" s="103"/>
      <c r="L86" s="103"/>
      <c r="M86" s="103"/>
    </row>
    <row r="87" spans="1:13" x14ac:dyDescent="0.25">
      <c r="A87" s="103"/>
      <c r="B87" s="103"/>
      <c r="C87" s="103"/>
      <c r="D87" s="103"/>
      <c r="E87" s="103"/>
      <c r="F87" s="103"/>
      <c r="G87" s="103"/>
      <c r="H87" s="103"/>
      <c r="I87" s="103"/>
      <c r="J87" s="103"/>
      <c r="K87" s="103"/>
      <c r="L87" s="103"/>
      <c r="M87" s="103"/>
    </row>
    <row r="88" spans="1:13" x14ac:dyDescent="0.25">
      <c r="A88" s="103"/>
      <c r="B88" s="103"/>
      <c r="C88" s="103"/>
      <c r="D88" s="103"/>
      <c r="E88" s="103"/>
      <c r="F88" s="103"/>
      <c r="G88" s="103"/>
      <c r="H88" s="103"/>
      <c r="I88" s="103"/>
      <c r="J88" s="103"/>
      <c r="K88" s="103"/>
      <c r="L88" s="103"/>
      <c r="M88" s="103"/>
    </row>
    <row r="89" spans="1:13" x14ac:dyDescent="0.25">
      <c r="A89" s="103"/>
      <c r="B89" s="103"/>
      <c r="C89" s="103"/>
      <c r="D89" s="103"/>
      <c r="E89" s="103"/>
      <c r="F89" s="103"/>
      <c r="G89" s="103"/>
      <c r="H89" s="103"/>
      <c r="I89" s="103"/>
      <c r="J89" s="103"/>
      <c r="K89" s="103"/>
      <c r="L89" s="103"/>
      <c r="M89" s="103"/>
    </row>
    <row r="90" spans="1:13" x14ac:dyDescent="0.25">
      <c r="A90" s="103"/>
      <c r="B90" s="103"/>
      <c r="C90" s="103"/>
      <c r="D90" s="103"/>
      <c r="E90" s="103"/>
      <c r="F90" s="103"/>
      <c r="G90" s="103"/>
      <c r="H90" s="103"/>
      <c r="I90" s="103"/>
      <c r="J90" s="103"/>
      <c r="K90" s="103"/>
      <c r="L90" s="103"/>
      <c r="M90" s="103"/>
    </row>
    <row r="91" spans="1:13" x14ac:dyDescent="0.25">
      <c r="A91" s="103"/>
      <c r="B91" s="103"/>
      <c r="C91" s="103"/>
      <c r="D91" s="103"/>
      <c r="E91" s="103"/>
      <c r="F91" s="103"/>
      <c r="G91" s="103"/>
      <c r="H91" s="103"/>
      <c r="I91" s="103"/>
      <c r="J91" s="103"/>
      <c r="K91" s="103"/>
      <c r="L91" s="103"/>
      <c r="M91" s="103"/>
    </row>
    <row r="92" spans="1:13" x14ac:dyDescent="0.25">
      <c r="A92" s="103"/>
      <c r="B92" s="103"/>
      <c r="C92" s="103"/>
      <c r="D92" s="103"/>
      <c r="E92" s="103"/>
      <c r="F92" s="103"/>
      <c r="G92" s="103"/>
      <c r="H92" s="103"/>
      <c r="I92" s="103"/>
      <c r="J92" s="103"/>
      <c r="K92" s="103"/>
      <c r="L92" s="103"/>
      <c r="M92" s="103"/>
    </row>
  </sheetData>
  <sheetProtection algorithmName="SHA-512" hashValue="yBP1qw1SSy7sJQ6Th41zD2pJhOWkTYRXsC6NeofXQv4QPTfPuAwMe3PZP17nuALsrmzEZ4l8YFqTDTE+mmeLFg==" saltValue="Xw04WgNUvZWpXFDXUj6c+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B171" sqref="B171"/>
    </sheetView>
  </sheetViews>
  <sheetFormatPr defaultColWidth="9.21875" defaultRowHeight="13.2" x14ac:dyDescent="0.25"/>
  <cols>
    <col min="1" max="2" width="9.21875" style="21" hidden="1" customWidth="1"/>
    <col min="3" max="8" width="9.21875" style="21"/>
    <col min="9" max="9" width="15.21875" style="21" bestFit="1" customWidth="1"/>
    <col min="10" max="10" width="9.77734375" style="21" customWidth="1"/>
    <col min="11" max="11" width="9.21875" style="21"/>
    <col min="12" max="12" width="0" style="21" hidden="1" customWidth="1"/>
    <col min="13" max="16384" width="9.21875" style="21"/>
  </cols>
  <sheetData>
    <row r="1" spans="1:32" ht="12.75" customHeight="1" x14ac:dyDescent="0.25">
      <c r="A1" s="557" t="s">
        <v>237</v>
      </c>
      <c r="B1" s="557"/>
      <c r="C1" s="557"/>
      <c r="D1" s="557"/>
      <c r="E1" s="557"/>
      <c r="F1" s="557"/>
      <c r="G1" s="557"/>
      <c r="H1" s="557"/>
      <c r="I1" s="557"/>
      <c r="J1" s="557"/>
      <c r="K1" s="557"/>
      <c r="L1" s="557"/>
      <c r="M1" s="124"/>
      <c r="N1" s="103"/>
      <c r="O1" s="103"/>
      <c r="P1" s="103"/>
      <c r="Q1" s="103"/>
      <c r="R1" s="103"/>
      <c r="S1" s="103"/>
      <c r="T1" s="103"/>
      <c r="U1" s="103"/>
      <c r="V1" s="103"/>
      <c r="W1" s="103"/>
      <c r="X1" s="103"/>
      <c r="Y1" s="103"/>
      <c r="Z1" s="103"/>
      <c r="AA1" s="103"/>
      <c r="AB1" s="103"/>
      <c r="AC1" s="103"/>
      <c r="AD1" s="103"/>
      <c r="AE1" s="103"/>
      <c r="AF1" s="103"/>
    </row>
    <row r="2" spans="1:32" ht="12.75" customHeight="1" x14ac:dyDescent="0.25">
      <c r="A2" s="557"/>
      <c r="B2" s="557"/>
      <c r="C2" s="557"/>
      <c r="D2" s="557"/>
      <c r="E2" s="557"/>
      <c r="F2" s="557"/>
      <c r="G2" s="557"/>
      <c r="H2" s="557"/>
      <c r="I2" s="557"/>
      <c r="J2" s="557"/>
      <c r="K2" s="557"/>
      <c r="L2" s="557"/>
      <c r="M2" s="124"/>
      <c r="N2" s="103"/>
      <c r="O2" s="103"/>
      <c r="P2" s="103"/>
      <c r="Q2" s="103"/>
      <c r="R2" s="103"/>
      <c r="S2" s="103"/>
      <c r="T2" s="103"/>
      <c r="U2" s="103"/>
      <c r="V2" s="103"/>
      <c r="W2" s="103"/>
      <c r="X2" s="103"/>
      <c r="Y2" s="103"/>
      <c r="Z2" s="103"/>
      <c r="AA2" s="103"/>
      <c r="AB2" s="103"/>
      <c r="AC2" s="103"/>
      <c r="AD2" s="103"/>
      <c r="AE2" s="103"/>
      <c r="AF2" s="103"/>
    </row>
    <row r="3" spans="1:32" x14ac:dyDescent="0.2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row>
    <row r="4" spans="1:32" x14ac:dyDescent="0.25">
      <c r="A4" s="688" t="s">
        <v>418</v>
      </c>
      <c r="B4" s="688"/>
      <c r="C4" s="688"/>
      <c r="D4" s="688"/>
      <c r="E4" s="688"/>
      <c r="F4" s="688"/>
      <c r="G4" s="688"/>
      <c r="H4" s="688"/>
      <c r="I4" s="688"/>
      <c r="J4" s="688"/>
      <c r="K4" s="103"/>
      <c r="L4" s="103"/>
      <c r="M4" s="103"/>
      <c r="N4" s="103"/>
      <c r="O4" s="103"/>
      <c r="P4" s="103"/>
      <c r="Q4" s="103"/>
      <c r="R4" s="103"/>
      <c r="S4" s="103"/>
      <c r="T4" s="103"/>
      <c r="U4" s="103"/>
      <c r="V4" s="103"/>
      <c r="W4" s="103"/>
      <c r="X4" s="103"/>
      <c r="Y4" s="103"/>
      <c r="Z4" s="103"/>
      <c r="AA4" s="103"/>
      <c r="AB4" s="103"/>
      <c r="AC4" s="103"/>
      <c r="AD4" s="103"/>
      <c r="AE4" s="103"/>
      <c r="AF4" s="103"/>
    </row>
    <row r="5" spans="1:32" x14ac:dyDescent="0.25">
      <c r="A5" s="688"/>
      <c r="B5" s="688"/>
      <c r="C5" s="688"/>
      <c r="D5" s="688"/>
      <c r="E5" s="688"/>
      <c r="F5" s="688"/>
      <c r="G5" s="688"/>
      <c r="H5" s="688"/>
      <c r="I5" s="688"/>
      <c r="J5" s="688"/>
      <c r="K5" s="103"/>
      <c r="L5" s="103"/>
      <c r="M5" s="103"/>
      <c r="N5" s="103"/>
      <c r="O5" s="103"/>
      <c r="P5" s="103"/>
      <c r="Q5" s="103"/>
      <c r="R5" s="103"/>
      <c r="S5" s="103"/>
      <c r="T5" s="103"/>
      <c r="U5" s="103"/>
      <c r="V5" s="103"/>
      <c r="W5" s="103"/>
      <c r="X5" s="103"/>
      <c r="Y5" s="103"/>
      <c r="Z5" s="103"/>
      <c r="AA5" s="103"/>
      <c r="AB5" s="103"/>
      <c r="AC5" s="103"/>
      <c r="AD5" s="103"/>
      <c r="AE5" s="103"/>
      <c r="AF5" s="103"/>
    </row>
    <row r="6" spans="1:32" x14ac:dyDescent="0.25">
      <c r="A6" s="688"/>
      <c r="B6" s="688"/>
      <c r="C6" s="688"/>
      <c r="D6" s="688"/>
      <c r="E6" s="688"/>
      <c r="F6" s="688"/>
      <c r="G6" s="688"/>
      <c r="H6" s="688"/>
      <c r="I6" s="688"/>
      <c r="J6" s="688"/>
      <c r="K6" s="290"/>
      <c r="L6" s="103"/>
      <c r="M6" s="103"/>
      <c r="N6" s="103"/>
      <c r="O6" s="103"/>
      <c r="P6" s="103"/>
      <c r="Q6" s="103"/>
      <c r="R6" s="103"/>
      <c r="S6" s="103"/>
      <c r="T6" s="103"/>
      <c r="U6" s="103"/>
      <c r="V6" s="103"/>
      <c r="W6" s="103"/>
      <c r="X6" s="103"/>
      <c r="Y6" s="103"/>
      <c r="Z6" s="103"/>
      <c r="AA6" s="103"/>
      <c r="AB6" s="103"/>
      <c r="AC6" s="103"/>
      <c r="AD6" s="103"/>
      <c r="AE6" s="103"/>
      <c r="AF6" s="103"/>
    </row>
    <row r="7" spans="1:32"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26"/>
      <c r="AA7" s="103"/>
      <c r="AB7" s="103"/>
      <c r="AC7" s="103"/>
      <c r="AD7" s="103"/>
      <c r="AE7" s="103"/>
      <c r="AF7" s="103"/>
    </row>
    <row r="8" spans="1:32" ht="12.75" customHeight="1" x14ac:dyDescent="0.25">
      <c r="C8" s="688" t="s">
        <v>693</v>
      </c>
      <c r="D8" s="688"/>
      <c r="E8" s="688"/>
      <c r="F8" s="688"/>
      <c r="G8" s="688"/>
      <c r="H8" s="688"/>
      <c r="I8" s="688"/>
      <c r="J8" s="688"/>
      <c r="K8" s="141"/>
      <c r="L8" s="103"/>
      <c r="M8" s="103"/>
      <c r="N8" s="103"/>
      <c r="O8" s="103"/>
      <c r="P8" s="103"/>
      <c r="Q8" s="103"/>
      <c r="R8" s="103"/>
      <c r="S8" s="103"/>
      <c r="T8" s="103"/>
      <c r="U8" s="103"/>
      <c r="V8" s="103"/>
      <c r="W8" s="103"/>
      <c r="X8" s="103"/>
      <c r="Y8" s="103"/>
      <c r="Z8" s="103"/>
      <c r="AA8" s="103"/>
      <c r="AB8" s="103"/>
      <c r="AC8" s="103"/>
      <c r="AD8" s="103"/>
      <c r="AE8" s="103"/>
      <c r="AF8" s="103"/>
    </row>
    <row r="9" spans="1:32" ht="12.75" customHeight="1" x14ac:dyDescent="0.25">
      <c r="C9" s="688"/>
      <c r="D9" s="688"/>
      <c r="E9" s="688"/>
      <c r="F9" s="688"/>
      <c r="G9" s="688"/>
      <c r="H9" s="688"/>
      <c r="I9" s="688"/>
      <c r="J9" s="688"/>
      <c r="K9" s="141"/>
      <c r="L9" s="103"/>
      <c r="M9" s="103"/>
      <c r="N9" s="103"/>
      <c r="O9" s="103"/>
      <c r="P9" s="103"/>
      <c r="Q9" s="103"/>
      <c r="R9" s="103"/>
      <c r="S9" s="103"/>
      <c r="T9" s="103"/>
      <c r="U9" s="103"/>
      <c r="V9" s="103"/>
      <c r="W9" s="103"/>
      <c r="X9" s="103"/>
      <c r="Y9" s="103"/>
      <c r="Z9" s="103"/>
      <c r="AA9" s="103"/>
      <c r="AB9" s="103"/>
      <c r="AC9" s="103"/>
      <c r="AD9" s="103"/>
      <c r="AE9" s="103"/>
      <c r="AF9" s="103"/>
    </row>
    <row r="10" spans="1:32" x14ac:dyDescent="0.25">
      <c r="C10" s="688"/>
      <c r="D10" s="688"/>
      <c r="E10" s="688"/>
      <c r="F10" s="688"/>
      <c r="G10" s="688"/>
      <c r="H10" s="688"/>
      <c r="I10" s="688"/>
      <c r="J10" s="688"/>
      <c r="K10" s="141"/>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x14ac:dyDescent="0.25">
      <c r="C11" s="688"/>
      <c r="D11" s="688"/>
      <c r="E11" s="688"/>
      <c r="F11" s="688"/>
      <c r="G11" s="688"/>
      <c r="H11" s="688"/>
      <c r="I11" s="688"/>
      <c r="J11" s="688"/>
      <c r="K11" s="141"/>
      <c r="L11" s="103"/>
      <c r="M11" s="103"/>
      <c r="N11" s="103"/>
      <c r="O11" s="103"/>
      <c r="P11" s="103"/>
      <c r="Q11" s="103"/>
      <c r="R11" s="103"/>
      <c r="S11" s="103"/>
      <c r="T11" s="103"/>
      <c r="U11" s="103"/>
      <c r="V11" s="103"/>
      <c r="W11" s="103"/>
      <c r="X11" s="103"/>
      <c r="Y11" s="103"/>
      <c r="Z11" s="103"/>
      <c r="AA11" s="103"/>
      <c r="AB11" s="103"/>
      <c r="AC11" s="103"/>
      <c r="AD11" s="103"/>
      <c r="AE11" s="103"/>
      <c r="AF11" s="103"/>
    </row>
    <row r="12" spans="1:32" x14ac:dyDescent="0.25">
      <c r="A12" s="103"/>
      <c r="B12" s="103"/>
      <c r="C12" s="688"/>
      <c r="D12" s="688"/>
      <c r="E12" s="688"/>
      <c r="F12" s="688"/>
      <c r="G12" s="688"/>
      <c r="H12" s="688"/>
      <c r="I12" s="688"/>
      <c r="J12" s="688"/>
      <c r="K12" s="265"/>
      <c r="L12" s="103"/>
      <c r="M12" s="103"/>
      <c r="N12" s="103"/>
      <c r="O12" s="103"/>
      <c r="P12" s="103"/>
      <c r="Q12" s="103"/>
      <c r="R12" s="103"/>
      <c r="S12" s="103"/>
      <c r="T12" s="103"/>
      <c r="U12" s="103"/>
      <c r="V12" s="103"/>
      <c r="W12" s="103"/>
      <c r="X12" s="103"/>
      <c r="Y12" s="103"/>
      <c r="Z12" s="103"/>
      <c r="AA12" s="103"/>
      <c r="AB12" s="103"/>
      <c r="AC12" s="103"/>
      <c r="AD12" s="103"/>
      <c r="AE12" s="103"/>
      <c r="AF12" s="103"/>
    </row>
    <row r="13" spans="1:32" ht="12.75" customHeight="1" x14ac:dyDescent="0.25">
      <c r="A13" s="103"/>
      <c r="B13" s="103"/>
      <c r="C13" s="141"/>
      <c r="D13" s="141"/>
      <c r="E13" s="141"/>
      <c r="F13" s="141"/>
      <c r="G13" s="141"/>
      <c r="H13" s="141"/>
      <c r="I13" s="141"/>
      <c r="J13" s="141"/>
      <c r="K13" s="103"/>
      <c r="L13" s="103"/>
      <c r="M13" s="103"/>
      <c r="N13" s="103"/>
      <c r="O13" s="103"/>
      <c r="P13" s="103"/>
      <c r="Q13" s="103"/>
      <c r="R13" s="103"/>
      <c r="S13" s="103"/>
      <c r="T13" s="103"/>
      <c r="U13" s="103"/>
      <c r="V13" s="103"/>
      <c r="W13" s="103"/>
      <c r="X13" s="103"/>
      <c r="Y13" s="103"/>
      <c r="Z13" s="103"/>
      <c r="AA13" s="103"/>
      <c r="AB13" s="103"/>
      <c r="AC13" s="103"/>
      <c r="AD13" s="103"/>
      <c r="AE13" s="103"/>
      <c r="AF13" s="141"/>
    </row>
    <row r="14" spans="1:32" x14ac:dyDescent="0.25">
      <c r="A14" s="103"/>
      <c r="B14" s="103"/>
      <c r="C14" s="103"/>
      <c r="D14" s="103"/>
      <c r="E14" s="103"/>
      <c r="F14" s="103"/>
      <c r="G14" s="103"/>
      <c r="H14" s="103"/>
      <c r="I14" s="117" t="s">
        <v>238</v>
      </c>
      <c r="J14" s="209">
        <f>'Input &amp; Findings'!G47</f>
        <v>0</v>
      </c>
      <c r="K14" s="103"/>
      <c r="L14" s="103"/>
      <c r="M14" s="103"/>
      <c r="N14" s="103"/>
      <c r="O14" s="103"/>
      <c r="P14" s="103"/>
      <c r="Q14" s="103"/>
      <c r="R14" s="103"/>
      <c r="S14" s="103"/>
      <c r="T14" s="103"/>
      <c r="U14" s="103"/>
      <c r="V14" s="141"/>
      <c r="W14" s="103"/>
      <c r="X14" s="103"/>
      <c r="Y14" s="103"/>
      <c r="Z14" s="103"/>
      <c r="AA14" s="103"/>
      <c r="AB14" s="103"/>
      <c r="AC14" s="103"/>
      <c r="AD14" s="103"/>
      <c r="AE14" s="103"/>
      <c r="AF14" s="141"/>
    </row>
    <row r="15" spans="1:32"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41"/>
      <c r="W15" s="103"/>
      <c r="X15" s="103"/>
      <c r="Y15" s="103"/>
      <c r="Z15" s="103"/>
      <c r="AA15" s="103"/>
      <c r="AB15" s="103"/>
      <c r="AC15" s="103"/>
      <c r="AD15" s="103"/>
      <c r="AE15" s="103"/>
      <c r="AF15" s="141"/>
    </row>
    <row r="16" spans="1:32" x14ac:dyDescent="0.25">
      <c r="A16" s="103"/>
      <c r="B16" s="103"/>
      <c r="C16" s="103"/>
      <c r="D16" s="103"/>
      <c r="E16" s="103"/>
      <c r="F16" s="103"/>
      <c r="G16" s="103"/>
      <c r="H16" s="103"/>
      <c r="I16" s="117" t="s">
        <v>664</v>
      </c>
      <c r="J16" s="271"/>
      <c r="K16" s="112" t="s">
        <v>239</v>
      </c>
      <c r="L16" s="103"/>
      <c r="M16" s="103"/>
      <c r="N16" s="103"/>
      <c r="O16" s="103"/>
      <c r="P16" s="103"/>
      <c r="Q16" s="103"/>
      <c r="R16" s="103"/>
      <c r="S16" s="103"/>
      <c r="T16" s="103"/>
      <c r="U16" s="103"/>
      <c r="V16" s="141"/>
      <c r="W16" s="103"/>
      <c r="X16" s="103"/>
      <c r="Y16" s="103"/>
      <c r="Z16" s="103"/>
      <c r="AA16" s="103"/>
      <c r="AB16" s="103"/>
      <c r="AC16" s="103"/>
      <c r="AD16" s="103"/>
      <c r="AE16" s="103"/>
      <c r="AF16" s="141"/>
    </row>
    <row r="17" spans="1:32" x14ac:dyDescent="0.25">
      <c r="A17" s="103"/>
      <c r="B17" s="103"/>
      <c r="C17" s="103"/>
      <c r="D17" s="103"/>
      <c r="E17" s="103"/>
      <c r="F17" s="103"/>
      <c r="G17" s="103"/>
      <c r="H17" s="103"/>
      <c r="I17" s="236"/>
      <c r="J17" s="237"/>
      <c r="K17" s="112"/>
      <c r="L17" s="103"/>
      <c r="M17" s="103"/>
      <c r="N17" s="103"/>
      <c r="O17" s="103"/>
      <c r="P17" s="103"/>
      <c r="Q17" s="103"/>
      <c r="R17" s="103"/>
      <c r="S17" s="103"/>
      <c r="T17" s="103"/>
      <c r="U17" s="103"/>
      <c r="V17" s="193"/>
      <c r="W17" s="28"/>
      <c r="X17" s="28"/>
      <c r="Y17" s="28"/>
      <c r="Z17" s="28"/>
      <c r="AA17" s="28"/>
      <c r="AB17" s="103"/>
      <c r="AC17" s="103"/>
      <c r="AD17" s="103"/>
      <c r="AE17" s="103"/>
      <c r="AF17" s="141"/>
    </row>
    <row r="18" spans="1:32" x14ac:dyDescent="0.25">
      <c r="A18" s="701" t="s">
        <v>240</v>
      </c>
      <c r="B18" s="701"/>
      <c r="C18" s="701"/>
      <c r="D18" s="701"/>
      <c r="E18" s="701"/>
      <c r="F18" s="701"/>
      <c r="G18" s="701"/>
      <c r="H18" s="701"/>
      <c r="I18" s="701"/>
      <c r="J18" s="701"/>
      <c r="K18" s="701"/>
      <c r="L18" s="701"/>
      <c r="M18" s="126"/>
      <c r="N18" s="103"/>
      <c r="O18" s="103"/>
      <c r="P18" s="103"/>
      <c r="Q18" s="103"/>
      <c r="R18" s="103"/>
      <c r="S18" s="103"/>
      <c r="T18" s="103"/>
      <c r="U18" s="103"/>
      <c r="V18" s="28"/>
      <c r="W18" s="28"/>
      <c r="X18" s="28"/>
      <c r="Y18" s="28"/>
      <c r="Z18" s="28"/>
      <c r="AA18" s="28"/>
      <c r="AB18" s="103"/>
      <c r="AC18" s="103"/>
      <c r="AD18" s="103"/>
      <c r="AE18" s="103"/>
      <c r="AF18" s="103"/>
    </row>
    <row r="19" spans="1:32" x14ac:dyDescent="0.25">
      <c r="A19" s="704" t="s">
        <v>435</v>
      </c>
      <c r="B19" s="704"/>
      <c r="C19" s="704"/>
      <c r="D19" s="704"/>
      <c r="E19" s="704"/>
      <c r="F19" s="704"/>
      <c r="G19" s="704"/>
      <c r="H19" s="704"/>
      <c r="I19" s="704"/>
      <c r="J19" s="704"/>
      <c r="K19" s="704"/>
      <c r="L19" s="704"/>
      <c r="M19" s="126"/>
      <c r="N19" s="103"/>
      <c r="O19" s="103"/>
      <c r="P19" s="103"/>
      <c r="Q19" s="103"/>
      <c r="R19" s="103"/>
      <c r="S19" s="103"/>
      <c r="T19" s="103"/>
      <c r="U19" s="103"/>
      <c r="V19" s="28"/>
      <c r="W19" s="28"/>
      <c r="X19" s="28"/>
      <c r="Y19" s="28"/>
      <c r="Z19" s="28"/>
      <c r="AA19" s="28"/>
      <c r="AB19" s="103"/>
      <c r="AC19" s="103"/>
      <c r="AD19" s="103"/>
      <c r="AE19" s="103"/>
      <c r="AF19" s="103"/>
    </row>
    <row r="20" spans="1:32" x14ac:dyDescent="0.25">
      <c r="A20" s="113"/>
      <c r="B20" s="114"/>
      <c r="C20" s="114"/>
      <c r="D20" s="114"/>
      <c r="E20" s="114"/>
      <c r="F20" s="114"/>
      <c r="G20" s="114"/>
      <c r="H20" s="114"/>
      <c r="I20" s="114"/>
      <c r="J20" s="114"/>
      <c r="K20" s="114"/>
      <c r="L20" s="114"/>
      <c r="M20" s="114"/>
      <c r="N20" s="103"/>
      <c r="O20" s="103"/>
      <c r="P20" s="103"/>
      <c r="Q20" s="103"/>
      <c r="R20" s="103"/>
      <c r="S20" s="103"/>
      <c r="T20" s="103"/>
      <c r="U20" s="103"/>
      <c r="V20" s="28"/>
      <c r="W20" s="28"/>
      <c r="X20" s="28"/>
      <c r="Y20" s="28"/>
      <c r="Z20" s="28"/>
      <c r="AA20" s="28"/>
      <c r="AB20" s="103"/>
      <c r="AC20" s="103"/>
      <c r="AD20" s="103"/>
      <c r="AE20" s="103"/>
      <c r="AF20" s="103"/>
    </row>
    <row r="21" spans="1:32" x14ac:dyDescent="0.25">
      <c r="A21" s="103"/>
      <c r="B21" s="103"/>
      <c r="C21" s="103"/>
      <c r="D21" s="103"/>
      <c r="E21" s="103"/>
      <c r="F21" s="103"/>
      <c r="G21" s="103"/>
      <c r="H21" s="103"/>
      <c r="I21" s="117" t="s">
        <v>266</v>
      </c>
      <c r="J21" s="279"/>
      <c r="K21" s="118" t="s">
        <v>270</v>
      </c>
      <c r="L21" s="103"/>
      <c r="M21" s="103"/>
      <c r="N21" s="103"/>
      <c r="O21" s="103"/>
      <c r="P21" s="103"/>
      <c r="Q21" s="103"/>
      <c r="R21" s="103"/>
      <c r="S21" s="103"/>
      <c r="T21" s="103"/>
      <c r="U21" s="103"/>
      <c r="V21" s="28"/>
      <c r="W21" s="28"/>
      <c r="X21" s="28"/>
      <c r="Y21" s="28"/>
      <c r="Z21" s="28"/>
      <c r="AA21" s="28"/>
      <c r="AB21" s="103"/>
      <c r="AC21" s="103"/>
      <c r="AD21" s="103"/>
      <c r="AE21" s="103"/>
      <c r="AF21" s="103"/>
    </row>
    <row r="22" spans="1:32" x14ac:dyDescent="0.25">
      <c r="A22" s="103"/>
      <c r="B22" s="103"/>
      <c r="C22" s="103"/>
      <c r="D22" s="103"/>
      <c r="E22" s="103"/>
      <c r="F22" s="103"/>
      <c r="G22" s="103"/>
      <c r="H22" s="103"/>
      <c r="I22" s="117" t="s">
        <v>267</v>
      </c>
      <c r="J22" s="279"/>
      <c r="K22" s="118" t="s">
        <v>270</v>
      </c>
      <c r="L22" s="103"/>
      <c r="M22" s="103"/>
      <c r="N22" s="103"/>
      <c r="O22" s="103"/>
      <c r="P22" s="103"/>
      <c r="Q22" s="103"/>
      <c r="R22" s="103"/>
      <c r="S22" s="103"/>
      <c r="T22" s="103"/>
      <c r="U22" s="103"/>
      <c r="V22" s="28"/>
      <c r="W22" s="28"/>
      <c r="X22" s="28"/>
      <c r="Y22" s="28"/>
      <c r="Z22" s="28"/>
      <c r="AA22" s="28"/>
      <c r="AB22" s="103"/>
      <c r="AC22" s="103"/>
      <c r="AD22" s="103"/>
      <c r="AE22" s="103"/>
      <c r="AF22" s="103"/>
    </row>
    <row r="23" spans="1:32" x14ac:dyDescent="0.25">
      <c r="A23" s="103"/>
      <c r="B23" s="103"/>
      <c r="C23" s="103"/>
      <c r="D23" s="103"/>
      <c r="E23" s="103"/>
      <c r="F23" s="103"/>
      <c r="G23" s="103"/>
      <c r="H23" s="112"/>
      <c r="I23" s="103"/>
      <c r="J23" s="103"/>
      <c r="K23" s="103"/>
      <c r="L23" s="103"/>
      <c r="M23" s="103"/>
      <c r="N23" s="103"/>
      <c r="O23" s="103"/>
      <c r="P23" s="103"/>
      <c r="Q23" s="103"/>
      <c r="R23" s="103"/>
      <c r="S23" s="103"/>
      <c r="T23" s="103"/>
      <c r="U23" s="103"/>
      <c r="V23" s="28"/>
      <c r="W23" s="28"/>
      <c r="X23" s="28"/>
      <c r="Y23" s="28"/>
      <c r="Z23" s="28"/>
      <c r="AA23" s="28"/>
      <c r="AB23" s="103"/>
      <c r="AC23" s="103"/>
      <c r="AD23" s="103"/>
      <c r="AE23" s="103"/>
      <c r="AF23" s="103"/>
    </row>
    <row r="24" spans="1:32" x14ac:dyDescent="0.25">
      <c r="A24" s="103"/>
      <c r="B24" s="103"/>
      <c r="C24" s="103"/>
      <c r="D24" s="103"/>
      <c r="E24" s="103"/>
      <c r="F24" s="103"/>
      <c r="G24" s="103"/>
      <c r="H24" s="103"/>
      <c r="I24" s="117" t="s">
        <v>268</v>
      </c>
      <c r="J24" s="265"/>
      <c r="K24" s="103"/>
      <c r="L24" s="103"/>
      <c r="M24" s="103"/>
      <c r="N24" s="103"/>
      <c r="O24" s="103"/>
      <c r="P24" s="103"/>
      <c r="Q24" s="103"/>
      <c r="R24" s="103"/>
      <c r="S24" s="103"/>
      <c r="T24" s="103"/>
      <c r="U24" s="103"/>
      <c r="V24" s="28"/>
      <c r="W24" s="28"/>
      <c r="X24" s="28"/>
      <c r="Y24" s="28"/>
      <c r="Z24" s="28"/>
      <c r="AA24" s="28"/>
      <c r="AB24" s="103"/>
      <c r="AC24" s="103"/>
      <c r="AD24" s="103"/>
      <c r="AE24" s="103"/>
      <c r="AF24" s="103"/>
    </row>
    <row r="25" spans="1:32" x14ac:dyDescent="0.25">
      <c r="A25" s="103"/>
      <c r="B25" s="103"/>
      <c r="C25" s="103"/>
      <c r="D25" s="103"/>
      <c r="E25" s="103"/>
      <c r="F25" s="103"/>
      <c r="G25" s="103"/>
      <c r="H25" s="110"/>
      <c r="I25" s="103"/>
      <c r="J25" s="103"/>
      <c r="K25" s="103"/>
      <c r="L25" s="103"/>
      <c r="M25" s="103"/>
      <c r="N25" s="103"/>
      <c r="O25" s="103"/>
      <c r="P25" s="103"/>
      <c r="Q25" s="103"/>
      <c r="R25" s="103"/>
      <c r="S25" s="103"/>
      <c r="T25" s="103"/>
      <c r="U25" s="103"/>
      <c r="V25" s="28"/>
      <c r="W25" s="28"/>
      <c r="X25" s="28"/>
      <c r="Y25" s="28"/>
      <c r="Z25" s="28"/>
      <c r="AA25" s="28"/>
      <c r="AB25" s="103"/>
      <c r="AC25" s="103"/>
      <c r="AD25" s="103"/>
      <c r="AE25" s="103"/>
      <c r="AF25" s="103"/>
    </row>
    <row r="26" spans="1:32" x14ac:dyDescent="0.25">
      <c r="A26" s="701" t="s">
        <v>564</v>
      </c>
      <c r="B26" s="701"/>
      <c r="C26" s="701"/>
      <c r="D26" s="701"/>
      <c r="E26" s="701"/>
      <c r="F26" s="701"/>
      <c r="G26" s="701"/>
      <c r="H26" s="701"/>
      <c r="I26" s="701"/>
      <c r="J26" s="701"/>
      <c r="K26" s="701"/>
      <c r="L26" s="701"/>
      <c r="M26" s="103"/>
      <c r="N26" s="103"/>
      <c r="O26" s="103"/>
      <c r="P26" s="103"/>
      <c r="Q26" s="103"/>
      <c r="R26" s="103"/>
      <c r="S26" s="103"/>
      <c r="T26" s="103"/>
      <c r="U26" s="103"/>
      <c r="V26" s="28"/>
      <c r="W26" s="28"/>
      <c r="X26" s="28"/>
      <c r="Y26" s="28"/>
      <c r="Z26" s="28"/>
      <c r="AA26" s="28"/>
      <c r="AB26" s="103"/>
      <c r="AC26" s="103"/>
      <c r="AD26" s="103"/>
      <c r="AE26" s="103"/>
      <c r="AF26" s="103"/>
    </row>
    <row r="27" spans="1:32" x14ac:dyDescent="0.25">
      <c r="A27" s="702" t="s">
        <v>269</v>
      </c>
      <c r="B27" s="703"/>
      <c r="C27" s="703"/>
      <c r="D27" s="703"/>
      <c r="E27" s="703"/>
      <c r="F27" s="703"/>
      <c r="G27" s="703"/>
      <c r="H27" s="703"/>
      <c r="I27" s="703"/>
      <c r="J27" s="703"/>
      <c r="K27" s="703"/>
      <c r="L27" s="703"/>
      <c r="M27" s="103"/>
      <c r="N27" s="103"/>
      <c r="O27" s="103"/>
      <c r="P27" s="103"/>
      <c r="Q27" s="103"/>
      <c r="R27" s="103"/>
      <c r="S27" s="103"/>
      <c r="T27" s="103"/>
      <c r="U27" s="103"/>
      <c r="V27" s="28"/>
      <c r="W27" s="28"/>
      <c r="X27" s="28"/>
      <c r="Y27" s="28"/>
      <c r="Z27" s="28"/>
      <c r="AA27" s="28"/>
      <c r="AB27" s="103"/>
      <c r="AC27" s="103"/>
      <c r="AD27" s="103"/>
      <c r="AE27" s="103"/>
      <c r="AF27" s="103"/>
    </row>
    <row r="28" spans="1:32" x14ac:dyDescent="0.25">
      <c r="A28" s="115"/>
      <c r="B28" s="114"/>
      <c r="C28" s="114"/>
      <c r="D28" s="114"/>
      <c r="E28" s="114"/>
      <c r="F28" s="114"/>
      <c r="G28" s="114"/>
      <c r="H28" s="114"/>
      <c r="I28" s="114"/>
      <c r="J28" s="114"/>
      <c r="K28" s="114"/>
      <c r="L28" s="114"/>
      <c r="M28" s="103"/>
      <c r="N28" s="103"/>
      <c r="O28" s="103"/>
      <c r="P28" s="103"/>
      <c r="Q28" s="103"/>
      <c r="R28" s="103"/>
      <c r="S28" s="103"/>
      <c r="T28" s="103"/>
      <c r="U28" s="103"/>
      <c r="V28" s="28"/>
      <c r="W28" s="28"/>
      <c r="X28" s="28"/>
      <c r="Y28" s="28"/>
      <c r="Z28" s="28"/>
      <c r="AA28" s="28"/>
      <c r="AB28" s="103"/>
      <c r="AC28" s="103"/>
      <c r="AD28" s="103"/>
      <c r="AE28" s="103"/>
      <c r="AF28" s="103"/>
    </row>
    <row r="29" spans="1:32" x14ac:dyDescent="0.25">
      <c r="A29" s="103"/>
      <c r="B29" s="103"/>
      <c r="C29" s="103"/>
      <c r="D29" s="103"/>
      <c r="E29" s="103"/>
      <c r="F29" s="103"/>
      <c r="G29" s="103"/>
      <c r="H29" s="103"/>
      <c r="I29" s="120" t="s">
        <v>241</v>
      </c>
      <c r="J29" s="121" t="s">
        <v>242</v>
      </c>
      <c r="K29" s="103"/>
      <c r="L29" s="103"/>
      <c r="M29" s="103"/>
      <c r="N29" s="103"/>
      <c r="O29" s="103"/>
      <c r="P29" s="103"/>
      <c r="Q29" s="103"/>
      <c r="R29" s="103"/>
      <c r="S29" s="103"/>
      <c r="T29" s="103"/>
      <c r="U29" s="103"/>
      <c r="V29" s="28"/>
      <c r="W29" s="28"/>
      <c r="X29" s="28"/>
      <c r="Y29" s="28"/>
      <c r="Z29" s="28"/>
      <c r="AA29" s="28"/>
      <c r="AB29" s="103"/>
      <c r="AC29" s="103"/>
      <c r="AD29" s="103"/>
      <c r="AE29" s="103"/>
      <c r="AF29" s="103"/>
    </row>
    <row r="30" spans="1:32" x14ac:dyDescent="0.25">
      <c r="A30" s="103"/>
      <c r="B30" s="103"/>
      <c r="C30" s="103"/>
      <c r="D30" s="103"/>
      <c r="E30" s="103"/>
      <c r="F30" s="103"/>
      <c r="G30" s="103"/>
      <c r="H30" s="117" t="s">
        <v>243</v>
      </c>
      <c r="I30" s="265"/>
      <c r="J30" s="129" t="str">
        <f>IFERROR(VLOOKUP($I$30,'Lookup Tables'!I16:J21,2,FALSE)," ")</f>
        <v xml:space="preserve"> </v>
      </c>
      <c r="K30" s="103"/>
      <c r="L30" s="103"/>
      <c r="M30" s="103"/>
      <c r="N30" s="103"/>
      <c r="O30" s="103"/>
      <c r="P30" s="103"/>
      <c r="Q30" s="103"/>
      <c r="R30" s="103"/>
      <c r="S30" s="103"/>
      <c r="T30" s="103"/>
      <c r="U30" s="103"/>
      <c r="V30" s="28"/>
      <c r="W30" s="28"/>
      <c r="X30" s="28"/>
      <c r="Y30" s="28"/>
      <c r="Z30" s="28"/>
      <c r="AA30" s="28"/>
      <c r="AB30" s="103"/>
      <c r="AC30" s="103"/>
      <c r="AD30" s="103"/>
      <c r="AE30" s="103"/>
      <c r="AF30" s="103"/>
    </row>
    <row r="31" spans="1:32" ht="24.75" customHeight="1" x14ac:dyDescent="0.25">
      <c r="A31" s="103"/>
      <c r="B31" s="103"/>
      <c r="C31" s="688" t="s">
        <v>244</v>
      </c>
      <c r="D31" s="688"/>
      <c r="E31" s="688"/>
      <c r="F31" s="688"/>
      <c r="G31" s="688"/>
      <c r="H31" s="705"/>
      <c r="I31" s="265"/>
      <c r="J31" s="291">
        <f>VLOOKUP($I$31,'Lookup Tables'!I26:J29,2,FALSE)</f>
        <v>1</v>
      </c>
      <c r="K31" s="103"/>
      <c r="L31" s="103"/>
      <c r="M31" s="103"/>
      <c r="N31" s="103"/>
      <c r="O31" s="103"/>
      <c r="P31" s="103"/>
      <c r="Q31" s="103"/>
      <c r="R31" s="103"/>
      <c r="S31" s="103"/>
      <c r="T31" s="103"/>
      <c r="U31" s="103"/>
      <c r="V31" s="28"/>
      <c r="W31" s="28"/>
      <c r="X31" s="28"/>
      <c r="Y31" s="28"/>
      <c r="Z31" s="28"/>
      <c r="AA31" s="28"/>
      <c r="AB31" s="103"/>
      <c r="AC31" s="103"/>
      <c r="AD31" s="103"/>
      <c r="AE31" s="103"/>
      <c r="AF31" s="103"/>
    </row>
    <row r="32" spans="1:32" x14ac:dyDescent="0.25">
      <c r="A32" s="103"/>
      <c r="B32" s="103"/>
      <c r="C32" s="103"/>
      <c r="D32" s="103"/>
      <c r="E32" s="103"/>
      <c r="F32" s="103"/>
      <c r="G32" s="103"/>
      <c r="H32" s="117" t="s">
        <v>245</v>
      </c>
      <c r="I32" s="265"/>
      <c r="J32" s="129" t="str">
        <f>IFERROR(IF($J$16&lt;70,VLOOKUP($I$32,'Lookup Tables'!I5:J11,2,FALSE),VLOOKUP($I$32,'Lookup Tables'!L5:M11,2,FALSE))," ")</f>
        <v xml:space="preserve"> </v>
      </c>
      <c r="K32" s="103"/>
      <c r="L32" s="103"/>
      <c r="M32" s="103"/>
      <c r="N32" s="103"/>
      <c r="O32" s="103"/>
      <c r="P32" s="103"/>
      <c r="Q32" s="103"/>
      <c r="R32" s="103"/>
      <c r="S32" s="103"/>
      <c r="T32" s="103"/>
      <c r="U32" s="103"/>
      <c r="V32" s="28"/>
      <c r="W32" s="28"/>
      <c r="X32" s="28"/>
      <c r="Y32" s="28"/>
      <c r="Z32" s="28"/>
      <c r="AA32" s="28"/>
      <c r="AB32" s="103"/>
      <c r="AC32" s="103"/>
      <c r="AD32" s="103"/>
      <c r="AE32" s="103"/>
      <c r="AF32" s="103"/>
    </row>
    <row r="33" spans="1:32" x14ac:dyDescent="0.25">
      <c r="A33" s="103"/>
      <c r="B33" s="103"/>
      <c r="C33" s="103"/>
      <c r="D33" s="103"/>
      <c r="E33" s="103"/>
      <c r="F33" s="103"/>
      <c r="G33" s="103"/>
      <c r="H33" s="103"/>
      <c r="I33" s="103"/>
      <c r="J33" s="103"/>
      <c r="K33" s="103"/>
      <c r="L33" s="103"/>
      <c r="M33" s="103"/>
      <c r="N33" s="103"/>
      <c r="O33" s="103"/>
      <c r="P33" s="103"/>
      <c r="Q33" s="103"/>
      <c r="R33" s="103"/>
      <c r="S33" s="103"/>
      <c r="T33" s="103"/>
      <c r="U33" s="103"/>
      <c r="V33" s="28"/>
      <c r="W33" s="28"/>
      <c r="X33" s="28"/>
      <c r="Y33" s="28"/>
      <c r="Z33" s="28"/>
      <c r="AA33" s="28"/>
      <c r="AB33" s="103"/>
      <c r="AC33" s="103"/>
      <c r="AD33" s="103"/>
      <c r="AE33" s="103"/>
      <c r="AF33" s="103"/>
    </row>
    <row r="34" spans="1:32" x14ac:dyDescent="0.25">
      <c r="A34" s="103"/>
      <c r="B34" s="103"/>
      <c r="C34" s="103"/>
      <c r="D34" s="103"/>
      <c r="E34" s="103"/>
      <c r="F34" s="103"/>
      <c r="G34" s="103"/>
      <c r="H34" s="103"/>
      <c r="I34" s="119" t="s">
        <v>253</v>
      </c>
      <c r="J34" s="159" t="str">
        <f>IF(J24="Yes",J22*J30*J31*J32,"N/A")</f>
        <v>N/A</v>
      </c>
      <c r="K34" s="103"/>
      <c r="L34" s="103"/>
      <c r="M34" s="103"/>
      <c r="N34" s="103"/>
      <c r="O34" s="103"/>
      <c r="P34" s="103"/>
      <c r="Q34" s="103"/>
      <c r="R34" s="103"/>
      <c r="S34" s="103"/>
      <c r="T34" s="103"/>
      <c r="U34" s="103"/>
      <c r="V34" s="28"/>
      <c r="W34" s="28"/>
      <c r="X34" s="28"/>
      <c r="Y34" s="28"/>
      <c r="Z34" s="28"/>
      <c r="AA34" s="28"/>
      <c r="AB34" s="103"/>
      <c r="AC34" s="103"/>
      <c r="AD34" s="103"/>
      <c r="AE34" s="103"/>
      <c r="AF34" s="103"/>
    </row>
    <row r="35" spans="1:32" x14ac:dyDescent="0.25">
      <c r="A35" s="103"/>
      <c r="B35" s="103"/>
      <c r="C35" s="103"/>
      <c r="D35" s="103"/>
      <c r="E35" s="103"/>
      <c r="F35" s="103"/>
      <c r="G35" s="103"/>
      <c r="H35" s="103"/>
      <c r="I35" s="103"/>
      <c r="J35" s="103"/>
      <c r="K35" s="103"/>
      <c r="L35" s="103"/>
      <c r="M35" s="103"/>
      <c r="N35" s="103"/>
      <c r="O35" s="103"/>
      <c r="P35" s="103"/>
      <c r="Q35" s="103"/>
      <c r="R35" s="103"/>
      <c r="S35" s="103"/>
      <c r="T35" s="103"/>
      <c r="U35" s="103"/>
      <c r="V35" s="28"/>
      <c r="W35" s="28"/>
      <c r="X35" s="28"/>
      <c r="Y35" s="28"/>
      <c r="Z35" s="28"/>
      <c r="AA35" s="28"/>
      <c r="AB35" s="103"/>
      <c r="AC35" s="103"/>
      <c r="AD35" s="103"/>
      <c r="AE35" s="103"/>
      <c r="AF35" s="103"/>
    </row>
    <row r="36" spans="1:32" x14ac:dyDescent="0.25">
      <c r="A36" s="701" t="s">
        <v>271</v>
      </c>
      <c r="B36" s="701"/>
      <c r="C36" s="701"/>
      <c r="D36" s="701"/>
      <c r="E36" s="701"/>
      <c r="F36" s="701"/>
      <c r="G36" s="701"/>
      <c r="H36" s="701"/>
      <c r="I36" s="701"/>
      <c r="J36" s="701"/>
      <c r="K36" s="701"/>
      <c r="L36" s="701"/>
      <c r="M36" s="103"/>
      <c r="N36" s="103"/>
      <c r="O36" s="103"/>
      <c r="P36" s="103"/>
      <c r="Q36" s="103"/>
      <c r="R36" s="103"/>
      <c r="S36" s="103"/>
      <c r="T36" s="103"/>
      <c r="U36" s="103"/>
      <c r="V36" s="28"/>
      <c r="W36" s="28"/>
      <c r="X36" s="28"/>
      <c r="Y36" s="28"/>
      <c r="Z36" s="28"/>
      <c r="AA36" s="28"/>
      <c r="AB36" s="103"/>
      <c r="AC36" s="103"/>
      <c r="AD36" s="103"/>
      <c r="AE36" s="103"/>
      <c r="AF36" s="103"/>
    </row>
    <row r="37" spans="1:32" x14ac:dyDescent="0.25">
      <c r="A37" s="103"/>
      <c r="B37" s="103"/>
      <c r="C37" s="103"/>
      <c r="D37" s="103"/>
      <c r="E37" s="103"/>
      <c r="F37" s="103"/>
      <c r="G37" s="103"/>
      <c r="H37" s="103"/>
      <c r="I37" s="103"/>
      <c r="J37" s="103"/>
      <c r="K37" s="103"/>
      <c r="L37" s="103"/>
      <c r="M37" s="103"/>
      <c r="N37" s="103"/>
      <c r="O37" s="103"/>
      <c r="P37" s="103"/>
      <c r="Q37" s="103"/>
      <c r="R37" s="103"/>
      <c r="S37" s="103"/>
      <c r="T37" s="103"/>
      <c r="U37" s="103"/>
      <c r="V37" s="28"/>
      <c r="W37" s="28"/>
      <c r="X37" s="28"/>
      <c r="Y37" s="28"/>
      <c r="Z37" s="28"/>
      <c r="AA37" s="28"/>
      <c r="AB37" s="103"/>
      <c r="AC37" s="103"/>
      <c r="AD37" s="103"/>
      <c r="AE37" s="103"/>
      <c r="AF37" s="103"/>
    </row>
    <row r="38" spans="1:32" x14ac:dyDescent="0.25">
      <c r="A38" s="103"/>
      <c r="B38" s="103"/>
      <c r="C38" s="103"/>
      <c r="D38" s="103"/>
      <c r="E38" s="103"/>
      <c r="F38" s="103"/>
      <c r="G38" s="103"/>
      <c r="H38" s="103"/>
      <c r="I38" s="117" t="s">
        <v>266</v>
      </c>
      <c r="J38" s="129">
        <f>$J$21</f>
        <v>0</v>
      </c>
      <c r="K38" s="103"/>
      <c r="L38" s="103"/>
      <c r="M38" s="103"/>
      <c r="N38" s="103"/>
      <c r="O38" s="103"/>
      <c r="P38" s="103"/>
      <c r="Q38" s="103"/>
      <c r="R38" s="103"/>
      <c r="S38" s="103"/>
      <c r="T38" s="103"/>
      <c r="U38" s="103"/>
      <c r="V38" s="28"/>
      <c r="W38" s="28"/>
      <c r="X38" s="28"/>
      <c r="Y38" s="28"/>
      <c r="Z38" s="28"/>
      <c r="AA38" s="28"/>
      <c r="AB38" s="103"/>
      <c r="AC38" s="103"/>
      <c r="AD38" s="103"/>
      <c r="AE38" s="103"/>
      <c r="AF38" s="103"/>
    </row>
    <row r="39" spans="1:32" x14ac:dyDescent="0.25">
      <c r="A39" s="103"/>
      <c r="B39" s="103"/>
      <c r="C39" s="103"/>
      <c r="D39" s="103"/>
      <c r="E39" s="103"/>
      <c r="F39" s="103"/>
      <c r="G39" s="103"/>
      <c r="H39" s="103"/>
      <c r="I39" s="117" t="s">
        <v>272</v>
      </c>
      <c r="J39" s="129">
        <f>ROUNDUP(IF(J24="Yes",J22*J30*J31*J32,J22),0)</f>
        <v>0</v>
      </c>
      <c r="K39" s="103"/>
      <c r="L39" s="103"/>
      <c r="M39" s="103"/>
      <c r="N39" s="103"/>
      <c r="O39" s="103"/>
      <c r="P39" s="103"/>
      <c r="Q39" s="103"/>
      <c r="R39" s="103"/>
      <c r="S39" s="103"/>
      <c r="T39" s="103"/>
      <c r="U39" s="103"/>
      <c r="V39" s="28"/>
      <c r="W39" s="28"/>
      <c r="X39" s="28"/>
      <c r="Y39" s="28"/>
      <c r="Z39" s="28"/>
      <c r="AA39" s="28"/>
      <c r="AB39" s="103"/>
      <c r="AC39" s="103"/>
      <c r="AD39" s="103"/>
      <c r="AE39" s="103"/>
      <c r="AF39" s="103"/>
    </row>
    <row r="40" spans="1:32" x14ac:dyDescent="0.25">
      <c r="A40" s="103"/>
      <c r="B40" s="103"/>
      <c r="C40" s="103"/>
      <c r="D40" s="103"/>
      <c r="E40" s="103"/>
      <c r="F40" s="103"/>
      <c r="G40" s="103"/>
      <c r="H40" s="103"/>
      <c r="I40" s="103"/>
      <c r="J40" s="103"/>
      <c r="K40" s="103"/>
      <c r="L40" s="103"/>
      <c r="M40" s="103"/>
      <c r="N40" s="103"/>
      <c r="O40" s="103"/>
      <c r="P40" s="103"/>
      <c r="Q40" s="103"/>
      <c r="R40" s="103"/>
      <c r="S40" s="103"/>
      <c r="T40" s="103"/>
      <c r="U40" s="103"/>
      <c r="V40" s="28"/>
      <c r="W40" s="28"/>
      <c r="X40" s="28"/>
      <c r="Y40" s="28"/>
      <c r="Z40" s="28"/>
      <c r="AA40" s="28"/>
      <c r="AB40" s="103"/>
      <c r="AC40" s="103"/>
      <c r="AD40" s="103"/>
      <c r="AE40" s="103"/>
      <c r="AF40" s="103"/>
    </row>
    <row r="41" spans="1:32" x14ac:dyDescent="0.25">
      <c r="A41" s="103"/>
      <c r="B41" s="103"/>
      <c r="C41" s="103"/>
      <c r="D41" s="103"/>
      <c r="E41" s="103"/>
      <c r="F41" s="103"/>
      <c r="G41" s="103"/>
      <c r="H41" s="103"/>
      <c r="I41" s="117" t="s">
        <v>273</v>
      </c>
      <c r="J41" s="364" t="str">
        <f>IF($J$14=1,"Figure 4C-9",IF(J14&gt;1,"Figure 4C-10",""))</f>
        <v/>
      </c>
      <c r="K41" s="103"/>
      <c r="L41" s="103"/>
      <c r="M41" s="103"/>
      <c r="N41" s="103"/>
      <c r="O41" s="103"/>
      <c r="P41" s="103"/>
      <c r="Q41" s="103"/>
      <c r="R41" s="103"/>
      <c r="S41" s="103"/>
      <c r="T41" s="103"/>
      <c r="U41" s="103"/>
      <c r="V41" s="28"/>
      <c r="W41" s="28"/>
      <c r="X41" s="28"/>
      <c r="Y41" s="28"/>
      <c r="Z41" s="28"/>
      <c r="AA41" s="28"/>
      <c r="AB41" s="103"/>
      <c r="AC41" s="103"/>
      <c r="AD41" s="103"/>
      <c r="AE41" s="103"/>
      <c r="AF41" s="103"/>
    </row>
    <row r="42" spans="1:32" x14ac:dyDescent="0.25">
      <c r="A42" s="103"/>
      <c r="B42" s="103"/>
      <c r="C42" s="103"/>
      <c r="D42" s="103"/>
      <c r="E42" s="103"/>
      <c r="F42" s="103"/>
      <c r="G42" s="103"/>
      <c r="H42" s="103"/>
      <c r="I42" s="103"/>
      <c r="J42" s="103"/>
      <c r="K42" s="103"/>
      <c r="L42" s="103"/>
      <c r="M42" s="103"/>
      <c r="N42" s="103"/>
      <c r="O42" s="103"/>
      <c r="P42" s="103"/>
      <c r="Q42" s="103"/>
      <c r="R42" s="103"/>
      <c r="S42" s="103"/>
      <c r="T42" s="103"/>
      <c r="U42" s="103"/>
      <c r="V42" s="28"/>
      <c r="W42" s="28"/>
      <c r="X42" s="28"/>
      <c r="Y42" s="28"/>
      <c r="Z42" s="28"/>
      <c r="AA42" s="28"/>
      <c r="AB42" s="103"/>
      <c r="AC42" s="103"/>
      <c r="AD42" s="103"/>
      <c r="AE42" s="103"/>
      <c r="AF42" s="103"/>
    </row>
    <row r="43" spans="1:32"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row>
    <row r="44" spans="1:32" x14ac:dyDescent="0.25">
      <c r="A44" s="103"/>
      <c r="B44" s="103"/>
      <c r="C44" s="103"/>
      <c r="D44" s="103"/>
      <c r="E44" s="103"/>
      <c r="F44" s="103"/>
      <c r="G44" s="103"/>
      <c r="H44" s="103"/>
      <c r="I44" s="117" t="str">
        <f>"Based on " &amp; J41&amp;", is Warrant 9 Met?:*"</f>
        <v>Based on , is Warrant 9 Met?:*</v>
      </c>
      <c r="J44" s="265"/>
      <c r="K44" s="103"/>
      <c r="L44" s="103"/>
      <c r="M44" s="103"/>
      <c r="N44" s="103"/>
      <c r="O44" s="103"/>
      <c r="P44" s="103"/>
      <c r="Q44" s="103"/>
      <c r="R44" s="103"/>
      <c r="S44" s="103"/>
      <c r="T44" s="103"/>
      <c r="U44" s="103"/>
      <c r="V44" s="103"/>
      <c r="W44" s="103"/>
      <c r="X44" s="103"/>
      <c r="Y44" s="103"/>
      <c r="Z44" s="103"/>
      <c r="AA44" s="103"/>
      <c r="AB44" s="103"/>
      <c r="AC44" s="103"/>
      <c r="AD44" s="103"/>
      <c r="AE44" s="103"/>
      <c r="AF44" s="103"/>
    </row>
    <row r="45" spans="1:32" x14ac:dyDescent="0.25">
      <c r="A45" s="103"/>
      <c r="B45" s="103"/>
      <c r="C45" s="103"/>
      <c r="D45" s="103"/>
      <c r="E45" s="103"/>
      <c r="F45" s="103"/>
      <c r="G45" s="103"/>
      <c r="H45" s="103"/>
      <c r="I45" s="122" t="s">
        <v>570</v>
      </c>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2"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x14ac:dyDescent="0.25">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x14ac:dyDescent="0.25">
      <c r="A48" s="103"/>
      <c r="B48" s="103"/>
      <c r="C48" s="699" t="s">
        <v>247</v>
      </c>
      <c r="D48" s="699"/>
      <c r="E48" s="699"/>
      <c r="F48" s="699"/>
      <c r="G48" s="103"/>
      <c r="H48" s="698" t="s">
        <v>532</v>
      </c>
      <c r="I48" s="699"/>
      <c r="J48" s="699"/>
      <c r="K48" s="699"/>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x14ac:dyDescent="0.25">
      <c r="A49" s="103"/>
      <c r="B49" s="103"/>
      <c r="C49" s="700" t="s">
        <v>246</v>
      </c>
      <c r="D49" s="700"/>
      <c r="E49" s="700" t="s">
        <v>246</v>
      </c>
      <c r="F49" s="700"/>
      <c r="G49" s="103"/>
      <c r="H49" s="700" t="s">
        <v>246</v>
      </c>
      <c r="I49" s="700"/>
      <c r="J49" s="700" t="s">
        <v>246</v>
      </c>
      <c r="K49" s="700"/>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x14ac:dyDescent="0.25">
      <c r="A50" s="103"/>
      <c r="B50" s="103"/>
      <c r="C50" s="98" t="str">
        <f>IF($J$14=1,0,"")</f>
        <v/>
      </c>
      <c r="D50" s="98" t="str">
        <f>IF($J$14=1,$J$39,"")</f>
        <v/>
      </c>
      <c r="E50" s="98" t="str">
        <f>IF($J$14=1,$J$38,"")</f>
        <v/>
      </c>
      <c r="F50" s="98" t="str">
        <f>IF($J$14=1,0,"")</f>
        <v/>
      </c>
      <c r="G50" s="103"/>
      <c r="H50" s="98" t="str">
        <f>IF($J$14&gt;1,0,"")</f>
        <v/>
      </c>
      <c r="I50" s="98" t="str">
        <f>IF($J$14&gt;1,$J$39,"")</f>
        <v/>
      </c>
      <c r="J50" s="98" t="str">
        <f>IF($J$14&gt;1,$J$38,"")</f>
        <v/>
      </c>
      <c r="K50" s="98" t="str">
        <f>IF($J$14&gt;1,0,"")</f>
        <v/>
      </c>
      <c r="L50" s="103"/>
      <c r="M50" s="103"/>
      <c r="N50" s="103"/>
      <c r="O50" s="103"/>
      <c r="P50" s="103"/>
      <c r="Q50" s="103"/>
      <c r="R50" s="103"/>
      <c r="S50" s="103"/>
      <c r="T50" s="103"/>
      <c r="U50" s="103"/>
      <c r="V50" s="103"/>
      <c r="W50" s="103"/>
      <c r="X50" s="103"/>
      <c r="Y50" s="103"/>
      <c r="Z50" s="103"/>
      <c r="AA50" s="103"/>
      <c r="AB50" s="103"/>
      <c r="AC50" s="103"/>
      <c r="AD50" s="103"/>
      <c r="AE50" s="103"/>
      <c r="AF50" s="103"/>
    </row>
    <row r="51" spans="1:32" x14ac:dyDescent="0.25">
      <c r="A51" s="103"/>
      <c r="B51" s="103"/>
      <c r="C51" s="98" t="str">
        <f>IF($J$14=1,$J$38,"")</f>
        <v/>
      </c>
      <c r="D51" s="98" t="str">
        <f>IF($J$14=1,$J$39,"")</f>
        <v/>
      </c>
      <c r="E51" s="98" t="str">
        <f>IF($J$14=1,$J$38,"")</f>
        <v/>
      </c>
      <c r="F51" s="98" t="str">
        <f>IF($J$14=1,$J$39,"")</f>
        <v/>
      </c>
      <c r="G51" s="103"/>
      <c r="H51" s="98" t="str">
        <f>IF($J$14&gt;1,$J$38,"")</f>
        <v/>
      </c>
      <c r="I51" s="98" t="str">
        <f>IF($J$14&gt;1,$J$39,"")</f>
        <v/>
      </c>
      <c r="J51" s="98" t="str">
        <f>IF($J$14&gt;1,$J$38,"")</f>
        <v/>
      </c>
      <c r="K51" s="98" t="str">
        <f>IF($J$14&gt;1,$J$39,"")</f>
        <v/>
      </c>
      <c r="L51" s="103"/>
      <c r="M51" s="103"/>
      <c r="N51" s="103"/>
      <c r="O51" s="103"/>
      <c r="P51" s="103"/>
      <c r="Q51" s="103"/>
      <c r="R51" s="103"/>
      <c r="S51" s="103"/>
      <c r="T51" s="103"/>
      <c r="U51" s="103"/>
      <c r="V51" s="103"/>
      <c r="W51" s="103"/>
      <c r="X51" s="103"/>
      <c r="Y51" s="103"/>
      <c r="Z51" s="103"/>
      <c r="AA51" s="103"/>
      <c r="AB51" s="103"/>
      <c r="AC51" s="103"/>
      <c r="AD51" s="103"/>
      <c r="AE51" s="103"/>
      <c r="AF51" s="103"/>
    </row>
    <row r="52" spans="1:32"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row>
    <row r="53" spans="1:32"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row>
    <row r="54" spans="1:32"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row>
    <row r="55" spans="1:32"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32"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32"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32"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32"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32"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32"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32"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32"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32"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x14ac:dyDescent="0.2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x14ac:dyDescent="0.2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x14ac:dyDescent="0.2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x14ac:dyDescent="0.2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x14ac:dyDescent="0.2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x14ac:dyDescent="0.2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x14ac:dyDescent="0.2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x14ac:dyDescent="0.2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x14ac:dyDescent="0.2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x14ac:dyDescent="0.2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x14ac:dyDescent="0.2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x14ac:dyDescent="0.25">
      <c r="A92" s="103"/>
      <c r="B92" s="103"/>
      <c r="C92" s="103"/>
      <c r="D92" s="103"/>
      <c r="E92" s="103"/>
      <c r="F92" s="103"/>
      <c r="G92" s="103"/>
      <c r="H92" s="103"/>
      <c r="I92" s="103"/>
      <c r="J92" s="103"/>
      <c r="K92" s="103"/>
      <c r="L92" s="103"/>
    </row>
    <row r="93" spans="1:25" x14ac:dyDescent="0.25">
      <c r="A93" s="103"/>
      <c r="B93" s="103"/>
      <c r="C93" s="103"/>
      <c r="D93" s="103"/>
      <c r="E93" s="103"/>
      <c r="F93" s="103"/>
      <c r="G93" s="103"/>
      <c r="H93" s="103"/>
      <c r="I93" s="103"/>
      <c r="J93" s="103"/>
      <c r="K93" s="103"/>
      <c r="L93" s="103"/>
    </row>
    <row r="94" spans="1:25" x14ac:dyDescent="0.25">
      <c r="A94" s="103"/>
      <c r="B94" s="103"/>
      <c r="C94" s="103"/>
      <c r="D94" s="103"/>
      <c r="E94" s="103"/>
      <c r="F94" s="103"/>
      <c r="G94" s="103"/>
      <c r="H94" s="103"/>
      <c r="I94" s="103"/>
      <c r="J94" s="103"/>
      <c r="K94" s="103"/>
      <c r="L94" s="103"/>
    </row>
    <row r="95" spans="1:25" x14ac:dyDescent="0.25">
      <c r="A95" s="103"/>
      <c r="B95" s="103"/>
      <c r="C95" s="103"/>
      <c r="D95" s="103"/>
      <c r="E95" s="103"/>
      <c r="F95" s="103"/>
      <c r="G95" s="103"/>
      <c r="H95" s="103"/>
      <c r="I95" s="103"/>
      <c r="J95" s="103"/>
      <c r="K95" s="103"/>
      <c r="L95" s="103"/>
    </row>
    <row r="96" spans="1:25" x14ac:dyDescent="0.25">
      <c r="A96" s="103"/>
      <c r="B96" s="103"/>
      <c r="C96" s="103"/>
      <c r="D96" s="103"/>
      <c r="E96" s="103"/>
      <c r="F96" s="103"/>
      <c r="G96" s="103"/>
      <c r="H96" s="103"/>
      <c r="I96" s="103"/>
      <c r="J96" s="103"/>
      <c r="K96" s="103"/>
      <c r="L96" s="103"/>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row r="116" spans="1:12" x14ac:dyDescent="0.25">
      <c r="A116" s="103"/>
      <c r="B116" s="103"/>
      <c r="C116" s="103"/>
      <c r="D116" s="103"/>
      <c r="E116" s="103"/>
      <c r="F116" s="103"/>
      <c r="G116" s="103"/>
      <c r="H116" s="103"/>
      <c r="I116" s="103"/>
      <c r="J116" s="103"/>
      <c r="K116" s="103"/>
      <c r="L116" s="103"/>
    </row>
    <row r="117" spans="1:12" x14ac:dyDescent="0.25">
      <c r="A117" s="103"/>
      <c r="B117" s="103"/>
      <c r="C117" s="103"/>
      <c r="D117" s="103"/>
      <c r="E117" s="103"/>
      <c r="F117" s="103"/>
      <c r="G117" s="103"/>
      <c r="H117" s="103"/>
      <c r="I117" s="103"/>
      <c r="J117" s="103"/>
      <c r="K117" s="103"/>
      <c r="L117" s="103"/>
    </row>
    <row r="118" spans="1:12" x14ac:dyDescent="0.25">
      <c r="A118" s="103"/>
      <c r="B118" s="103"/>
      <c r="C118" s="103"/>
      <c r="D118" s="103"/>
      <c r="E118" s="103"/>
      <c r="F118" s="103"/>
      <c r="G118" s="103"/>
      <c r="H118" s="103"/>
      <c r="I118" s="103"/>
      <c r="J118" s="103"/>
      <c r="K118" s="103"/>
      <c r="L118" s="103"/>
    </row>
    <row r="119" spans="1:12" x14ac:dyDescent="0.25">
      <c r="A119" s="103"/>
      <c r="B119" s="103"/>
      <c r="C119" s="103"/>
      <c r="D119" s="103"/>
      <c r="E119" s="103"/>
      <c r="F119" s="103"/>
      <c r="G119" s="103"/>
      <c r="H119" s="103"/>
      <c r="I119" s="103"/>
      <c r="J119" s="103"/>
      <c r="K119" s="103"/>
      <c r="L119" s="103"/>
    </row>
    <row r="120" spans="1:12" x14ac:dyDescent="0.25">
      <c r="A120" s="103"/>
      <c r="B120" s="103"/>
      <c r="C120" s="103"/>
      <c r="D120" s="103"/>
      <c r="E120" s="103"/>
      <c r="F120" s="103"/>
      <c r="G120" s="103"/>
      <c r="H120" s="103"/>
      <c r="I120" s="103"/>
      <c r="J120" s="103"/>
      <c r="K120" s="103"/>
      <c r="L120" s="103"/>
    </row>
    <row r="121" spans="1:12" x14ac:dyDescent="0.25">
      <c r="A121" s="103"/>
      <c r="B121" s="103"/>
      <c r="C121" s="103"/>
      <c r="D121" s="103"/>
      <c r="E121" s="103"/>
      <c r="F121" s="103"/>
      <c r="G121" s="103"/>
      <c r="H121" s="103"/>
      <c r="I121" s="103"/>
      <c r="J121" s="103"/>
      <c r="K121" s="103"/>
      <c r="L121" s="103"/>
    </row>
    <row r="122" spans="1:12" x14ac:dyDescent="0.25">
      <c r="A122" s="103"/>
      <c r="B122" s="103"/>
      <c r="C122" s="103"/>
      <c r="D122" s="103"/>
      <c r="E122" s="103"/>
      <c r="F122" s="103"/>
      <c r="G122" s="103"/>
      <c r="H122" s="103"/>
      <c r="I122" s="103"/>
      <c r="J122" s="103"/>
      <c r="K122" s="103"/>
      <c r="L122" s="103"/>
    </row>
    <row r="123" spans="1:12" x14ac:dyDescent="0.25">
      <c r="A123" s="103"/>
      <c r="B123" s="103"/>
      <c r="C123" s="103"/>
      <c r="D123" s="103"/>
      <c r="E123" s="103"/>
      <c r="F123" s="103"/>
      <c r="G123" s="103"/>
      <c r="H123" s="103"/>
      <c r="I123" s="103"/>
      <c r="J123" s="103"/>
      <c r="K123" s="103"/>
      <c r="L123" s="103"/>
    </row>
    <row r="124" spans="1:12" x14ac:dyDescent="0.25">
      <c r="A124" s="103"/>
      <c r="B124" s="103"/>
      <c r="C124" s="103"/>
      <c r="D124" s="103"/>
      <c r="E124" s="103"/>
      <c r="F124" s="103"/>
      <c r="G124" s="103"/>
      <c r="H124" s="103"/>
      <c r="I124" s="103"/>
      <c r="J124" s="103"/>
      <c r="K124" s="103"/>
      <c r="L124" s="103"/>
    </row>
    <row r="125" spans="1:12" x14ac:dyDescent="0.25">
      <c r="A125" s="103"/>
      <c r="B125" s="103"/>
      <c r="C125" s="103"/>
      <c r="D125" s="103"/>
      <c r="E125" s="103"/>
      <c r="F125" s="103"/>
      <c r="G125" s="103"/>
      <c r="H125" s="103"/>
      <c r="I125" s="103"/>
      <c r="J125" s="103"/>
      <c r="K125" s="103"/>
      <c r="L125" s="103"/>
    </row>
    <row r="126" spans="1:12" x14ac:dyDescent="0.25">
      <c r="A126" s="103"/>
      <c r="B126" s="103"/>
      <c r="C126" s="103"/>
      <c r="D126" s="103"/>
      <c r="E126" s="103"/>
      <c r="F126" s="103"/>
      <c r="G126" s="103"/>
      <c r="H126" s="103"/>
      <c r="I126" s="103"/>
      <c r="J126" s="103"/>
      <c r="K126" s="103"/>
      <c r="L126" s="103"/>
    </row>
    <row r="127" spans="1:12" x14ac:dyDescent="0.25">
      <c r="A127" s="103"/>
      <c r="B127" s="103"/>
      <c r="C127" s="103"/>
      <c r="D127" s="103"/>
      <c r="E127" s="103"/>
      <c r="F127" s="103"/>
      <c r="G127" s="103"/>
      <c r="H127" s="103"/>
      <c r="I127" s="103"/>
      <c r="J127" s="103"/>
      <c r="K127" s="103"/>
      <c r="L127" s="103"/>
    </row>
    <row r="128" spans="1:12" x14ac:dyDescent="0.25">
      <c r="A128" s="103"/>
      <c r="B128" s="103"/>
      <c r="C128" s="103"/>
      <c r="D128" s="103"/>
      <c r="E128" s="103"/>
      <c r="F128" s="103"/>
      <c r="G128" s="103"/>
      <c r="H128" s="103"/>
      <c r="I128" s="103"/>
      <c r="J128" s="103"/>
      <c r="K128" s="103"/>
      <c r="L128" s="103"/>
    </row>
    <row r="129" spans="1:12" x14ac:dyDescent="0.25">
      <c r="A129" s="103"/>
      <c r="B129" s="103"/>
      <c r="C129" s="103"/>
      <c r="D129" s="103"/>
      <c r="E129" s="103"/>
      <c r="F129" s="103"/>
      <c r="G129" s="103"/>
      <c r="H129" s="103"/>
      <c r="I129" s="103"/>
      <c r="J129" s="103"/>
      <c r="K129" s="103"/>
      <c r="L129" s="103"/>
    </row>
    <row r="130" spans="1:12" x14ac:dyDescent="0.25">
      <c r="A130" s="103"/>
      <c r="B130" s="103"/>
      <c r="C130" s="103"/>
      <c r="D130" s="103"/>
      <c r="E130" s="103"/>
      <c r="F130" s="103"/>
      <c r="G130" s="103"/>
      <c r="H130" s="103"/>
      <c r="I130" s="103"/>
      <c r="J130" s="103"/>
      <c r="K130" s="103"/>
      <c r="L130" s="103"/>
    </row>
    <row r="131" spans="1:12" x14ac:dyDescent="0.25">
      <c r="A131" s="103"/>
      <c r="B131" s="103"/>
      <c r="C131" s="103"/>
      <c r="D131" s="103"/>
      <c r="E131" s="103"/>
      <c r="F131" s="103"/>
      <c r="G131" s="103"/>
      <c r="H131" s="103"/>
      <c r="I131" s="103"/>
      <c r="J131" s="103"/>
      <c r="K131" s="103"/>
      <c r="L131" s="103"/>
    </row>
    <row r="132" spans="1:12" x14ac:dyDescent="0.25">
      <c r="A132" s="103"/>
      <c r="B132" s="103"/>
      <c r="C132" s="103"/>
      <c r="D132" s="103"/>
      <c r="E132" s="103"/>
      <c r="F132" s="103"/>
      <c r="G132" s="103"/>
      <c r="H132" s="103"/>
      <c r="I132" s="103"/>
      <c r="J132" s="103"/>
      <c r="K132" s="103"/>
      <c r="L132" s="103"/>
    </row>
    <row r="133" spans="1:12" x14ac:dyDescent="0.25">
      <c r="A133" s="103"/>
      <c r="B133" s="103"/>
      <c r="C133" s="103"/>
      <c r="D133" s="103"/>
      <c r="E133" s="103"/>
      <c r="F133" s="103"/>
      <c r="G133" s="103"/>
      <c r="H133" s="103"/>
      <c r="I133" s="103"/>
      <c r="J133" s="103"/>
      <c r="K133" s="103"/>
      <c r="L133" s="103"/>
    </row>
    <row r="134" spans="1:12" x14ac:dyDescent="0.25">
      <c r="A134" s="103"/>
      <c r="B134" s="103"/>
      <c r="C134" s="103"/>
      <c r="D134" s="103"/>
      <c r="E134" s="103"/>
      <c r="F134" s="103"/>
      <c r="G134" s="103"/>
      <c r="H134" s="103"/>
      <c r="I134" s="103"/>
      <c r="J134" s="103"/>
      <c r="K134" s="103"/>
      <c r="L134" s="103"/>
    </row>
    <row r="135" spans="1:12" x14ac:dyDescent="0.25">
      <c r="A135" s="103"/>
      <c r="B135" s="103"/>
      <c r="C135" s="103"/>
      <c r="D135" s="103"/>
      <c r="E135" s="103"/>
      <c r="F135" s="103"/>
      <c r="G135" s="103"/>
      <c r="H135" s="103"/>
      <c r="I135" s="103"/>
      <c r="J135" s="103"/>
      <c r="K135" s="103"/>
      <c r="L135" s="103"/>
    </row>
    <row r="136" spans="1:12" x14ac:dyDescent="0.25">
      <c r="A136" s="103"/>
      <c r="B136" s="103"/>
      <c r="C136" s="103"/>
      <c r="D136" s="103"/>
      <c r="E136" s="103"/>
      <c r="F136" s="103"/>
      <c r="G136" s="103"/>
      <c r="H136" s="103"/>
      <c r="I136" s="103"/>
      <c r="J136" s="103"/>
      <c r="K136" s="103"/>
      <c r="L136" s="103"/>
    </row>
    <row r="137" spans="1:12" x14ac:dyDescent="0.25">
      <c r="A137" s="103"/>
      <c r="B137" s="103"/>
      <c r="C137" s="103"/>
      <c r="D137" s="103"/>
      <c r="E137" s="103"/>
      <c r="F137" s="103"/>
      <c r="G137" s="103"/>
      <c r="H137" s="103"/>
      <c r="I137" s="103"/>
      <c r="J137" s="103"/>
      <c r="K137" s="103"/>
      <c r="L137" s="103"/>
    </row>
    <row r="138" spans="1:12" x14ac:dyDescent="0.25">
      <c r="A138" s="103"/>
      <c r="B138" s="103"/>
      <c r="C138" s="103"/>
      <c r="D138" s="103"/>
      <c r="E138" s="103"/>
      <c r="F138" s="103"/>
      <c r="G138" s="103"/>
      <c r="H138" s="103"/>
      <c r="I138" s="103"/>
      <c r="J138" s="103"/>
      <c r="K138" s="103"/>
      <c r="L138" s="103"/>
    </row>
    <row r="139" spans="1:12" x14ac:dyDescent="0.25">
      <c r="A139" s="103"/>
      <c r="B139" s="103"/>
      <c r="C139" s="103"/>
      <c r="D139" s="103"/>
      <c r="E139" s="103"/>
      <c r="F139" s="103"/>
      <c r="G139" s="103"/>
      <c r="H139" s="103"/>
      <c r="I139" s="103"/>
      <c r="J139" s="103"/>
      <c r="K139" s="103"/>
      <c r="L139" s="103"/>
    </row>
    <row r="140" spans="1:12" x14ac:dyDescent="0.25">
      <c r="A140" s="103"/>
      <c r="B140" s="103"/>
      <c r="C140" s="103"/>
      <c r="D140" s="103"/>
      <c r="E140" s="103"/>
      <c r="F140" s="103"/>
      <c r="G140" s="103"/>
      <c r="H140" s="103"/>
      <c r="I140" s="103"/>
      <c r="J140" s="103"/>
      <c r="K140" s="103"/>
      <c r="L140" s="103"/>
    </row>
    <row r="141" spans="1:12" x14ac:dyDescent="0.25">
      <c r="A141" s="103"/>
      <c r="B141" s="103"/>
      <c r="C141" s="103"/>
      <c r="D141" s="103"/>
      <c r="E141" s="103"/>
      <c r="F141" s="103"/>
      <c r="G141" s="103"/>
      <c r="H141" s="103"/>
      <c r="I141" s="103"/>
      <c r="J141" s="103"/>
      <c r="K141" s="103"/>
      <c r="L141" s="103"/>
    </row>
    <row r="142" spans="1:12" x14ac:dyDescent="0.25">
      <c r="A142" s="103"/>
      <c r="B142" s="103"/>
      <c r="C142" s="103"/>
      <c r="D142" s="103"/>
      <c r="E142" s="103"/>
      <c r="F142" s="103"/>
      <c r="G142" s="103"/>
      <c r="H142" s="103"/>
      <c r="I142" s="103"/>
      <c r="J142" s="103"/>
      <c r="K142" s="103"/>
      <c r="L142" s="103"/>
    </row>
    <row r="143" spans="1:12" x14ac:dyDescent="0.25">
      <c r="A143" s="103"/>
      <c r="B143" s="103"/>
      <c r="C143" s="103"/>
      <c r="D143" s="103"/>
      <c r="E143" s="103"/>
      <c r="F143" s="103"/>
      <c r="G143" s="103"/>
      <c r="H143" s="103"/>
      <c r="I143" s="103"/>
      <c r="J143" s="103"/>
      <c r="K143" s="103"/>
      <c r="L143" s="103"/>
    </row>
    <row r="144" spans="1:12" x14ac:dyDescent="0.25">
      <c r="A144" s="103"/>
      <c r="B144" s="103"/>
      <c r="C144" s="103"/>
      <c r="D144" s="103"/>
      <c r="E144" s="103"/>
      <c r="F144" s="103"/>
      <c r="G144" s="103"/>
      <c r="H144" s="103"/>
      <c r="I144" s="103"/>
      <c r="J144" s="103"/>
      <c r="K144" s="103"/>
      <c r="L144" s="103"/>
    </row>
    <row r="145" spans="1:12" x14ac:dyDescent="0.25">
      <c r="A145" s="103"/>
      <c r="B145" s="103"/>
      <c r="C145" s="103"/>
      <c r="D145" s="103"/>
      <c r="E145" s="103"/>
      <c r="F145" s="103"/>
      <c r="G145" s="103"/>
      <c r="H145" s="103"/>
      <c r="I145" s="103"/>
      <c r="J145" s="103"/>
      <c r="K145" s="103"/>
      <c r="L145" s="103"/>
    </row>
    <row r="146" spans="1:12" x14ac:dyDescent="0.25">
      <c r="A146" s="103"/>
      <c r="B146" s="103"/>
      <c r="C146" s="103"/>
      <c r="D146" s="103"/>
      <c r="E146" s="103"/>
      <c r="F146" s="103"/>
      <c r="G146" s="103"/>
      <c r="H146" s="103"/>
      <c r="I146" s="103"/>
      <c r="J146" s="103"/>
      <c r="K146" s="103"/>
      <c r="L146" s="103"/>
    </row>
    <row r="147" spans="1:12" x14ac:dyDescent="0.25">
      <c r="A147" s="103"/>
      <c r="B147" s="103"/>
      <c r="C147" s="103"/>
      <c r="D147" s="103"/>
      <c r="E147" s="103"/>
      <c r="F147" s="103"/>
      <c r="G147" s="103"/>
      <c r="H147" s="103"/>
      <c r="I147" s="103"/>
      <c r="J147" s="103"/>
      <c r="K147" s="103"/>
      <c r="L147" s="103"/>
    </row>
    <row r="148" spans="1:12" x14ac:dyDescent="0.25">
      <c r="A148" s="103"/>
      <c r="B148" s="103"/>
      <c r="C148" s="103"/>
      <c r="D148" s="103"/>
      <c r="E148" s="103"/>
      <c r="F148" s="103"/>
      <c r="G148" s="103"/>
      <c r="H148" s="103"/>
      <c r="I148" s="103"/>
      <c r="J148" s="103"/>
      <c r="K148" s="103"/>
      <c r="L148" s="103"/>
    </row>
    <row r="149" spans="1:12" x14ac:dyDescent="0.25">
      <c r="A149" s="103"/>
      <c r="B149" s="103"/>
      <c r="C149" s="103"/>
      <c r="D149" s="103"/>
      <c r="E149" s="103"/>
      <c r="F149" s="103"/>
      <c r="G149" s="103"/>
      <c r="H149" s="103"/>
      <c r="I149" s="103"/>
      <c r="J149" s="103"/>
      <c r="K149" s="103"/>
      <c r="L149" s="103"/>
    </row>
    <row r="150" spans="1:12" x14ac:dyDescent="0.25">
      <c r="A150" s="103"/>
      <c r="B150" s="103"/>
      <c r="C150" s="103"/>
      <c r="D150" s="103"/>
      <c r="E150" s="103"/>
      <c r="F150" s="103"/>
      <c r="G150" s="103"/>
      <c r="H150" s="103"/>
      <c r="I150" s="103"/>
      <c r="J150" s="103"/>
      <c r="K150" s="103"/>
      <c r="L150" s="103"/>
    </row>
    <row r="151" spans="1:12" x14ac:dyDescent="0.25">
      <c r="A151" s="103"/>
      <c r="B151" s="103"/>
      <c r="C151" s="103"/>
      <c r="D151" s="103"/>
      <c r="E151" s="103"/>
      <c r="F151" s="103"/>
      <c r="G151" s="103"/>
      <c r="H151" s="103"/>
      <c r="I151" s="103"/>
      <c r="J151" s="103"/>
      <c r="K151" s="103"/>
      <c r="L151" s="103"/>
    </row>
    <row r="152" spans="1:12" x14ac:dyDescent="0.25">
      <c r="A152" s="103"/>
      <c r="B152" s="103"/>
      <c r="C152" s="103"/>
      <c r="D152" s="103"/>
      <c r="E152" s="103"/>
      <c r="F152" s="103"/>
      <c r="G152" s="103"/>
      <c r="H152" s="103"/>
      <c r="I152" s="103"/>
      <c r="J152" s="103"/>
      <c r="K152" s="103"/>
      <c r="L152" s="103"/>
    </row>
    <row r="153" spans="1:12" x14ac:dyDescent="0.25">
      <c r="A153" s="103"/>
      <c r="B153" s="103"/>
      <c r="C153" s="103"/>
      <c r="D153" s="103"/>
      <c r="E153" s="103"/>
      <c r="F153" s="103"/>
      <c r="G153" s="103"/>
      <c r="H153" s="103"/>
      <c r="I153" s="103"/>
      <c r="J153" s="103"/>
      <c r="K153" s="103"/>
      <c r="L153" s="103"/>
    </row>
    <row r="154" spans="1:12" x14ac:dyDescent="0.25">
      <c r="A154" s="103"/>
      <c r="B154" s="103"/>
      <c r="C154" s="103"/>
      <c r="D154" s="103"/>
      <c r="E154" s="103"/>
      <c r="F154" s="103"/>
      <c r="G154" s="103"/>
      <c r="H154" s="103"/>
      <c r="I154" s="103"/>
      <c r="J154" s="103"/>
      <c r="K154" s="103"/>
      <c r="L154" s="103"/>
    </row>
    <row r="155" spans="1:12" x14ac:dyDescent="0.25">
      <c r="A155" s="103"/>
      <c r="B155" s="103"/>
      <c r="C155" s="103"/>
      <c r="D155" s="103"/>
      <c r="E155" s="103"/>
      <c r="F155" s="103"/>
      <c r="G155" s="103"/>
      <c r="H155" s="103"/>
      <c r="I155" s="103"/>
      <c r="J155" s="103"/>
      <c r="K155" s="103"/>
      <c r="L155" s="103"/>
    </row>
    <row r="156" spans="1:12" x14ac:dyDescent="0.25">
      <c r="A156" s="103"/>
      <c r="B156" s="103"/>
      <c r="C156" s="103"/>
      <c r="D156" s="103"/>
      <c r="E156" s="103"/>
      <c r="F156" s="103"/>
      <c r="G156" s="103"/>
      <c r="H156" s="103"/>
      <c r="I156" s="103"/>
      <c r="J156" s="103"/>
      <c r="K156" s="103"/>
      <c r="L156" s="103"/>
    </row>
    <row r="157" spans="1:12" x14ac:dyDescent="0.25">
      <c r="A157" s="103"/>
      <c r="B157" s="103"/>
      <c r="C157" s="103"/>
      <c r="D157" s="103"/>
      <c r="E157" s="103"/>
      <c r="F157" s="103"/>
      <c r="G157" s="103"/>
      <c r="H157" s="103"/>
      <c r="I157" s="103"/>
      <c r="J157" s="103"/>
      <c r="K157" s="103"/>
      <c r="L157" s="103"/>
    </row>
    <row r="158" spans="1:12" x14ac:dyDescent="0.25">
      <c r="A158" s="103"/>
      <c r="B158" s="103"/>
      <c r="C158" s="103"/>
      <c r="D158" s="103"/>
      <c r="E158" s="103"/>
      <c r="F158" s="103"/>
      <c r="G158" s="103"/>
      <c r="H158" s="103"/>
      <c r="I158" s="103"/>
      <c r="J158" s="103"/>
      <c r="K158" s="103"/>
      <c r="L158" s="103"/>
    </row>
    <row r="159" spans="1:12" x14ac:dyDescent="0.25">
      <c r="A159" s="103"/>
      <c r="B159" s="103"/>
      <c r="C159" s="103"/>
      <c r="D159" s="103"/>
      <c r="E159" s="103"/>
      <c r="F159" s="103"/>
      <c r="G159" s="103"/>
      <c r="H159" s="103"/>
      <c r="I159" s="103"/>
      <c r="J159" s="103"/>
      <c r="K159" s="103"/>
      <c r="L159" s="103"/>
    </row>
    <row r="160" spans="1:12" x14ac:dyDescent="0.25">
      <c r="A160" s="103"/>
      <c r="B160" s="103"/>
      <c r="C160" s="103"/>
      <c r="D160" s="103"/>
      <c r="E160" s="103"/>
      <c r="F160" s="103"/>
      <c r="G160" s="103"/>
      <c r="H160" s="103"/>
      <c r="I160" s="103"/>
      <c r="J160" s="103"/>
      <c r="K160" s="103"/>
      <c r="L160" s="103"/>
    </row>
    <row r="161" spans="1:12" x14ac:dyDescent="0.25">
      <c r="A161" s="103"/>
      <c r="B161" s="103"/>
      <c r="C161" s="103"/>
      <c r="D161" s="103"/>
      <c r="E161" s="103"/>
      <c r="F161" s="103"/>
      <c r="G161" s="103"/>
      <c r="H161" s="103"/>
      <c r="I161" s="103"/>
      <c r="J161" s="103"/>
      <c r="K161" s="103"/>
      <c r="L161" s="103"/>
    </row>
    <row r="162" spans="1:12" x14ac:dyDescent="0.25">
      <c r="A162" s="103"/>
      <c r="B162" s="103"/>
      <c r="C162" s="103"/>
      <c r="D162" s="103"/>
      <c r="E162" s="103"/>
      <c r="F162" s="103"/>
      <c r="G162" s="103"/>
      <c r="H162" s="103"/>
      <c r="I162" s="103"/>
      <c r="J162" s="103"/>
      <c r="K162" s="103"/>
      <c r="L162" s="103"/>
    </row>
    <row r="163" spans="1:12" x14ac:dyDescent="0.25">
      <c r="A163" s="103"/>
      <c r="B163" s="103"/>
      <c r="C163" s="103"/>
      <c r="D163" s="103"/>
      <c r="E163" s="103"/>
      <c r="F163" s="103"/>
      <c r="G163" s="103"/>
      <c r="H163" s="103"/>
      <c r="I163" s="103"/>
      <c r="J163" s="103"/>
      <c r="K163" s="103"/>
      <c r="L163" s="103"/>
    </row>
    <row r="164" spans="1:12" x14ac:dyDescent="0.25">
      <c r="A164" s="103"/>
      <c r="B164" s="103"/>
      <c r="C164" s="103"/>
      <c r="D164" s="103"/>
      <c r="E164" s="103"/>
      <c r="F164" s="103"/>
      <c r="G164" s="103"/>
      <c r="H164" s="103"/>
      <c r="I164" s="103"/>
      <c r="J164" s="103"/>
      <c r="K164" s="103"/>
      <c r="L164" s="103"/>
    </row>
    <row r="165" spans="1:12" x14ac:dyDescent="0.25">
      <c r="A165" s="103"/>
      <c r="B165" s="103"/>
      <c r="C165" s="103"/>
      <c r="D165" s="103"/>
      <c r="E165" s="103"/>
      <c r="F165" s="103"/>
      <c r="G165" s="103"/>
      <c r="H165" s="103"/>
      <c r="I165" s="103"/>
      <c r="J165" s="103"/>
      <c r="K165" s="103"/>
      <c r="L165" s="103"/>
    </row>
    <row r="166" spans="1:12" x14ac:dyDescent="0.25">
      <c r="A166" s="103"/>
      <c r="B166" s="103"/>
      <c r="C166" s="103"/>
      <c r="D166" s="103"/>
      <c r="E166" s="103"/>
      <c r="F166" s="103"/>
      <c r="G166" s="103"/>
      <c r="H166" s="103"/>
      <c r="I166" s="103"/>
      <c r="J166" s="103"/>
      <c r="K166" s="103"/>
      <c r="L166" s="103"/>
    </row>
    <row r="167" spans="1:12" x14ac:dyDescent="0.25">
      <c r="A167" s="103"/>
      <c r="B167" s="103"/>
      <c r="C167" s="103"/>
      <c r="D167" s="103"/>
      <c r="E167" s="103"/>
      <c r="F167" s="103"/>
      <c r="G167" s="103"/>
      <c r="H167" s="103"/>
      <c r="I167" s="103"/>
      <c r="J167" s="103"/>
      <c r="K167" s="103"/>
      <c r="L167" s="103"/>
    </row>
    <row r="168" spans="1:12" x14ac:dyDescent="0.25">
      <c r="A168" s="103"/>
      <c r="B168" s="103"/>
      <c r="C168" s="103"/>
      <c r="D168" s="103"/>
      <c r="E168" s="103"/>
      <c r="F168" s="103"/>
      <c r="G168" s="103"/>
      <c r="H168" s="103"/>
      <c r="I168" s="103"/>
      <c r="J168" s="103"/>
      <c r="K168" s="103"/>
      <c r="L168" s="103"/>
    </row>
    <row r="169" spans="1:12" x14ac:dyDescent="0.25">
      <c r="A169" s="103"/>
      <c r="B169" s="103"/>
      <c r="C169" s="103"/>
      <c r="D169" s="103"/>
      <c r="E169" s="103"/>
      <c r="F169" s="103"/>
      <c r="G169" s="103"/>
      <c r="H169" s="103"/>
      <c r="I169" s="103"/>
      <c r="J169" s="103"/>
      <c r="K169" s="103"/>
      <c r="L169" s="103"/>
    </row>
    <row r="170" spans="1:12" x14ac:dyDescent="0.25">
      <c r="A170" s="103"/>
      <c r="B170" s="103"/>
      <c r="C170" s="103"/>
      <c r="D170" s="103"/>
      <c r="E170" s="103"/>
      <c r="F170" s="103"/>
      <c r="G170" s="103"/>
      <c r="H170" s="103"/>
      <c r="I170" s="103"/>
      <c r="J170" s="103"/>
      <c r="K170" s="103"/>
      <c r="L170" s="103"/>
    </row>
    <row r="171" spans="1:12" x14ac:dyDescent="0.25">
      <c r="A171" s="103"/>
      <c r="B171" s="103"/>
      <c r="C171" s="103"/>
      <c r="D171" s="103"/>
      <c r="E171" s="103"/>
      <c r="F171" s="103"/>
      <c r="G171" s="103"/>
      <c r="H171" s="103"/>
      <c r="I171" s="103"/>
      <c r="J171" s="103"/>
      <c r="K171" s="103"/>
      <c r="L171" s="103"/>
    </row>
    <row r="172" spans="1:12" x14ac:dyDescent="0.25">
      <c r="A172" s="103"/>
      <c r="B172" s="103"/>
      <c r="C172" s="103"/>
      <c r="D172" s="103"/>
      <c r="E172" s="103"/>
      <c r="F172" s="103"/>
      <c r="G172" s="103"/>
      <c r="H172" s="103"/>
      <c r="I172" s="103"/>
      <c r="J172" s="103"/>
      <c r="K172" s="103"/>
      <c r="L172" s="103"/>
    </row>
    <row r="173" spans="1:12" x14ac:dyDescent="0.25">
      <c r="A173" s="103"/>
      <c r="B173" s="103"/>
      <c r="C173" s="103"/>
      <c r="D173" s="103"/>
      <c r="E173" s="103"/>
      <c r="F173" s="103"/>
      <c r="G173" s="103"/>
      <c r="H173" s="103"/>
      <c r="I173" s="103"/>
      <c r="J173" s="103"/>
      <c r="K173" s="103"/>
      <c r="L173" s="103"/>
    </row>
    <row r="174" spans="1:12" x14ac:dyDescent="0.25">
      <c r="A174" s="103"/>
      <c r="B174" s="103"/>
      <c r="C174" s="103"/>
      <c r="D174" s="103"/>
      <c r="E174" s="103"/>
      <c r="F174" s="103"/>
      <c r="G174" s="103"/>
      <c r="H174" s="103"/>
      <c r="I174" s="103"/>
      <c r="J174" s="103"/>
      <c r="K174" s="103"/>
      <c r="L174" s="103"/>
    </row>
    <row r="175" spans="1:12" x14ac:dyDescent="0.25">
      <c r="A175" s="103"/>
      <c r="B175" s="103"/>
      <c r="C175" s="103"/>
      <c r="D175" s="103"/>
      <c r="E175" s="103"/>
      <c r="F175" s="103"/>
      <c r="G175" s="103"/>
      <c r="H175" s="103"/>
      <c r="I175" s="103"/>
      <c r="J175" s="103"/>
      <c r="K175" s="103"/>
      <c r="L175" s="103"/>
    </row>
    <row r="176" spans="1:12" x14ac:dyDescent="0.25">
      <c r="A176" s="103"/>
      <c r="B176" s="103"/>
      <c r="C176" s="103"/>
      <c r="D176" s="103"/>
      <c r="E176" s="103"/>
      <c r="F176" s="103"/>
      <c r="G176" s="103"/>
      <c r="H176" s="103"/>
      <c r="I176" s="103"/>
      <c r="J176" s="103"/>
      <c r="K176" s="103"/>
      <c r="L176" s="103"/>
    </row>
    <row r="177" spans="1:12" x14ac:dyDescent="0.25">
      <c r="A177" s="103"/>
      <c r="B177" s="103"/>
      <c r="C177" s="103"/>
      <c r="D177" s="103"/>
      <c r="E177" s="103"/>
      <c r="F177" s="103"/>
      <c r="G177" s="103"/>
      <c r="H177" s="103"/>
      <c r="I177" s="103"/>
      <c r="J177" s="103"/>
      <c r="K177" s="103"/>
      <c r="L177" s="103"/>
    </row>
    <row r="178" spans="1:12" x14ac:dyDescent="0.25">
      <c r="A178" s="103"/>
      <c r="B178" s="103"/>
      <c r="C178" s="103"/>
      <c r="D178" s="103"/>
      <c r="E178" s="103"/>
      <c r="F178" s="103"/>
      <c r="G178" s="103"/>
      <c r="H178" s="103"/>
      <c r="I178" s="103"/>
      <c r="J178" s="103"/>
      <c r="K178" s="103"/>
      <c r="L178" s="103"/>
    </row>
    <row r="179" spans="1:12" x14ac:dyDescent="0.25">
      <c r="A179" s="103"/>
      <c r="B179" s="103"/>
      <c r="C179" s="103"/>
      <c r="D179" s="103"/>
      <c r="E179" s="103"/>
      <c r="F179" s="103"/>
      <c r="G179" s="103"/>
      <c r="H179" s="103"/>
      <c r="I179" s="103"/>
      <c r="J179" s="103"/>
      <c r="K179" s="103"/>
      <c r="L179" s="103"/>
    </row>
    <row r="180" spans="1:12" x14ac:dyDescent="0.25">
      <c r="A180" s="103"/>
      <c r="B180" s="103"/>
      <c r="C180" s="103"/>
      <c r="D180" s="103"/>
      <c r="E180" s="103"/>
      <c r="F180" s="103"/>
      <c r="G180" s="103"/>
      <c r="H180" s="103"/>
      <c r="I180" s="103"/>
      <c r="J180" s="103"/>
      <c r="K180" s="103"/>
      <c r="L180" s="103"/>
    </row>
    <row r="181" spans="1:12" x14ac:dyDescent="0.25">
      <c r="A181" s="103"/>
      <c r="B181" s="103"/>
      <c r="C181" s="103"/>
      <c r="D181" s="103"/>
      <c r="E181" s="103"/>
      <c r="F181" s="103"/>
      <c r="G181" s="103"/>
      <c r="H181" s="103"/>
      <c r="I181" s="103"/>
      <c r="J181" s="103"/>
      <c r="K181" s="103"/>
      <c r="L181" s="103"/>
    </row>
    <row r="182" spans="1:12" x14ac:dyDescent="0.25">
      <c r="A182" s="103"/>
      <c r="B182" s="103"/>
      <c r="C182" s="103"/>
      <c r="D182" s="103"/>
      <c r="E182" s="103"/>
      <c r="F182" s="103"/>
      <c r="G182" s="103"/>
      <c r="H182" s="103"/>
      <c r="I182" s="103"/>
      <c r="J182" s="103"/>
      <c r="K182" s="103"/>
      <c r="L182" s="103"/>
    </row>
    <row r="183" spans="1:12" x14ac:dyDescent="0.25">
      <c r="A183" s="103"/>
      <c r="B183" s="103"/>
      <c r="C183" s="103"/>
      <c r="D183" s="103"/>
      <c r="E183" s="103"/>
      <c r="F183" s="103"/>
      <c r="G183" s="103"/>
      <c r="H183" s="103"/>
      <c r="I183" s="103"/>
      <c r="J183" s="103"/>
      <c r="K183" s="103"/>
      <c r="L183" s="103"/>
    </row>
    <row r="184" spans="1:12" x14ac:dyDescent="0.25">
      <c r="A184" s="103"/>
      <c r="B184" s="103"/>
      <c r="C184" s="103"/>
      <c r="D184" s="103"/>
      <c r="E184" s="103"/>
      <c r="F184" s="103"/>
      <c r="G184" s="103"/>
      <c r="H184" s="103"/>
      <c r="I184" s="103"/>
      <c r="J184" s="103"/>
      <c r="K184" s="103"/>
      <c r="L184" s="103"/>
    </row>
    <row r="185" spans="1:12" x14ac:dyDescent="0.25">
      <c r="A185" s="103"/>
      <c r="B185" s="103"/>
      <c r="C185" s="103"/>
      <c r="D185" s="103"/>
      <c r="E185" s="103"/>
      <c r="F185" s="103"/>
      <c r="G185" s="103"/>
      <c r="H185" s="103"/>
      <c r="I185" s="103"/>
      <c r="J185" s="103"/>
      <c r="K185" s="103"/>
      <c r="L185" s="103"/>
    </row>
    <row r="186" spans="1:12" x14ac:dyDescent="0.25">
      <c r="A186" s="103"/>
      <c r="B186" s="103"/>
      <c r="C186" s="103"/>
      <c r="D186" s="103"/>
      <c r="E186" s="103"/>
      <c r="F186" s="103"/>
      <c r="G186" s="103"/>
      <c r="H186" s="103"/>
      <c r="I186" s="103"/>
      <c r="J186" s="103"/>
      <c r="K186" s="103"/>
      <c r="L186" s="103"/>
    </row>
    <row r="187" spans="1:12" x14ac:dyDescent="0.25">
      <c r="A187" s="103"/>
      <c r="B187" s="103"/>
      <c r="C187" s="103"/>
      <c r="D187" s="103"/>
      <c r="E187" s="103"/>
      <c r="F187" s="103"/>
      <c r="G187" s="103"/>
      <c r="H187" s="103"/>
      <c r="I187" s="103"/>
      <c r="J187" s="103"/>
      <c r="K187" s="103"/>
      <c r="L187" s="103"/>
    </row>
    <row r="188" spans="1:12" x14ac:dyDescent="0.25">
      <c r="A188" s="103"/>
      <c r="B188" s="103"/>
      <c r="C188" s="103"/>
      <c r="D188" s="103"/>
      <c r="E188" s="103"/>
      <c r="F188" s="103"/>
      <c r="G188" s="103"/>
      <c r="H188" s="103"/>
      <c r="I188" s="103"/>
      <c r="J188" s="103"/>
      <c r="K188" s="103"/>
      <c r="L188" s="103"/>
    </row>
    <row r="189" spans="1:12" x14ac:dyDescent="0.25">
      <c r="A189" s="103"/>
      <c r="B189" s="103"/>
      <c r="C189" s="103"/>
      <c r="D189" s="103"/>
      <c r="E189" s="103"/>
      <c r="F189" s="103"/>
      <c r="G189" s="103"/>
      <c r="H189" s="103"/>
      <c r="I189" s="103"/>
      <c r="J189" s="103"/>
      <c r="K189" s="103"/>
      <c r="L189" s="103"/>
    </row>
    <row r="190" spans="1:12" x14ac:dyDescent="0.25">
      <c r="A190" s="103"/>
      <c r="B190" s="103"/>
      <c r="C190" s="103"/>
      <c r="D190" s="103"/>
      <c r="E190" s="103"/>
      <c r="F190" s="103"/>
      <c r="G190" s="103"/>
      <c r="H190" s="103"/>
      <c r="I190" s="103"/>
      <c r="J190" s="103"/>
      <c r="K190" s="103"/>
      <c r="L190" s="103"/>
    </row>
    <row r="191" spans="1:12" x14ac:dyDescent="0.25">
      <c r="A191" s="103"/>
      <c r="B191" s="103"/>
      <c r="C191" s="103"/>
      <c r="D191" s="103"/>
      <c r="E191" s="103"/>
      <c r="F191" s="103"/>
      <c r="G191" s="103"/>
      <c r="H191" s="103"/>
      <c r="I191" s="103"/>
      <c r="J191" s="103"/>
      <c r="K191" s="103"/>
      <c r="L191" s="103"/>
    </row>
    <row r="192" spans="1:12" x14ac:dyDescent="0.25">
      <c r="A192" s="103"/>
      <c r="B192" s="103"/>
      <c r="C192" s="103"/>
      <c r="D192" s="103"/>
      <c r="E192" s="103"/>
      <c r="F192" s="103"/>
      <c r="G192" s="103"/>
      <c r="H192" s="103"/>
      <c r="I192" s="103"/>
      <c r="J192" s="103"/>
      <c r="K192" s="103"/>
      <c r="L192" s="103"/>
    </row>
    <row r="193" spans="1:12" x14ac:dyDescent="0.25">
      <c r="A193" s="103"/>
      <c r="B193" s="103"/>
      <c r="C193" s="103"/>
      <c r="D193" s="103"/>
      <c r="E193" s="103"/>
      <c r="F193" s="103"/>
      <c r="G193" s="103"/>
      <c r="H193" s="103"/>
      <c r="I193" s="103"/>
      <c r="J193" s="103"/>
      <c r="K193" s="103"/>
      <c r="L193" s="103"/>
    </row>
    <row r="194" spans="1:12" x14ac:dyDescent="0.25">
      <c r="A194" s="103"/>
      <c r="B194" s="103"/>
      <c r="C194" s="103"/>
      <c r="D194" s="103"/>
      <c r="E194" s="103"/>
      <c r="F194" s="103"/>
      <c r="G194" s="103"/>
      <c r="H194" s="103"/>
      <c r="I194" s="103"/>
      <c r="J194" s="103"/>
      <c r="K194" s="103"/>
      <c r="L194" s="103"/>
    </row>
    <row r="195" spans="1:12" x14ac:dyDescent="0.25">
      <c r="A195" s="103"/>
      <c r="B195" s="103"/>
      <c r="C195" s="103"/>
      <c r="D195" s="103"/>
      <c r="E195" s="103"/>
      <c r="F195" s="103"/>
      <c r="G195" s="103"/>
      <c r="H195" s="103"/>
      <c r="I195" s="103"/>
      <c r="J195" s="103"/>
      <c r="K195" s="103"/>
      <c r="L195" s="103"/>
    </row>
    <row r="196" spans="1:12" x14ac:dyDescent="0.25">
      <c r="A196" s="103"/>
      <c r="B196" s="103"/>
      <c r="C196" s="103"/>
      <c r="D196" s="103"/>
      <c r="E196" s="103"/>
      <c r="F196" s="103"/>
      <c r="G196" s="103"/>
      <c r="H196" s="103"/>
      <c r="I196" s="103"/>
      <c r="J196" s="103"/>
      <c r="K196" s="103"/>
      <c r="L196" s="103"/>
    </row>
    <row r="197" spans="1:12" x14ac:dyDescent="0.25">
      <c r="A197" s="103"/>
      <c r="B197" s="103"/>
      <c r="C197" s="103"/>
      <c r="D197" s="103"/>
      <c r="E197" s="103"/>
      <c r="F197" s="103"/>
      <c r="G197" s="103"/>
      <c r="H197" s="103"/>
      <c r="I197" s="103"/>
      <c r="J197" s="103"/>
      <c r="K197" s="103"/>
      <c r="L197" s="103"/>
    </row>
    <row r="198" spans="1:12" x14ac:dyDescent="0.25">
      <c r="A198" s="103"/>
      <c r="B198" s="103"/>
      <c r="C198" s="103"/>
      <c r="D198" s="103"/>
      <c r="E198" s="103"/>
      <c r="F198" s="103"/>
      <c r="G198" s="103"/>
      <c r="H198" s="103"/>
      <c r="I198" s="103"/>
      <c r="J198" s="103"/>
      <c r="K198" s="103"/>
      <c r="L198" s="103"/>
    </row>
    <row r="199" spans="1:12" x14ac:dyDescent="0.25">
      <c r="A199" s="103"/>
      <c r="B199" s="103"/>
      <c r="C199" s="103"/>
      <c r="D199" s="103"/>
      <c r="E199" s="103"/>
      <c r="F199" s="103"/>
      <c r="G199" s="103"/>
      <c r="H199" s="103"/>
      <c r="I199" s="103"/>
      <c r="J199" s="103"/>
      <c r="K199" s="103"/>
      <c r="L199" s="103"/>
    </row>
    <row r="200" spans="1:12" x14ac:dyDescent="0.25">
      <c r="A200" s="103"/>
      <c r="B200" s="103"/>
      <c r="C200" s="103"/>
      <c r="D200" s="103"/>
      <c r="E200" s="103"/>
      <c r="F200" s="103"/>
      <c r="G200" s="103"/>
      <c r="H200" s="103"/>
      <c r="I200" s="103"/>
      <c r="J200" s="103"/>
      <c r="K200" s="103"/>
      <c r="L200" s="103"/>
    </row>
    <row r="201" spans="1:12" x14ac:dyDescent="0.25">
      <c r="A201" s="103"/>
      <c r="B201" s="103"/>
      <c r="C201" s="103"/>
      <c r="D201" s="103"/>
      <c r="E201" s="103"/>
      <c r="F201" s="103"/>
      <c r="G201" s="103"/>
      <c r="H201" s="103"/>
      <c r="I201" s="103"/>
      <c r="J201" s="103"/>
      <c r="K201" s="103"/>
      <c r="L201" s="103"/>
    </row>
    <row r="202" spans="1:12" x14ac:dyDescent="0.25">
      <c r="A202" s="103"/>
      <c r="B202" s="103"/>
      <c r="C202" s="103"/>
      <c r="D202" s="103"/>
      <c r="E202" s="103"/>
      <c r="F202" s="103"/>
      <c r="G202" s="103"/>
      <c r="H202" s="103"/>
      <c r="I202" s="103"/>
      <c r="J202" s="103"/>
      <c r="K202" s="103"/>
      <c r="L202" s="103"/>
    </row>
    <row r="203" spans="1:12" x14ac:dyDescent="0.25">
      <c r="A203" s="103"/>
      <c r="B203" s="103"/>
      <c r="C203" s="103"/>
      <c r="D203" s="103"/>
      <c r="E203" s="103"/>
      <c r="F203" s="103"/>
      <c r="G203" s="103"/>
      <c r="H203" s="103"/>
      <c r="I203" s="103"/>
      <c r="J203" s="103"/>
      <c r="K203" s="103"/>
      <c r="L203" s="103"/>
    </row>
    <row r="204" spans="1:12" x14ac:dyDescent="0.25">
      <c r="A204" s="103"/>
      <c r="B204" s="103"/>
      <c r="C204" s="103"/>
      <c r="D204" s="103"/>
      <c r="E204" s="103"/>
      <c r="F204" s="103"/>
      <c r="G204" s="103"/>
      <c r="H204" s="103"/>
      <c r="I204" s="103"/>
      <c r="J204" s="103"/>
      <c r="K204" s="103"/>
      <c r="L204" s="103"/>
    </row>
    <row r="205" spans="1:12" x14ac:dyDescent="0.25">
      <c r="A205" s="103"/>
      <c r="B205" s="103"/>
      <c r="C205" s="103"/>
      <c r="D205" s="103"/>
      <c r="E205" s="103"/>
      <c r="F205" s="103"/>
      <c r="G205" s="103"/>
      <c r="H205" s="103"/>
      <c r="I205" s="103"/>
      <c r="J205" s="103"/>
      <c r="K205" s="103"/>
      <c r="L205" s="103"/>
    </row>
    <row r="206" spans="1:12" x14ac:dyDescent="0.25">
      <c r="A206" s="103"/>
      <c r="B206" s="103"/>
      <c r="C206" s="103"/>
      <c r="D206" s="103"/>
      <c r="E206" s="103"/>
      <c r="F206" s="103"/>
      <c r="G206" s="103"/>
      <c r="H206" s="103"/>
      <c r="I206" s="103"/>
      <c r="J206" s="103"/>
      <c r="K206" s="103"/>
      <c r="L206" s="103"/>
    </row>
    <row r="207" spans="1:12" x14ac:dyDescent="0.25">
      <c r="A207" s="103"/>
      <c r="B207" s="103"/>
      <c r="C207" s="103"/>
      <c r="D207" s="103"/>
      <c r="E207" s="103"/>
      <c r="F207" s="103"/>
      <c r="G207" s="103"/>
      <c r="H207" s="103"/>
      <c r="I207" s="103"/>
      <c r="J207" s="103"/>
      <c r="K207" s="103"/>
      <c r="L207" s="103"/>
    </row>
    <row r="208" spans="1:12" x14ac:dyDescent="0.25">
      <c r="A208" s="103"/>
      <c r="B208" s="103"/>
      <c r="C208" s="103"/>
      <c r="D208" s="103"/>
      <c r="E208" s="103"/>
      <c r="F208" s="103"/>
      <c r="G208" s="103"/>
      <c r="H208" s="103"/>
      <c r="I208" s="103"/>
      <c r="J208" s="103"/>
      <c r="K208" s="103"/>
      <c r="L208" s="103"/>
    </row>
    <row r="209" spans="1:12" x14ac:dyDescent="0.25">
      <c r="A209" s="103"/>
      <c r="B209" s="103"/>
      <c r="C209" s="103"/>
      <c r="D209" s="103"/>
      <c r="E209" s="103"/>
      <c r="F209" s="103"/>
      <c r="G209" s="103"/>
      <c r="H209" s="103"/>
      <c r="I209" s="103"/>
      <c r="J209" s="103"/>
      <c r="K209" s="103"/>
      <c r="L209" s="103"/>
    </row>
    <row r="210" spans="1:12" x14ac:dyDescent="0.25">
      <c r="A210" s="103"/>
      <c r="B210" s="103"/>
      <c r="C210" s="103"/>
      <c r="D210" s="103"/>
      <c r="E210" s="103"/>
      <c r="F210" s="103"/>
      <c r="G210" s="103"/>
      <c r="H210" s="103"/>
      <c r="I210" s="103"/>
      <c r="J210" s="103"/>
      <c r="K210" s="103"/>
      <c r="L210" s="103"/>
    </row>
    <row r="211" spans="1:12" x14ac:dyDescent="0.25">
      <c r="A211" s="103"/>
      <c r="B211" s="103"/>
      <c r="C211" s="103"/>
      <c r="D211" s="103"/>
      <c r="E211" s="103"/>
      <c r="F211" s="103"/>
      <c r="G211" s="103"/>
      <c r="H211" s="103"/>
      <c r="I211" s="103"/>
      <c r="J211" s="103"/>
      <c r="K211" s="103"/>
      <c r="L211" s="103"/>
    </row>
    <row r="212" spans="1:12" x14ac:dyDescent="0.25">
      <c r="A212" s="103"/>
      <c r="B212" s="103"/>
      <c r="C212" s="103"/>
      <c r="D212" s="103"/>
      <c r="E212" s="103"/>
      <c r="F212" s="103"/>
      <c r="G212" s="103"/>
      <c r="H212" s="103"/>
      <c r="I212" s="103"/>
      <c r="J212" s="103"/>
      <c r="K212" s="103"/>
      <c r="L212" s="103"/>
    </row>
    <row r="213" spans="1:12" x14ac:dyDescent="0.25">
      <c r="A213" s="103"/>
      <c r="B213" s="103"/>
      <c r="C213" s="103"/>
      <c r="D213" s="103"/>
      <c r="E213" s="103"/>
      <c r="F213" s="103"/>
      <c r="G213" s="103"/>
      <c r="H213" s="103"/>
      <c r="I213" s="103"/>
      <c r="J213" s="103"/>
      <c r="K213" s="103"/>
      <c r="L213" s="103"/>
    </row>
    <row r="214" spans="1:12" x14ac:dyDescent="0.25">
      <c r="A214" s="103"/>
      <c r="B214" s="103"/>
      <c r="C214" s="103"/>
      <c r="D214" s="103"/>
      <c r="E214" s="103"/>
      <c r="F214" s="103"/>
      <c r="G214" s="103"/>
      <c r="H214" s="103"/>
      <c r="I214" s="103"/>
      <c r="J214" s="103"/>
      <c r="K214" s="103"/>
      <c r="L214" s="103"/>
    </row>
    <row r="215" spans="1:12" x14ac:dyDescent="0.25">
      <c r="A215" s="103"/>
      <c r="B215" s="103"/>
      <c r="C215" s="103"/>
      <c r="D215" s="103"/>
      <c r="E215" s="103"/>
      <c r="F215" s="103"/>
      <c r="G215" s="103"/>
      <c r="H215" s="103"/>
      <c r="I215" s="103"/>
      <c r="J215" s="103"/>
      <c r="K215" s="103"/>
      <c r="L215" s="103"/>
    </row>
    <row r="216" spans="1:12" x14ac:dyDescent="0.25">
      <c r="A216" s="103"/>
      <c r="B216" s="103"/>
      <c r="C216" s="103"/>
      <c r="D216" s="103"/>
      <c r="E216" s="103"/>
      <c r="F216" s="103"/>
      <c r="G216" s="103"/>
      <c r="H216" s="103"/>
      <c r="I216" s="103"/>
      <c r="J216" s="103"/>
      <c r="K216" s="103"/>
      <c r="L216" s="103"/>
    </row>
    <row r="217" spans="1:12" x14ac:dyDescent="0.25">
      <c r="A217" s="103"/>
      <c r="B217" s="103"/>
      <c r="C217" s="103"/>
      <c r="D217" s="103"/>
      <c r="E217" s="103"/>
      <c r="F217" s="103"/>
      <c r="G217" s="103"/>
      <c r="H217" s="103"/>
      <c r="I217" s="103"/>
      <c r="J217" s="103"/>
      <c r="K217" s="103"/>
      <c r="L217" s="103"/>
    </row>
    <row r="218" spans="1:12" x14ac:dyDescent="0.25">
      <c r="A218" s="103"/>
      <c r="B218" s="103"/>
      <c r="C218" s="103"/>
      <c r="D218" s="103"/>
      <c r="E218" s="103"/>
      <c r="F218" s="103"/>
      <c r="G218" s="103"/>
      <c r="H218" s="103"/>
      <c r="I218" s="103"/>
      <c r="J218" s="103"/>
      <c r="K218" s="103"/>
      <c r="L218" s="103"/>
    </row>
    <row r="219" spans="1:12" x14ac:dyDescent="0.25">
      <c r="A219" s="103"/>
      <c r="B219" s="103"/>
      <c r="C219" s="103"/>
      <c r="D219" s="103"/>
      <c r="E219" s="103"/>
      <c r="F219" s="103"/>
      <c r="G219" s="103"/>
      <c r="H219" s="103"/>
      <c r="I219" s="103"/>
      <c r="J219" s="103"/>
      <c r="K219" s="103"/>
      <c r="L219" s="103"/>
    </row>
    <row r="220" spans="1:12" x14ac:dyDescent="0.25">
      <c r="A220" s="103"/>
      <c r="B220" s="103"/>
      <c r="C220" s="103"/>
      <c r="D220" s="103"/>
      <c r="E220" s="103"/>
      <c r="F220" s="103"/>
      <c r="G220" s="103"/>
      <c r="H220" s="103"/>
      <c r="I220" s="103"/>
      <c r="J220" s="103"/>
      <c r="K220" s="103"/>
      <c r="L220" s="103"/>
    </row>
    <row r="221" spans="1:12" x14ac:dyDescent="0.25">
      <c r="A221" s="103"/>
      <c r="B221" s="103"/>
      <c r="C221" s="103"/>
      <c r="D221" s="103"/>
      <c r="E221" s="103"/>
      <c r="F221" s="103"/>
      <c r="G221" s="103"/>
      <c r="H221" s="103"/>
      <c r="I221" s="103"/>
      <c r="J221" s="103"/>
      <c r="K221" s="103"/>
      <c r="L221" s="103"/>
    </row>
    <row r="222" spans="1:12" x14ac:dyDescent="0.25">
      <c r="A222" s="103"/>
      <c r="B222" s="103"/>
      <c r="C222" s="103"/>
      <c r="D222" s="103"/>
      <c r="E222" s="103"/>
      <c r="F222" s="103"/>
      <c r="G222" s="103"/>
      <c r="H222" s="103"/>
      <c r="I222" s="103"/>
      <c r="J222" s="103"/>
      <c r="K222" s="103"/>
      <c r="L222" s="103"/>
    </row>
    <row r="223" spans="1:12" x14ac:dyDescent="0.25">
      <c r="A223" s="103"/>
      <c r="B223" s="103"/>
      <c r="C223" s="103"/>
      <c r="D223" s="103"/>
      <c r="E223" s="103"/>
      <c r="F223" s="103"/>
      <c r="G223" s="103"/>
      <c r="H223" s="103"/>
      <c r="I223" s="103"/>
      <c r="J223" s="103"/>
      <c r="K223" s="103"/>
      <c r="L223" s="103"/>
    </row>
    <row r="224" spans="1:12" x14ac:dyDescent="0.25">
      <c r="A224" s="103"/>
      <c r="B224" s="103"/>
      <c r="C224" s="103"/>
      <c r="D224" s="103"/>
      <c r="E224" s="103"/>
      <c r="F224" s="103"/>
      <c r="G224" s="103"/>
      <c r="H224" s="103"/>
      <c r="I224" s="103"/>
      <c r="J224" s="103"/>
      <c r="K224" s="103"/>
      <c r="L224" s="103"/>
    </row>
    <row r="225" spans="1:12" x14ac:dyDescent="0.25">
      <c r="A225" s="103"/>
      <c r="B225" s="103"/>
      <c r="C225" s="103"/>
      <c r="D225" s="103"/>
      <c r="E225" s="103"/>
      <c r="F225" s="103"/>
      <c r="G225" s="103"/>
      <c r="H225" s="103"/>
      <c r="I225" s="103"/>
      <c r="J225" s="103"/>
      <c r="K225" s="103"/>
      <c r="L225" s="103"/>
    </row>
    <row r="226" spans="1:12" x14ac:dyDescent="0.25">
      <c r="A226" s="103"/>
      <c r="B226" s="103"/>
      <c r="C226" s="103"/>
      <c r="D226" s="103"/>
      <c r="E226" s="103"/>
      <c r="F226" s="103"/>
      <c r="G226" s="103"/>
      <c r="H226" s="103"/>
      <c r="I226" s="103"/>
      <c r="J226" s="103"/>
      <c r="K226" s="103"/>
      <c r="L226" s="103"/>
    </row>
    <row r="227" spans="1:12" x14ac:dyDescent="0.25">
      <c r="A227" s="103"/>
      <c r="B227" s="103"/>
      <c r="C227" s="103"/>
      <c r="D227" s="103"/>
      <c r="E227" s="103"/>
      <c r="F227" s="103"/>
      <c r="G227" s="103"/>
      <c r="H227" s="103"/>
      <c r="I227" s="103"/>
      <c r="J227" s="103"/>
      <c r="K227" s="103"/>
      <c r="L227" s="103"/>
    </row>
    <row r="228" spans="1:12" x14ac:dyDescent="0.25">
      <c r="A228" s="103"/>
      <c r="B228" s="103"/>
      <c r="C228" s="103"/>
      <c r="D228" s="103"/>
      <c r="E228" s="103"/>
      <c r="F228" s="103"/>
      <c r="G228" s="103"/>
      <c r="H228" s="103"/>
      <c r="I228" s="103"/>
      <c r="J228" s="103"/>
      <c r="K228" s="103"/>
      <c r="L228" s="103"/>
    </row>
    <row r="229" spans="1:12" x14ac:dyDescent="0.25">
      <c r="A229" s="103"/>
      <c r="B229" s="103"/>
      <c r="C229" s="103"/>
      <c r="D229" s="103"/>
      <c r="E229" s="103"/>
      <c r="F229" s="103"/>
      <c r="G229" s="103"/>
      <c r="H229" s="103"/>
      <c r="I229" s="103"/>
      <c r="J229" s="103"/>
      <c r="K229" s="103"/>
      <c r="L229" s="103"/>
    </row>
    <row r="230" spans="1:12" x14ac:dyDescent="0.25">
      <c r="A230" s="103"/>
      <c r="B230" s="103"/>
      <c r="C230" s="103"/>
      <c r="D230" s="103"/>
      <c r="E230" s="103"/>
      <c r="F230" s="103"/>
      <c r="G230" s="103"/>
      <c r="H230" s="103"/>
      <c r="I230" s="103"/>
      <c r="J230" s="103"/>
      <c r="K230" s="103"/>
      <c r="L230" s="103"/>
    </row>
    <row r="231" spans="1:12" x14ac:dyDescent="0.25">
      <c r="A231" s="103"/>
      <c r="B231" s="103"/>
      <c r="C231" s="103"/>
      <c r="D231" s="103"/>
      <c r="E231" s="103"/>
      <c r="F231" s="103"/>
      <c r="G231" s="103"/>
      <c r="H231" s="103"/>
      <c r="I231" s="103"/>
      <c r="J231" s="103"/>
      <c r="K231" s="103"/>
      <c r="L231" s="103"/>
    </row>
    <row r="232" spans="1:12" x14ac:dyDescent="0.25">
      <c r="A232" s="103"/>
      <c r="B232" s="103"/>
      <c r="C232" s="103"/>
      <c r="D232" s="103"/>
      <c r="E232" s="103"/>
      <c r="F232" s="103"/>
      <c r="G232" s="103"/>
      <c r="H232" s="103"/>
      <c r="I232" s="103"/>
      <c r="J232" s="103"/>
      <c r="K232" s="103"/>
      <c r="L232" s="103"/>
    </row>
    <row r="233" spans="1:12" x14ac:dyDescent="0.25">
      <c r="A233" s="103"/>
      <c r="B233" s="103"/>
      <c r="C233" s="103"/>
      <c r="D233" s="103"/>
      <c r="E233" s="103"/>
      <c r="F233" s="103"/>
      <c r="G233" s="103"/>
      <c r="H233" s="103"/>
      <c r="I233" s="103"/>
      <c r="J233" s="103"/>
      <c r="K233" s="103"/>
      <c r="L233" s="103"/>
    </row>
    <row r="234" spans="1:12" x14ac:dyDescent="0.25">
      <c r="A234" s="103"/>
      <c r="B234" s="103"/>
      <c r="C234" s="103"/>
      <c r="D234" s="103"/>
      <c r="E234" s="103"/>
      <c r="F234" s="103"/>
      <c r="G234" s="103"/>
      <c r="H234" s="103"/>
      <c r="I234" s="103"/>
      <c r="J234" s="103"/>
      <c r="K234" s="103"/>
      <c r="L234" s="103"/>
    </row>
    <row r="235" spans="1:12" x14ac:dyDescent="0.25">
      <c r="A235" s="103"/>
      <c r="B235" s="103"/>
      <c r="C235" s="103"/>
      <c r="D235" s="103"/>
      <c r="E235" s="103"/>
      <c r="F235" s="103"/>
      <c r="G235" s="103"/>
      <c r="H235" s="103"/>
      <c r="I235" s="103"/>
      <c r="J235" s="103"/>
      <c r="K235" s="103"/>
      <c r="L235" s="103"/>
    </row>
    <row r="236" spans="1:12" x14ac:dyDescent="0.25">
      <c r="A236" s="103"/>
      <c r="B236" s="103"/>
      <c r="C236" s="103"/>
      <c r="D236" s="103"/>
      <c r="E236" s="103"/>
      <c r="F236" s="103"/>
      <c r="G236" s="103"/>
      <c r="H236" s="103"/>
      <c r="I236" s="103"/>
      <c r="J236" s="103"/>
      <c r="K236" s="103"/>
      <c r="L236" s="103"/>
    </row>
    <row r="237" spans="1:12" x14ac:dyDescent="0.25">
      <c r="A237" s="103"/>
      <c r="B237" s="103"/>
      <c r="C237" s="103"/>
      <c r="D237" s="103"/>
      <c r="E237" s="103"/>
      <c r="F237" s="103"/>
      <c r="G237" s="103"/>
      <c r="H237" s="103"/>
      <c r="I237" s="103"/>
      <c r="J237" s="103"/>
      <c r="K237" s="103"/>
      <c r="L237" s="103"/>
    </row>
    <row r="238" spans="1:12" x14ac:dyDescent="0.25">
      <c r="A238" s="103"/>
      <c r="B238" s="103"/>
      <c r="C238" s="103"/>
      <c r="D238" s="103"/>
      <c r="E238" s="103"/>
      <c r="F238" s="103"/>
      <c r="G238" s="103"/>
      <c r="H238" s="103"/>
      <c r="I238" s="103"/>
      <c r="J238" s="103"/>
      <c r="K238" s="103"/>
      <c r="L238" s="103"/>
    </row>
    <row r="239" spans="1:12" x14ac:dyDescent="0.25">
      <c r="A239" s="103"/>
      <c r="B239" s="103"/>
      <c r="C239" s="103"/>
      <c r="D239" s="103"/>
      <c r="E239" s="103"/>
      <c r="F239" s="103"/>
      <c r="G239" s="103"/>
      <c r="H239" s="103"/>
      <c r="I239" s="103"/>
      <c r="J239" s="103"/>
      <c r="K239" s="103"/>
      <c r="L239" s="103"/>
    </row>
    <row r="240" spans="1:12" x14ac:dyDescent="0.25">
      <c r="A240" s="103"/>
      <c r="B240" s="103"/>
      <c r="C240" s="103"/>
      <c r="D240" s="103"/>
      <c r="E240" s="103"/>
      <c r="F240" s="103"/>
      <c r="G240" s="103"/>
      <c r="H240" s="103"/>
      <c r="I240" s="103"/>
      <c r="J240" s="103"/>
      <c r="K240" s="103"/>
      <c r="L240" s="103"/>
    </row>
    <row r="241" spans="1:12" x14ac:dyDescent="0.25">
      <c r="A241" s="103"/>
      <c r="B241" s="103"/>
      <c r="C241" s="103"/>
      <c r="D241" s="103"/>
      <c r="E241" s="103"/>
      <c r="F241" s="103"/>
      <c r="G241" s="103"/>
      <c r="H241" s="103"/>
      <c r="I241" s="103"/>
      <c r="J241" s="103"/>
      <c r="K241" s="103"/>
      <c r="L241" s="103"/>
    </row>
    <row r="242" spans="1:12" x14ac:dyDescent="0.25">
      <c r="A242" s="103"/>
      <c r="B242" s="103"/>
      <c r="C242" s="103"/>
      <c r="D242" s="103"/>
      <c r="E242" s="103"/>
      <c r="F242" s="103"/>
      <c r="G242" s="103"/>
      <c r="H242" s="103"/>
      <c r="I242" s="103"/>
      <c r="J242" s="103"/>
      <c r="K242" s="103"/>
      <c r="L242" s="103"/>
    </row>
    <row r="243" spans="1:12" x14ac:dyDescent="0.25">
      <c r="A243" s="103"/>
      <c r="B243" s="103"/>
      <c r="C243" s="103"/>
      <c r="D243" s="103"/>
      <c r="E243" s="103"/>
      <c r="F243" s="103"/>
      <c r="G243" s="103"/>
      <c r="H243" s="103"/>
      <c r="I243" s="103"/>
      <c r="J243" s="103"/>
      <c r="K243" s="103"/>
      <c r="L243" s="103"/>
    </row>
    <row r="244" spans="1:12" x14ac:dyDescent="0.25">
      <c r="A244" s="103"/>
      <c r="B244" s="103"/>
      <c r="C244" s="103"/>
      <c r="D244" s="103"/>
      <c r="E244" s="103"/>
      <c r="F244" s="103"/>
      <c r="G244" s="103"/>
      <c r="H244" s="103"/>
      <c r="I244" s="103"/>
      <c r="J244" s="103"/>
      <c r="K244" s="103"/>
      <c r="L244" s="103"/>
    </row>
    <row r="245" spans="1:12" x14ac:dyDescent="0.25">
      <c r="A245" s="103"/>
      <c r="B245" s="103"/>
      <c r="C245" s="103"/>
      <c r="D245" s="103"/>
      <c r="E245" s="103"/>
      <c r="F245" s="103"/>
      <c r="G245" s="103"/>
      <c r="H245" s="103"/>
      <c r="I245" s="103"/>
      <c r="J245" s="103"/>
      <c r="K245" s="103"/>
      <c r="L245" s="103"/>
    </row>
    <row r="246" spans="1:12" x14ac:dyDescent="0.25">
      <c r="A246" s="103"/>
      <c r="B246" s="103"/>
      <c r="C246" s="103"/>
      <c r="D246" s="103"/>
      <c r="E246" s="103"/>
      <c r="F246" s="103"/>
      <c r="G246" s="103"/>
      <c r="H246" s="103"/>
      <c r="I246" s="103"/>
      <c r="J246" s="103"/>
      <c r="K246" s="103"/>
      <c r="L246" s="103"/>
    </row>
    <row r="247" spans="1:12" x14ac:dyDescent="0.25">
      <c r="A247" s="103"/>
      <c r="B247" s="103"/>
      <c r="C247" s="103"/>
      <c r="D247" s="103"/>
      <c r="E247" s="103"/>
      <c r="F247" s="103"/>
      <c r="G247" s="103"/>
      <c r="H247" s="103"/>
      <c r="I247" s="103"/>
      <c r="J247" s="103"/>
      <c r="K247" s="103"/>
      <c r="L247" s="103"/>
    </row>
    <row r="248" spans="1:12" x14ac:dyDescent="0.25">
      <c r="A248" s="103"/>
      <c r="B248" s="103"/>
      <c r="C248" s="103"/>
      <c r="D248" s="103"/>
      <c r="E248" s="103"/>
      <c r="F248" s="103"/>
      <c r="G248" s="103"/>
      <c r="H248" s="103"/>
      <c r="I248" s="103"/>
      <c r="J248" s="103"/>
      <c r="K248" s="103"/>
      <c r="L248" s="103"/>
    </row>
    <row r="249" spans="1:12" x14ac:dyDescent="0.25">
      <c r="A249" s="103"/>
      <c r="B249" s="103"/>
      <c r="C249" s="103"/>
      <c r="D249" s="103"/>
      <c r="E249" s="103"/>
      <c r="F249" s="103"/>
      <c r="G249" s="103"/>
      <c r="H249" s="103"/>
      <c r="I249" s="103"/>
      <c r="J249" s="103"/>
      <c r="K249" s="103"/>
      <c r="L249" s="103"/>
    </row>
    <row r="250" spans="1:12" x14ac:dyDescent="0.25">
      <c r="A250" s="103"/>
      <c r="B250" s="103"/>
      <c r="C250" s="103"/>
      <c r="D250" s="103"/>
      <c r="E250" s="103"/>
      <c r="F250" s="103"/>
      <c r="G250" s="103"/>
      <c r="H250" s="103"/>
      <c r="I250" s="103"/>
      <c r="J250" s="103"/>
      <c r="K250" s="103"/>
      <c r="L250" s="103"/>
    </row>
    <row r="251" spans="1:12" x14ac:dyDescent="0.25">
      <c r="A251" s="103"/>
      <c r="B251" s="103"/>
      <c r="C251" s="103"/>
      <c r="D251" s="103"/>
      <c r="E251" s="103"/>
      <c r="F251" s="103"/>
      <c r="G251" s="103"/>
      <c r="H251" s="103"/>
      <c r="I251" s="103"/>
      <c r="J251" s="103"/>
      <c r="K251" s="103"/>
      <c r="L251" s="103"/>
    </row>
    <row r="252" spans="1:12" x14ac:dyDescent="0.25">
      <c r="A252" s="103"/>
      <c r="B252" s="103"/>
      <c r="C252" s="103"/>
      <c r="D252" s="103"/>
      <c r="E252" s="103"/>
      <c r="F252" s="103"/>
      <c r="G252" s="103"/>
      <c r="H252" s="103"/>
      <c r="I252" s="103"/>
      <c r="J252" s="103"/>
      <c r="K252" s="103"/>
      <c r="L252" s="103"/>
    </row>
    <row r="253" spans="1:12" x14ac:dyDescent="0.25">
      <c r="A253" s="103"/>
      <c r="B253" s="103"/>
      <c r="C253" s="103"/>
      <c r="D253" s="103"/>
      <c r="E253" s="103"/>
      <c r="F253" s="103"/>
      <c r="G253" s="103"/>
      <c r="H253" s="103"/>
      <c r="I253" s="103"/>
      <c r="J253" s="103"/>
      <c r="K253" s="103"/>
      <c r="L253" s="103"/>
    </row>
    <row r="254" spans="1:12" x14ac:dyDescent="0.25">
      <c r="A254" s="103"/>
      <c r="B254" s="103"/>
      <c r="C254" s="103"/>
      <c r="D254" s="103"/>
      <c r="E254" s="103"/>
      <c r="F254" s="103"/>
      <c r="G254" s="103"/>
      <c r="H254" s="103"/>
      <c r="I254" s="103"/>
      <c r="J254" s="103"/>
      <c r="K254" s="103"/>
      <c r="L254" s="103"/>
    </row>
    <row r="255" spans="1:12" x14ac:dyDescent="0.25">
      <c r="A255" s="103"/>
      <c r="B255" s="103"/>
      <c r="C255" s="103"/>
      <c r="D255" s="103"/>
      <c r="E255" s="103"/>
      <c r="F255" s="103"/>
      <c r="G255" s="103"/>
      <c r="H255" s="103"/>
      <c r="I255" s="103"/>
      <c r="J255" s="103"/>
      <c r="K255" s="103"/>
      <c r="L255" s="103"/>
    </row>
    <row r="256" spans="1:12" x14ac:dyDescent="0.25">
      <c r="A256" s="103"/>
      <c r="B256" s="103"/>
      <c r="C256" s="103"/>
      <c r="D256" s="103"/>
      <c r="E256" s="103"/>
      <c r="F256" s="103"/>
      <c r="G256" s="103"/>
      <c r="H256" s="103"/>
      <c r="I256" s="103"/>
      <c r="J256" s="103"/>
      <c r="K256" s="103"/>
      <c r="L256" s="103"/>
    </row>
    <row r="257" spans="1:12" x14ac:dyDescent="0.25">
      <c r="A257" s="103"/>
      <c r="B257" s="103"/>
      <c r="C257" s="103"/>
      <c r="D257" s="103"/>
      <c r="E257" s="103"/>
      <c r="F257" s="103"/>
      <c r="G257" s="103"/>
      <c r="H257" s="103"/>
      <c r="I257" s="103"/>
      <c r="J257" s="103"/>
      <c r="K257" s="103"/>
      <c r="L257" s="103"/>
    </row>
    <row r="258" spans="1:12" x14ac:dyDescent="0.25">
      <c r="A258" s="103"/>
      <c r="B258" s="103"/>
      <c r="C258" s="103"/>
      <c r="D258" s="103"/>
      <c r="E258" s="103"/>
      <c r="F258" s="103"/>
      <c r="G258" s="103"/>
      <c r="H258" s="103"/>
      <c r="I258" s="103"/>
      <c r="J258" s="103"/>
      <c r="K258" s="103"/>
      <c r="L258" s="103"/>
    </row>
    <row r="259" spans="1:12" x14ac:dyDescent="0.25">
      <c r="A259" s="103"/>
      <c r="B259" s="103"/>
      <c r="C259" s="103"/>
      <c r="D259" s="103"/>
      <c r="E259" s="103"/>
      <c r="F259" s="103"/>
      <c r="G259" s="103"/>
      <c r="H259" s="103"/>
      <c r="I259" s="103"/>
      <c r="J259" s="103"/>
      <c r="K259" s="103"/>
      <c r="L259" s="103"/>
    </row>
    <row r="260" spans="1:12" x14ac:dyDescent="0.25">
      <c r="A260" s="103"/>
      <c r="B260" s="103"/>
      <c r="C260" s="103"/>
      <c r="D260" s="103"/>
      <c r="E260" s="103"/>
      <c r="F260" s="103"/>
      <c r="G260" s="103"/>
      <c r="H260" s="103"/>
      <c r="I260" s="103"/>
      <c r="J260" s="103"/>
      <c r="K260" s="103"/>
      <c r="L260" s="103"/>
    </row>
    <row r="261" spans="1:12" x14ac:dyDescent="0.25">
      <c r="A261" s="103"/>
      <c r="B261" s="103"/>
      <c r="C261" s="103"/>
      <c r="D261" s="103"/>
      <c r="E261" s="103"/>
      <c r="F261" s="103"/>
      <c r="G261" s="103"/>
      <c r="H261" s="103"/>
      <c r="I261" s="103"/>
      <c r="J261" s="103"/>
      <c r="K261" s="103"/>
      <c r="L261" s="103"/>
    </row>
    <row r="262" spans="1:12" x14ac:dyDescent="0.25">
      <c r="A262" s="103"/>
      <c r="B262" s="103"/>
      <c r="C262" s="103"/>
      <c r="D262" s="103"/>
      <c r="E262" s="103"/>
      <c r="F262" s="103"/>
      <c r="G262" s="103"/>
      <c r="H262" s="103"/>
      <c r="I262" s="103"/>
      <c r="J262" s="103"/>
      <c r="K262" s="103"/>
      <c r="L262" s="103"/>
    </row>
    <row r="263" spans="1:12" x14ac:dyDescent="0.25">
      <c r="A263" s="103"/>
      <c r="B263" s="103"/>
      <c r="C263" s="103"/>
      <c r="D263" s="103"/>
      <c r="E263" s="103"/>
      <c r="F263" s="103"/>
      <c r="G263" s="103"/>
      <c r="H263" s="103"/>
      <c r="I263" s="103"/>
      <c r="J263" s="103"/>
      <c r="K263" s="103"/>
      <c r="L263" s="103"/>
    </row>
    <row r="264" spans="1:12" x14ac:dyDescent="0.25">
      <c r="A264" s="103"/>
      <c r="B264" s="103"/>
      <c r="C264" s="103"/>
      <c r="D264" s="103"/>
      <c r="E264" s="103"/>
      <c r="F264" s="103"/>
      <c r="G264" s="103"/>
      <c r="H264" s="103"/>
      <c r="I264" s="103"/>
      <c r="J264" s="103"/>
      <c r="K264" s="103"/>
      <c r="L264" s="103"/>
    </row>
    <row r="265" spans="1:12" x14ac:dyDescent="0.25">
      <c r="A265" s="103"/>
      <c r="B265" s="103"/>
      <c r="C265" s="103"/>
      <c r="D265" s="103"/>
      <c r="E265" s="103"/>
      <c r="F265" s="103"/>
      <c r="G265" s="103"/>
      <c r="H265" s="103"/>
      <c r="I265" s="103"/>
      <c r="J265" s="103"/>
      <c r="K265" s="103"/>
      <c r="L265" s="103"/>
    </row>
    <row r="266" spans="1:12" x14ac:dyDescent="0.25">
      <c r="A266" s="103"/>
      <c r="B266" s="103"/>
      <c r="C266" s="103"/>
      <c r="D266" s="103"/>
      <c r="E266" s="103"/>
      <c r="F266" s="103"/>
      <c r="G266" s="103"/>
      <c r="H266" s="103"/>
      <c r="I266" s="103"/>
      <c r="J266" s="103"/>
      <c r="K266" s="103"/>
      <c r="L266" s="103"/>
    </row>
    <row r="267" spans="1:12" x14ac:dyDescent="0.25">
      <c r="A267" s="103"/>
      <c r="B267" s="103"/>
      <c r="C267" s="103"/>
      <c r="D267" s="103"/>
      <c r="E267" s="103"/>
      <c r="F267" s="103"/>
      <c r="G267" s="103"/>
      <c r="H267" s="103"/>
      <c r="I267" s="103"/>
      <c r="J267" s="103"/>
      <c r="K267" s="103"/>
      <c r="L267" s="103"/>
    </row>
    <row r="268" spans="1:12" x14ac:dyDescent="0.25">
      <c r="A268" s="103"/>
      <c r="B268" s="103"/>
      <c r="C268" s="103"/>
      <c r="D268" s="103"/>
      <c r="E268" s="103"/>
      <c r="F268" s="103"/>
      <c r="G268" s="103"/>
      <c r="H268" s="103"/>
      <c r="I268" s="103"/>
      <c r="J268" s="103"/>
      <c r="K268" s="103"/>
      <c r="L268" s="103"/>
    </row>
    <row r="269" spans="1:12" x14ac:dyDescent="0.25">
      <c r="A269" s="103"/>
      <c r="B269" s="103"/>
      <c r="C269" s="103"/>
      <c r="D269" s="103"/>
      <c r="E269" s="103"/>
      <c r="F269" s="103"/>
      <c r="G269" s="103"/>
      <c r="H269" s="103"/>
      <c r="I269" s="103"/>
      <c r="J269" s="103"/>
      <c r="K269" s="103"/>
      <c r="L269" s="103"/>
    </row>
    <row r="270" spans="1:12" x14ac:dyDescent="0.25">
      <c r="A270" s="103"/>
      <c r="B270" s="103"/>
      <c r="C270" s="103"/>
      <c r="D270" s="103"/>
      <c r="E270" s="103"/>
      <c r="F270" s="103"/>
      <c r="G270" s="103"/>
      <c r="H270" s="103"/>
      <c r="I270" s="103"/>
      <c r="J270" s="103"/>
      <c r="K270" s="103"/>
      <c r="L270" s="103"/>
    </row>
    <row r="271" spans="1:12" x14ac:dyDescent="0.25">
      <c r="A271" s="103"/>
      <c r="B271" s="103"/>
      <c r="C271" s="103"/>
      <c r="D271" s="103"/>
      <c r="E271" s="103"/>
      <c r="F271" s="103"/>
      <c r="G271" s="103"/>
      <c r="H271" s="103"/>
      <c r="I271" s="103"/>
      <c r="J271" s="103"/>
      <c r="K271" s="103"/>
      <c r="L271" s="103"/>
    </row>
    <row r="272" spans="1:12" x14ac:dyDescent="0.25">
      <c r="A272" s="103"/>
      <c r="B272" s="103"/>
      <c r="C272" s="103"/>
      <c r="D272" s="103"/>
      <c r="E272" s="103"/>
      <c r="F272" s="103"/>
      <c r="G272" s="103"/>
      <c r="H272" s="103"/>
      <c r="I272" s="103"/>
      <c r="J272" s="103"/>
      <c r="K272" s="103"/>
      <c r="L272" s="103"/>
    </row>
    <row r="273" spans="1:12" x14ac:dyDescent="0.25">
      <c r="A273" s="103"/>
      <c r="B273" s="103"/>
      <c r="C273" s="103"/>
      <c r="D273" s="103"/>
      <c r="E273" s="103"/>
      <c r="F273" s="103"/>
      <c r="G273" s="103"/>
      <c r="H273" s="103"/>
      <c r="I273" s="103"/>
      <c r="J273" s="103"/>
      <c r="K273" s="103"/>
      <c r="L273" s="103"/>
    </row>
    <row r="274" spans="1:12" x14ac:dyDescent="0.25">
      <c r="A274" s="103"/>
      <c r="B274" s="103"/>
      <c r="C274" s="103"/>
      <c r="D274" s="103"/>
      <c r="E274" s="103"/>
      <c r="F274" s="103"/>
      <c r="G274" s="103"/>
      <c r="H274" s="103"/>
      <c r="I274" s="103"/>
      <c r="J274" s="103"/>
      <c r="K274" s="103"/>
      <c r="L274" s="103"/>
    </row>
    <row r="275" spans="1:12" x14ac:dyDescent="0.25">
      <c r="A275" s="103"/>
      <c r="B275" s="103"/>
      <c r="C275" s="103"/>
      <c r="D275" s="103"/>
      <c r="E275" s="103"/>
      <c r="F275" s="103"/>
      <c r="G275" s="103"/>
      <c r="H275" s="103"/>
      <c r="I275" s="103"/>
      <c r="J275" s="103"/>
      <c r="K275" s="103"/>
      <c r="L275" s="103"/>
    </row>
    <row r="276" spans="1:12" x14ac:dyDescent="0.25">
      <c r="A276" s="103"/>
      <c r="B276" s="103"/>
      <c r="C276" s="103"/>
      <c r="D276" s="103"/>
      <c r="E276" s="103"/>
      <c r="F276" s="103"/>
      <c r="G276" s="103"/>
      <c r="H276" s="103"/>
      <c r="I276" s="103"/>
      <c r="J276" s="103"/>
      <c r="K276" s="103"/>
      <c r="L276" s="103"/>
    </row>
    <row r="277" spans="1:12" x14ac:dyDescent="0.25">
      <c r="A277" s="103"/>
      <c r="B277" s="103"/>
      <c r="C277" s="103"/>
      <c r="D277" s="103"/>
      <c r="E277" s="103"/>
      <c r="F277" s="103"/>
      <c r="G277" s="103"/>
      <c r="H277" s="103"/>
      <c r="I277" s="103"/>
      <c r="J277" s="103"/>
      <c r="K277" s="103"/>
      <c r="L277" s="103"/>
    </row>
    <row r="278" spans="1:12" x14ac:dyDescent="0.25">
      <c r="A278" s="103"/>
      <c r="B278" s="103"/>
      <c r="C278" s="103"/>
      <c r="D278" s="103"/>
      <c r="E278" s="103"/>
      <c r="F278" s="103"/>
      <c r="G278" s="103"/>
      <c r="H278" s="103"/>
      <c r="I278" s="103"/>
      <c r="J278" s="103"/>
      <c r="K278" s="103"/>
      <c r="L278" s="103"/>
    </row>
    <row r="279" spans="1:12" x14ac:dyDescent="0.25">
      <c r="A279" s="103"/>
      <c r="B279" s="103"/>
      <c r="C279" s="103"/>
      <c r="D279" s="103"/>
      <c r="E279" s="103"/>
      <c r="F279" s="103"/>
      <c r="G279" s="103"/>
      <c r="H279" s="103"/>
      <c r="I279" s="103"/>
      <c r="J279" s="103"/>
      <c r="K279" s="103"/>
      <c r="L279" s="103"/>
    </row>
    <row r="280" spans="1:12" x14ac:dyDescent="0.25">
      <c r="A280" s="103"/>
      <c r="B280" s="103"/>
      <c r="C280" s="103"/>
      <c r="D280" s="103"/>
      <c r="E280" s="103"/>
      <c r="F280" s="103"/>
      <c r="G280" s="103"/>
      <c r="H280" s="103"/>
      <c r="I280" s="103"/>
      <c r="J280" s="103"/>
      <c r="K280" s="103"/>
      <c r="L280" s="103"/>
    </row>
    <row r="281" spans="1:12" x14ac:dyDescent="0.25">
      <c r="A281" s="103"/>
      <c r="B281" s="103"/>
      <c r="C281" s="103"/>
      <c r="D281" s="103"/>
      <c r="E281" s="103"/>
      <c r="F281" s="103"/>
      <c r="G281" s="103"/>
      <c r="H281" s="103"/>
      <c r="I281" s="103"/>
      <c r="J281" s="103"/>
      <c r="K281" s="103"/>
      <c r="L281" s="103"/>
    </row>
    <row r="282" spans="1:12" x14ac:dyDescent="0.25">
      <c r="A282" s="103"/>
      <c r="B282" s="103"/>
      <c r="C282" s="103"/>
      <c r="D282" s="103"/>
      <c r="E282" s="103"/>
      <c r="F282" s="103"/>
      <c r="G282" s="103"/>
      <c r="H282" s="103"/>
      <c r="I282" s="103"/>
      <c r="J282" s="103"/>
      <c r="K282" s="103"/>
      <c r="L282" s="103"/>
    </row>
    <row r="283" spans="1:12" x14ac:dyDescent="0.25">
      <c r="A283" s="103"/>
      <c r="B283" s="103"/>
      <c r="C283" s="103"/>
      <c r="D283" s="103"/>
      <c r="E283" s="103"/>
      <c r="F283" s="103"/>
      <c r="G283" s="103"/>
      <c r="H283" s="103"/>
      <c r="I283" s="103"/>
      <c r="J283" s="103"/>
      <c r="K283" s="103"/>
      <c r="L283" s="103"/>
    </row>
    <row r="284" spans="1:12" x14ac:dyDescent="0.25">
      <c r="A284" s="103"/>
      <c r="B284" s="103"/>
      <c r="C284" s="103"/>
      <c r="D284" s="103"/>
      <c r="E284" s="103"/>
      <c r="F284" s="103"/>
      <c r="G284" s="103"/>
      <c r="H284" s="103"/>
      <c r="I284" s="103"/>
      <c r="J284" s="103"/>
      <c r="K284" s="103"/>
      <c r="L284" s="103"/>
    </row>
    <row r="285" spans="1:12" x14ac:dyDescent="0.25">
      <c r="A285" s="103"/>
      <c r="B285" s="103"/>
      <c r="C285" s="103"/>
      <c r="D285" s="103"/>
      <c r="E285" s="103"/>
      <c r="F285" s="103"/>
      <c r="G285" s="103"/>
      <c r="H285" s="103"/>
      <c r="I285" s="103"/>
      <c r="J285" s="103"/>
      <c r="K285" s="103"/>
      <c r="L285" s="103"/>
    </row>
    <row r="286" spans="1:12" x14ac:dyDescent="0.25">
      <c r="A286" s="103"/>
      <c r="B286" s="103"/>
      <c r="C286" s="103"/>
      <c r="D286" s="103"/>
      <c r="E286" s="103"/>
      <c r="F286" s="103"/>
      <c r="G286" s="103"/>
      <c r="H286" s="103"/>
      <c r="I286" s="103"/>
      <c r="J286" s="103"/>
      <c r="K286" s="103"/>
      <c r="L286" s="103"/>
    </row>
    <row r="287" spans="1:12" x14ac:dyDescent="0.25">
      <c r="A287" s="103"/>
      <c r="B287" s="103"/>
      <c r="C287" s="103"/>
      <c r="D287" s="103"/>
      <c r="E287" s="103"/>
      <c r="F287" s="103"/>
      <c r="G287" s="103"/>
      <c r="H287" s="103"/>
      <c r="I287" s="103"/>
      <c r="J287" s="103"/>
      <c r="K287" s="103"/>
      <c r="L287" s="103"/>
    </row>
    <row r="288" spans="1:12" x14ac:dyDescent="0.25">
      <c r="A288" s="103"/>
      <c r="B288" s="103"/>
      <c r="C288" s="103"/>
      <c r="D288" s="103"/>
      <c r="E288" s="103"/>
      <c r="F288" s="103"/>
      <c r="G288" s="103"/>
      <c r="H288" s="103"/>
      <c r="I288" s="103"/>
      <c r="J288" s="103"/>
      <c r="K288" s="103"/>
      <c r="L288" s="103"/>
    </row>
    <row r="289" spans="1:12" x14ac:dyDescent="0.25">
      <c r="A289" s="103"/>
      <c r="B289" s="103"/>
      <c r="C289" s="103"/>
      <c r="D289" s="103"/>
      <c r="E289" s="103"/>
      <c r="F289" s="103"/>
      <c r="G289" s="103"/>
      <c r="H289" s="103"/>
      <c r="I289" s="103"/>
      <c r="J289" s="103"/>
      <c r="K289" s="103"/>
      <c r="L289" s="103"/>
    </row>
    <row r="290" spans="1:12" x14ac:dyDescent="0.25">
      <c r="A290" s="103"/>
      <c r="B290" s="103"/>
      <c r="C290" s="103"/>
      <c r="D290" s="103"/>
      <c r="E290" s="103"/>
      <c r="F290" s="103"/>
      <c r="G290" s="103"/>
      <c r="H290" s="103"/>
      <c r="I290" s="103"/>
      <c r="J290" s="103"/>
      <c r="K290" s="103"/>
      <c r="L290" s="103"/>
    </row>
    <row r="291" spans="1:12" x14ac:dyDescent="0.25">
      <c r="A291" s="103"/>
      <c r="B291" s="103"/>
      <c r="C291" s="103"/>
      <c r="D291" s="103"/>
      <c r="E291" s="103"/>
      <c r="F291" s="103"/>
      <c r="G291" s="103"/>
      <c r="H291" s="103"/>
      <c r="I291" s="103"/>
      <c r="J291" s="103"/>
      <c r="K291" s="103"/>
      <c r="L291" s="103"/>
    </row>
    <row r="292" spans="1:12" x14ac:dyDescent="0.25">
      <c r="A292" s="103"/>
      <c r="B292" s="103"/>
      <c r="C292" s="103"/>
      <c r="D292" s="103"/>
      <c r="E292" s="103"/>
      <c r="F292" s="103"/>
      <c r="G292" s="103"/>
      <c r="H292" s="103"/>
      <c r="I292" s="103"/>
      <c r="J292" s="103"/>
      <c r="K292" s="103"/>
      <c r="L292" s="103"/>
    </row>
    <row r="293" spans="1:12" x14ac:dyDescent="0.25">
      <c r="A293" s="103"/>
      <c r="B293" s="103"/>
      <c r="C293" s="103"/>
      <c r="D293" s="103"/>
      <c r="E293" s="103"/>
      <c r="F293" s="103"/>
      <c r="G293" s="103"/>
      <c r="H293" s="103"/>
      <c r="I293" s="103"/>
      <c r="J293" s="103"/>
      <c r="K293" s="103"/>
      <c r="L293" s="103"/>
    </row>
    <row r="294" spans="1:12" x14ac:dyDescent="0.25">
      <c r="A294" s="103"/>
      <c r="B294" s="103"/>
      <c r="C294" s="103"/>
      <c r="D294" s="103"/>
      <c r="E294" s="103"/>
      <c r="F294" s="103"/>
      <c r="G294" s="103"/>
      <c r="H294" s="103"/>
      <c r="I294" s="103"/>
      <c r="J294" s="103"/>
      <c r="K294" s="103"/>
      <c r="L294" s="103"/>
    </row>
    <row r="295" spans="1:12" x14ac:dyDescent="0.25">
      <c r="A295" s="103"/>
      <c r="B295" s="103"/>
      <c r="C295" s="103"/>
      <c r="D295" s="103"/>
      <c r="E295" s="103"/>
      <c r="F295" s="103"/>
      <c r="G295" s="103"/>
      <c r="H295" s="103"/>
      <c r="I295" s="103"/>
      <c r="J295" s="103"/>
      <c r="K295" s="103"/>
      <c r="L295" s="103"/>
    </row>
    <row r="296" spans="1:12" x14ac:dyDescent="0.25">
      <c r="A296" s="103"/>
      <c r="B296" s="103"/>
      <c r="C296" s="103"/>
      <c r="D296" s="103"/>
      <c r="E296" s="103"/>
      <c r="F296" s="103"/>
      <c r="G296" s="103"/>
      <c r="H296" s="103"/>
      <c r="I296" s="103"/>
      <c r="J296" s="103"/>
      <c r="K296" s="103"/>
      <c r="L296" s="103"/>
    </row>
    <row r="297" spans="1:12" x14ac:dyDescent="0.25">
      <c r="A297" s="103"/>
      <c r="B297" s="103"/>
      <c r="C297" s="103"/>
      <c r="D297" s="103"/>
      <c r="E297" s="103"/>
      <c r="F297" s="103"/>
      <c r="G297" s="103"/>
      <c r="H297" s="103"/>
      <c r="I297" s="103"/>
      <c r="J297" s="103"/>
      <c r="K297" s="103"/>
      <c r="L297" s="103"/>
    </row>
    <row r="298" spans="1:12" x14ac:dyDescent="0.25">
      <c r="A298" s="103"/>
      <c r="B298" s="103"/>
      <c r="C298" s="103"/>
      <c r="D298" s="103"/>
      <c r="E298" s="103"/>
      <c r="F298" s="103"/>
      <c r="G298" s="103"/>
      <c r="H298" s="103"/>
      <c r="I298" s="103"/>
      <c r="J298" s="103"/>
      <c r="K298" s="103"/>
      <c r="L298" s="103"/>
    </row>
    <row r="299" spans="1:12" x14ac:dyDescent="0.25">
      <c r="A299" s="103"/>
      <c r="B299" s="103"/>
      <c r="C299" s="103"/>
      <c r="D299" s="103"/>
      <c r="E299" s="103"/>
      <c r="F299" s="103"/>
      <c r="G299" s="103"/>
      <c r="H299" s="103"/>
      <c r="I299" s="103"/>
      <c r="J299" s="103"/>
      <c r="K299" s="103"/>
      <c r="L299" s="103"/>
    </row>
    <row r="300" spans="1:12" x14ac:dyDescent="0.25">
      <c r="A300" s="103"/>
      <c r="B300" s="103"/>
      <c r="C300" s="103"/>
      <c r="D300" s="103"/>
      <c r="E300" s="103"/>
      <c r="F300" s="103"/>
      <c r="G300" s="103"/>
      <c r="H300" s="103"/>
      <c r="I300" s="103"/>
      <c r="J300" s="103"/>
      <c r="K300" s="103"/>
      <c r="L300" s="103"/>
    </row>
    <row r="301" spans="1:12" x14ac:dyDescent="0.25">
      <c r="A301" s="103"/>
      <c r="B301" s="103"/>
      <c r="C301" s="103"/>
      <c r="D301" s="103"/>
      <c r="E301" s="103"/>
      <c r="F301" s="103"/>
      <c r="G301" s="103"/>
      <c r="H301" s="103"/>
      <c r="I301" s="103"/>
      <c r="J301" s="103"/>
      <c r="K301" s="103"/>
      <c r="L301" s="103"/>
    </row>
    <row r="302" spans="1:12" x14ac:dyDescent="0.25">
      <c r="A302" s="103"/>
      <c r="B302" s="103"/>
      <c r="C302" s="103"/>
      <c r="D302" s="103"/>
      <c r="E302" s="103"/>
      <c r="F302" s="103"/>
      <c r="G302" s="103"/>
      <c r="H302" s="103"/>
      <c r="I302" s="103"/>
      <c r="J302" s="103"/>
      <c r="K302" s="103"/>
      <c r="L302" s="103"/>
    </row>
    <row r="303" spans="1:12" x14ac:dyDescent="0.25">
      <c r="A303" s="103"/>
      <c r="B303" s="103"/>
      <c r="C303" s="103"/>
      <c r="D303" s="103"/>
      <c r="E303" s="103"/>
      <c r="F303" s="103"/>
      <c r="G303" s="103"/>
      <c r="H303" s="103"/>
      <c r="I303" s="103"/>
      <c r="J303" s="103"/>
      <c r="K303" s="103"/>
      <c r="L303" s="103"/>
    </row>
    <row r="304" spans="1:12" x14ac:dyDescent="0.25">
      <c r="A304" s="103"/>
      <c r="B304" s="103"/>
      <c r="C304" s="103"/>
      <c r="D304" s="103"/>
      <c r="E304" s="103"/>
      <c r="F304" s="103"/>
      <c r="G304" s="103"/>
      <c r="H304" s="103"/>
      <c r="I304" s="103"/>
      <c r="J304" s="103"/>
      <c r="K304" s="103"/>
      <c r="L304" s="103"/>
    </row>
    <row r="305" spans="1:12" x14ac:dyDescent="0.25">
      <c r="A305" s="103"/>
      <c r="B305" s="103"/>
      <c r="C305" s="103"/>
      <c r="D305" s="103"/>
      <c r="E305" s="103"/>
      <c r="F305" s="103"/>
      <c r="G305" s="103"/>
      <c r="H305" s="103"/>
      <c r="I305" s="103"/>
      <c r="J305" s="103"/>
      <c r="K305" s="103"/>
      <c r="L305" s="103"/>
    </row>
    <row r="306" spans="1:12" x14ac:dyDescent="0.25">
      <c r="A306" s="103"/>
      <c r="B306" s="103"/>
      <c r="C306" s="103"/>
      <c r="D306" s="103"/>
      <c r="E306" s="103"/>
      <c r="F306" s="103"/>
      <c r="G306" s="103"/>
      <c r="H306" s="103"/>
      <c r="I306" s="103"/>
      <c r="J306" s="103"/>
      <c r="K306" s="103"/>
      <c r="L306" s="103"/>
    </row>
    <row r="307" spans="1:12" x14ac:dyDescent="0.25">
      <c r="A307" s="103"/>
      <c r="B307" s="103"/>
      <c r="C307" s="103"/>
      <c r="D307" s="103"/>
      <c r="E307" s="103"/>
      <c r="F307" s="103"/>
      <c r="G307" s="103"/>
      <c r="H307" s="103"/>
      <c r="I307" s="103"/>
      <c r="J307" s="103"/>
      <c r="K307" s="103"/>
      <c r="L307" s="103"/>
    </row>
    <row r="308" spans="1:12" x14ac:dyDescent="0.25">
      <c r="A308" s="103"/>
      <c r="B308" s="103"/>
      <c r="C308" s="103"/>
      <c r="D308" s="103"/>
      <c r="E308" s="103"/>
      <c r="F308" s="103"/>
      <c r="G308" s="103"/>
      <c r="H308" s="103"/>
      <c r="I308" s="103"/>
      <c r="J308" s="103"/>
      <c r="K308" s="103"/>
      <c r="L308" s="103"/>
    </row>
    <row r="309" spans="1:12" x14ac:dyDescent="0.25">
      <c r="A309" s="103"/>
      <c r="B309" s="103"/>
      <c r="C309" s="103"/>
      <c r="D309" s="103"/>
      <c r="E309" s="103"/>
      <c r="F309" s="103"/>
      <c r="G309" s="103"/>
      <c r="H309" s="103"/>
      <c r="I309" s="103"/>
      <c r="J309" s="103"/>
      <c r="K309" s="103"/>
      <c r="L309" s="103"/>
    </row>
    <row r="310" spans="1:12" x14ac:dyDescent="0.25">
      <c r="A310" s="103"/>
      <c r="B310" s="103"/>
      <c r="C310" s="103"/>
      <c r="D310" s="103"/>
      <c r="E310" s="103"/>
      <c r="F310" s="103"/>
      <c r="G310" s="103"/>
      <c r="H310" s="103"/>
      <c r="I310" s="103"/>
      <c r="J310" s="103"/>
      <c r="K310" s="103"/>
      <c r="L310" s="103"/>
    </row>
    <row r="311" spans="1:12" x14ac:dyDescent="0.25">
      <c r="A311" s="103"/>
      <c r="B311" s="103"/>
      <c r="C311" s="103"/>
      <c r="D311" s="103"/>
      <c r="E311" s="103"/>
      <c r="F311" s="103"/>
      <c r="G311" s="103"/>
      <c r="H311" s="103"/>
      <c r="I311" s="103"/>
      <c r="J311" s="103"/>
      <c r="K311" s="103"/>
      <c r="L311" s="103"/>
    </row>
    <row r="312" spans="1:12" x14ac:dyDescent="0.25">
      <c r="A312" s="103"/>
      <c r="B312" s="103"/>
      <c r="C312" s="103"/>
      <c r="D312" s="103"/>
      <c r="E312" s="103"/>
      <c r="F312" s="103"/>
      <c r="G312" s="103"/>
      <c r="H312" s="103"/>
      <c r="I312" s="103"/>
      <c r="J312" s="103"/>
      <c r="K312" s="103"/>
      <c r="L312" s="103"/>
    </row>
    <row r="313" spans="1:12" x14ac:dyDescent="0.25">
      <c r="A313" s="103"/>
      <c r="B313" s="103"/>
      <c r="C313" s="103"/>
      <c r="D313" s="103"/>
      <c r="E313" s="103"/>
      <c r="F313" s="103"/>
      <c r="G313" s="103"/>
      <c r="H313" s="103"/>
      <c r="I313" s="103"/>
      <c r="J313" s="103"/>
      <c r="K313" s="103"/>
      <c r="L313" s="103"/>
    </row>
    <row r="314" spans="1:12" x14ac:dyDescent="0.25">
      <c r="A314" s="103"/>
      <c r="B314" s="103"/>
      <c r="C314" s="103"/>
      <c r="D314" s="103"/>
      <c r="E314" s="103"/>
      <c r="F314" s="103"/>
      <c r="G314" s="103"/>
      <c r="H314" s="103"/>
      <c r="I314" s="103"/>
      <c r="J314" s="103"/>
      <c r="K314" s="103"/>
      <c r="L314" s="103"/>
    </row>
    <row r="315" spans="1:12" x14ac:dyDescent="0.25">
      <c r="A315" s="103"/>
      <c r="B315" s="103"/>
      <c r="C315" s="103"/>
      <c r="D315" s="103"/>
      <c r="E315" s="103"/>
      <c r="F315" s="103"/>
      <c r="G315" s="103"/>
      <c r="H315" s="103"/>
      <c r="I315" s="103"/>
      <c r="J315" s="103"/>
      <c r="K315" s="103"/>
      <c r="L315" s="103"/>
    </row>
    <row r="316" spans="1:12" x14ac:dyDescent="0.25">
      <c r="A316" s="103"/>
      <c r="B316" s="103"/>
      <c r="C316" s="103"/>
      <c r="D316" s="103"/>
      <c r="E316" s="103"/>
      <c r="F316" s="103"/>
      <c r="G316" s="103"/>
      <c r="H316" s="103"/>
      <c r="I316" s="103"/>
      <c r="J316" s="103"/>
      <c r="K316" s="103"/>
      <c r="L316" s="103"/>
    </row>
    <row r="317" spans="1:12" x14ac:dyDescent="0.25">
      <c r="A317" s="103"/>
      <c r="B317" s="103"/>
      <c r="C317" s="103"/>
      <c r="D317" s="103"/>
      <c r="E317" s="103"/>
      <c r="F317" s="103"/>
      <c r="G317" s="103"/>
      <c r="H317" s="103"/>
      <c r="I317" s="103"/>
      <c r="J317" s="103"/>
      <c r="K317" s="103"/>
      <c r="L317" s="103"/>
    </row>
    <row r="318" spans="1:12" x14ac:dyDescent="0.25">
      <c r="A318" s="103"/>
      <c r="B318" s="103"/>
      <c r="C318" s="103"/>
      <c r="D318" s="103"/>
      <c r="E318" s="103"/>
      <c r="F318" s="103"/>
      <c r="G318" s="103"/>
      <c r="H318" s="103"/>
      <c r="I318" s="103"/>
      <c r="J318" s="103"/>
      <c r="K318" s="103"/>
      <c r="L318" s="103"/>
    </row>
    <row r="319" spans="1:12" x14ac:dyDescent="0.25">
      <c r="A319" s="103"/>
      <c r="B319" s="103"/>
      <c r="C319" s="103"/>
      <c r="D319" s="103"/>
      <c r="E319" s="103"/>
      <c r="F319" s="103"/>
      <c r="G319" s="103"/>
      <c r="H319" s="103"/>
      <c r="I319" s="103"/>
      <c r="J319" s="103"/>
      <c r="K319" s="103"/>
      <c r="L319" s="103"/>
    </row>
    <row r="320" spans="1:12" x14ac:dyDescent="0.25">
      <c r="A320" s="103"/>
      <c r="B320" s="103"/>
      <c r="C320" s="103"/>
      <c r="D320" s="103"/>
      <c r="E320" s="103"/>
      <c r="F320" s="103"/>
      <c r="G320" s="103"/>
      <c r="H320" s="103"/>
      <c r="I320" s="103"/>
      <c r="J320" s="103"/>
      <c r="K320" s="103"/>
      <c r="L320" s="103"/>
    </row>
    <row r="321" spans="1:12" x14ac:dyDescent="0.25">
      <c r="A321" s="103"/>
      <c r="B321" s="103"/>
      <c r="C321" s="103"/>
      <c r="D321" s="103"/>
      <c r="E321" s="103"/>
      <c r="F321" s="103"/>
      <c r="G321" s="103"/>
      <c r="H321" s="103"/>
      <c r="I321" s="103"/>
      <c r="J321" s="103"/>
      <c r="K321" s="103"/>
      <c r="L321" s="103"/>
    </row>
    <row r="322" spans="1:12" x14ac:dyDescent="0.25">
      <c r="A322" s="103"/>
      <c r="B322" s="103"/>
      <c r="C322" s="103"/>
      <c r="D322" s="103"/>
      <c r="E322" s="103"/>
      <c r="F322" s="103"/>
      <c r="G322" s="103"/>
      <c r="H322" s="103"/>
      <c r="I322" s="103"/>
      <c r="J322" s="103"/>
      <c r="K322" s="103"/>
      <c r="L322" s="103"/>
    </row>
    <row r="323" spans="1:12" x14ac:dyDescent="0.25">
      <c r="A323" s="103"/>
      <c r="B323" s="103"/>
      <c r="C323" s="103"/>
      <c r="D323" s="103"/>
      <c r="E323" s="103"/>
      <c r="F323" s="103"/>
      <c r="G323" s="103"/>
      <c r="H323" s="103"/>
      <c r="I323" s="103"/>
      <c r="J323" s="103"/>
      <c r="K323" s="103"/>
      <c r="L323" s="103"/>
    </row>
    <row r="324" spans="1:12" x14ac:dyDescent="0.25">
      <c r="A324" s="103"/>
      <c r="B324" s="103"/>
      <c r="C324" s="103"/>
      <c r="D324" s="103"/>
      <c r="E324" s="103"/>
      <c r="F324" s="103"/>
      <c r="G324" s="103"/>
      <c r="H324" s="103"/>
      <c r="I324" s="103"/>
      <c r="J324" s="103"/>
      <c r="K324" s="103"/>
      <c r="L324" s="103"/>
    </row>
    <row r="325" spans="1:12" x14ac:dyDescent="0.25">
      <c r="A325" s="103"/>
      <c r="B325" s="103"/>
      <c r="C325" s="103"/>
      <c r="D325" s="103"/>
      <c r="E325" s="103"/>
      <c r="F325" s="103"/>
      <c r="G325" s="103"/>
      <c r="H325" s="103"/>
      <c r="I325" s="103"/>
      <c r="J325" s="103"/>
      <c r="K325" s="103"/>
      <c r="L325" s="103"/>
    </row>
    <row r="326" spans="1:12" x14ac:dyDescent="0.25">
      <c r="A326" s="103"/>
      <c r="B326" s="103"/>
      <c r="C326" s="103"/>
      <c r="D326" s="103"/>
      <c r="E326" s="103"/>
      <c r="F326" s="103"/>
      <c r="G326" s="103"/>
      <c r="H326" s="103"/>
      <c r="I326" s="103"/>
      <c r="J326" s="103"/>
      <c r="K326" s="103"/>
      <c r="L326" s="103"/>
    </row>
    <row r="327" spans="1:12" x14ac:dyDescent="0.25">
      <c r="A327" s="103"/>
      <c r="B327" s="103"/>
      <c r="C327" s="103"/>
      <c r="D327" s="103"/>
      <c r="E327" s="103"/>
      <c r="F327" s="103"/>
      <c r="G327" s="103"/>
      <c r="H327" s="103"/>
      <c r="I327" s="103"/>
      <c r="J327" s="103"/>
      <c r="K327" s="103"/>
      <c r="L327" s="103"/>
    </row>
    <row r="328" spans="1:12" x14ac:dyDescent="0.25">
      <c r="A328" s="103"/>
      <c r="B328" s="103"/>
      <c r="C328" s="103"/>
      <c r="D328" s="103"/>
      <c r="E328" s="103"/>
      <c r="F328" s="103"/>
      <c r="G328" s="103"/>
      <c r="H328" s="103"/>
      <c r="I328" s="103"/>
      <c r="J328" s="103"/>
      <c r="K328" s="103"/>
      <c r="L328" s="103"/>
    </row>
    <row r="329" spans="1:12" x14ac:dyDescent="0.25">
      <c r="A329" s="103"/>
      <c r="B329" s="103"/>
      <c r="C329" s="103"/>
      <c r="D329" s="103"/>
      <c r="E329" s="103"/>
      <c r="F329" s="103"/>
      <c r="G329" s="103"/>
      <c r="H329" s="103"/>
      <c r="I329" s="103"/>
      <c r="J329" s="103"/>
      <c r="K329" s="103"/>
      <c r="L329" s="103"/>
    </row>
    <row r="330" spans="1:12" x14ac:dyDescent="0.25">
      <c r="A330" s="103"/>
      <c r="B330" s="103"/>
      <c r="C330" s="103"/>
      <c r="D330" s="103"/>
      <c r="E330" s="103"/>
      <c r="F330" s="103"/>
      <c r="G330" s="103"/>
      <c r="H330" s="103"/>
      <c r="I330" s="103"/>
      <c r="J330" s="103"/>
      <c r="K330" s="103"/>
      <c r="L330" s="103"/>
    </row>
    <row r="331" spans="1:12" x14ac:dyDescent="0.25">
      <c r="A331" s="103"/>
      <c r="B331" s="103"/>
      <c r="C331" s="103"/>
      <c r="D331" s="103"/>
      <c r="E331" s="103"/>
      <c r="F331" s="103"/>
      <c r="G331" s="103"/>
      <c r="H331" s="103"/>
      <c r="I331" s="103"/>
      <c r="J331" s="103"/>
      <c r="K331" s="103"/>
      <c r="L331" s="103"/>
    </row>
    <row r="332" spans="1:12" x14ac:dyDescent="0.25">
      <c r="A332" s="103"/>
      <c r="B332" s="103"/>
      <c r="C332" s="103"/>
      <c r="D332" s="103"/>
      <c r="E332" s="103"/>
      <c r="F332" s="103"/>
      <c r="G332" s="103"/>
      <c r="H332" s="103"/>
      <c r="I332" s="103"/>
      <c r="J332" s="103"/>
      <c r="K332" s="103"/>
      <c r="L332" s="103"/>
    </row>
    <row r="333" spans="1:12" x14ac:dyDescent="0.25">
      <c r="A333" s="103"/>
      <c r="B333" s="103"/>
      <c r="C333" s="103"/>
      <c r="D333" s="103"/>
      <c r="E333" s="103"/>
      <c r="F333" s="103"/>
      <c r="G333" s="103"/>
      <c r="H333" s="103"/>
      <c r="I333" s="103"/>
      <c r="J333" s="103"/>
      <c r="K333" s="103"/>
      <c r="L333" s="103"/>
    </row>
    <row r="334" spans="1:12" x14ac:dyDescent="0.25">
      <c r="A334" s="103"/>
      <c r="B334" s="103"/>
      <c r="C334" s="103"/>
      <c r="D334" s="103"/>
      <c r="E334" s="103"/>
      <c r="F334" s="103"/>
      <c r="G334" s="103"/>
      <c r="H334" s="103"/>
      <c r="I334" s="103"/>
      <c r="J334" s="103"/>
      <c r="K334" s="103"/>
      <c r="L334" s="103"/>
    </row>
    <row r="335" spans="1:12" x14ac:dyDescent="0.25">
      <c r="A335" s="103"/>
      <c r="B335" s="103"/>
      <c r="C335" s="103"/>
      <c r="D335" s="103"/>
      <c r="E335" s="103"/>
      <c r="F335" s="103"/>
      <c r="G335" s="103"/>
      <c r="H335" s="103"/>
      <c r="I335" s="103"/>
      <c r="J335" s="103"/>
      <c r="K335" s="103"/>
      <c r="L335" s="103"/>
    </row>
    <row r="336" spans="1:12" x14ac:dyDescent="0.25">
      <c r="A336" s="103"/>
      <c r="B336" s="103"/>
      <c r="C336" s="103"/>
      <c r="D336" s="103"/>
      <c r="E336" s="103"/>
      <c r="F336" s="103"/>
      <c r="G336" s="103"/>
      <c r="H336" s="103"/>
      <c r="I336" s="103"/>
      <c r="J336" s="103"/>
      <c r="K336" s="103"/>
      <c r="L336" s="103"/>
    </row>
    <row r="337" spans="1:12" x14ac:dyDescent="0.25">
      <c r="A337" s="103"/>
      <c r="B337" s="103"/>
      <c r="C337" s="103"/>
      <c r="D337" s="103"/>
      <c r="E337" s="103"/>
      <c r="F337" s="103"/>
      <c r="G337" s="103"/>
      <c r="H337" s="103"/>
      <c r="I337" s="103"/>
      <c r="J337" s="103"/>
      <c r="K337" s="103"/>
      <c r="L337" s="103"/>
    </row>
    <row r="338" spans="1:12" x14ac:dyDescent="0.25">
      <c r="A338" s="103"/>
      <c r="B338" s="103"/>
      <c r="C338" s="103"/>
      <c r="D338" s="103"/>
      <c r="E338" s="103"/>
      <c r="F338" s="103"/>
      <c r="G338" s="103"/>
      <c r="H338" s="103"/>
      <c r="I338" s="103"/>
      <c r="J338" s="103"/>
      <c r="K338" s="103"/>
      <c r="L338" s="103"/>
    </row>
    <row r="339" spans="1:12" x14ac:dyDescent="0.25">
      <c r="A339" s="103"/>
      <c r="B339" s="103"/>
      <c r="C339" s="103"/>
      <c r="D339" s="103"/>
      <c r="E339" s="103"/>
      <c r="F339" s="103"/>
      <c r="G339" s="103"/>
      <c r="H339" s="103"/>
      <c r="I339" s="103"/>
      <c r="J339" s="103"/>
      <c r="K339" s="103"/>
      <c r="L339" s="103"/>
    </row>
    <row r="340" spans="1:12" x14ac:dyDescent="0.25">
      <c r="A340" s="103"/>
      <c r="B340" s="103"/>
      <c r="C340" s="103"/>
      <c r="D340" s="103"/>
      <c r="E340" s="103"/>
      <c r="F340" s="103"/>
      <c r="G340" s="103"/>
      <c r="H340" s="103"/>
      <c r="I340" s="103"/>
      <c r="J340" s="103"/>
      <c r="K340" s="103"/>
      <c r="L340" s="103"/>
    </row>
    <row r="341" spans="1:12" x14ac:dyDescent="0.25">
      <c r="A341" s="103"/>
      <c r="B341" s="103"/>
      <c r="C341" s="103"/>
      <c r="D341" s="103"/>
      <c r="E341" s="103"/>
      <c r="F341" s="103"/>
      <c r="G341" s="103"/>
      <c r="H341" s="103"/>
      <c r="I341" s="103"/>
      <c r="J341" s="103"/>
      <c r="K341" s="103"/>
      <c r="L341" s="103"/>
    </row>
    <row r="342" spans="1:12" x14ac:dyDescent="0.25">
      <c r="A342" s="103"/>
      <c r="B342" s="103"/>
      <c r="C342" s="103"/>
      <c r="D342" s="103"/>
      <c r="E342" s="103"/>
      <c r="F342" s="103"/>
      <c r="G342" s="103"/>
      <c r="H342" s="103"/>
      <c r="I342" s="103"/>
      <c r="J342" s="103"/>
      <c r="K342" s="103"/>
      <c r="L342" s="103"/>
    </row>
    <row r="343" spans="1:12" x14ac:dyDescent="0.25">
      <c r="A343" s="103"/>
      <c r="B343" s="103"/>
      <c r="C343" s="103"/>
      <c r="D343" s="103"/>
      <c r="E343" s="103"/>
      <c r="F343" s="103"/>
      <c r="G343" s="103"/>
      <c r="H343" s="103"/>
      <c r="I343" s="103"/>
      <c r="J343" s="103"/>
      <c r="K343" s="103"/>
      <c r="L343" s="103"/>
    </row>
    <row r="344" spans="1:12" x14ac:dyDescent="0.25">
      <c r="A344" s="103"/>
      <c r="B344" s="103"/>
      <c r="C344" s="103"/>
      <c r="D344" s="103"/>
      <c r="E344" s="103"/>
      <c r="F344" s="103"/>
      <c r="G344" s="103"/>
      <c r="H344" s="103"/>
      <c r="I344" s="103"/>
      <c r="J344" s="103"/>
      <c r="K344" s="103"/>
      <c r="L344" s="103"/>
    </row>
    <row r="345" spans="1:12" x14ac:dyDescent="0.25">
      <c r="A345" s="103"/>
      <c r="B345" s="103"/>
      <c r="C345" s="103"/>
      <c r="D345" s="103"/>
      <c r="E345" s="103"/>
      <c r="F345" s="103"/>
      <c r="G345" s="103"/>
      <c r="H345" s="103"/>
      <c r="I345" s="103"/>
      <c r="J345" s="103"/>
      <c r="K345" s="103"/>
      <c r="L345" s="103"/>
    </row>
    <row r="346" spans="1:12" x14ac:dyDescent="0.25">
      <c r="A346" s="103"/>
      <c r="B346" s="103"/>
      <c r="C346" s="103"/>
      <c r="D346" s="103"/>
      <c r="E346" s="103"/>
      <c r="F346" s="103"/>
      <c r="G346" s="103"/>
      <c r="H346" s="103"/>
      <c r="I346" s="103"/>
      <c r="J346" s="103"/>
      <c r="K346" s="103"/>
      <c r="L346" s="103"/>
    </row>
    <row r="347" spans="1:12" x14ac:dyDescent="0.25">
      <c r="A347" s="103"/>
      <c r="B347" s="103"/>
      <c r="C347" s="103"/>
      <c r="D347" s="103"/>
      <c r="E347" s="103"/>
      <c r="F347" s="103"/>
      <c r="G347" s="103"/>
      <c r="H347" s="103"/>
      <c r="I347" s="103"/>
      <c r="J347" s="103"/>
      <c r="K347" s="103"/>
      <c r="L347" s="103"/>
    </row>
    <row r="348" spans="1:12" x14ac:dyDescent="0.25">
      <c r="A348" s="103"/>
      <c r="B348" s="103"/>
      <c r="C348" s="103"/>
      <c r="D348" s="103"/>
      <c r="E348" s="103"/>
      <c r="F348" s="103"/>
      <c r="G348" s="103"/>
      <c r="H348" s="103"/>
      <c r="I348" s="103"/>
      <c r="J348" s="103"/>
      <c r="K348" s="103"/>
      <c r="L348" s="103"/>
    </row>
    <row r="349" spans="1:12" x14ac:dyDescent="0.25">
      <c r="A349" s="103"/>
      <c r="B349" s="103"/>
      <c r="C349" s="103"/>
      <c r="D349" s="103"/>
      <c r="E349" s="103"/>
      <c r="F349" s="103"/>
      <c r="G349" s="103"/>
      <c r="H349" s="103"/>
      <c r="I349" s="103"/>
      <c r="J349" s="103"/>
      <c r="K349" s="103"/>
      <c r="L349" s="103"/>
    </row>
    <row r="350" spans="1:12" x14ac:dyDescent="0.25">
      <c r="A350" s="103"/>
      <c r="B350" s="103"/>
      <c r="C350" s="103"/>
      <c r="D350" s="103"/>
      <c r="E350" s="103"/>
      <c r="F350" s="103"/>
      <c r="G350" s="103"/>
      <c r="H350" s="103"/>
      <c r="I350" s="103"/>
      <c r="J350" s="103"/>
      <c r="K350" s="103"/>
      <c r="L350" s="103"/>
    </row>
    <row r="351" spans="1:12" x14ac:dyDescent="0.25">
      <c r="A351" s="103"/>
      <c r="B351" s="103"/>
      <c r="C351" s="103"/>
      <c r="D351" s="103"/>
      <c r="E351" s="103"/>
      <c r="F351" s="103"/>
      <c r="G351" s="103"/>
      <c r="H351" s="103"/>
      <c r="I351" s="103"/>
      <c r="J351" s="103"/>
      <c r="K351" s="103"/>
      <c r="L351" s="103"/>
    </row>
    <row r="352" spans="1:12" x14ac:dyDescent="0.25">
      <c r="A352" s="103"/>
      <c r="B352" s="103"/>
      <c r="C352" s="103"/>
      <c r="D352" s="103"/>
      <c r="E352" s="103"/>
      <c r="F352" s="103"/>
      <c r="G352" s="103"/>
      <c r="H352" s="103"/>
      <c r="I352" s="103"/>
      <c r="J352" s="103"/>
      <c r="K352" s="103"/>
      <c r="L352" s="103"/>
    </row>
    <row r="353" spans="1:12" x14ac:dyDescent="0.25">
      <c r="A353" s="103"/>
      <c r="B353" s="103"/>
      <c r="C353" s="103"/>
      <c r="D353" s="103"/>
      <c r="E353" s="103"/>
      <c r="F353" s="103"/>
      <c r="G353" s="103"/>
      <c r="H353" s="103"/>
      <c r="I353" s="103"/>
      <c r="J353" s="103"/>
      <c r="K353" s="103"/>
      <c r="L353" s="103"/>
    </row>
    <row r="354" spans="1:12" x14ac:dyDescent="0.25">
      <c r="A354" s="103"/>
      <c r="B354" s="103"/>
      <c r="C354" s="103"/>
      <c r="D354" s="103"/>
      <c r="E354" s="103"/>
      <c r="F354" s="103"/>
      <c r="G354" s="103"/>
      <c r="H354" s="103"/>
      <c r="I354" s="103"/>
      <c r="J354" s="103"/>
      <c r="K354" s="103"/>
      <c r="L354" s="103"/>
    </row>
    <row r="355" spans="1:12" x14ac:dyDescent="0.25">
      <c r="A355" s="103"/>
      <c r="B355" s="103"/>
      <c r="C355" s="103"/>
      <c r="D355" s="103"/>
      <c r="E355" s="103"/>
      <c r="F355" s="103"/>
      <c r="G355" s="103"/>
      <c r="H355" s="103"/>
      <c r="I355" s="103"/>
      <c r="J355" s="103"/>
      <c r="K355" s="103"/>
      <c r="L355" s="103"/>
    </row>
    <row r="356" spans="1:12" x14ac:dyDescent="0.25">
      <c r="A356" s="103"/>
      <c r="B356" s="103"/>
      <c r="C356" s="103"/>
      <c r="D356" s="103"/>
      <c r="E356" s="103"/>
      <c r="F356" s="103"/>
      <c r="G356" s="103"/>
      <c r="H356" s="103"/>
      <c r="I356" s="103"/>
      <c r="J356" s="103"/>
      <c r="K356" s="103"/>
      <c r="L356" s="103"/>
    </row>
    <row r="357" spans="1:12" x14ac:dyDescent="0.25">
      <c r="A357" s="103"/>
      <c r="B357" s="103"/>
      <c r="C357" s="103"/>
      <c r="D357" s="103"/>
      <c r="E357" s="103"/>
      <c r="F357" s="103"/>
      <c r="G357" s="103"/>
      <c r="H357" s="103"/>
      <c r="I357" s="103"/>
      <c r="J357" s="103"/>
      <c r="K357" s="103"/>
      <c r="L357" s="103"/>
    </row>
    <row r="358" spans="1:12" x14ac:dyDescent="0.25">
      <c r="A358" s="103"/>
      <c r="B358" s="103"/>
      <c r="C358" s="103"/>
      <c r="D358" s="103"/>
      <c r="E358" s="103"/>
      <c r="F358" s="103"/>
      <c r="G358" s="103"/>
      <c r="H358" s="103"/>
      <c r="I358" s="103"/>
      <c r="J358" s="103"/>
      <c r="K358" s="103"/>
      <c r="L358" s="103"/>
    </row>
    <row r="359" spans="1:12" x14ac:dyDescent="0.25">
      <c r="A359" s="103"/>
      <c r="B359" s="103"/>
      <c r="C359" s="103"/>
      <c r="D359" s="103"/>
      <c r="E359" s="103"/>
      <c r="F359" s="103"/>
      <c r="G359" s="103"/>
      <c r="H359" s="103"/>
      <c r="I359" s="103"/>
      <c r="J359" s="103"/>
      <c r="K359" s="103"/>
      <c r="L359" s="103"/>
    </row>
    <row r="360" spans="1:12" x14ac:dyDescent="0.25">
      <c r="A360" s="103"/>
      <c r="B360" s="103"/>
      <c r="C360" s="103"/>
      <c r="D360" s="103"/>
      <c r="E360" s="103"/>
      <c r="F360" s="103"/>
      <c r="G360" s="103"/>
      <c r="H360" s="103"/>
      <c r="I360" s="103"/>
      <c r="J360" s="103"/>
      <c r="K360" s="103"/>
      <c r="L360" s="103"/>
    </row>
    <row r="361" spans="1:12" x14ac:dyDescent="0.25">
      <c r="A361" s="103"/>
      <c r="B361" s="103"/>
      <c r="C361" s="103"/>
      <c r="D361" s="103"/>
      <c r="E361" s="103"/>
      <c r="F361" s="103"/>
      <c r="G361" s="103"/>
      <c r="H361" s="103"/>
      <c r="I361" s="103"/>
      <c r="J361" s="103"/>
      <c r="K361" s="103"/>
      <c r="L361" s="103"/>
    </row>
    <row r="362" spans="1:12" x14ac:dyDescent="0.25">
      <c r="A362" s="103"/>
      <c r="B362" s="103"/>
      <c r="C362" s="103"/>
      <c r="D362" s="103"/>
      <c r="E362" s="103"/>
      <c r="F362" s="103"/>
      <c r="G362" s="103"/>
      <c r="H362" s="103"/>
      <c r="I362" s="103"/>
      <c r="J362" s="103"/>
      <c r="K362" s="103"/>
      <c r="L362" s="103"/>
    </row>
    <row r="363" spans="1:12" x14ac:dyDescent="0.25">
      <c r="A363" s="103"/>
      <c r="B363" s="103"/>
      <c r="C363" s="103"/>
      <c r="D363" s="103"/>
      <c r="E363" s="103"/>
      <c r="F363" s="103"/>
      <c r="G363" s="103"/>
      <c r="H363" s="103"/>
      <c r="I363" s="103"/>
      <c r="J363" s="103"/>
      <c r="K363" s="103"/>
      <c r="L363" s="103"/>
    </row>
    <row r="364" spans="1:12" x14ac:dyDescent="0.25">
      <c r="A364" s="103"/>
      <c r="B364" s="103"/>
      <c r="C364" s="103"/>
      <c r="D364" s="103"/>
      <c r="E364" s="103"/>
      <c r="F364" s="103"/>
      <c r="G364" s="103"/>
      <c r="H364" s="103"/>
      <c r="I364" s="103"/>
      <c r="J364" s="103"/>
      <c r="K364" s="103"/>
      <c r="L364" s="103"/>
    </row>
    <row r="365" spans="1:12" x14ac:dyDescent="0.25">
      <c r="A365" s="103"/>
      <c r="B365" s="103"/>
      <c r="C365" s="103"/>
      <c r="D365" s="103"/>
      <c r="E365" s="103"/>
      <c r="F365" s="103"/>
      <c r="G365" s="103"/>
      <c r="H365" s="103"/>
      <c r="I365" s="103"/>
      <c r="J365" s="103"/>
      <c r="K365" s="103"/>
      <c r="L365" s="103"/>
    </row>
    <row r="366" spans="1:12" x14ac:dyDescent="0.25">
      <c r="A366" s="103"/>
      <c r="B366" s="103"/>
      <c r="C366" s="103"/>
      <c r="D366" s="103"/>
      <c r="E366" s="103"/>
      <c r="F366" s="103"/>
      <c r="G366" s="103"/>
      <c r="H366" s="103"/>
      <c r="I366" s="103"/>
      <c r="J366" s="103"/>
      <c r="K366" s="103"/>
      <c r="L366" s="103"/>
    </row>
    <row r="367" spans="1:12" x14ac:dyDescent="0.25">
      <c r="A367" s="103"/>
      <c r="B367" s="103"/>
      <c r="C367" s="103"/>
      <c r="D367" s="103"/>
      <c r="E367" s="103"/>
      <c r="F367" s="103"/>
      <c r="G367" s="103"/>
      <c r="H367" s="103"/>
      <c r="I367" s="103"/>
      <c r="J367" s="103"/>
      <c r="K367" s="103"/>
      <c r="L367" s="103"/>
    </row>
    <row r="368" spans="1:12" x14ac:dyDescent="0.25">
      <c r="A368" s="103"/>
      <c r="B368" s="103"/>
      <c r="C368" s="103"/>
      <c r="D368" s="103"/>
      <c r="E368" s="103"/>
      <c r="F368" s="103"/>
      <c r="G368" s="103"/>
      <c r="H368" s="103"/>
      <c r="I368" s="103"/>
      <c r="J368" s="103"/>
      <c r="K368" s="103"/>
      <c r="L368" s="103"/>
    </row>
    <row r="369" spans="1:12" x14ac:dyDescent="0.25">
      <c r="A369" s="103"/>
      <c r="B369" s="103"/>
      <c r="C369" s="103"/>
      <c r="D369" s="103"/>
      <c r="E369" s="103"/>
      <c r="F369" s="103"/>
      <c r="G369" s="103"/>
      <c r="H369" s="103"/>
      <c r="I369" s="103"/>
      <c r="J369" s="103"/>
      <c r="K369" s="103"/>
      <c r="L369" s="103"/>
    </row>
    <row r="370" spans="1:12" x14ac:dyDescent="0.25">
      <c r="A370" s="103"/>
      <c r="B370" s="103"/>
      <c r="C370" s="103"/>
      <c r="D370" s="103"/>
      <c r="E370" s="103"/>
      <c r="F370" s="103"/>
      <c r="G370" s="103"/>
      <c r="H370" s="103"/>
      <c r="I370" s="103"/>
      <c r="J370" s="103"/>
      <c r="K370" s="103"/>
      <c r="L370" s="103"/>
    </row>
    <row r="371" spans="1:12" x14ac:dyDescent="0.25">
      <c r="A371" s="103"/>
      <c r="B371" s="103"/>
      <c r="C371" s="103"/>
      <c r="D371" s="103"/>
      <c r="E371" s="103"/>
      <c r="F371" s="103"/>
      <c r="G371" s="103"/>
      <c r="H371" s="103"/>
      <c r="I371" s="103"/>
      <c r="J371" s="103"/>
      <c r="K371" s="103"/>
      <c r="L371" s="103"/>
    </row>
    <row r="372" spans="1:12" x14ac:dyDescent="0.25">
      <c r="A372" s="103"/>
      <c r="B372" s="103"/>
      <c r="C372" s="103"/>
      <c r="D372" s="103"/>
      <c r="E372" s="103"/>
      <c r="F372" s="103"/>
      <c r="G372" s="103"/>
      <c r="H372" s="103"/>
      <c r="I372" s="103"/>
      <c r="J372" s="103"/>
      <c r="K372" s="103"/>
      <c r="L372" s="103"/>
    </row>
    <row r="373" spans="1:12" x14ac:dyDescent="0.25">
      <c r="A373" s="103"/>
      <c r="B373" s="103"/>
      <c r="C373" s="103"/>
      <c r="D373" s="103"/>
      <c r="E373" s="103"/>
      <c r="F373" s="103"/>
      <c r="G373" s="103"/>
      <c r="H373" s="103"/>
      <c r="I373" s="103"/>
      <c r="J373" s="103"/>
      <c r="K373" s="103"/>
      <c r="L373" s="103"/>
    </row>
    <row r="374" spans="1:12" x14ac:dyDescent="0.25">
      <c r="A374" s="103"/>
      <c r="B374" s="103"/>
      <c r="C374" s="103"/>
      <c r="D374" s="103"/>
      <c r="E374" s="103"/>
      <c r="F374" s="103"/>
      <c r="G374" s="103"/>
      <c r="H374" s="103"/>
      <c r="I374" s="103"/>
      <c r="J374" s="103"/>
      <c r="K374" s="103"/>
      <c r="L374" s="103"/>
    </row>
    <row r="375" spans="1:12" x14ac:dyDescent="0.25">
      <c r="A375" s="103"/>
      <c r="B375" s="103"/>
      <c r="C375" s="103"/>
      <c r="D375" s="103"/>
      <c r="E375" s="103"/>
      <c r="F375" s="103"/>
      <c r="G375" s="103"/>
      <c r="H375" s="103"/>
      <c r="I375" s="103"/>
      <c r="J375" s="103"/>
      <c r="K375" s="103"/>
      <c r="L375" s="103"/>
    </row>
    <row r="376" spans="1:12" x14ac:dyDescent="0.25">
      <c r="A376" s="103"/>
      <c r="B376" s="103"/>
      <c r="C376" s="103"/>
      <c r="D376" s="103"/>
      <c r="E376" s="103"/>
      <c r="F376" s="103"/>
      <c r="G376" s="103"/>
      <c r="H376" s="103"/>
      <c r="I376" s="103"/>
      <c r="J376" s="103"/>
      <c r="K376" s="103"/>
      <c r="L376" s="103"/>
    </row>
    <row r="377" spans="1:12" x14ac:dyDescent="0.25">
      <c r="A377" s="103"/>
      <c r="B377" s="103"/>
      <c r="C377" s="103"/>
      <c r="D377" s="103"/>
      <c r="E377" s="103"/>
      <c r="F377" s="103"/>
      <c r="G377" s="103"/>
      <c r="H377" s="103"/>
      <c r="I377" s="103"/>
      <c r="J377" s="103"/>
      <c r="K377" s="103"/>
      <c r="L377" s="103"/>
    </row>
    <row r="378" spans="1:12" x14ac:dyDescent="0.25">
      <c r="A378" s="103"/>
      <c r="B378" s="103"/>
      <c r="C378" s="103"/>
      <c r="D378" s="103"/>
      <c r="E378" s="103"/>
      <c r="F378" s="103"/>
      <c r="G378" s="103"/>
      <c r="H378" s="103"/>
      <c r="I378" s="103"/>
      <c r="J378" s="103"/>
      <c r="K378" s="103"/>
      <c r="L378" s="103"/>
    </row>
    <row r="379" spans="1:12" x14ac:dyDescent="0.25">
      <c r="A379" s="103"/>
      <c r="B379" s="103"/>
      <c r="C379" s="103"/>
      <c r="D379" s="103"/>
      <c r="E379" s="103"/>
      <c r="F379" s="103"/>
      <c r="G379" s="103"/>
      <c r="H379" s="103"/>
      <c r="I379" s="103"/>
      <c r="J379" s="103"/>
      <c r="K379" s="103"/>
      <c r="L379" s="103"/>
    </row>
    <row r="380" spans="1:12" x14ac:dyDescent="0.25">
      <c r="A380" s="103"/>
      <c r="B380" s="103"/>
      <c r="C380" s="103"/>
      <c r="D380" s="103"/>
      <c r="E380" s="103"/>
      <c r="F380" s="103"/>
      <c r="G380" s="103"/>
      <c r="H380" s="103"/>
      <c r="I380" s="103"/>
      <c r="J380" s="103"/>
      <c r="K380" s="103"/>
      <c r="L380" s="103"/>
    </row>
    <row r="381" spans="1:12" x14ac:dyDescent="0.25">
      <c r="A381" s="103"/>
      <c r="B381" s="103"/>
      <c r="C381" s="103"/>
      <c r="D381" s="103"/>
      <c r="E381" s="103"/>
      <c r="F381" s="103"/>
      <c r="G381" s="103"/>
      <c r="H381" s="103"/>
      <c r="I381" s="103"/>
      <c r="J381" s="103"/>
      <c r="K381" s="103"/>
      <c r="L381" s="103"/>
    </row>
    <row r="382" spans="1:12" x14ac:dyDescent="0.25">
      <c r="A382" s="103"/>
      <c r="B382" s="103"/>
      <c r="C382" s="103"/>
      <c r="D382" s="103"/>
      <c r="E382" s="103"/>
      <c r="F382" s="103"/>
      <c r="G382" s="103"/>
      <c r="H382" s="103"/>
      <c r="I382" s="103"/>
      <c r="J382" s="103"/>
      <c r="K382" s="103"/>
      <c r="L382" s="103"/>
    </row>
    <row r="383" spans="1:12" x14ac:dyDescent="0.25">
      <c r="A383" s="103"/>
      <c r="B383" s="103"/>
      <c r="C383" s="103"/>
      <c r="D383" s="103"/>
      <c r="E383" s="103"/>
      <c r="F383" s="103"/>
      <c r="G383" s="103"/>
      <c r="H383" s="103"/>
      <c r="I383" s="103"/>
      <c r="J383" s="103"/>
      <c r="K383" s="103"/>
      <c r="L383" s="103"/>
    </row>
    <row r="384" spans="1:12" x14ac:dyDescent="0.25">
      <c r="A384" s="103"/>
      <c r="B384" s="103"/>
      <c r="C384" s="103"/>
      <c r="D384" s="103"/>
      <c r="E384" s="103"/>
      <c r="F384" s="103"/>
      <c r="G384" s="103"/>
      <c r="H384" s="103"/>
      <c r="I384" s="103"/>
      <c r="J384" s="103"/>
      <c r="K384" s="103"/>
      <c r="L384" s="103"/>
    </row>
    <row r="385" spans="1:12" x14ac:dyDescent="0.25">
      <c r="A385" s="103"/>
      <c r="B385" s="103"/>
      <c r="C385" s="103"/>
      <c r="D385" s="103"/>
      <c r="E385" s="103"/>
      <c r="F385" s="103"/>
      <c r="G385" s="103"/>
      <c r="H385" s="103"/>
      <c r="I385" s="103"/>
      <c r="J385" s="103"/>
      <c r="K385" s="103"/>
      <c r="L385" s="103"/>
    </row>
    <row r="386" spans="1:12" x14ac:dyDescent="0.25">
      <c r="A386" s="103"/>
      <c r="B386" s="103"/>
      <c r="C386" s="103"/>
      <c r="D386" s="103"/>
      <c r="E386" s="103"/>
      <c r="F386" s="103"/>
      <c r="G386" s="103"/>
      <c r="H386" s="103"/>
      <c r="I386" s="103"/>
      <c r="J386" s="103"/>
      <c r="K386" s="103"/>
      <c r="L386" s="103"/>
    </row>
    <row r="387" spans="1:12" x14ac:dyDescent="0.25">
      <c r="A387" s="103"/>
      <c r="B387" s="103"/>
      <c r="C387" s="103"/>
      <c r="D387" s="103"/>
      <c r="E387" s="103"/>
      <c r="F387" s="103"/>
      <c r="G387" s="103"/>
      <c r="H387" s="103"/>
      <c r="I387" s="103"/>
      <c r="J387" s="103"/>
      <c r="K387" s="103"/>
      <c r="L387" s="103"/>
    </row>
    <row r="388" spans="1:12" x14ac:dyDescent="0.25">
      <c r="A388" s="103"/>
      <c r="B388" s="103"/>
      <c r="C388" s="103"/>
      <c r="D388" s="103"/>
      <c r="E388" s="103"/>
      <c r="F388" s="103"/>
      <c r="G388" s="103"/>
      <c r="H388" s="103"/>
      <c r="I388" s="103"/>
      <c r="J388" s="103"/>
      <c r="K388" s="103"/>
      <c r="L388" s="103"/>
    </row>
    <row r="389" spans="1:12" x14ac:dyDescent="0.25">
      <c r="A389" s="103"/>
      <c r="B389" s="103"/>
      <c r="C389" s="103"/>
      <c r="D389" s="103"/>
      <c r="E389" s="103"/>
      <c r="F389" s="103"/>
      <c r="G389" s="103"/>
      <c r="H389" s="103"/>
      <c r="I389" s="103"/>
      <c r="J389" s="103"/>
      <c r="K389" s="103"/>
      <c r="L389" s="103"/>
    </row>
    <row r="390" spans="1:12" x14ac:dyDescent="0.25">
      <c r="A390" s="103"/>
      <c r="B390" s="103"/>
      <c r="C390" s="103"/>
      <c r="D390" s="103"/>
      <c r="E390" s="103"/>
      <c r="F390" s="103"/>
      <c r="G390" s="103"/>
      <c r="H390" s="103"/>
      <c r="I390" s="103"/>
      <c r="J390" s="103"/>
      <c r="K390" s="103"/>
      <c r="L390" s="103"/>
    </row>
    <row r="391" spans="1:12" x14ac:dyDescent="0.25">
      <c r="A391" s="103"/>
      <c r="B391" s="103"/>
      <c r="C391" s="103"/>
      <c r="D391" s="103"/>
      <c r="E391" s="103"/>
      <c r="F391" s="103"/>
      <c r="G391" s="103"/>
      <c r="H391" s="103"/>
      <c r="I391" s="103"/>
      <c r="J391" s="103"/>
      <c r="K391" s="103"/>
      <c r="L391" s="103"/>
    </row>
    <row r="392" spans="1:12" x14ac:dyDescent="0.25">
      <c r="A392" s="103"/>
      <c r="B392" s="103"/>
      <c r="C392" s="103"/>
      <c r="D392" s="103"/>
      <c r="E392" s="103"/>
      <c r="F392" s="103"/>
      <c r="G392" s="103"/>
      <c r="H392" s="103"/>
      <c r="I392" s="103"/>
      <c r="J392" s="103"/>
      <c r="K392" s="103"/>
      <c r="L392" s="103"/>
    </row>
    <row r="393" spans="1:12" x14ac:dyDescent="0.25">
      <c r="A393" s="103"/>
      <c r="B393" s="103"/>
      <c r="C393" s="103"/>
      <c r="D393" s="103"/>
      <c r="E393" s="103"/>
      <c r="F393" s="103"/>
      <c r="G393" s="103"/>
      <c r="H393" s="103"/>
      <c r="I393" s="103"/>
      <c r="J393" s="103"/>
      <c r="K393" s="103"/>
      <c r="L393" s="103"/>
    </row>
    <row r="394" spans="1:12" x14ac:dyDescent="0.25">
      <c r="A394" s="103"/>
      <c r="B394" s="103"/>
      <c r="C394" s="103"/>
      <c r="D394" s="103"/>
      <c r="E394" s="103"/>
      <c r="F394" s="103"/>
      <c r="G394" s="103"/>
      <c r="H394" s="103"/>
      <c r="I394" s="103"/>
      <c r="J394" s="103"/>
      <c r="K394" s="103"/>
      <c r="L394" s="103"/>
    </row>
    <row r="395" spans="1:12" x14ac:dyDescent="0.25">
      <c r="A395" s="103"/>
      <c r="B395" s="103"/>
      <c r="C395" s="103"/>
      <c r="D395" s="103"/>
      <c r="E395" s="103"/>
      <c r="F395" s="103"/>
      <c r="G395" s="103"/>
      <c r="H395" s="103"/>
      <c r="I395" s="103"/>
      <c r="J395" s="103"/>
      <c r="K395" s="103"/>
      <c r="L395" s="103"/>
    </row>
    <row r="396" spans="1:12" x14ac:dyDescent="0.25">
      <c r="A396" s="103"/>
      <c r="B396" s="103"/>
      <c r="C396" s="103"/>
      <c r="D396" s="103"/>
      <c r="E396" s="103"/>
      <c r="F396" s="103"/>
      <c r="G396" s="103"/>
      <c r="H396" s="103"/>
      <c r="I396" s="103"/>
      <c r="J396" s="103"/>
      <c r="K396" s="103"/>
      <c r="L396" s="103"/>
    </row>
    <row r="397" spans="1:12" x14ac:dyDescent="0.25">
      <c r="A397" s="103"/>
      <c r="B397" s="103"/>
      <c r="C397" s="103"/>
      <c r="D397" s="103"/>
      <c r="E397" s="103"/>
      <c r="F397" s="103"/>
      <c r="G397" s="103"/>
      <c r="H397" s="103"/>
      <c r="I397" s="103"/>
      <c r="J397" s="103"/>
      <c r="K397" s="103"/>
      <c r="L397" s="103"/>
    </row>
    <row r="398" spans="1:12" x14ac:dyDescent="0.25">
      <c r="A398" s="103"/>
      <c r="B398" s="103"/>
      <c r="C398" s="103"/>
      <c r="D398" s="103"/>
      <c r="E398" s="103"/>
      <c r="F398" s="103"/>
      <c r="G398" s="103"/>
      <c r="H398" s="103"/>
      <c r="I398" s="103"/>
      <c r="J398" s="103"/>
      <c r="K398" s="103"/>
      <c r="L398" s="103"/>
    </row>
    <row r="399" spans="1:12" x14ac:dyDescent="0.25">
      <c r="A399" s="103"/>
      <c r="B399" s="103"/>
      <c r="C399" s="103"/>
      <c r="D399" s="103"/>
      <c r="E399" s="103"/>
      <c r="F399" s="103"/>
      <c r="G399" s="103"/>
      <c r="H399" s="103"/>
      <c r="I399" s="103"/>
      <c r="J399" s="103"/>
      <c r="K399" s="103"/>
      <c r="L399" s="103"/>
    </row>
    <row r="400" spans="1:12" x14ac:dyDescent="0.25">
      <c r="A400" s="103"/>
      <c r="B400" s="103"/>
      <c r="C400" s="103"/>
      <c r="D400" s="103"/>
      <c r="E400" s="103"/>
      <c r="F400" s="103"/>
      <c r="G400" s="103"/>
      <c r="H400" s="103"/>
      <c r="I400" s="103"/>
      <c r="J400" s="103"/>
      <c r="K400" s="103"/>
      <c r="L400" s="103"/>
    </row>
    <row r="401" spans="1:12" x14ac:dyDescent="0.25">
      <c r="A401" s="103"/>
      <c r="B401" s="103"/>
      <c r="C401" s="103"/>
      <c r="D401" s="103"/>
      <c r="E401" s="103"/>
      <c r="F401" s="103"/>
      <c r="G401" s="103"/>
      <c r="H401" s="103"/>
      <c r="I401" s="103"/>
      <c r="J401" s="103"/>
      <c r="K401" s="103"/>
      <c r="L401" s="103"/>
    </row>
    <row r="402" spans="1:12" x14ac:dyDescent="0.25">
      <c r="A402" s="103"/>
      <c r="B402" s="103"/>
      <c r="C402" s="103"/>
      <c r="D402" s="103"/>
      <c r="E402" s="103"/>
      <c r="F402" s="103"/>
      <c r="G402" s="103"/>
      <c r="H402" s="103"/>
      <c r="I402" s="103"/>
      <c r="J402" s="103"/>
      <c r="K402" s="103"/>
      <c r="L402" s="103"/>
    </row>
    <row r="403" spans="1:12" x14ac:dyDescent="0.25">
      <c r="A403" s="103"/>
      <c r="B403" s="103"/>
      <c r="C403" s="103"/>
      <c r="D403" s="103"/>
      <c r="E403" s="103"/>
      <c r="F403" s="103"/>
      <c r="G403" s="103"/>
      <c r="H403" s="103"/>
      <c r="I403" s="103"/>
      <c r="J403" s="103"/>
      <c r="K403" s="103"/>
      <c r="L403" s="103"/>
    </row>
    <row r="404" spans="1:12" x14ac:dyDescent="0.25">
      <c r="A404" s="103"/>
      <c r="B404" s="103"/>
      <c r="C404" s="103"/>
      <c r="D404" s="103"/>
      <c r="E404" s="103"/>
      <c r="F404" s="103"/>
      <c r="G404" s="103"/>
      <c r="H404" s="103"/>
      <c r="I404" s="103"/>
      <c r="J404" s="103"/>
      <c r="K404" s="103"/>
      <c r="L404" s="103"/>
    </row>
    <row r="405" spans="1:12" x14ac:dyDescent="0.25">
      <c r="A405" s="103"/>
      <c r="B405" s="103"/>
      <c r="C405" s="103"/>
      <c r="D405" s="103"/>
      <c r="E405" s="103"/>
      <c r="F405" s="103"/>
      <c r="G405" s="103"/>
      <c r="H405" s="103"/>
      <c r="I405" s="103"/>
      <c r="J405" s="103"/>
      <c r="K405" s="103"/>
      <c r="L405" s="103"/>
    </row>
    <row r="406" spans="1:12" x14ac:dyDescent="0.25">
      <c r="A406" s="103"/>
      <c r="B406" s="103"/>
      <c r="C406" s="103"/>
      <c r="D406" s="103"/>
      <c r="E406" s="103"/>
      <c r="F406" s="103"/>
      <c r="G406" s="103"/>
      <c r="H406" s="103"/>
      <c r="I406" s="103"/>
      <c r="J406" s="103"/>
      <c r="K406" s="103"/>
      <c r="L406" s="103"/>
    </row>
    <row r="407" spans="1:12" x14ac:dyDescent="0.25">
      <c r="A407" s="103"/>
      <c r="B407" s="103"/>
      <c r="C407" s="103"/>
      <c r="D407" s="103"/>
      <c r="E407" s="103"/>
      <c r="F407" s="103"/>
      <c r="G407" s="103"/>
      <c r="H407" s="103"/>
      <c r="I407" s="103"/>
      <c r="J407" s="103"/>
      <c r="K407" s="103"/>
      <c r="L407" s="103"/>
    </row>
    <row r="408" spans="1:12" x14ac:dyDescent="0.25">
      <c r="A408" s="103"/>
      <c r="B408" s="103"/>
      <c r="C408" s="103"/>
      <c r="D408" s="103"/>
      <c r="E408" s="103"/>
      <c r="F408" s="103"/>
      <c r="G408" s="103"/>
      <c r="H408" s="103"/>
      <c r="I408" s="103"/>
      <c r="J408" s="103"/>
      <c r="K408" s="103"/>
      <c r="L408" s="103"/>
    </row>
    <row r="409" spans="1:12" x14ac:dyDescent="0.25">
      <c r="A409" s="103"/>
      <c r="B409" s="103"/>
      <c r="C409" s="103"/>
      <c r="D409" s="103"/>
      <c r="E409" s="103"/>
      <c r="F409" s="103"/>
      <c r="G409" s="103"/>
      <c r="H409" s="103"/>
      <c r="I409" s="103"/>
      <c r="J409" s="103"/>
      <c r="K409" s="103"/>
      <c r="L409" s="103"/>
    </row>
    <row r="410" spans="1:12" x14ac:dyDescent="0.25">
      <c r="A410" s="103"/>
      <c r="B410" s="103"/>
      <c r="C410" s="103"/>
      <c r="D410" s="103"/>
      <c r="E410" s="103"/>
      <c r="F410" s="103"/>
      <c r="G410" s="103"/>
      <c r="H410" s="103"/>
      <c r="I410" s="103"/>
      <c r="J410" s="103"/>
      <c r="K410" s="103"/>
      <c r="L410" s="103"/>
    </row>
    <row r="411" spans="1:12" x14ac:dyDescent="0.25">
      <c r="A411" s="103"/>
      <c r="B411" s="103"/>
      <c r="C411" s="103"/>
      <c r="D411" s="103"/>
      <c r="E411" s="103"/>
      <c r="F411" s="103"/>
      <c r="G411" s="103"/>
      <c r="H411" s="103"/>
      <c r="I411" s="103"/>
      <c r="J411" s="103"/>
      <c r="K411" s="103"/>
      <c r="L411" s="103"/>
    </row>
    <row r="412" spans="1:12" x14ac:dyDescent="0.25">
      <c r="A412" s="103"/>
      <c r="B412" s="103"/>
      <c r="C412" s="103"/>
      <c r="D412" s="103"/>
      <c r="E412" s="103"/>
      <c r="F412" s="103"/>
      <c r="G412" s="103"/>
      <c r="H412" s="103"/>
      <c r="I412" s="103"/>
      <c r="J412" s="103"/>
      <c r="K412" s="103"/>
      <c r="L412" s="103"/>
    </row>
    <row r="413" spans="1:12" x14ac:dyDescent="0.25">
      <c r="A413" s="103"/>
      <c r="B413" s="103"/>
      <c r="C413" s="103"/>
      <c r="D413" s="103"/>
      <c r="E413" s="103"/>
      <c r="F413" s="103"/>
      <c r="G413" s="103"/>
      <c r="H413" s="103"/>
      <c r="I413" s="103"/>
      <c r="J413" s="103"/>
      <c r="K413" s="103"/>
      <c r="L413" s="103"/>
    </row>
    <row r="414" spans="1:12" x14ac:dyDescent="0.25">
      <c r="A414" s="103"/>
      <c r="B414" s="103"/>
      <c r="C414" s="103"/>
      <c r="D414" s="103"/>
      <c r="E414" s="103"/>
      <c r="F414" s="103"/>
      <c r="G414" s="103"/>
      <c r="H414" s="103"/>
      <c r="I414" s="103"/>
      <c r="J414" s="103"/>
      <c r="K414" s="103"/>
      <c r="L414" s="103"/>
    </row>
    <row r="415" spans="1:12" x14ac:dyDescent="0.25">
      <c r="A415" s="103"/>
      <c r="B415" s="103"/>
      <c r="C415" s="103"/>
      <c r="D415" s="103"/>
      <c r="E415" s="103"/>
      <c r="F415" s="103"/>
      <c r="G415" s="103"/>
      <c r="H415" s="103"/>
      <c r="I415" s="103"/>
      <c r="J415" s="103"/>
      <c r="K415" s="103"/>
      <c r="L415" s="103"/>
    </row>
    <row r="416" spans="1:12" x14ac:dyDescent="0.25">
      <c r="A416" s="103"/>
      <c r="B416" s="103"/>
      <c r="C416" s="103"/>
      <c r="D416" s="103"/>
      <c r="E416" s="103"/>
      <c r="F416" s="103"/>
      <c r="G416" s="103"/>
      <c r="H416" s="103"/>
      <c r="I416" s="103"/>
      <c r="J416" s="103"/>
      <c r="K416" s="103"/>
      <c r="L416" s="103"/>
    </row>
    <row r="417" spans="1:12" x14ac:dyDescent="0.25">
      <c r="A417" s="103"/>
      <c r="B417" s="103"/>
      <c r="C417" s="103"/>
      <c r="D417" s="103"/>
      <c r="E417" s="103"/>
      <c r="F417" s="103"/>
      <c r="G417" s="103"/>
      <c r="H417" s="103"/>
      <c r="I417" s="103"/>
      <c r="J417" s="103"/>
      <c r="K417" s="103"/>
      <c r="L417" s="103"/>
    </row>
    <row r="418" spans="1:12" x14ac:dyDescent="0.25">
      <c r="A418" s="103"/>
      <c r="B418" s="103"/>
      <c r="C418" s="103"/>
      <c r="D418" s="103"/>
      <c r="E418" s="103"/>
      <c r="F418" s="103"/>
      <c r="G418" s="103"/>
      <c r="H418" s="103"/>
      <c r="I418" s="103"/>
      <c r="J418" s="103"/>
      <c r="K418" s="103"/>
      <c r="L418" s="103"/>
    </row>
    <row r="419" spans="1:12" x14ac:dyDescent="0.25">
      <c r="A419" s="103"/>
      <c r="B419" s="103"/>
      <c r="C419" s="103"/>
      <c r="D419" s="103"/>
      <c r="E419" s="103"/>
      <c r="F419" s="103"/>
      <c r="G419" s="103"/>
      <c r="H419" s="103"/>
      <c r="I419" s="103"/>
      <c r="J419" s="103"/>
      <c r="K419" s="103"/>
      <c r="L419" s="103"/>
    </row>
    <row r="420" spans="1:12" x14ac:dyDescent="0.25">
      <c r="A420" s="103"/>
      <c r="B420" s="103"/>
      <c r="C420" s="103"/>
      <c r="D420" s="103"/>
      <c r="E420" s="103"/>
      <c r="F420" s="103"/>
      <c r="G420" s="103"/>
      <c r="H420" s="103"/>
      <c r="I420" s="103"/>
      <c r="J420" s="103"/>
      <c r="K420" s="103"/>
      <c r="L420" s="103"/>
    </row>
    <row r="421" spans="1:12" x14ac:dyDescent="0.25">
      <c r="A421" s="103"/>
      <c r="B421" s="103"/>
      <c r="C421" s="103"/>
      <c r="D421" s="103"/>
      <c r="E421" s="103"/>
      <c r="F421" s="103"/>
      <c r="G421" s="103"/>
      <c r="H421" s="103"/>
      <c r="I421" s="103"/>
      <c r="J421" s="103"/>
      <c r="K421" s="103"/>
      <c r="L421" s="103"/>
    </row>
    <row r="422" spans="1:12" x14ac:dyDescent="0.25">
      <c r="A422" s="103"/>
      <c r="B422" s="103"/>
      <c r="C422" s="103"/>
      <c r="D422" s="103"/>
      <c r="E422" s="103"/>
      <c r="F422" s="103"/>
      <c r="G422" s="103"/>
      <c r="H422" s="103"/>
      <c r="I422" s="103"/>
      <c r="J422" s="103"/>
      <c r="K422" s="103"/>
      <c r="L422" s="103"/>
    </row>
    <row r="423" spans="1:12" x14ac:dyDescent="0.25">
      <c r="A423" s="103"/>
      <c r="B423" s="103"/>
      <c r="C423" s="103"/>
      <c r="D423" s="103"/>
      <c r="E423" s="103"/>
      <c r="F423" s="103"/>
      <c r="G423" s="103"/>
      <c r="H423" s="103"/>
      <c r="I423" s="103"/>
      <c r="J423" s="103"/>
      <c r="K423" s="103"/>
      <c r="L423" s="103"/>
    </row>
    <row r="424" spans="1:12" x14ac:dyDescent="0.25">
      <c r="A424" s="103"/>
      <c r="B424" s="103"/>
      <c r="C424" s="103"/>
      <c r="D424" s="103"/>
      <c r="E424" s="103"/>
      <c r="F424" s="103"/>
      <c r="G424" s="103"/>
      <c r="H424" s="103"/>
      <c r="I424" s="103"/>
      <c r="J424" s="103"/>
      <c r="K424" s="103"/>
      <c r="L424" s="103"/>
    </row>
    <row r="425" spans="1:12" x14ac:dyDescent="0.25">
      <c r="A425" s="103"/>
      <c r="B425" s="103"/>
      <c r="C425" s="103"/>
      <c r="D425" s="103"/>
      <c r="E425" s="103"/>
      <c r="F425" s="103"/>
      <c r="G425" s="103"/>
      <c r="H425" s="103"/>
      <c r="I425" s="103"/>
      <c r="J425" s="103"/>
      <c r="K425" s="103"/>
      <c r="L425" s="103"/>
    </row>
    <row r="426" spans="1:12" x14ac:dyDescent="0.25">
      <c r="A426" s="103"/>
      <c r="B426" s="103"/>
      <c r="C426" s="103"/>
      <c r="D426" s="103"/>
      <c r="E426" s="103"/>
      <c r="F426" s="103"/>
      <c r="G426" s="103"/>
      <c r="H426" s="103"/>
      <c r="I426" s="103"/>
      <c r="J426" s="103"/>
      <c r="K426" s="103"/>
      <c r="L426" s="103"/>
    </row>
    <row r="427" spans="1:12" x14ac:dyDescent="0.25">
      <c r="A427" s="103"/>
      <c r="B427" s="103"/>
      <c r="C427" s="103"/>
      <c r="D427" s="103"/>
      <c r="E427" s="103"/>
      <c r="F427" s="103"/>
      <c r="G427" s="103"/>
      <c r="H427" s="103"/>
      <c r="I427" s="103"/>
      <c r="J427" s="103"/>
      <c r="K427" s="103"/>
      <c r="L427" s="103"/>
    </row>
    <row r="428" spans="1:12" x14ac:dyDescent="0.25">
      <c r="A428" s="103"/>
      <c r="B428" s="103"/>
      <c r="C428" s="103"/>
      <c r="D428" s="103"/>
      <c r="E428" s="103"/>
      <c r="F428" s="103"/>
      <c r="G428" s="103"/>
      <c r="H428" s="103"/>
      <c r="I428" s="103"/>
      <c r="J428" s="103"/>
      <c r="K428" s="103"/>
      <c r="L428" s="103"/>
    </row>
    <row r="429" spans="1:12" x14ac:dyDescent="0.25">
      <c r="A429" s="103"/>
      <c r="B429" s="103"/>
      <c r="C429" s="103"/>
      <c r="D429" s="103"/>
      <c r="E429" s="103"/>
      <c r="F429" s="103"/>
      <c r="G429" s="103"/>
      <c r="H429" s="103"/>
      <c r="I429" s="103"/>
      <c r="J429" s="103"/>
      <c r="K429" s="103"/>
      <c r="L429" s="103"/>
    </row>
    <row r="430" spans="1:12" x14ac:dyDescent="0.25">
      <c r="A430" s="103"/>
      <c r="B430" s="103"/>
      <c r="C430" s="103"/>
      <c r="D430" s="103"/>
      <c r="E430" s="103"/>
      <c r="F430" s="103"/>
      <c r="G430" s="103"/>
      <c r="H430" s="103"/>
      <c r="I430" s="103"/>
      <c r="J430" s="103"/>
      <c r="K430" s="103"/>
      <c r="L430" s="103"/>
    </row>
    <row r="431" spans="1:12" x14ac:dyDescent="0.25">
      <c r="A431" s="103"/>
      <c r="B431" s="103"/>
      <c r="C431" s="103"/>
      <c r="D431" s="103"/>
      <c r="E431" s="103"/>
      <c r="F431" s="103"/>
      <c r="G431" s="103"/>
      <c r="H431" s="103"/>
      <c r="I431" s="103"/>
      <c r="J431" s="103"/>
      <c r="K431" s="103"/>
      <c r="L431" s="103"/>
    </row>
    <row r="432" spans="1:12" x14ac:dyDescent="0.25">
      <c r="A432" s="103"/>
      <c r="B432" s="103"/>
      <c r="C432" s="103"/>
      <c r="D432" s="103"/>
      <c r="E432" s="103"/>
      <c r="F432" s="103"/>
      <c r="G432" s="103"/>
      <c r="H432" s="103"/>
      <c r="I432" s="103"/>
      <c r="J432" s="103"/>
      <c r="K432" s="103"/>
      <c r="L432" s="103"/>
    </row>
    <row r="433" spans="1:12" x14ac:dyDescent="0.25">
      <c r="A433" s="103"/>
      <c r="B433" s="103"/>
      <c r="C433" s="103"/>
      <c r="D433" s="103"/>
      <c r="E433" s="103"/>
      <c r="F433" s="103"/>
      <c r="G433" s="103"/>
      <c r="H433" s="103"/>
      <c r="I433" s="103"/>
      <c r="J433" s="103"/>
      <c r="K433" s="103"/>
      <c r="L433" s="103"/>
    </row>
    <row r="434" spans="1:12" x14ac:dyDescent="0.25">
      <c r="A434" s="103"/>
      <c r="B434" s="103"/>
      <c r="C434" s="103"/>
      <c r="D434" s="103"/>
      <c r="E434" s="103"/>
      <c r="F434" s="103"/>
      <c r="G434" s="103"/>
      <c r="H434" s="103"/>
      <c r="I434" s="103"/>
      <c r="J434" s="103"/>
      <c r="K434" s="103"/>
      <c r="L434" s="103"/>
    </row>
    <row r="435" spans="1:12" x14ac:dyDescent="0.25">
      <c r="A435" s="103"/>
      <c r="B435" s="103"/>
      <c r="C435" s="103"/>
      <c r="D435" s="103"/>
      <c r="E435" s="103"/>
      <c r="F435" s="103"/>
      <c r="G435" s="103"/>
      <c r="H435" s="103"/>
      <c r="I435" s="103"/>
      <c r="J435" s="103"/>
      <c r="K435" s="103"/>
      <c r="L435" s="103"/>
    </row>
    <row r="436" spans="1:12" x14ac:dyDescent="0.25">
      <c r="A436" s="103"/>
      <c r="B436" s="103"/>
      <c r="C436" s="103"/>
      <c r="D436" s="103"/>
      <c r="E436" s="103"/>
      <c r="F436" s="103"/>
      <c r="G436" s="103"/>
      <c r="H436" s="103"/>
      <c r="I436" s="103"/>
      <c r="J436" s="103"/>
      <c r="K436" s="103"/>
      <c r="L436" s="103"/>
    </row>
    <row r="437" spans="1:12" x14ac:dyDescent="0.25">
      <c r="A437" s="103"/>
      <c r="B437" s="103"/>
      <c r="C437" s="103"/>
      <c r="D437" s="103"/>
      <c r="E437" s="103"/>
      <c r="F437" s="103"/>
      <c r="G437" s="103"/>
      <c r="H437" s="103"/>
      <c r="I437" s="103"/>
      <c r="J437" s="103"/>
      <c r="K437" s="103"/>
      <c r="L437" s="103"/>
    </row>
    <row r="438" spans="1:12" x14ac:dyDescent="0.25">
      <c r="A438" s="103"/>
      <c r="B438" s="103"/>
      <c r="C438" s="103"/>
      <c r="D438" s="103"/>
      <c r="E438" s="103"/>
      <c r="F438" s="103"/>
      <c r="G438" s="103"/>
      <c r="H438" s="103"/>
      <c r="I438" s="103"/>
      <c r="J438" s="103"/>
      <c r="K438" s="103"/>
      <c r="L438" s="103"/>
    </row>
    <row r="439" spans="1:12" x14ac:dyDescent="0.25">
      <c r="A439" s="103"/>
      <c r="B439" s="103"/>
      <c r="C439" s="103"/>
      <c r="D439" s="103"/>
      <c r="E439" s="103"/>
      <c r="F439" s="103"/>
      <c r="G439" s="103"/>
      <c r="H439" s="103"/>
      <c r="I439" s="103"/>
      <c r="J439" s="103"/>
      <c r="K439" s="103"/>
      <c r="L439" s="103"/>
    </row>
    <row r="440" spans="1:12" x14ac:dyDescent="0.25">
      <c r="A440" s="103"/>
      <c r="B440" s="103"/>
      <c r="C440" s="103"/>
      <c r="D440" s="103"/>
      <c r="E440" s="103"/>
      <c r="F440" s="103"/>
      <c r="G440" s="103"/>
      <c r="H440" s="103"/>
      <c r="I440" s="103"/>
      <c r="J440" s="103"/>
      <c r="K440" s="103"/>
      <c r="L440" s="103"/>
    </row>
    <row r="441" spans="1:12" x14ac:dyDescent="0.25">
      <c r="A441" s="103"/>
      <c r="B441" s="103"/>
      <c r="C441" s="103"/>
      <c r="D441" s="103"/>
      <c r="E441" s="103"/>
      <c r="F441" s="103"/>
      <c r="G441" s="103"/>
      <c r="H441" s="103"/>
      <c r="I441" s="103"/>
      <c r="J441" s="103"/>
      <c r="K441" s="103"/>
      <c r="L441" s="103"/>
    </row>
    <row r="442" spans="1:12" x14ac:dyDescent="0.25">
      <c r="A442" s="103"/>
      <c r="B442" s="103"/>
      <c r="C442" s="103"/>
      <c r="D442" s="103"/>
      <c r="E442" s="103"/>
      <c r="F442" s="103"/>
      <c r="G442" s="103"/>
      <c r="H442" s="103"/>
      <c r="I442" s="103"/>
      <c r="J442" s="103"/>
      <c r="K442" s="103"/>
      <c r="L442" s="103"/>
    </row>
    <row r="443" spans="1:12" x14ac:dyDescent="0.25">
      <c r="A443" s="103"/>
      <c r="B443" s="103"/>
      <c r="C443" s="103"/>
      <c r="D443" s="103"/>
      <c r="E443" s="103"/>
      <c r="F443" s="103"/>
      <c r="G443" s="103"/>
      <c r="H443" s="103"/>
      <c r="I443" s="103"/>
      <c r="J443" s="103"/>
      <c r="K443" s="103"/>
      <c r="L443" s="103"/>
    </row>
    <row r="444" spans="1:12" x14ac:dyDescent="0.25">
      <c r="A444" s="103"/>
      <c r="B444" s="103"/>
      <c r="C444" s="103"/>
      <c r="D444" s="103"/>
      <c r="E444" s="103"/>
      <c r="F444" s="103"/>
      <c r="G444" s="103"/>
      <c r="H444" s="103"/>
      <c r="I444" s="103"/>
      <c r="J444" s="103"/>
      <c r="K444" s="103"/>
      <c r="L444" s="103"/>
    </row>
    <row r="445" spans="1:12" x14ac:dyDescent="0.25">
      <c r="A445" s="103"/>
      <c r="B445" s="103"/>
      <c r="C445" s="103"/>
      <c r="D445" s="103"/>
      <c r="E445" s="103"/>
      <c r="F445" s="103"/>
      <c r="G445" s="103"/>
      <c r="H445" s="103"/>
      <c r="I445" s="103"/>
      <c r="J445" s="103"/>
      <c r="K445" s="103"/>
      <c r="L445" s="103"/>
    </row>
    <row r="446" spans="1:12" x14ac:dyDescent="0.25">
      <c r="A446" s="103"/>
      <c r="B446" s="103"/>
      <c r="C446" s="103"/>
      <c r="D446" s="103"/>
      <c r="E446" s="103"/>
      <c r="F446" s="103"/>
      <c r="G446" s="103"/>
      <c r="H446" s="103"/>
      <c r="I446" s="103"/>
      <c r="J446" s="103"/>
      <c r="K446" s="103"/>
      <c r="L446" s="103"/>
    </row>
    <row r="447" spans="1:12" x14ac:dyDescent="0.25">
      <c r="A447" s="103"/>
      <c r="B447" s="103"/>
      <c r="C447" s="103"/>
      <c r="D447" s="103"/>
      <c r="E447" s="103"/>
      <c r="F447" s="103"/>
      <c r="G447" s="103"/>
      <c r="H447" s="103"/>
      <c r="I447" s="103"/>
      <c r="J447" s="103"/>
      <c r="K447" s="103"/>
      <c r="L447" s="103"/>
    </row>
    <row r="448" spans="1:12" x14ac:dyDescent="0.25">
      <c r="A448" s="103"/>
      <c r="B448" s="103"/>
      <c r="C448" s="103"/>
      <c r="D448" s="103"/>
      <c r="E448" s="103"/>
      <c r="F448" s="103"/>
      <c r="G448" s="103"/>
      <c r="H448" s="103"/>
      <c r="I448" s="103"/>
      <c r="J448" s="103"/>
      <c r="K448" s="103"/>
      <c r="L448" s="103"/>
    </row>
    <row r="449" spans="1:12" x14ac:dyDescent="0.25">
      <c r="A449" s="103"/>
      <c r="B449" s="103"/>
      <c r="C449" s="103"/>
      <c r="D449" s="103"/>
      <c r="E449" s="103"/>
      <c r="F449" s="103"/>
      <c r="G449" s="103"/>
      <c r="H449" s="103"/>
      <c r="I449" s="103"/>
      <c r="J449" s="103"/>
      <c r="K449" s="103"/>
      <c r="L449" s="103"/>
    </row>
    <row r="450" spans="1:12" x14ac:dyDescent="0.25">
      <c r="A450" s="103"/>
      <c r="B450" s="103"/>
      <c r="C450" s="103"/>
      <c r="D450" s="103"/>
      <c r="E450" s="103"/>
      <c r="F450" s="103"/>
      <c r="G450" s="103"/>
      <c r="H450" s="103"/>
      <c r="I450" s="103"/>
      <c r="J450" s="103"/>
      <c r="K450" s="103"/>
      <c r="L450" s="103"/>
    </row>
    <row r="451" spans="1:12" x14ac:dyDescent="0.25">
      <c r="A451" s="103"/>
      <c r="B451" s="103"/>
      <c r="C451" s="103"/>
      <c r="D451" s="103"/>
      <c r="E451" s="103"/>
      <c r="F451" s="103"/>
      <c r="G451" s="103"/>
      <c r="H451" s="103"/>
      <c r="I451" s="103"/>
      <c r="J451" s="103"/>
      <c r="K451" s="103"/>
      <c r="L451" s="103"/>
    </row>
    <row r="452" spans="1:12" x14ac:dyDescent="0.25">
      <c r="A452" s="103"/>
      <c r="B452" s="103"/>
      <c r="C452" s="103"/>
      <c r="D452" s="103"/>
      <c r="E452" s="103"/>
      <c r="F452" s="103"/>
      <c r="G452" s="103"/>
      <c r="H452" s="103"/>
      <c r="I452" s="103"/>
      <c r="J452" s="103"/>
      <c r="K452" s="103"/>
      <c r="L452" s="103"/>
    </row>
    <row r="453" spans="1:12" x14ac:dyDescent="0.25">
      <c r="A453" s="103"/>
      <c r="B453" s="103"/>
      <c r="C453" s="103"/>
      <c r="D453" s="103"/>
      <c r="E453" s="103"/>
      <c r="F453" s="103"/>
      <c r="G453" s="103"/>
      <c r="H453" s="103"/>
      <c r="I453" s="103"/>
      <c r="J453" s="103"/>
      <c r="K453" s="103"/>
      <c r="L453" s="103"/>
    </row>
    <row r="454" spans="1:12" x14ac:dyDescent="0.25">
      <c r="A454" s="103"/>
      <c r="B454" s="103"/>
      <c r="C454" s="103"/>
      <c r="D454" s="103"/>
      <c r="E454" s="103"/>
      <c r="F454" s="103"/>
      <c r="G454" s="103"/>
      <c r="H454" s="103"/>
      <c r="I454" s="103"/>
      <c r="J454" s="103"/>
      <c r="K454" s="103"/>
      <c r="L454" s="103"/>
    </row>
    <row r="455" spans="1:12" x14ac:dyDescent="0.25">
      <c r="A455" s="103"/>
      <c r="B455" s="103"/>
      <c r="C455" s="103"/>
      <c r="D455" s="103"/>
      <c r="E455" s="103"/>
      <c r="F455" s="103"/>
      <c r="G455" s="103"/>
      <c r="H455" s="103"/>
      <c r="I455" s="103"/>
      <c r="J455" s="103"/>
      <c r="K455" s="103"/>
      <c r="L455" s="103"/>
    </row>
    <row r="456" spans="1:12" x14ac:dyDescent="0.25">
      <c r="A456" s="103"/>
      <c r="B456" s="103"/>
      <c r="C456" s="103"/>
      <c r="D456" s="103"/>
      <c r="E456" s="103"/>
      <c r="F456" s="103"/>
      <c r="G456" s="103"/>
      <c r="H456" s="103"/>
      <c r="I456" s="103"/>
      <c r="J456" s="103"/>
      <c r="K456" s="103"/>
      <c r="L456" s="103"/>
    </row>
    <row r="457" spans="1:12" x14ac:dyDescent="0.25">
      <c r="A457" s="103"/>
      <c r="B457" s="103"/>
      <c r="C457" s="103"/>
      <c r="D457" s="103"/>
      <c r="E457" s="103"/>
      <c r="F457" s="103"/>
      <c r="G457" s="103"/>
      <c r="H457" s="103"/>
      <c r="I457" s="103"/>
      <c r="J457" s="103"/>
      <c r="K457" s="103"/>
      <c r="L457" s="103"/>
    </row>
    <row r="458" spans="1:12" x14ac:dyDescent="0.25">
      <c r="A458" s="103"/>
      <c r="B458" s="103"/>
      <c r="C458" s="103"/>
      <c r="D458" s="103"/>
      <c r="E458" s="103"/>
      <c r="F458" s="103"/>
      <c r="G458" s="103"/>
      <c r="H458" s="103"/>
      <c r="I458" s="103"/>
      <c r="J458" s="103"/>
      <c r="K458" s="103"/>
      <c r="L458" s="103"/>
    </row>
    <row r="459" spans="1:12" x14ac:dyDescent="0.25">
      <c r="A459" s="103"/>
      <c r="B459" s="103"/>
      <c r="C459" s="103"/>
      <c r="D459" s="103"/>
      <c r="E459" s="103"/>
      <c r="F459" s="103"/>
      <c r="G459" s="103"/>
      <c r="H459" s="103"/>
      <c r="I459" s="103"/>
      <c r="J459" s="103"/>
      <c r="K459" s="103"/>
      <c r="L459" s="103"/>
    </row>
    <row r="460" spans="1:12" x14ac:dyDescent="0.25">
      <c r="A460" s="103"/>
      <c r="B460" s="103"/>
      <c r="C460" s="103"/>
      <c r="D460" s="103"/>
      <c r="E460" s="103"/>
      <c r="F460" s="103"/>
      <c r="G460" s="103"/>
      <c r="H460" s="103"/>
      <c r="I460" s="103"/>
      <c r="J460" s="103"/>
      <c r="K460" s="103"/>
      <c r="L460" s="103"/>
    </row>
    <row r="461" spans="1:12" x14ac:dyDescent="0.25">
      <c r="A461" s="103"/>
      <c r="B461" s="103"/>
      <c r="C461" s="103"/>
      <c r="D461" s="103"/>
      <c r="E461" s="103"/>
      <c r="F461" s="103"/>
      <c r="G461" s="103"/>
      <c r="H461" s="103"/>
      <c r="I461" s="103"/>
      <c r="J461" s="103"/>
      <c r="K461" s="103"/>
      <c r="L461" s="103"/>
    </row>
    <row r="462" spans="1:12" x14ac:dyDescent="0.25">
      <c r="A462" s="103"/>
      <c r="B462" s="103"/>
      <c r="C462" s="103"/>
      <c r="D462" s="103"/>
      <c r="E462" s="103"/>
      <c r="F462" s="103"/>
      <c r="G462" s="103"/>
      <c r="H462" s="103"/>
      <c r="I462" s="103"/>
      <c r="J462" s="103"/>
      <c r="K462" s="103"/>
      <c r="L462" s="103"/>
    </row>
    <row r="463" spans="1:12" x14ac:dyDescent="0.25">
      <c r="A463" s="103"/>
      <c r="B463" s="103"/>
      <c r="C463" s="103"/>
      <c r="D463" s="103"/>
      <c r="E463" s="103"/>
      <c r="F463" s="103"/>
      <c r="G463" s="103"/>
      <c r="H463" s="103"/>
      <c r="I463" s="103"/>
      <c r="J463" s="103"/>
      <c r="K463" s="103"/>
      <c r="L463" s="103"/>
    </row>
    <row r="464" spans="1:12" x14ac:dyDescent="0.25">
      <c r="A464" s="103"/>
      <c r="B464" s="103"/>
      <c r="C464" s="103"/>
      <c r="D464" s="103"/>
      <c r="E464" s="103"/>
      <c r="F464" s="103"/>
      <c r="G464" s="103"/>
      <c r="H464" s="103"/>
      <c r="I464" s="103"/>
      <c r="J464" s="103"/>
      <c r="K464" s="103"/>
      <c r="L464" s="103"/>
    </row>
    <row r="465" spans="1:12" x14ac:dyDescent="0.25">
      <c r="A465" s="103"/>
      <c r="B465" s="103"/>
      <c r="C465" s="103"/>
      <c r="D465" s="103"/>
      <c r="E465" s="103"/>
      <c r="F465" s="103"/>
      <c r="G465" s="103"/>
      <c r="H465" s="103"/>
      <c r="I465" s="103"/>
      <c r="J465" s="103"/>
      <c r="K465" s="103"/>
      <c r="L465" s="103"/>
    </row>
    <row r="466" spans="1:12" x14ac:dyDescent="0.25">
      <c r="A466" s="103"/>
      <c r="B466" s="103"/>
      <c r="C466" s="103"/>
      <c r="D466" s="103"/>
      <c r="E466" s="103"/>
      <c r="F466" s="103"/>
      <c r="G466" s="103"/>
      <c r="H466" s="103"/>
      <c r="I466" s="103"/>
      <c r="J466" s="103"/>
      <c r="K466" s="103"/>
      <c r="L466" s="103"/>
    </row>
    <row r="467" spans="1:12" x14ac:dyDescent="0.25">
      <c r="A467" s="103"/>
      <c r="B467" s="103"/>
      <c r="C467" s="103"/>
      <c r="D467" s="103"/>
      <c r="E467" s="103"/>
      <c r="F467" s="103"/>
      <c r="G467" s="103"/>
      <c r="H467" s="103"/>
      <c r="I467" s="103"/>
      <c r="J467" s="103"/>
      <c r="K467" s="103"/>
      <c r="L467" s="103"/>
    </row>
    <row r="468" spans="1:12" x14ac:dyDescent="0.25">
      <c r="A468" s="103"/>
      <c r="B468" s="103"/>
      <c r="C468" s="103"/>
      <c r="D468" s="103"/>
      <c r="E468" s="103"/>
      <c r="F468" s="103"/>
      <c r="G468" s="103"/>
      <c r="H468" s="103"/>
      <c r="I468" s="103"/>
      <c r="J468" s="103"/>
      <c r="K468" s="103"/>
      <c r="L468" s="103"/>
    </row>
    <row r="469" spans="1:12" x14ac:dyDescent="0.25">
      <c r="A469" s="103"/>
      <c r="B469" s="103"/>
      <c r="C469" s="103"/>
      <c r="D469" s="103"/>
      <c r="E469" s="103"/>
      <c r="F469" s="103"/>
      <c r="G469" s="103"/>
      <c r="H469" s="103"/>
      <c r="I469" s="103"/>
      <c r="J469" s="103"/>
      <c r="K469" s="103"/>
      <c r="L469" s="103"/>
    </row>
    <row r="470" spans="1:12" x14ac:dyDescent="0.25">
      <c r="A470" s="103"/>
      <c r="B470" s="103"/>
      <c r="C470" s="103"/>
      <c r="D470" s="103"/>
      <c r="E470" s="103"/>
      <c r="F470" s="103"/>
      <c r="G470" s="103"/>
      <c r="H470" s="103"/>
      <c r="I470" s="103"/>
      <c r="J470" s="103"/>
      <c r="K470" s="103"/>
      <c r="L470" s="103"/>
    </row>
    <row r="471" spans="1:12" x14ac:dyDescent="0.25">
      <c r="A471" s="103"/>
      <c r="B471" s="103"/>
      <c r="C471" s="103"/>
      <c r="D471" s="103"/>
      <c r="E471" s="103"/>
      <c r="F471" s="103"/>
      <c r="G471" s="103"/>
      <c r="H471" s="103"/>
      <c r="I471" s="103"/>
      <c r="J471" s="103"/>
      <c r="K471" s="103"/>
      <c r="L471" s="103"/>
    </row>
    <row r="472" spans="1:12" x14ac:dyDescent="0.25">
      <c r="A472" s="103"/>
      <c r="B472" s="103"/>
      <c r="C472" s="103"/>
      <c r="D472" s="103"/>
      <c r="E472" s="103"/>
      <c r="F472" s="103"/>
      <c r="G472" s="103"/>
      <c r="H472" s="103"/>
      <c r="I472" s="103"/>
      <c r="J472" s="103"/>
      <c r="K472" s="103"/>
      <c r="L472" s="103"/>
    </row>
    <row r="473" spans="1:12" x14ac:dyDescent="0.25">
      <c r="A473" s="103"/>
      <c r="B473" s="103"/>
      <c r="C473" s="103"/>
      <c r="D473" s="103"/>
      <c r="E473" s="103"/>
      <c r="F473" s="103"/>
      <c r="G473" s="103"/>
      <c r="H473" s="103"/>
      <c r="I473" s="103"/>
      <c r="J473" s="103"/>
      <c r="K473" s="103"/>
      <c r="L473" s="103"/>
    </row>
    <row r="474" spans="1:12" x14ac:dyDescent="0.25">
      <c r="A474" s="103"/>
      <c r="B474" s="103"/>
      <c r="C474" s="103"/>
      <c r="D474" s="103"/>
      <c r="E474" s="103"/>
      <c r="F474" s="103"/>
      <c r="G474" s="103"/>
      <c r="H474" s="103"/>
      <c r="I474" s="103"/>
      <c r="J474" s="103"/>
      <c r="K474" s="103"/>
      <c r="L474" s="103"/>
    </row>
    <row r="475" spans="1:12" x14ac:dyDescent="0.25">
      <c r="A475" s="103"/>
      <c r="B475" s="103"/>
      <c r="C475" s="103"/>
      <c r="D475" s="103"/>
      <c r="E475" s="103"/>
      <c r="F475" s="103"/>
      <c r="G475" s="103"/>
      <c r="H475" s="103"/>
      <c r="I475" s="103"/>
      <c r="J475" s="103"/>
      <c r="K475" s="103"/>
      <c r="L475" s="103"/>
    </row>
    <row r="476" spans="1:12" x14ac:dyDescent="0.25">
      <c r="A476" s="103"/>
      <c r="B476" s="103"/>
      <c r="C476" s="103"/>
      <c r="D476" s="103"/>
      <c r="E476" s="103"/>
      <c r="F476" s="103"/>
      <c r="G476" s="103"/>
      <c r="H476" s="103"/>
      <c r="I476" s="103"/>
      <c r="J476" s="103"/>
      <c r="K476" s="103"/>
      <c r="L476" s="103"/>
    </row>
    <row r="477" spans="1:12" x14ac:dyDescent="0.25">
      <c r="A477" s="103"/>
      <c r="B477" s="103"/>
      <c r="C477" s="103"/>
      <c r="D477" s="103"/>
      <c r="E477" s="103"/>
      <c r="F477" s="103"/>
      <c r="G477" s="103"/>
      <c r="H477" s="103"/>
      <c r="I477" s="103"/>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E273"/>
  <sheetViews>
    <sheetView topLeftCell="A17" zoomScaleNormal="100" workbookViewId="0">
      <selection activeCell="U105" sqref="U105"/>
    </sheetView>
  </sheetViews>
  <sheetFormatPr defaultRowHeight="13.2" x14ac:dyDescent="0.25"/>
  <cols>
    <col min="1" max="1" width="7.44140625" customWidth="1"/>
    <col min="10" max="10" width="11.21875" customWidth="1"/>
    <col min="12" max="12" width="16.77734375" bestFit="1" customWidth="1"/>
    <col min="13" max="13" width="11.33203125" bestFit="1" customWidth="1"/>
    <col min="14" max="14" width="11.21875" customWidth="1"/>
    <col min="15" max="15" width="16.21875" bestFit="1" customWidth="1"/>
    <col min="16" max="16" width="11.33203125" bestFit="1" customWidth="1"/>
    <col min="28" max="31" width="0" hidden="1" customWidth="1"/>
  </cols>
  <sheetData>
    <row r="1" spans="1:10" ht="12.75" customHeight="1" x14ac:dyDescent="0.25">
      <c r="A1" s="557" t="s">
        <v>442</v>
      </c>
      <c r="B1" s="557"/>
      <c r="C1" s="557"/>
      <c r="D1" s="557"/>
      <c r="E1" s="557"/>
      <c r="F1" s="557"/>
      <c r="G1" s="557"/>
      <c r="H1" s="557"/>
      <c r="I1" s="557"/>
      <c r="J1" s="557"/>
    </row>
    <row r="2" spans="1:10" ht="12.75" customHeight="1" x14ac:dyDescent="0.25">
      <c r="A2" s="557"/>
      <c r="B2" s="557"/>
      <c r="C2" s="557"/>
      <c r="D2" s="557"/>
      <c r="E2" s="557"/>
      <c r="F2" s="557"/>
      <c r="G2" s="557"/>
      <c r="H2" s="557"/>
      <c r="I2" s="557"/>
      <c r="J2" s="557"/>
    </row>
    <row r="3" spans="1:10" x14ac:dyDescent="0.25">
      <c r="A3" s="103"/>
      <c r="B3" s="103"/>
      <c r="C3" s="103"/>
      <c r="D3" s="103"/>
      <c r="E3" s="103"/>
      <c r="F3" s="103"/>
      <c r="G3" s="103"/>
      <c r="H3" s="103"/>
      <c r="I3" s="103"/>
      <c r="J3" s="103"/>
    </row>
    <row r="4" spans="1:10" x14ac:dyDescent="0.25">
      <c r="A4" s="182" t="s">
        <v>443</v>
      </c>
      <c r="B4" s="103"/>
      <c r="C4" s="103"/>
      <c r="D4" s="103"/>
      <c r="E4" s="103"/>
      <c r="F4" s="103"/>
      <c r="G4" s="103"/>
      <c r="H4" s="103"/>
      <c r="I4" s="103"/>
      <c r="J4" s="103"/>
    </row>
    <row r="5" spans="1:10" ht="12.75" customHeight="1" x14ac:dyDescent="0.25">
      <c r="A5" s="108" t="s">
        <v>444</v>
      </c>
      <c r="B5" s="469" t="s">
        <v>445</v>
      </c>
      <c r="C5" s="469"/>
      <c r="D5" s="469"/>
      <c r="E5" s="469"/>
      <c r="F5" s="469"/>
      <c r="G5" s="469"/>
      <c r="H5" s="469"/>
      <c r="I5" s="469"/>
      <c r="J5" s="183" t="s">
        <v>446</v>
      </c>
    </row>
    <row r="6" spans="1:10" x14ac:dyDescent="0.25">
      <c r="A6" s="105"/>
      <c r="B6" s="469"/>
      <c r="C6" s="469"/>
      <c r="D6" s="469"/>
      <c r="E6" s="469"/>
      <c r="F6" s="469"/>
      <c r="G6" s="469"/>
      <c r="H6" s="469"/>
      <c r="I6" s="469"/>
      <c r="J6" s="711"/>
    </row>
    <row r="7" spans="1:10" x14ac:dyDescent="0.25">
      <c r="A7" s="105"/>
      <c r="B7" s="469"/>
      <c r="C7" s="469"/>
      <c r="D7" s="469"/>
      <c r="E7" s="469"/>
      <c r="F7" s="469"/>
      <c r="G7" s="469"/>
      <c r="H7" s="469"/>
      <c r="I7" s="469"/>
      <c r="J7" s="711"/>
    </row>
    <row r="8" spans="1:10" x14ac:dyDescent="0.25">
      <c r="A8" s="105"/>
      <c r="B8" s="103"/>
      <c r="C8" s="103"/>
      <c r="D8" s="103"/>
      <c r="E8" s="103"/>
      <c r="F8" s="103"/>
      <c r="G8" s="103"/>
      <c r="H8" s="103"/>
      <c r="I8" s="103"/>
      <c r="J8" s="103"/>
    </row>
    <row r="9" spans="1:10" ht="12.75" customHeight="1" x14ac:dyDescent="0.25">
      <c r="A9" s="108" t="s">
        <v>447</v>
      </c>
      <c r="B9" s="469" t="s">
        <v>448</v>
      </c>
      <c r="C9" s="469"/>
      <c r="D9" s="469"/>
      <c r="E9" s="469"/>
      <c r="F9" s="469"/>
      <c r="G9" s="469"/>
      <c r="H9" s="469"/>
      <c r="I9" s="469"/>
      <c r="J9" s="103"/>
    </row>
    <row r="10" spans="1:10" x14ac:dyDescent="0.25">
      <c r="A10" s="105"/>
      <c r="B10" s="469"/>
      <c r="C10" s="469"/>
      <c r="D10" s="469"/>
      <c r="E10" s="469"/>
      <c r="F10" s="469"/>
      <c r="G10" s="469"/>
      <c r="H10" s="469"/>
      <c r="I10" s="469"/>
      <c r="J10" s="267"/>
    </row>
    <row r="11" spans="1:10" x14ac:dyDescent="0.25">
      <c r="A11" s="105"/>
      <c r="B11" s="469"/>
      <c r="C11" s="469"/>
      <c r="D11" s="469"/>
      <c r="E11" s="469"/>
      <c r="F11" s="469"/>
      <c r="G11" s="469"/>
      <c r="H11" s="469"/>
      <c r="I11" s="469"/>
      <c r="J11" s="103"/>
    </row>
    <row r="12" spans="1:10" x14ac:dyDescent="0.25">
      <c r="A12" s="105"/>
      <c r="B12" s="103"/>
      <c r="C12" s="103"/>
      <c r="D12" s="103"/>
      <c r="E12" s="103"/>
      <c r="F12" s="103"/>
      <c r="G12" s="103"/>
      <c r="H12" s="103"/>
      <c r="I12" s="103"/>
      <c r="J12" s="103"/>
    </row>
    <row r="13" spans="1:10" x14ac:dyDescent="0.25">
      <c r="A13" s="108" t="s">
        <v>449</v>
      </c>
      <c r="B13" s="105" t="s">
        <v>450</v>
      </c>
      <c r="C13" s="103"/>
      <c r="D13" s="103"/>
      <c r="E13" s="103"/>
      <c r="F13" s="103"/>
      <c r="G13" s="103"/>
      <c r="H13" s="103"/>
      <c r="I13" s="103"/>
      <c r="J13" s="103"/>
    </row>
    <row r="14" spans="1:10" ht="12.75" customHeight="1" x14ac:dyDescent="0.25">
      <c r="A14" s="103"/>
      <c r="B14" s="103">
        <v>1</v>
      </c>
      <c r="C14" s="469" t="s">
        <v>565</v>
      </c>
      <c r="D14" s="469"/>
      <c r="E14" s="469"/>
      <c r="F14" s="469"/>
      <c r="G14" s="469"/>
      <c r="H14" s="469"/>
      <c r="I14" s="469"/>
      <c r="J14" s="208"/>
    </row>
    <row r="15" spans="1:10" x14ac:dyDescent="0.25">
      <c r="A15" s="103"/>
      <c r="B15" s="103"/>
      <c r="C15" s="469"/>
      <c r="D15" s="469"/>
      <c r="E15" s="469"/>
      <c r="F15" s="469"/>
      <c r="G15" s="469"/>
      <c r="H15" s="469"/>
      <c r="I15" s="469"/>
      <c r="J15" s="208"/>
    </row>
    <row r="16" spans="1:10" x14ac:dyDescent="0.25">
      <c r="A16" s="103"/>
      <c r="B16" s="103"/>
      <c r="C16" s="469"/>
      <c r="D16" s="469"/>
      <c r="E16" s="469"/>
      <c r="F16" s="469"/>
      <c r="G16" s="469"/>
      <c r="H16" s="469"/>
      <c r="I16" s="469"/>
      <c r="J16" s="196" t="str">
        <f>IF(AND(J28="No",D160&gt;7),"Yes",IF(AND(J28="Yes",F160&gt;7),"Yes","No"))</f>
        <v>Yes</v>
      </c>
    </row>
    <row r="17" spans="1:10" x14ac:dyDescent="0.25">
      <c r="A17" s="103"/>
      <c r="B17" s="103"/>
      <c r="C17" s="181"/>
      <c r="D17" s="181"/>
      <c r="E17" s="181"/>
      <c r="F17" s="181"/>
      <c r="G17" s="181"/>
      <c r="H17" s="181"/>
      <c r="I17" s="181"/>
      <c r="J17" s="208"/>
    </row>
    <row r="18" spans="1:10" x14ac:dyDescent="0.25">
      <c r="A18" s="103"/>
      <c r="B18" s="103">
        <v>2</v>
      </c>
      <c r="C18" s="469" t="s">
        <v>694</v>
      </c>
      <c r="D18" s="469"/>
      <c r="E18" s="469"/>
      <c r="F18" s="469"/>
      <c r="G18" s="469"/>
      <c r="H18" s="469"/>
      <c r="I18" s="469"/>
      <c r="J18" s="208"/>
    </row>
    <row r="19" spans="1:10" x14ac:dyDescent="0.25">
      <c r="A19" s="103"/>
      <c r="B19" s="103"/>
      <c r="C19" s="469"/>
      <c r="D19" s="469"/>
      <c r="E19" s="469"/>
      <c r="F19" s="469"/>
      <c r="G19" s="469"/>
      <c r="H19" s="469"/>
      <c r="I19" s="469"/>
      <c r="J19" s="208"/>
    </row>
    <row r="20" spans="1:10" x14ac:dyDescent="0.25">
      <c r="A20" s="103"/>
      <c r="B20" s="103"/>
      <c r="C20" s="469"/>
      <c r="D20" s="469"/>
      <c r="E20" s="469"/>
      <c r="F20" s="469"/>
      <c r="G20" s="469"/>
      <c r="H20" s="469"/>
      <c r="I20" s="469"/>
      <c r="J20" s="208"/>
    </row>
    <row r="21" spans="1:10" x14ac:dyDescent="0.25">
      <c r="A21" s="103"/>
      <c r="B21" s="103"/>
      <c r="C21" s="469"/>
      <c r="D21" s="469"/>
      <c r="E21" s="469"/>
      <c r="F21" s="469"/>
      <c r="G21" s="469"/>
      <c r="H21" s="469"/>
      <c r="I21" s="469"/>
      <c r="J21" s="208"/>
    </row>
    <row r="22" spans="1:10" x14ac:dyDescent="0.25">
      <c r="A22" s="103"/>
      <c r="B22" s="103"/>
      <c r="C22" s="469"/>
      <c r="D22" s="469"/>
      <c r="E22" s="469"/>
      <c r="F22" s="469"/>
      <c r="G22" s="469"/>
      <c r="H22" s="469"/>
      <c r="I22" s="469"/>
      <c r="J22" s="196" t="str">
        <f>IF(AND(J28="No",E160&gt;7),"Yes",IF(AND(J28="Yes",G160&gt;7),"Yes","No"))</f>
        <v>No</v>
      </c>
    </row>
    <row r="23" spans="1:10" ht="12.75" customHeight="1" x14ac:dyDescent="0.25">
      <c r="A23" s="103"/>
      <c r="B23" s="103"/>
      <c r="C23" s="469" t="s">
        <v>695</v>
      </c>
      <c r="D23" s="469"/>
      <c r="E23" s="469"/>
      <c r="F23" s="469"/>
      <c r="G23" s="469"/>
      <c r="H23" s="469"/>
      <c r="I23" s="469"/>
      <c r="J23" s="379"/>
    </row>
    <row r="24" spans="1:10" x14ac:dyDescent="0.25">
      <c r="A24" s="103"/>
      <c r="B24" s="103"/>
      <c r="C24" s="469"/>
      <c r="D24" s="469"/>
      <c r="E24" s="469"/>
      <c r="F24" s="469"/>
      <c r="G24" s="469"/>
      <c r="H24" s="469"/>
      <c r="I24" s="469"/>
      <c r="J24" s="379"/>
    </row>
    <row r="25" spans="1:10" x14ac:dyDescent="0.25">
      <c r="A25" s="103"/>
      <c r="B25" s="103"/>
      <c r="C25" s="181"/>
      <c r="D25" s="181"/>
      <c r="E25" s="181"/>
      <c r="F25" s="181"/>
      <c r="G25" s="181"/>
      <c r="H25" s="181"/>
      <c r="I25" s="181"/>
      <c r="J25" s="208"/>
    </row>
    <row r="26" spans="1:10" x14ac:dyDescent="0.25">
      <c r="A26" s="103"/>
      <c r="B26" s="103">
        <v>3</v>
      </c>
      <c r="C26" s="469" t="s">
        <v>451</v>
      </c>
      <c r="D26" s="469"/>
      <c r="E26" s="469"/>
      <c r="F26" s="469"/>
      <c r="G26" s="469"/>
      <c r="H26" s="469"/>
      <c r="I26" s="469"/>
      <c r="J26" s="208"/>
    </row>
    <row r="27" spans="1:10" x14ac:dyDescent="0.25">
      <c r="A27" s="103"/>
      <c r="B27" s="103"/>
      <c r="C27" s="469"/>
      <c r="D27" s="469"/>
      <c r="E27" s="469"/>
      <c r="F27" s="469"/>
      <c r="G27" s="469"/>
      <c r="H27" s="469"/>
      <c r="I27" s="469"/>
      <c r="J27" s="208"/>
    </row>
    <row r="28" spans="1:10" x14ac:dyDescent="0.25">
      <c r="A28" s="103"/>
      <c r="B28" s="103"/>
      <c r="C28" s="469"/>
      <c r="D28" s="469"/>
      <c r="E28" s="469"/>
      <c r="F28" s="469"/>
      <c r="G28" s="469"/>
      <c r="H28" s="469"/>
      <c r="I28" s="469"/>
      <c r="J28" s="196" t="str">
        <f>IF(OR('Input &amp; Findings'!$I$17="Yes",'Input &amp; Findings'!$G$33&gt;40),"Yes","No")</f>
        <v>Yes</v>
      </c>
    </row>
    <row r="29" spans="1:10" x14ac:dyDescent="0.25">
      <c r="A29" s="103"/>
      <c r="B29" s="103"/>
      <c r="C29" s="710"/>
      <c r="D29" s="710"/>
      <c r="E29" s="710"/>
      <c r="F29" s="710"/>
      <c r="G29" s="710"/>
      <c r="H29" s="192"/>
      <c r="I29" s="181"/>
      <c r="J29" s="208"/>
    </row>
    <row r="30" spans="1:10" x14ac:dyDescent="0.25">
      <c r="A30" s="103"/>
      <c r="B30" s="103"/>
      <c r="C30" s="185"/>
      <c r="D30" s="185"/>
      <c r="E30" s="185"/>
      <c r="F30" s="185"/>
      <c r="G30" s="185"/>
      <c r="H30" s="173"/>
      <c r="I30" s="181"/>
      <c r="J30" s="208"/>
    </row>
    <row r="31" spans="1:10" x14ac:dyDescent="0.25">
      <c r="A31" s="108" t="s">
        <v>452</v>
      </c>
      <c r="B31" s="469" t="s">
        <v>453</v>
      </c>
      <c r="C31" s="469"/>
      <c r="D31" s="469"/>
      <c r="E31" s="469"/>
      <c r="F31" s="469"/>
      <c r="G31" s="469"/>
      <c r="H31" s="469"/>
      <c r="I31" s="469"/>
      <c r="J31" s="208"/>
    </row>
    <row r="32" spans="1:10" x14ac:dyDescent="0.25">
      <c r="A32" s="103"/>
      <c r="B32" s="469"/>
      <c r="C32" s="469"/>
      <c r="D32" s="469"/>
      <c r="E32" s="469"/>
      <c r="F32" s="469"/>
      <c r="G32" s="469"/>
      <c r="H32" s="469"/>
      <c r="I32" s="469"/>
      <c r="J32" s="196" t="str">
        <f>IF(AND(J6="No",J10="No",OR(J16="No",J22="No"),H160&gt;7,I160&gt;7),"Yes","No")</f>
        <v>No</v>
      </c>
    </row>
    <row r="33" spans="1:10" x14ac:dyDescent="0.25">
      <c r="A33" s="103"/>
      <c r="B33" s="103"/>
      <c r="C33" s="181"/>
      <c r="D33" s="181"/>
      <c r="E33" s="181"/>
      <c r="F33" s="181"/>
      <c r="G33" s="181"/>
      <c r="H33" s="181"/>
      <c r="I33" s="181"/>
      <c r="J33" s="208"/>
    </row>
    <row r="34" spans="1:10" x14ac:dyDescent="0.25">
      <c r="A34" s="103"/>
      <c r="B34" s="103"/>
      <c r="C34" s="181"/>
      <c r="D34" s="181"/>
      <c r="E34" s="181"/>
      <c r="F34" s="181"/>
      <c r="G34" s="181"/>
      <c r="H34" s="181"/>
      <c r="I34" s="181"/>
      <c r="J34" s="208"/>
    </row>
    <row r="35" spans="1:10" x14ac:dyDescent="0.25">
      <c r="A35" s="103"/>
      <c r="B35" s="26" t="s">
        <v>454</v>
      </c>
      <c r="C35" s="181"/>
      <c r="D35" s="181"/>
      <c r="E35" s="181"/>
      <c r="F35" s="181"/>
      <c r="G35" s="181"/>
      <c r="H35" s="181"/>
      <c r="I35" s="181"/>
      <c r="J35" s="103"/>
    </row>
    <row r="36" spans="1:10" x14ac:dyDescent="0.25">
      <c r="A36" s="103"/>
      <c r="B36" s="25" t="s">
        <v>444</v>
      </c>
      <c r="C36" s="26" t="s">
        <v>455</v>
      </c>
      <c r="D36" s="181"/>
      <c r="E36" s="181"/>
      <c r="F36" s="181"/>
      <c r="G36" s="181"/>
      <c r="H36" s="181"/>
      <c r="I36" s="181"/>
      <c r="J36" s="267"/>
    </row>
    <row r="37" spans="1:10" x14ac:dyDescent="0.25">
      <c r="A37" s="103"/>
      <c r="B37" s="25" t="s">
        <v>447</v>
      </c>
      <c r="C37" s="469" t="s">
        <v>456</v>
      </c>
      <c r="D37" s="469"/>
      <c r="E37" s="469"/>
      <c r="F37" s="469"/>
      <c r="G37" s="469"/>
      <c r="H37" s="469"/>
      <c r="I37" s="469"/>
      <c r="J37" s="181"/>
    </row>
    <row r="38" spans="1:10" x14ac:dyDescent="0.25">
      <c r="A38" s="103"/>
      <c r="B38" s="25"/>
      <c r="C38" s="469"/>
      <c r="D38" s="469"/>
      <c r="E38" s="469"/>
      <c r="F38" s="469"/>
      <c r="G38" s="469"/>
      <c r="H38" s="469"/>
      <c r="I38" s="469"/>
      <c r="J38" s="267"/>
    </row>
    <row r="39" spans="1:10" ht="12.75" customHeight="1" x14ac:dyDescent="0.25">
      <c r="A39" s="103"/>
      <c r="B39" s="25" t="s">
        <v>449</v>
      </c>
      <c r="C39" s="469" t="s">
        <v>457</v>
      </c>
      <c r="D39" s="469"/>
      <c r="E39" s="469"/>
      <c r="F39" s="469"/>
      <c r="G39" s="469"/>
      <c r="H39" s="469"/>
      <c r="I39" s="469"/>
      <c r="J39" s="179"/>
    </row>
    <row r="40" spans="1:10" x14ac:dyDescent="0.25">
      <c r="A40" s="103"/>
      <c r="B40" s="184"/>
      <c r="C40" s="469"/>
      <c r="D40" s="469"/>
      <c r="E40" s="469"/>
      <c r="F40" s="469"/>
      <c r="G40" s="469"/>
      <c r="H40" s="469"/>
      <c r="I40" s="469"/>
      <c r="J40" s="179"/>
    </row>
    <row r="41" spans="1:10" x14ac:dyDescent="0.25">
      <c r="A41" s="103"/>
      <c r="B41" s="184"/>
      <c r="C41" s="469"/>
      <c r="D41" s="469"/>
      <c r="E41" s="469"/>
      <c r="F41" s="469"/>
      <c r="G41" s="469"/>
      <c r="H41" s="469"/>
      <c r="I41" s="469"/>
      <c r="J41" s="267"/>
    </row>
    <row r="42" spans="1:10" ht="12.75" customHeight="1" x14ac:dyDescent="0.25">
      <c r="A42" s="103"/>
      <c r="B42" s="25" t="s">
        <v>452</v>
      </c>
      <c r="C42" s="469" t="s">
        <v>458</v>
      </c>
      <c r="D42" s="469"/>
      <c r="E42" s="469"/>
      <c r="F42" s="469"/>
      <c r="G42" s="469"/>
      <c r="H42" s="469"/>
      <c r="I42" s="469"/>
      <c r="J42" s="181"/>
    </row>
    <row r="43" spans="1:10" x14ac:dyDescent="0.25">
      <c r="A43" s="103"/>
      <c r="C43" s="469"/>
      <c r="D43" s="469"/>
      <c r="E43" s="469"/>
      <c r="F43" s="469"/>
      <c r="G43" s="469"/>
      <c r="H43" s="469"/>
      <c r="I43" s="469"/>
      <c r="J43" s="181"/>
    </row>
    <row r="44" spans="1:10" x14ac:dyDescent="0.25">
      <c r="A44" s="103"/>
      <c r="C44" s="469"/>
      <c r="D44" s="469"/>
      <c r="E44" s="469"/>
      <c r="F44" s="469"/>
      <c r="G44" s="469"/>
      <c r="H44" s="469"/>
      <c r="I44" s="469"/>
      <c r="J44" s="267"/>
    </row>
    <row r="45" spans="1:10" x14ac:dyDescent="0.25">
      <c r="A45" s="103"/>
      <c r="B45" s="179"/>
      <c r="C45" s="179"/>
      <c r="D45" s="179"/>
      <c r="E45" s="179"/>
      <c r="F45" s="179"/>
      <c r="G45" s="179"/>
      <c r="H45" s="179"/>
      <c r="I45" s="179"/>
      <c r="J45" s="103"/>
    </row>
    <row r="46" spans="1:10" x14ac:dyDescent="0.25">
      <c r="A46" s="103"/>
      <c r="B46" s="103"/>
      <c r="C46" s="181"/>
      <c r="D46" s="181"/>
      <c r="E46" s="181"/>
      <c r="F46" s="116" t="s">
        <v>571</v>
      </c>
      <c r="G46" s="195" t="str">
        <f>IF(OR(J6="Yes",J10="Yes",AND(J16="Yes",J22="Yes"),J32="Yes",J36="Yes",J38="Yes",J41="Yes",J44="Yes"),"Yes","No")</f>
        <v>No</v>
      </c>
      <c r="H46" s="181"/>
      <c r="I46" s="181"/>
      <c r="J46" s="103"/>
    </row>
    <row r="47" spans="1:10" x14ac:dyDescent="0.25">
      <c r="A47" s="103"/>
      <c r="B47" s="103"/>
      <c r="C47" s="181"/>
      <c r="D47" s="181"/>
      <c r="E47" s="181"/>
      <c r="F47" s="181"/>
      <c r="G47" s="181"/>
      <c r="H47" s="181"/>
      <c r="I47" s="181"/>
      <c r="J47" s="103"/>
    </row>
    <row r="48" spans="1:10" x14ac:dyDescent="0.25">
      <c r="A48" s="103"/>
      <c r="B48" s="103"/>
      <c r="C48" s="181"/>
      <c r="D48" s="181"/>
      <c r="E48" s="181"/>
      <c r="F48" s="181"/>
      <c r="G48" s="181"/>
      <c r="H48" s="181"/>
      <c r="I48" s="181"/>
      <c r="J48" s="103"/>
    </row>
    <row r="49" spans="1:31" x14ac:dyDescent="0.25">
      <c r="A49" s="103"/>
      <c r="B49" s="126"/>
      <c r="C49" s="126"/>
      <c r="D49" s="126"/>
      <c r="E49" s="126"/>
      <c r="F49" s="126"/>
      <c r="G49" s="126"/>
      <c r="H49" s="126"/>
      <c r="I49" s="126"/>
      <c r="J49" s="126"/>
    </row>
    <row r="50" spans="1:31" x14ac:dyDescent="0.25">
      <c r="B50" s="126"/>
      <c r="C50" s="126"/>
      <c r="D50" s="126"/>
      <c r="E50" s="126"/>
      <c r="F50" s="126"/>
      <c r="G50" s="126"/>
      <c r="H50" s="126"/>
      <c r="I50" s="126"/>
      <c r="J50" s="126"/>
    </row>
    <row r="51" spans="1:31" x14ac:dyDescent="0.25">
      <c r="B51" s="126"/>
      <c r="C51" s="126"/>
      <c r="D51" s="126"/>
      <c r="E51" s="126"/>
      <c r="F51" s="126"/>
      <c r="G51" s="126"/>
      <c r="H51" s="126"/>
      <c r="I51" s="126"/>
      <c r="J51" s="126"/>
    </row>
    <row r="52" spans="1:31" x14ac:dyDescent="0.25">
      <c r="B52" s="126"/>
      <c r="C52" s="126"/>
      <c r="D52" s="126"/>
      <c r="E52" s="126"/>
      <c r="F52" s="126"/>
      <c r="G52" s="126"/>
      <c r="H52" s="126"/>
      <c r="I52" s="126"/>
      <c r="J52" s="126"/>
    </row>
    <row r="53" spans="1:31" x14ac:dyDescent="0.25">
      <c r="B53" s="126"/>
      <c r="C53" s="126"/>
      <c r="D53" s="126"/>
      <c r="E53" s="126"/>
      <c r="F53" s="126"/>
      <c r="G53" s="126"/>
      <c r="H53" s="126"/>
      <c r="I53" s="126"/>
      <c r="J53" s="126"/>
    </row>
    <row r="54" spans="1:31" x14ac:dyDescent="0.25">
      <c r="B54" s="126"/>
      <c r="C54" s="126"/>
      <c r="D54" s="126"/>
      <c r="E54" s="126"/>
      <c r="F54" s="126"/>
      <c r="G54" s="126"/>
      <c r="H54" s="126"/>
      <c r="I54" s="126"/>
      <c r="J54" s="126"/>
    </row>
    <row r="55" spans="1:31" ht="13.8" thickBot="1" x14ac:dyDescent="0.3">
      <c r="B55" s="126"/>
      <c r="C55" s="126"/>
      <c r="D55" s="126"/>
      <c r="E55" s="126"/>
      <c r="F55" s="126"/>
      <c r="G55" s="126"/>
      <c r="H55" s="126"/>
      <c r="I55" s="126"/>
      <c r="J55" s="126"/>
    </row>
    <row r="56" spans="1:31" x14ac:dyDescent="0.25">
      <c r="A56" s="712" t="s">
        <v>718</v>
      </c>
      <c r="B56" s="713"/>
      <c r="C56" s="713"/>
      <c r="D56" s="713"/>
      <c r="E56" s="713"/>
      <c r="F56" s="713"/>
      <c r="G56" s="713"/>
      <c r="H56" s="713"/>
      <c r="I56" s="714"/>
      <c r="J56" s="126"/>
      <c r="L56" s="731" t="s">
        <v>713</v>
      </c>
      <c r="M56" s="732"/>
      <c r="N56" s="732"/>
      <c r="O56" s="732"/>
      <c r="P56" s="733"/>
      <c r="Q56" s="403"/>
      <c r="R56" s="403"/>
      <c r="S56" s="403"/>
      <c r="T56" s="403"/>
      <c r="U56" s="403"/>
    </row>
    <row r="57" spans="1:31" x14ac:dyDescent="0.25">
      <c r="A57" s="715" t="s">
        <v>719</v>
      </c>
      <c r="B57" s="716"/>
      <c r="C57" s="716"/>
      <c r="D57" s="716"/>
      <c r="E57" s="716"/>
      <c r="F57" s="716"/>
      <c r="G57" s="716"/>
      <c r="H57" s="716"/>
      <c r="I57" s="717"/>
      <c r="J57" s="126"/>
      <c r="L57" s="715" t="s">
        <v>707</v>
      </c>
      <c r="M57" s="734"/>
      <c r="N57" s="734"/>
      <c r="O57" s="734"/>
      <c r="P57" s="735"/>
      <c r="Q57" t="s">
        <v>708</v>
      </c>
      <c r="AB57" s="436"/>
      <c r="AC57" s="436"/>
      <c r="AD57" s="436"/>
    </row>
    <row r="58" spans="1:31" ht="12.75" customHeight="1" x14ac:dyDescent="0.25">
      <c r="A58" s="425" t="s">
        <v>3</v>
      </c>
      <c r="B58" s="573" t="s">
        <v>4</v>
      </c>
      <c r="C58" s="573"/>
      <c r="D58" s="736" t="s">
        <v>472</v>
      </c>
      <c r="E58" s="737"/>
      <c r="F58" s="736" t="s">
        <v>471</v>
      </c>
      <c r="G58" s="737"/>
      <c r="H58" s="736" t="s">
        <v>473</v>
      </c>
      <c r="I58" s="740"/>
      <c r="J58" s="126"/>
      <c r="L58" s="745" t="s">
        <v>733</v>
      </c>
      <c r="M58" s="746"/>
      <c r="N58" s="747"/>
      <c r="O58" s="729" t="s">
        <v>4</v>
      </c>
      <c r="P58" s="730"/>
    </row>
    <row r="59" spans="1:31" x14ac:dyDescent="0.25">
      <c r="A59" s="425" t="s">
        <v>5</v>
      </c>
      <c r="B59" s="573"/>
      <c r="C59" s="573"/>
      <c r="D59" s="738"/>
      <c r="E59" s="739"/>
      <c r="F59" s="738"/>
      <c r="G59" s="739"/>
      <c r="H59" s="738"/>
      <c r="I59" s="741"/>
      <c r="J59" s="126"/>
      <c r="L59" s="748"/>
      <c r="M59" s="749"/>
      <c r="N59" s="750"/>
      <c r="O59" s="729"/>
      <c r="P59" s="730"/>
    </row>
    <row r="60" spans="1:31" ht="12.75" customHeight="1" x14ac:dyDescent="0.25">
      <c r="A60" s="425" t="s">
        <v>6</v>
      </c>
      <c r="B60" s="565" t="s">
        <v>7</v>
      </c>
      <c r="C60" s="565" t="s">
        <v>8</v>
      </c>
      <c r="D60" s="564" t="s">
        <v>9</v>
      </c>
      <c r="E60" s="564"/>
      <c r="F60" s="563">
        <v>0.7</v>
      </c>
      <c r="G60" s="563"/>
      <c r="H60" s="708">
        <v>0.8</v>
      </c>
      <c r="I60" s="709"/>
      <c r="J60" s="126"/>
      <c r="L60" s="751" t="s">
        <v>734</v>
      </c>
      <c r="M60" s="752"/>
      <c r="N60" s="753"/>
      <c r="O60" s="723" t="s">
        <v>10</v>
      </c>
      <c r="P60" s="724" t="s">
        <v>11</v>
      </c>
    </row>
    <row r="61" spans="1:31" ht="12.75" customHeight="1" x14ac:dyDescent="0.25">
      <c r="A61" s="426"/>
      <c r="B61" s="565"/>
      <c r="C61" s="565"/>
      <c r="D61" s="400" t="s">
        <v>10</v>
      </c>
      <c r="E61" s="400" t="s">
        <v>11</v>
      </c>
      <c r="F61" s="400" t="s">
        <v>10</v>
      </c>
      <c r="G61" s="400" t="s">
        <v>11</v>
      </c>
      <c r="H61" s="400" t="s">
        <v>10</v>
      </c>
      <c r="I61" s="427" t="s">
        <v>11</v>
      </c>
      <c r="J61" s="126"/>
      <c r="L61" s="754"/>
      <c r="M61" s="755"/>
      <c r="N61" s="756"/>
      <c r="O61" s="723"/>
      <c r="P61" s="725"/>
    </row>
    <row r="62" spans="1:31" ht="13.5" customHeight="1" x14ac:dyDescent="0.25">
      <c r="A62" s="742" t="s">
        <v>474</v>
      </c>
      <c r="B62" s="743"/>
      <c r="C62" s="744"/>
      <c r="D62" s="194">
        <v>300</v>
      </c>
      <c r="E62" s="194">
        <v>200</v>
      </c>
      <c r="F62" s="194">
        <f>D62*0.7</f>
        <v>210</v>
      </c>
      <c r="G62" s="194">
        <f>E62*0.7</f>
        <v>140</v>
      </c>
      <c r="H62" s="194">
        <f>D62*0.8</f>
        <v>240</v>
      </c>
      <c r="I62" s="428">
        <f>E62*0.8</f>
        <v>160</v>
      </c>
      <c r="J62" s="126"/>
      <c r="L62" s="415" t="s">
        <v>714</v>
      </c>
      <c r="M62" s="404" t="s">
        <v>715</v>
      </c>
      <c r="N62" s="405" t="s">
        <v>716</v>
      </c>
      <c r="O62" s="723"/>
      <c r="P62" s="725"/>
      <c r="AB62" s="438" t="s">
        <v>10</v>
      </c>
      <c r="AC62" s="438" t="s">
        <v>729</v>
      </c>
      <c r="AD62" s="438" t="s">
        <v>11</v>
      </c>
      <c r="AE62" s="438" t="s">
        <v>729</v>
      </c>
    </row>
    <row r="63" spans="1:31" ht="10.5" hidden="1" customHeight="1" x14ac:dyDescent="0.25">
      <c r="A63" s="429">
        <v>0</v>
      </c>
      <c r="B63" s="162">
        <f>'Warrant 2'!F14</f>
        <v>0</v>
      </c>
      <c r="C63" s="162">
        <f>'Warrant 2'!D14+'Warrant 2'!E14+'Warrant 4'!C7</f>
        <v>0</v>
      </c>
      <c r="D63" s="163" t="str">
        <f>IF(B63&gt;=$D62,1,"")</f>
        <v/>
      </c>
      <c r="E63" s="163" t="str">
        <f t="shared" ref="E63:E95" si="0">IF(AND(C63&gt;=$E$62,D63=1),1,"")</f>
        <v/>
      </c>
      <c r="F63" s="163" t="str">
        <f>IF(B63&gt;=$F62,1,"")</f>
        <v/>
      </c>
      <c r="G63" s="163" t="str">
        <f t="shared" ref="G63:G95" si="1">IF(AND(C63&gt;=$G$62,F63=1),1,"")</f>
        <v/>
      </c>
      <c r="H63" s="163" t="str">
        <f>IF(B63&gt;=$H62,1,"")</f>
        <v/>
      </c>
      <c r="I63" s="430" t="str">
        <f t="shared" ref="I63:I95" si="2">IF(AND(C63&gt;=$I$62,H63=1),1,"")</f>
        <v/>
      </c>
      <c r="J63" s="126"/>
      <c r="L63" s="416">
        <v>0.30208333333333298</v>
      </c>
      <c r="M63" s="408"/>
      <c r="N63" s="408"/>
      <c r="O63" s="417">
        <f t="shared" ref="O63:O69" si="3">VLOOKUP(L63,A63:C120,2,FALSE)</f>
        <v>2173</v>
      </c>
      <c r="P63" s="418">
        <f t="shared" ref="P63:P69" si="4">VLOOKUP(O63,B63:D120,2,FALSE)</f>
        <v>204</v>
      </c>
      <c r="AB63" s="245"/>
      <c r="AC63" s="245"/>
      <c r="AD63" s="245"/>
      <c r="AE63" s="245"/>
    </row>
    <row r="64" spans="1:31" ht="10.5" hidden="1" customHeight="1" x14ac:dyDescent="0.25">
      <c r="A64" s="429">
        <v>1.0416666666666666E-2</v>
      </c>
      <c r="B64" s="162">
        <f>'Warrant 2'!F15</f>
        <v>0</v>
      </c>
      <c r="C64" s="162">
        <f>'Warrant 2'!D15+'Warrant 2'!E15+'Warrant 4'!C8</f>
        <v>0</v>
      </c>
      <c r="D64" s="163" t="str">
        <f>IF(AND(B64&gt;=$D$62,D63=""),1,"")</f>
        <v/>
      </c>
      <c r="E64" s="163" t="str">
        <f t="shared" si="0"/>
        <v/>
      </c>
      <c r="F64" s="163" t="str">
        <f>IF(AND(B64&gt;=$F$62,F63=""),1,"")</f>
        <v/>
      </c>
      <c r="G64" s="163" t="str">
        <f t="shared" si="1"/>
        <v/>
      </c>
      <c r="H64" s="163" t="str">
        <f>IF(AND(B64&gt;=$H$62,H63=""),1,"")</f>
        <v/>
      </c>
      <c r="I64" s="430" t="str">
        <f t="shared" si="2"/>
        <v/>
      </c>
      <c r="L64" s="416">
        <v>0.34375</v>
      </c>
      <c r="M64" s="408"/>
      <c r="N64" s="408"/>
      <c r="O64" s="417">
        <f t="shared" si="3"/>
        <v>1955</v>
      </c>
      <c r="P64" s="418">
        <f t="shared" si="4"/>
        <v>156</v>
      </c>
      <c r="AB64" s="245"/>
      <c r="AC64" s="245"/>
      <c r="AD64" s="245"/>
      <c r="AE64" s="245"/>
    </row>
    <row r="65" spans="1:31" ht="10.5" hidden="1" customHeight="1" x14ac:dyDescent="0.25">
      <c r="A65" s="429">
        <v>2.0833333333333301E-2</v>
      </c>
      <c r="B65" s="162">
        <f>'Warrant 2'!F16</f>
        <v>0</v>
      </c>
      <c r="C65" s="162">
        <f>'Warrant 2'!D16+'Warrant 2'!E16+'Warrant 4'!C9</f>
        <v>0</v>
      </c>
      <c r="D65" s="163" t="str">
        <f>IF(AND(B65&gt;=$D$62,D64="",D63=""),1,"")</f>
        <v/>
      </c>
      <c r="E65" s="163" t="str">
        <f t="shared" si="0"/>
        <v/>
      </c>
      <c r="F65" s="163" t="str">
        <f>IF(AND(B65&gt;=$F$62,F64="",F63=""),1,"")</f>
        <v/>
      </c>
      <c r="G65" s="163" t="str">
        <f t="shared" si="1"/>
        <v/>
      </c>
      <c r="H65" s="163" t="str">
        <f>IF(AND(B65&gt;=$H$62,H64="",H63=""),1,"")</f>
        <v/>
      </c>
      <c r="I65" s="430" t="str">
        <f t="shared" si="2"/>
        <v/>
      </c>
      <c r="L65" s="416">
        <v>0.38541666666666702</v>
      </c>
      <c r="M65" s="408"/>
      <c r="N65" s="408"/>
      <c r="O65" s="417">
        <f t="shared" si="3"/>
        <v>1603</v>
      </c>
      <c r="P65" s="418">
        <f t="shared" si="4"/>
        <v>140</v>
      </c>
      <c r="AB65" s="245"/>
      <c r="AC65" s="245"/>
      <c r="AD65" s="245"/>
      <c r="AE65" s="245"/>
    </row>
    <row r="66" spans="1:31" ht="10.5" hidden="1" customHeight="1" x14ac:dyDescent="0.25">
      <c r="A66" s="429">
        <v>3.125E-2</v>
      </c>
      <c r="B66" s="162">
        <f>'Warrant 2'!F17</f>
        <v>0</v>
      </c>
      <c r="C66" s="162">
        <f>'Warrant 2'!D17+'Warrant 2'!E17+'Warrant 4'!C10</f>
        <v>0</v>
      </c>
      <c r="D66" s="163" t="str">
        <f t="shared" ref="D66:D113" si="5">IF(AND(B66&gt;=$D$62,D65="",D64="",D63=""),1,"")</f>
        <v/>
      </c>
      <c r="E66" s="163" t="str">
        <f t="shared" si="0"/>
        <v/>
      </c>
      <c r="F66" s="163" t="str">
        <f t="shared" ref="F66:F113" si="6">IF(AND(B66&gt;=$F$62,F65="",F64="",F63=""),1,"")</f>
        <v/>
      </c>
      <c r="G66" s="163" t="str">
        <f t="shared" si="1"/>
        <v/>
      </c>
      <c r="H66" s="163" t="str">
        <f t="shared" ref="H66:H113" si="7">IF(AND(B66&gt;=$H$62,H65="",H64="",H63=""),1,"")</f>
        <v/>
      </c>
      <c r="I66" s="430" t="str">
        <f t="shared" si="2"/>
        <v/>
      </c>
      <c r="L66" s="416">
        <v>0.42708333333333298</v>
      </c>
      <c r="M66" s="408"/>
      <c r="N66" s="408"/>
      <c r="O66" s="417">
        <f t="shared" si="3"/>
        <v>1509</v>
      </c>
      <c r="P66" s="418">
        <f t="shared" si="4"/>
        <v>125</v>
      </c>
      <c r="AB66" s="245"/>
      <c r="AC66" s="245"/>
      <c r="AD66" s="245"/>
      <c r="AE66" s="245"/>
    </row>
    <row r="67" spans="1:31" ht="10.5" hidden="1" customHeight="1" x14ac:dyDescent="0.25">
      <c r="A67" s="429">
        <v>4.1666666666666699E-2</v>
      </c>
      <c r="B67" s="162">
        <f>'Warrant 2'!F18</f>
        <v>0</v>
      </c>
      <c r="C67" s="162">
        <f>'Warrant 2'!D18+'Warrant 2'!E18+'Warrant 4'!C11</f>
        <v>0</v>
      </c>
      <c r="D67" s="163" t="str">
        <f t="shared" si="5"/>
        <v/>
      </c>
      <c r="E67" s="163" t="str">
        <f t="shared" si="0"/>
        <v/>
      </c>
      <c r="F67" s="163" t="str">
        <f t="shared" si="6"/>
        <v/>
      </c>
      <c r="G67" s="163" t="str">
        <f t="shared" si="1"/>
        <v/>
      </c>
      <c r="H67" s="163" t="str">
        <f t="shared" si="7"/>
        <v/>
      </c>
      <c r="I67" s="430" t="str">
        <f t="shared" si="2"/>
        <v/>
      </c>
      <c r="L67" s="416">
        <v>0.46875</v>
      </c>
      <c r="M67" s="408"/>
      <c r="N67" s="408"/>
      <c r="O67" s="417">
        <f t="shared" si="3"/>
        <v>1710</v>
      </c>
      <c r="P67" s="418">
        <f t="shared" si="4"/>
        <v>140</v>
      </c>
      <c r="AB67" s="245"/>
      <c r="AC67" s="245"/>
      <c r="AD67" s="245"/>
      <c r="AE67" s="245"/>
    </row>
    <row r="68" spans="1:31" ht="10.5" hidden="1" customHeight="1" x14ac:dyDescent="0.25">
      <c r="A68" s="429">
        <v>5.2083333333333301E-2</v>
      </c>
      <c r="B68" s="162">
        <f>'Warrant 2'!F19</f>
        <v>0</v>
      </c>
      <c r="C68" s="162">
        <f>'Warrant 2'!D19+'Warrant 2'!E19+'Warrant 4'!C12</f>
        <v>0</v>
      </c>
      <c r="D68" s="163" t="str">
        <f t="shared" si="5"/>
        <v/>
      </c>
      <c r="E68" s="163" t="str">
        <f t="shared" si="0"/>
        <v/>
      </c>
      <c r="F68" s="163" t="str">
        <f t="shared" si="6"/>
        <v/>
      </c>
      <c r="G68" s="163" t="str">
        <f t="shared" si="1"/>
        <v/>
      </c>
      <c r="H68" s="163" t="str">
        <f t="shared" si="7"/>
        <v/>
      </c>
      <c r="I68" s="430" t="str">
        <f t="shared" si="2"/>
        <v/>
      </c>
      <c r="L68" s="416">
        <v>0.51041666666666696</v>
      </c>
      <c r="M68" s="408"/>
      <c r="N68" s="408"/>
      <c r="O68" s="417">
        <f t="shared" si="3"/>
        <v>1758</v>
      </c>
      <c r="P68" s="418">
        <f t="shared" si="4"/>
        <v>119</v>
      </c>
      <c r="AB68" s="245"/>
      <c r="AC68" s="245"/>
      <c r="AD68" s="245"/>
      <c r="AE68" s="245"/>
    </row>
    <row r="69" spans="1:31" ht="10.5" hidden="1" customHeight="1" x14ac:dyDescent="0.25">
      <c r="A69" s="429">
        <v>6.25E-2</v>
      </c>
      <c r="B69" s="162">
        <f>'Warrant 2'!F20</f>
        <v>0</v>
      </c>
      <c r="C69" s="162">
        <f>'Warrant 2'!D20+'Warrant 2'!E20+'Warrant 4'!C13</f>
        <v>0</v>
      </c>
      <c r="D69" s="163" t="str">
        <f t="shared" si="5"/>
        <v/>
      </c>
      <c r="E69" s="163" t="str">
        <f t="shared" si="0"/>
        <v/>
      </c>
      <c r="F69" s="163" t="str">
        <f t="shared" si="6"/>
        <v/>
      </c>
      <c r="G69" s="163" t="str">
        <f t="shared" si="1"/>
        <v/>
      </c>
      <c r="H69" s="163" t="str">
        <f t="shared" si="7"/>
        <v/>
      </c>
      <c r="I69" s="430" t="str">
        <f t="shared" si="2"/>
        <v/>
      </c>
      <c r="L69" s="416">
        <v>0.55208333333333304</v>
      </c>
      <c r="M69" s="408"/>
      <c r="N69" s="408"/>
      <c r="O69" s="417">
        <f t="shared" si="3"/>
        <v>1656</v>
      </c>
      <c r="P69" s="418">
        <f t="shared" si="4"/>
        <v>128</v>
      </c>
      <c r="AB69" s="245"/>
      <c r="AC69" s="245"/>
      <c r="AD69" s="245"/>
      <c r="AE69" s="245"/>
    </row>
    <row r="70" spans="1:31" ht="10.5" hidden="1" customHeight="1" x14ac:dyDescent="0.25">
      <c r="A70" s="429">
        <v>7.2916666666666699E-2</v>
      </c>
      <c r="B70" s="162">
        <f>'Warrant 2'!F21</f>
        <v>0</v>
      </c>
      <c r="C70" s="162">
        <f>'Warrant 2'!D21+'Warrant 2'!E21+'Warrant 4'!C14</f>
        <v>0</v>
      </c>
      <c r="D70" s="163" t="str">
        <f t="shared" si="5"/>
        <v/>
      </c>
      <c r="E70" s="163" t="str">
        <f t="shared" si="0"/>
        <v/>
      </c>
      <c r="F70" s="163" t="str">
        <f t="shared" si="6"/>
        <v/>
      </c>
      <c r="G70" s="163" t="str">
        <f t="shared" si="1"/>
        <v/>
      </c>
      <c r="H70" s="163" t="str">
        <f t="shared" si="7"/>
        <v/>
      </c>
      <c r="I70" s="430" t="str">
        <f t="shared" si="2"/>
        <v/>
      </c>
      <c r="L70" s="419"/>
      <c r="M70" s="417"/>
      <c r="N70" s="417"/>
      <c r="O70" s="417"/>
      <c r="P70" s="418"/>
      <c r="AB70" s="245"/>
      <c r="AC70" s="245"/>
      <c r="AD70" s="245"/>
      <c r="AE70" s="245"/>
    </row>
    <row r="71" spans="1:31" ht="10.5" hidden="1" customHeight="1" x14ac:dyDescent="0.25">
      <c r="A71" s="429">
        <v>8.3333333333333301E-2</v>
      </c>
      <c r="B71" s="162">
        <f>'Warrant 2'!F22</f>
        <v>0</v>
      </c>
      <c r="C71" s="162">
        <f>'Warrant 2'!D22+'Warrant 2'!E22+'Warrant 4'!C15</f>
        <v>0</v>
      </c>
      <c r="D71" s="163" t="str">
        <f t="shared" si="5"/>
        <v/>
      </c>
      <c r="E71" s="163" t="str">
        <f t="shared" si="0"/>
        <v/>
      </c>
      <c r="F71" s="163" t="str">
        <f t="shared" si="6"/>
        <v/>
      </c>
      <c r="G71" s="163" t="str">
        <f t="shared" si="1"/>
        <v/>
      </c>
      <c r="H71" s="163" t="str">
        <f t="shared" si="7"/>
        <v/>
      </c>
      <c r="I71" s="430" t="str">
        <f t="shared" si="2"/>
        <v/>
      </c>
      <c r="L71" s="419" t="s">
        <v>709</v>
      </c>
      <c r="M71" s="417"/>
      <c r="N71" s="417"/>
      <c r="O71" s="417">
        <f>SUM(O62:O69)/8</f>
        <v>1545.5</v>
      </c>
      <c r="P71" s="418">
        <f>SUM(P62:P69)/8</f>
        <v>126.5</v>
      </c>
      <c r="AB71" s="245"/>
      <c r="AC71" s="245"/>
      <c r="AD71" s="245"/>
      <c r="AE71" s="245"/>
    </row>
    <row r="72" spans="1:31" ht="10.5" hidden="1" customHeight="1" x14ac:dyDescent="0.25">
      <c r="A72" s="429">
        <v>9.375E-2</v>
      </c>
      <c r="B72" s="162">
        <f>'Warrant 2'!F23</f>
        <v>0</v>
      </c>
      <c r="C72" s="162">
        <f>'Warrant 2'!D23+'Warrant 2'!E23+'Warrant 4'!C16</f>
        <v>0</v>
      </c>
      <c r="D72" s="163" t="str">
        <f t="shared" si="5"/>
        <v/>
      </c>
      <c r="E72" s="163" t="str">
        <f t="shared" si="0"/>
        <v/>
      </c>
      <c r="F72" s="163" t="str">
        <f t="shared" si="6"/>
        <v/>
      </c>
      <c r="G72" s="163" t="str">
        <f t="shared" si="1"/>
        <v/>
      </c>
      <c r="H72" s="163" t="str">
        <f t="shared" si="7"/>
        <v/>
      </c>
      <c r="I72" s="430" t="str">
        <f t="shared" si="2"/>
        <v/>
      </c>
      <c r="L72" s="419"/>
      <c r="M72" s="417"/>
      <c r="N72" s="417"/>
      <c r="O72" s="417"/>
      <c r="P72" s="418"/>
      <c r="AB72" s="245"/>
      <c r="AC72" s="245"/>
      <c r="AD72" s="245"/>
      <c r="AE72" s="245"/>
    </row>
    <row r="73" spans="1:31" ht="10.5" hidden="1" customHeight="1" x14ac:dyDescent="0.25">
      <c r="A73" s="429">
        <v>0.104166666666667</v>
      </c>
      <c r="B73" s="162">
        <f>'Warrant 2'!F24</f>
        <v>0</v>
      </c>
      <c r="C73" s="162">
        <f>'Warrant 2'!D24+'Warrant 2'!E24+'Warrant 4'!C17</f>
        <v>0</v>
      </c>
      <c r="D73" s="163" t="str">
        <f t="shared" si="5"/>
        <v/>
      </c>
      <c r="E73" s="163" t="str">
        <f t="shared" si="0"/>
        <v/>
      </c>
      <c r="F73" s="163" t="str">
        <f t="shared" si="6"/>
        <v/>
      </c>
      <c r="G73" s="163" t="str">
        <f t="shared" si="1"/>
        <v/>
      </c>
      <c r="H73" s="163" t="str">
        <f t="shared" si="7"/>
        <v/>
      </c>
      <c r="I73" s="430" t="str">
        <f t="shared" si="2"/>
        <v/>
      </c>
      <c r="L73" s="419" t="s">
        <v>710</v>
      </c>
      <c r="M73" s="417"/>
      <c r="N73" s="417"/>
      <c r="O73" s="417"/>
      <c r="P73" s="418"/>
      <c r="AB73" s="245"/>
      <c r="AC73" s="245"/>
      <c r="AD73" s="245"/>
      <c r="AE73" s="245"/>
    </row>
    <row r="74" spans="1:31" ht="10.5" hidden="1" customHeight="1" x14ac:dyDescent="0.25">
      <c r="A74" s="429">
        <v>0.114583333333333</v>
      </c>
      <c r="B74" s="162">
        <f>'Warrant 2'!F25</f>
        <v>0</v>
      </c>
      <c r="C74" s="162">
        <f>'Warrant 2'!D25+'Warrant 2'!E25+'Warrant 4'!C18</f>
        <v>0</v>
      </c>
      <c r="D74" s="163" t="str">
        <f t="shared" si="5"/>
        <v/>
      </c>
      <c r="E74" s="163" t="str">
        <f t="shared" si="0"/>
        <v/>
      </c>
      <c r="F74" s="163" t="str">
        <f t="shared" si="6"/>
        <v/>
      </c>
      <c r="G74" s="163" t="str">
        <f t="shared" si="1"/>
        <v/>
      </c>
      <c r="H74" s="163" t="str">
        <f t="shared" si="7"/>
        <v/>
      </c>
      <c r="I74" s="430" t="str">
        <f t="shared" si="2"/>
        <v/>
      </c>
      <c r="L74" s="419" t="s">
        <v>711</v>
      </c>
      <c r="M74" s="417"/>
      <c r="N74" s="417"/>
      <c r="O74" s="417"/>
      <c r="P74" s="418"/>
      <c r="AB74" s="245"/>
      <c r="AC74" s="245"/>
      <c r="AD74" s="245"/>
      <c r="AE74" s="245"/>
    </row>
    <row r="75" spans="1:31" ht="10.5" hidden="1" customHeight="1" x14ac:dyDescent="0.25">
      <c r="A75" s="429">
        <v>0.125</v>
      </c>
      <c r="B75" s="162">
        <f>'Warrant 2'!F26</f>
        <v>0</v>
      </c>
      <c r="C75" s="162">
        <f>'Warrant 2'!D26+'Warrant 2'!E26+'Warrant 4'!C19</f>
        <v>0</v>
      </c>
      <c r="D75" s="163" t="str">
        <f t="shared" si="5"/>
        <v/>
      </c>
      <c r="E75" s="163" t="str">
        <f t="shared" si="0"/>
        <v/>
      </c>
      <c r="F75" s="163" t="str">
        <f t="shared" si="6"/>
        <v/>
      </c>
      <c r="G75" s="163" t="str">
        <f t="shared" si="1"/>
        <v/>
      </c>
      <c r="H75" s="163" t="str">
        <f t="shared" si="7"/>
        <v/>
      </c>
      <c r="I75" s="430" t="str">
        <f t="shared" si="2"/>
        <v/>
      </c>
      <c r="L75" s="419" t="s">
        <v>712</v>
      </c>
      <c r="M75" s="417"/>
      <c r="N75" s="417"/>
      <c r="O75" s="417"/>
      <c r="P75" s="418"/>
      <c r="AB75" s="245"/>
      <c r="AC75" s="245"/>
      <c r="AD75" s="245"/>
      <c r="AE75" s="245"/>
    </row>
    <row r="76" spans="1:31" ht="10.5" hidden="1" customHeight="1" x14ac:dyDescent="0.25">
      <c r="A76" s="429">
        <v>0.13541666666666699</v>
      </c>
      <c r="B76" s="162">
        <f>'Warrant 2'!F27</f>
        <v>0</v>
      </c>
      <c r="C76" s="162">
        <f>'Warrant 2'!D27+'Warrant 2'!E27+'Warrant 4'!C20</f>
        <v>0</v>
      </c>
      <c r="D76" s="163" t="str">
        <f t="shared" si="5"/>
        <v/>
      </c>
      <c r="E76" s="163" t="str">
        <f t="shared" si="0"/>
        <v/>
      </c>
      <c r="F76" s="163" t="str">
        <f t="shared" si="6"/>
        <v/>
      </c>
      <c r="G76" s="163" t="str">
        <f t="shared" si="1"/>
        <v/>
      </c>
      <c r="H76" s="163" t="str">
        <f t="shared" si="7"/>
        <v/>
      </c>
      <c r="I76" s="430" t="str">
        <f t="shared" si="2"/>
        <v/>
      </c>
      <c r="L76" s="419"/>
      <c r="M76" s="417"/>
      <c r="N76" s="417"/>
      <c r="O76" s="2"/>
      <c r="P76" s="420"/>
      <c r="AB76" s="245"/>
      <c r="AC76" s="245"/>
      <c r="AD76" s="245"/>
      <c r="AE76" s="245"/>
    </row>
    <row r="77" spans="1:31" ht="10.5" hidden="1" customHeight="1" x14ac:dyDescent="0.25">
      <c r="A77" s="429">
        <v>0.14583333333333301</v>
      </c>
      <c r="B77" s="162">
        <f>'Warrant 2'!F28</f>
        <v>0</v>
      </c>
      <c r="C77" s="162">
        <f>'Warrant 2'!D28+'Warrant 2'!E28+'Warrant 4'!C21</f>
        <v>0</v>
      </c>
      <c r="D77" s="163" t="str">
        <f t="shared" si="5"/>
        <v/>
      </c>
      <c r="E77" s="163" t="str">
        <f t="shared" si="0"/>
        <v/>
      </c>
      <c r="F77" s="163" t="str">
        <f t="shared" si="6"/>
        <v/>
      </c>
      <c r="G77" s="163" t="str">
        <f t="shared" si="1"/>
        <v/>
      </c>
      <c r="H77" s="163" t="str">
        <f t="shared" si="7"/>
        <v/>
      </c>
      <c r="I77" s="430" t="str">
        <f t="shared" si="2"/>
        <v/>
      </c>
      <c r="L77" s="419"/>
      <c r="M77" s="417"/>
      <c r="N77" s="417"/>
      <c r="O77" s="2"/>
      <c r="P77" s="420"/>
      <c r="AB77" s="245"/>
      <c r="AC77" s="245"/>
      <c r="AD77" s="245"/>
      <c r="AE77" s="245"/>
    </row>
    <row r="78" spans="1:31" ht="10.5" hidden="1" customHeight="1" x14ac:dyDescent="0.25">
      <c r="A78" s="429">
        <v>0.15625</v>
      </c>
      <c r="B78" s="162">
        <f>'Warrant 2'!F29</f>
        <v>0</v>
      </c>
      <c r="C78" s="162">
        <f>'Warrant 2'!D29+'Warrant 2'!E29+'Warrant 4'!C22</f>
        <v>0</v>
      </c>
      <c r="D78" s="163" t="str">
        <f t="shared" si="5"/>
        <v/>
      </c>
      <c r="E78" s="163" t="str">
        <f t="shared" si="0"/>
        <v/>
      </c>
      <c r="F78" s="163" t="str">
        <f t="shared" si="6"/>
        <v/>
      </c>
      <c r="G78" s="163" t="str">
        <f t="shared" si="1"/>
        <v/>
      </c>
      <c r="H78" s="163" t="str">
        <f t="shared" si="7"/>
        <v/>
      </c>
      <c r="I78" s="430" t="str">
        <f t="shared" si="2"/>
        <v/>
      </c>
      <c r="L78" s="419"/>
      <c r="M78" s="417"/>
      <c r="N78" s="417"/>
      <c r="O78" s="2"/>
      <c r="P78" s="420"/>
      <c r="AB78" s="245"/>
      <c r="AC78" s="245"/>
      <c r="AD78" s="245"/>
      <c r="AE78" s="245"/>
    </row>
    <row r="79" spans="1:31" ht="10.5" hidden="1" customHeight="1" x14ac:dyDescent="0.25">
      <c r="A79" s="429">
        <v>0.16666666666666699</v>
      </c>
      <c r="B79" s="162">
        <f>'Warrant 2'!F30</f>
        <v>0</v>
      </c>
      <c r="C79" s="162">
        <f>'Warrant 2'!D30+'Warrant 2'!E30+'Warrant 4'!C23</f>
        <v>0</v>
      </c>
      <c r="D79" s="163" t="str">
        <f t="shared" si="5"/>
        <v/>
      </c>
      <c r="E79" s="163" t="str">
        <f t="shared" si="0"/>
        <v/>
      </c>
      <c r="F79" s="163" t="str">
        <f t="shared" si="6"/>
        <v/>
      </c>
      <c r="G79" s="163" t="str">
        <f t="shared" si="1"/>
        <v/>
      </c>
      <c r="H79" s="163" t="str">
        <f t="shared" si="7"/>
        <v/>
      </c>
      <c r="I79" s="430" t="str">
        <f t="shared" si="2"/>
        <v/>
      </c>
      <c r="L79" s="419"/>
      <c r="M79" s="417"/>
      <c r="N79" s="417"/>
      <c r="O79" s="2"/>
      <c r="P79" s="420"/>
      <c r="AB79" s="245"/>
      <c r="AC79" s="245"/>
      <c r="AD79" s="245"/>
      <c r="AE79" s="245"/>
    </row>
    <row r="80" spans="1:31" ht="10.5" hidden="1" customHeight="1" x14ac:dyDescent="0.25">
      <c r="A80" s="429">
        <v>0.17708333333333301</v>
      </c>
      <c r="B80" s="162">
        <f>'Warrant 2'!F31</f>
        <v>0</v>
      </c>
      <c r="C80" s="162">
        <f>'Warrant 2'!D31+'Warrant 2'!E31+'Warrant 4'!C24</f>
        <v>0</v>
      </c>
      <c r="D80" s="163" t="str">
        <f t="shared" si="5"/>
        <v/>
      </c>
      <c r="E80" s="163" t="str">
        <f t="shared" si="0"/>
        <v/>
      </c>
      <c r="F80" s="163" t="str">
        <f t="shared" si="6"/>
        <v/>
      </c>
      <c r="G80" s="163" t="str">
        <f t="shared" si="1"/>
        <v/>
      </c>
      <c r="H80" s="163" t="str">
        <f t="shared" si="7"/>
        <v/>
      </c>
      <c r="I80" s="430" t="str">
        <f t="shared" si="2"/>
        <v/>
      </c>
      <c r="L80" s="419"/>
      <c r="M80" s="417"/>
      <c r="N80" s="417"/>
      <c r="O80" s="2"/>
      <c r="P80" s="420"/>
      <c r="AB80" s="245"/>
      <c r="AC80" s="245"/>
      <c r="AD80" s="245"/>
      <c r="AE80" s="245"/>
    </row>
    <row r="81" spans="1:31" ht="10.5" hidden="1" customHeight="1" x14ac:dyDescent="0.25">
      <c r="A81" s="429">
        <v>0.1875</v>
      </c>
      <c r="B81" s="162">
        <f>'Warrant 2'!F32</f>
        <v>0</v>
      </c>
      <c r="C81" s="162">
        <f>'Warrant 2'!D32+'Warrant 2'!E32+'Warrant 4'!C25</f>
        <v>0</v>
      </c>
      <c r="D81" s="163" t="str">
        <f t="shared" si="5"/>
        <v/>
      </c>
      <c r="E81" s="163" t="str">
        <f t="shared" si="0"/>
        <v/>
      </c>
      <c r="F81" s="163" t="str">
        <f t="shared" si="6"/>
        <v/>
      </c>
      <c r="G81" s="163" t="str">
        <f t="shared" si="1"/>
        <v/>
      </c>
      <c r="H81" s="163" t="str">
        <f t="shared" si="7"/>
        <v/>
      </c>
      <c r="I81" s="430" t="str">
        <f t="shared" si="2"/>
        <v/>
      </c>
      <c r="L81" s="419"/>
      <c r="M81" s="417"/>
      <c r="N81" s="417"/>
      <c r="O81" s="2"/>
      <c r="P81" s="420"/>
      <c r="AB81" s="245"/>
      <c r="AC81" s="245"/>
      <c r="AD81" s="245"/>
      <c r="AE81" s="245"/>
    </row>
    <row r="82" spans="1:31" ht="10.5" hidden="1" customHeight="1" x14ac:dyDescent="0.25">
      <c r="A82" s="429">
        <v>0.19791666666666699</v>
      </c>
      <c r="B82" s="162">
        <f>'Warrant 2'!F33</f>
        <v>0</v>
      </c>
      <c r="C82" s="162">
        <f>'Warrant 2'!D33+'Warrant 2'!E33+'Warrant 4'!C26</f>
        <v>0</v>
      </c>
      <c r="D82" s="163" t="str">
        <f t="shared" si="5"/>
        <v/>
      </c>
      <c r="E82" s="163" t="str">
        <f t="shared" si="0"/>
        <v/>
      </c>
      <c r="F82" s="163" t="str">
        <f t="shared" si="6"/>
        <v/>
      </c>
      <c r="G82" s="163" t="str">
        <f t="shared" si="1"/>
        <v/>
      </c>
      <c r="H82" s="163" t="str">
        <f t="shared" si="7"/>
        <v/>
      </c>
      <c r="I82" s="430" t="str">
        <f t="shared" si="2"/>
        <v/>
      </c>
      <c r="L82" s="419"/>
      <c r="M82" s="417"/>
      <c r="N82" s="417"/>
      <c r="O82" s="2"/>
      <c r="P82" s="420"/>
      <c r="AB82" s="245"/>
      <c r="AC82" s="245"/>
      <c r="AD82" s="245"/>
      <c r="AE82" s="245"/>
    </row>
    <row r="83" spans="1:31" ht="10.5" hidden="1" customHeight="1" x14ac:dyDescent="0.25">
      <c r="A83" s="429">
        <v>0.20833333333333301</v>
      </c>
      <c r="B83" s="162">
        <f>'Warrant 2'!F34</f>
        <v>0</v>
      </c>
      <c r="C83" s="162">
        <f>'Warrant 2'!D34+'Warrant 2'!E34+'Warrant 4'!C27</f>
        <v>0</v>
      </c>
      <c r="D83" s="163" t="str">
        <f t="shared" si="5"/>
        <v/>
      </c>
      <c r="E83" s="163" t="str">
        <f t="shared" si="0"/>
        <v/>
      </c>
      <c r="F83" s="163" t="str">
        <f t="shared" si="6"/>
        <v/>
      </c>
      <c r="G83" s="163" t="str">
        <f t="shared" si="1"/>
        <v/>
      </c>
      <c r="H83" s="163" t="str">
        <f t="shared" si="7"/>
        <v/>
      </c>
      <c r="I83" s="430" t="str">
        <f t="shared" si="2"/>
        <v/>
      </c>
      <c r="L83" s="419"/>
      <c r="M83" s="417"/>
      <c r="N83" s="417"/>
      <c r="O83" s="2"/>
      <c r="P83" s="420"/>
      <c r="AB83" s="245"/>
      <c r="AC83" s="245"/>
      <c r="AD83" s="245"/>
      <c r="AE83" s="245"/>
    </row>
    <row r="84" spans="1:31" ht="10.5" hidden="1" customHeight="1" x14ac:dyDescent="0.25">
      <c r="A84" s="429">
        <v>0.21875</v>
      </c>
      <c r="B84" s="162">
        <f>'Warrant 2'!F35</f>
        <v>0</v>
      </c>
      <c r="C84" s="162">
        <f>'Warrant 2'!D35+'Warrant 2'!E35+'Warrant 4'!C28</f>
        <v>0</v>
      </c>
      <c r="D84" s="163" t="str">
        <f t="shared" si="5"/>
        <v/>
      </c>
      <c r="E84" s="163" t="str">
        <f t="shared" si="0"/>
        <v/>
      </c>
      <c r="F84" s="163" t="str">
        <f t="shared" si="6"/>
        <v/>
      </c>
      <c r="G84" s="163" t="str">
        <f t="shared" si="1"/>
        <v/>
      </c>
      <c r="H84" s="163" t="str">
        <f t="shared" si="7"/>
        <v/>
      </c>
      <c r="I84" s="430" t="str">
        <f t="shared" si="2"/>
        <v/>
      </c>
      <c r="L84" s="419"/>
      <c r="M84" s="417"/>
      <c r="N84" s="417"/>
      <c r="O84" s="2"/>
      <c r="P84" s="420"/>
      <c r="AB84" s="245"/>
      <c r="AC84" s="245"/>
      <c r="AD84" s="245"/>
      <c r="AE84" s="245"/>
    </row>
    <row r="85" spans="1:31" ht="10.5" hidden="1" customHeight="1" x14ac:dyDescent="0.25">
      <c r="A85" s="429">
        <v>0.22916666666666699</v>
      </c>
      <c r="B85" s="162">
        <f>'Warrant 2'!F36</f>
        <v>0</v>
      </c>
      <c r="C85" s="162">
        <f>'Warrant 2'!D36+'Warrant 2'!E36+'Warrant 4'!C29</f>
        <v>0</v>
      </c>
      <c r="D85" s="163" t="str">
        <f t="shared" si="5"/>
        <v/>
      </c>
      <c r="E85" s="163" t="str">
        <f t="shared" si="0"/>
        <v/>
      </c>
      <c r="F85" s="163" t="str">
        <f t="shared" si="6"/>
        <v/>
      </c>
      <c r="G85" s="163" t="str">
        <f t="shared" si="1"/>
        <v/>
      </c>
      <c r="H85" s="163" t="str">
        <f t="shared" si="7"/>
        <v/>
      </c>
      <c r="I85" s="430" t="str">
        <f t="shared" si="2"/>
        <v/>
      </c>
      <c r="L85" s="419"/>
      <c r="M85" s="417"/>
      <c r="N85" s="417"/>
      <c r="O85" s="2"/>
      <c r="P85" s="420"/>
      <c r="AB85" s="245"/>
      <c r="AC85" s="245"/>
      <c r="AD85" s="245"/>
      <c r="AE85" s="245"/>
    </row>
    <row r="86" spans="1:31" ht="10.5" hidden="1" customHeight="1" x14ac:dyDescent="0.25">
      <c r="A86" s="429">
        <v>0.23958333333333301</v>
      </c>
      <c r="B86" s="162">
        <f>'Warrant 2'!F37</f>
        <v>0</v>
      </c>
      <c r="C86" s="162">
        <f>'Warrant 2'!D37+'Warrant 2'!E37+'Warrant 4'!C30</f>
        <v>0</v>
      </c>
      <c r="D86" s="163" t="str">
        <f t="shared" si="5"/>
        <v/>
      </c>
      <c r="E86" s="163" t="str">
        <f t="shared" si="0"/>
        <v/>
      </c>
      <c r="F86" s="163" t="str">
        <f t="shared" si="6"/>
        <v/>
      </c>
      <c r="G86" s="163" t="str">
        <f t="shared" si="1"/>
        <v/>
      </c>
      <c r="H86" s="163" t="str">
        <f t="shared" si="7"/>
        <v/>
      </c>
      <c r="I86" s="430" t="str">
        <f t="shared" si="2"/>
        <v/>
      </c>
      <c r="L86" s="419"/>
      <c r="M86" s="417"/>
      <c r="N86" s="417"/>
      <c r="O86" s="2"/>
      <c r="P86" s="420"/>
      <c r="AB86" s="245"/>
      <c r="AC86" s="245"/>
      <c r="AD86" s="245"/>
      <c r="AE86" s="245"/>
    </row>
    <row r="87" spans="1:31" ht="10.5" hidden="1" customHeight="1" x14ac:dyDescent="0.25">
      <c r="A87" s="429" t="s">
        <v>717</v>
      </c>
      <c r="B87" s="162"/>
      <c r="C87" s="162"/>
      <c r="D87" s="163"/>
      <c r="E87" s="163"/>
      <c r="F87" s="163"/>
      <c r="G87" s="163"/>
      <c r="H87" s="163"/>
      <c r="I87" s="430"/>
      <c r="L87" s="419"/>
      <c r="M87" s="417"/>
      <c r="N87" s="417"/>
      <c r="O87" s="2"/>
      <c r="P87" s="420"/>
      <c r="AB87" s="245"/>
      <c r="AC87" s="245"/>
      <c r="AD87" s="245"/>
      <c r="AE87" s="245"/>
    </row>
    <row r="88" spans="1:31" ht="12.75" customHeight="1" x14ac:dyDescent="0.25">
      <c r="A88" s="429">
        <v>0.25</v>
      </c>
      <c r="B88" s="439">
        <f>'Warrant 2'!F38</f>
        <v>0</v>
      </c>
      <c r="C88" s="439">
        <f>'Warrant 2'!I38+'Warrant 4'!C31</f>
        <v>0</v>
      </c>
      <c r="D88" s="163" t="str">
        <f>IF(AND(B88&gt;=$D$62,D86="",D85="",D84=""),1,"")</f>
        <v/>
      </c>
      <c r="E88" s="163" t="str">
        <f t="shared" si="0"/>
        <v/>
      </c>
      <c r="F88" s="163" t="str">
        <f>IF(AND(B88&gt;=$F$62,F86="",F85="",F84=""),1,"")</f>
        <v/>
      </c>
      <c r="G88" s="163" t="str">
        <f t="shared" si="1"/>
        <v/>
      </c>
      <c r="H88" s="163" t="str">
        <f>IF(AND(B88&gt;=$H$62,H86="",H85="",H84=""),1,"")</f>
        <v/>
      </c>
      <c r="I88" s="430" t="str">
        <f t="shared" si="2"/>
        <v/>
      </c>
      <c r="L88" s="435" t="s">
        <v>717</v>
      </c>
      <c r="M88" s="409" t="s">
        <v>715</v>
      </c>
      <c r="N88" s="410" t="str">
        <f>IFERROR(L88+1/24,"")</f>
        <v/>
      </c>
      <c r="O88" s="406" t="str">
        <f>IFERROR(VLOOKUP(L88,$A$88:$C$159,2,FALSE),"")</f>
        <v/>
      </c>
      <c r="P88" s="421" t="str">
        <f>IFERROR(VLOOKUP(L88,$A$88:$C$159,3,FALSE),"")</f>
        <v/>
      </c>
      <c r="AB88" s="441">
        <f>B88</f>
        <v>0</v>
      </c>
      <c r="AC88" s="440">
        <f>A88</f>
        <v>0.25</v>
      </c>
      <c r="AD88" s="441">
        <f>C88</f>
        <v>0</v>
      </c>
      <c r="AE88" s="440">
        <f>A88</f>
        <v>0.25</v>
      </c>
    </row>
    <row r="89" spans="1:31" ht="12.75" customHeight="1" x14ac:dyDescent="0.25">
      <c r="A89" s="429">
        <v>0.26041666666666702</v>
      </c>
      <c r="B89" s="439">
        <f>'Warrant 2'!F39</f>
        <v>455</v>
      </c>
      <c r="C89" s="439">
        <f>'Warrant 2'!I39+'Warrant 4'!C32</f>
        <v>31</v>
      </c>
      <c r="D89" s="163">
        <f>IF(AND(B89&gt;=$D$62,D88="",D86="",D85=""),1,"")</f>
        <v>1</v>
      </c>
      <c r="E89" s="163" t="str">
        <f t="shared" si="0"/>
        <v/>
      </c>
      <c r="F89" s="163">
        <f>IF(AND(B89&gt;=$F$62,F88="",F86="",F85=""),1,"")</f>
        <v>1</v>
      </c>
      <c r="G89" s="163" t="str">
        <f t="shared" si="1"/>
        <v/>
      </c>
      <c r="H89" s="163">
        <f>IF(AND(B89&gt;=$H$62,H88="",H86="",H85=""),1,"")</f>
        <v>1</v>
      </c>
      <c r="I89" s="430" t="str">
        <f t="shared" si="2"/>
        <v/>
      </c>
      <c r="L89" s="435" t="s">
        <v>717</v>
      </c>
      <c r="M89" s="407" t="s">
        <v>715</v>
      </c>
      <c r="N89" s="411" t="str">
        <f t="shared" ref="N89:N95" si="8">IFERROR(L89+1/24,"")</f>
        <v/>
      </c>
      <c r="O89" s="406" t="str">
        <f t="shared" ref="O89:O95" si="9">IFERROR(VLOOKUP(L89,$A$88:$C$159,2,FALSE),"")</f>
        <v/>
      </c>
      <c r="P89" s="421" t="str">
        <f t="shared" ref="P89:P95" si="10">IFERROR(VLOOKUP(L89,$A$88:$C$159,3,FALSE),"")</f>
        <v/>
      </c>
      <c r="AB89" s="441">
        <f t="shared" ref="AB89:AB152" si="11">B89</f>
        <v>455</v>
      </c>
      <c r="AC89" s="440">
        <f t="shared" ref="AC89:AC152" si="12">A89</f>
        <v>0.26041666666666702</v>
      </c>
      <c r="AD89" s="441">
        <f t="shared" ref="AD89:AD152" si="13">C89</f>
        <v>31</v>
      </c>
      <c r="AE89" s="440">
        <f t="shared" ref="AE89:AE152" si="14">A89</f>
        <v>0.26041666666666702</v>
      </c>
    </row>
    <row r="90" spans="1:31" ht="12.75" customHeight="1" x14ac:dyDescent="0.25">
      <c r="A90" s="429">
        <v>0.27083333333333298</v>
      </c>
      <c r="B90" s="439">
        <f>'Warrant 2'!F40</f>
        <v>1016</v>
      </c>
      <c r="C90" s="439">
        <f>'Warrant 2'!I40+'Warrant 4'!C33</f>
        <v>73</v>
      </c>
      <c r="D90" s="163" t="str">
        <f>IF(AND(B90&gt;=$D$62,D89="",D88="",D86=""),1,"")</f>
        <v/>
      </c>
      <c r="E90" s="163" t="str">
        <f t="shared" si="0"/>
        <v/>
      </c>
      <c r="F90" s="163" t="str">
        <f>IF(AND(B90&gt;=$F$62,F89="",F88="",F86=""),1,"")</f>
        <v/>
      </c>
      <c r="G90" s="163" t="str">
        <f t="shared" si="1"/>
        <v/>
      </c>
      <c r="H90" s="163" t="str">
        <f>IF(AND(B90&gt;=$H$62,H89="",H88="",H86=""),1,"")</f>
        <v/>
      </c>
      <c r="I90" s="430" t="str">
        <f t="shared" si="2"/>
        <v/>
      </c>
      <c r="L90" s="435" t="s">
        <v>717</v>
      </c>
      <c r="M90" s="407" t="s">
        <v>715</v>
      </c>
      <c r="N90" s="411" t="str">
        <f t="shared" si="8"/>
        <v/>
      </c>
      <c r="O90" s="406" t="str">
        <f t="shared" si="9"/>
        <v/>
      </c>
      <c r="P90" s="421" t="str">
        <f t="shared" si="10"/>
        <v/>
      </c>
      <c r="S90" s="26"/>
      <c r="AB90" s="441">
        <f t="shared" si="11"/>
        <v>1016</v>
      </c>
      <c r="AC90" s="440">
        <f t="shared" si="12"/>
        <v>0.27083333333333298</v>
      </c>
      <c r="AD90" s="441">
        <f t="shared" si="13"/>
        <v>73</v>
      </c>
      <c r="AE90" s="440">
        <f t="shared" si="14"/>
        <v>0.27083333333333298</v>
      </c>
    </row>
    <row r="91" spans="1:31" ht="12.75" customHeight="1" x14ac:dyDescent="0.25">
      <c r="A91" s="429">
        <v>0.28125</v>
      </c>
      <c r="B91" s="439">
        <f>'Warrant 2'!F41</f>
        <v>1574</v>
      </c>
      <c r="C91" s="439">
        <f>'Warrant 2'!I41+'Warrant 4'!C34</f>
        <v>138</v>
      </c>
      <c r="D91" s="163" t="str">
        <f t="shared" si="5"/>
        <v/>
      </c>
      <c r="E91" s="163" t="str">
        <f t="shared" si="0"/>
        <v/>
      </c>
      <c r="F91" s="163" t="str">
        <f t="shared" si="6"/>
        <v/>
      </c>
      <c r="G91" s="163" t="str">
        <f t="shared" si="1"/>
        <v/>
      </c>
      <c r="H91" s="163" t="str">
        <f t="shared" si="7"/>
        <v/>
      </c>
      <c r="I91" s="430" t="str">
        <f t="shared" si="2"/>
        <v/>
      </c>
      <c r="L91" s="435" t="s">
        <v>717</v>
      </c>
      <c r="M91" s="407" t="s">
        <v>715</v>
      </c>
      <c r="N91" s="411" t="str">
        <f t="shared" si="8"/>
        <v/>
      </c>
      <c r="O91" s="406" t="str">
        <f t="shared" si="9"/>
        <v/>
      </c>
      <c r="P91" s="421" t="str">
        <f t="shared" si="10"/>
        <v/>
      </c>
      <c r="AB91" s="441">
        <f t="shared" si="11"/>
        <v>1574</v>
      </c>
      <c r="AC91" s="440">
        <f t="shared" si="12"/>
        <v>0.28125</v>
      </c>
      <c r="AD91" s="441">
        <f t="shared" si="13"/>
        <v>138</v>
      </c>
      <c r="AE91" s="440">
        <f t="shared" si="14"/>
        <v>0.28125</v>
      </c>
    </row>
    <row r="92" spans="1:31" ht="12.75" customHeight="1" x14ac:dyDescent="0.25">
      <c r="A92" s="429">
        <v>0.29166666666666702</v>
      </c>
      <c r="B92" s="439">
        <f>'Warrant 2'!F42</f>
        <v>2127</v>
      </c>
      <c r="C92" s="439">
        <f>'Warrant 2'!I42+'Warrant 4'!C35</f>
        <v>210</v>
      </c>
      <c r="D92" s="163" t="str">
        <f t="shared" si="5"/>
        <v/>
      </c>
      <c r="E92" s="163" t="str">
        <f t="shared" si="0"/>
        <v/>
      </c>
      <c r="F92" s="163" t="str">
        <f t="shared" si="6"/>
        <v/>
      </c>
      <c r="G92" s="163" t="str">
        <f t="shared" si="1"/>
        <v/>
      </c>
      <c r="H92" s="163" t="str">
        <f t="shared" si="7"/>
        <v/>
      </c>
      <c r="I92" s="430" t="str">
        <f t="shared" si="2"/>
        <v/>
      </c>
      <c r="L92" s="435" t="s">
        <v>717</v>
      </c>
      <c r="M92" s="407" t="s">
        <v>715</v>
      </c>
      <c r="N92" s="411" t="str">
        <f t="shared" si="8"/>
        <v/>
      </c>
      <c r="O92" s="406" t="str">
        <f t="shared" si="9"/>
        <v/>
      </c>
      <c r="P92" s="421" t="str">
        <f t="shared" si="10"/>
        <v/>
      </c>
      <c r="AB92" s="441">
        <f t="shared" si="11"/>
        <v>2127</v>
      </c>
      <c r="AC92" s="440">
        <f t="shared" si="12"/>
        <v>0.29166666666666702</v>
      </c>
      <c r="AD92" s="441">
        <f t="shared" si="13"/>
        <v>210</v>
      </c>
      <c r="AE92" s="440">
        <f t="shared" si="14"/>
        <v>0.29166666666666702</v>
      </c>
    </row>
    <row r="93" spans="1:31" ht="12.75" customHeight="1" x14ac:dyDescent="0.25">
      <c r="A93" s="429">
        <v>0.30208333333333298</v>
      </c>
      <c r="B93" s="439">
        <f>'Warrant 2'!F43</f>
        <v>2173</v>
      </c>
      <c r="C93" s="439">
        <f>'Warrant 2'!I43+'Warrant 4'!C36</f>
        <v>204</v>
      </c>
      <c r="D93" s="163">
        <f t="shared" si="5"/>
        <v>1</v>
      </c>
      <c r="E93" s="163">
        <f t="shared" si="0"/>
        <v>1</v>
      </c>
      <c r="F93" s="163">
        <f t="shared" si="6"/>
        <v>1</v>
      </c>
      <c r="G93" s="163">
        <f t="shared" si="1"/>
        <v>1</v>
      </c>
      <c r="H93" s="163">
        <f t="shared" si="7"/>
        <v>1</v>
      </c>
      <c r="I93" s="430">
        <f t="shared" si="2"/>
        <v>1</v>
      </c>
      <c r="L93" s="435" t="s">
        <v>717</v>
      </c>
      <c r="M93" s="407" t="s">
        <v>715</v>
      </c>
      <c r="N93" s="411" t="str">
        <f t="shared" si="8"/>
        <v/>
      </c>
      <c r="O93" s="406" t="str">
        <f t="shared" si="9"/>
        <v/>
      </c>
      <c r="P93" s="421" t="str">
        <f t="shared" si="10"/>
        <v/>
      </c>
      <c r="AB93" s="441">
        <f t="shared" si="11"/>
        <v>2173</v>
      </c>
      <c r="AC93" s="440">
        <f t="shared" si="12"/>
        <v>0.30208333333333298</v>
      </c>
      <c r="AD93" s="441">
        <f t="shared" si="13"/>
        <v>204</v>
      </c>
      <c r="AE93" s="440">
        <f t="shared" si="14"/>
        <v>0.30208333333333298</v>
      </c>
    </row>
    <row r="94" spans="1:31" ht="12.75" customHeight="1" x14ac:dyDescent="0.25">
      <c r="A94" s="429">
        <v>0.3125</v>
      </c>
      <c r="B94" s="439">
        <f>'Warrant 2'!F44</f>
        <v>2146</v>
      </c>
      <c r="C94" s="439">
        <f>'Warrant 2'!I44+'Warrant 4'!C37</f>
        <v>188</v>
      </c>
      <c r="D94" s="163" t="str">
        <f t="shared" si="5"/>
        <v/>
      </c>
      <c r="E94" s="163" t="str">
        <f t="shared" si="0"/>
        <v/>
      </c>
      <c r="F94" s="163" t="str">
        <f t="shared" si="6"/>
        <v/>
      </c>
      <c r="G94" s="163" t="str">
        <f t="shared" si="1"/>
        <v/>
      </c>
      <c r="H94" s="163" t="str">
        <f t="shared" si="7"/>
        <v/>
      </c>
      <c r="I94" s="430" t="str">
        <f t="shared" si="2"/>
        <v/>
      </c>
      <c r="L94" s="435" t="s">
        <v>717</v>
      </c>
      <c r="M94" s="407" t="s">
        <v>715</v>
      </c>
      <c r="N94" s="411" t="str">
        <f t="shared" si="8"/>
        <v/>
      </c>
      <c r="O94" s="406" t="str">
        <f t="shared" si="9"/>
        <v/>
      </c>
      <c r="P94" s="421" t="str">
        <f t="shared" si="10"/>
        <v/>
      </c>
      <c r="AB94" s="441">
        <f t="shared" si="11"/>
        <v>2146</v>
      </c>
      <c r="AC94" s="440">
        <f t="shared" si="12"/>
        <v>0.3125</v>
      </c>
      <c r="AD94" s="441">
        <f t="shared" si="13"/>
        <v>188</v>
      </c>
      <c r="AE94" s="440">
        <f t="shared" si="14"/>
        <v>0.3125</v>
      </c>
    </row>
    <row r="95" spans="1:31" ht="12.75" customHeight="1" x14ac:dyDescent="0.25">
      <c r="A95" s="429">
        <v>0.32291666666666702</v>
      </c>
      <c r="B95" s="439">
        <f>'Warrant 2'!F45</f>
        <v>2099</v>
      </c>
      <c r="C95" s="439">
        <f>'Warrant 2'!I45+'Warrant 4'!C38</f>
        <v>156</v>
      </c>
      <c r="D95" s="163" t="str">
        <f t="shared" si="5"/>
        <v/>
      </c>
      <c r="E95" s="163" t="str">
        <f t="shared" si="0"/>
        <v/>
      </c>
      <c r="F95" s="163" t="str">
        <f t="shared" si="6"/>
        <v/>
      </c>
      <c r="G95" s="163" t="str">
        <f t="shared" si="1"/>
        <v/>
      </c>
      <c r="H95" s="163" t="str">
        <f t="shared" si="7"/>
        <v/>
      </c>
      <c r="I95" s="430" t="str">
        <f t="shared" si="2"/>
        <v/>
      </c>
      <c r="L95" s="435" t="s">
        <v>717</v>
      </c>
      <c r="M95" s="412" t="s">
        <v>715</v>
      </c>
      <c r="N95" s="413" t="str">
        <f t="shared" si="8"/>
        <v/>
      </c>
      <c r="O95" s="406" t="str">
        <f t="shared" si="9"/>
        <v/>
      </c>
      <c r="P95" s="421" t="str">
        <f t="shared" si="10"/>
        <v/>
      </c>
      <c r="AB95" s="441">
        <f t="shared" si="11"/>
        <v>2099</v>
      </c>
      <c r="AC95" s="440">
        <f t="shared" si="12"/>
        <v>0.32291666666666702</v>
      </c>
      <c r="AD95" s="441">
        <f t="shared" si="13"/>
        <v>156</v>
      </c>
      <c r="AE95" s="440">
        <f t="shared" si="14"/>
        <v>0.32291666666666702</v>
      </c>
    </row>
    <row r="96" spans="1:31" ht="12.75" customHeight="1" x14ac:dyDescent="0.25">
      <c r="A96" s="429">
        <v>0.33333333333333298</v>
      </c>
      <c r="B96" s="439">
        <f>'Warrant 2'!F46</f>
        <v>2083</v>
      </c>
      <c r="C96" s="439">
        <f>'Warrant 2'!I46+'Warrant 4'!C39</f>
        <v>169</v>
      </c>
      <c r="D96" s="163" t="str">
        <f t="shared" si="5"/>
        <v/>
      </c>
      <c r="E96" s="163" t="str">
        <f t="shared" ref="E96:E113" si="15">IF(AND(C96&gt;=$E$62,D96=1),1,"")</f>
        <v/>
      </c>
      <c r="F96" s="163" t="str">
        <f t="shared" si="6"/>
        <v/>
      </c>
      <c r="G96" s="163" t="str">
        <f t="shared" ref="G96:G113" si="16">IF(AND(C96&gt;=$G$62,F96=1),1,"")</f>
        <v/>
      </c>
      <c r="H96" s="163" t="str">
        <f t="shared" si="7"/>
        <v/>
      </c>
      <c r="I96" s="430" t="str">
        <f t="shared" ref="I96:I113" si="17">IF(AND(C96&gt;=$I$62,H96=1),1,"")</f>
        <v/>
      </c>
      <c r="L96" s="726"/>
      <c r="M96" s="727"/>
      <c r="N96" s="727"/>
      <c r="O96" s="727"/>
      <c r="P96" s="728"/>
      <c r="AB96" s="441">
        <f t="shared" si="11"/>
        <v>2083</v>
      </c>
      <c r="AC96" s="440">
        <f t="shared" si="12"/>
        <v>0.33333333333333298</v>
      </c>
      <c r="AD96" s="441">
        <f t="shared" si="13"/>
        <v>169</v>
      </c>
      <c r="AE96" s="440">
        <f t="shared" si="14"/>
        <v>0.33333333333333298</v>
      </c>
    </row>
    <row r="97" spans="1:31" ht="12.75" customHeight="1" x14ac:dyDescent="0.25">
      <c r="A97" s="429">
        <v>0.34375</v>
      </c>
      <c r="B97" s="439">
        <f>'Warrant 2'!F47</f>
        <v>1955</v>
      </c>
      <c r="C97" s="439">
        <f>'Warrant 2'!I47+'Warrant 4'!C40</f>
        <v>156</v>
      </c>
      <c r="D97" s="163">
        <f t="shared" si="5"/>
        <v>1</v>
      </c>
      <c r="E97" s="163" t="str">
        <f t="shared" si="15"/>
        <v/>
      </c>
      <c r="F97" s="163">
        <f t="shared" si="6"/>
        <v>1</v>
      </c>
      <c r="G97" s="163">
        <f t="shared" si="16"/>
        <v>1</v>
      </c>
      <c r="H97" s="163">
        <f t="shared" si="7"/>
        <v>1</v>
      </c>
      <c r="I97" s="430" t="str">
        <f t="shared" si="17"/>
        <v/>
      </c>
      <c r="L97" s="721" t="s">
        <v>709</v>
      </c>
      <c r="M97" s="722"/>
      <c r="N97" s="722"/>
      <c r="O97" s="414">
        <f>ROUNDUP((SUM(O88:O95)/8),0)</f>
        <v>0</v>
      </c>
      <c r="P97" s="414">
        <f>ROUNDUP((SUM(P88:P95)/8),0)</f>
        <v>0</v>
      </c>
      <c r="AB97" s="441">
        <f t="shared" si="11"/>
        <v>1955</v>
      </c>
      <c r="AC97" s="440">
        <f t="shared" si="12"/>
        <v>0.34375</v>
      </c>
      <c r="AD97" s="441">
        <f t="shared" si="13"/>
        <v>156</v>
      </c>
      <c r="AE97" s="440">
        <f t="shared" si="14"/>
        <v>0.34375</v>
      </c>
    </row>
    <row r="98" spans="1:31" ht="12.75" customHeight="1" x14ac:dyDescent="0.25">
      <c r="A98" s="429">
        <v>0.35416666666666702</v>
      </c>
      <c r="B98" s="439">
        <f>'Warrant 2'!F48</f>
        <v>1822</v>
      </c>
      <c r="C98" s="439">
        <f>'Warrant 2'!I48+'Warrant 4'!C41</f>
        <v>156</v>
      </c>
      <c r="D98" s="163" t="str">
        <f t="shared" si="5"/>
        <v/>
      </c>
      <c r="E98" s="163" t="str">
        <f t="shared" si="15"/>
        <v/>
      </c>
      <c r="F98" s="163" t="str">
        <f t="shared" si="6"/>
        <v/>
      </c>
      <c r="G98" s="163" t="str">
        <f t="shared" si="16"/>
        <v/>
      </c>
      <c r="H98" s="163" t="str">
        <f t="shared" si="7"/>
        <v/>
      </c>
      <c r="I98" s="430" t="str">
        <f t="shared" si="17"/>
        <v/>
      </c>
      <c r="L98" s="718"/>
      <c r="M98" s="719"/>
      <c r="N98" s="719"/>
      <c r="O98" s="719"/>
      <c r="P98" s="720"/>
      <c r="AB98" s="441">
        <f t="shared" si="11"/>
        <v>1822</v>
      </c>
      <c r="AC98" s="440">
        <f t="shared" si="12"/>
        <v>0.35416666666666702</v>
      </c>
      <c r="AD98" s="441">
        <f t="shared" si="13"/>
        <v>156</v>
      </c>
      <c r="AE98" s="440">
        <f t="shared" si="14"/>
        <v>0.35416666666666702</v>
      </c>
    </row>
    <row r="99" spans="1:31" ht="12.75" customHeight="1" x14ac:dyDescent="0.25">
      <c r="A99" s="429">
        <v>0.36458333333333298</v>
      </c>
      <c r="B99" s="439">
        <f>'Warrant 2'!F49</f>
        <v>1724</v>
      </c>
      <c r="C99" s="439">
        <f>'Warrant 2'!I49+'Warrant 4'!C42</f>
        <v>160</v>
      </c>
      <c r="D99" s="163" t="str">
        <f t="shared" si="5"/>
        <v/>
      </c>
      <c r="E99" s="163" t="str">
        <f t="shared" si="15"/>
        <v/>
      </c>
      <c r="F99" s="163" t="str">
        <f t="shared" si="6"/>
        <v/>
      </c>
      <c r="G99" s="163" t="str">
        <f t="shared" si="16"/>
        <v/>
      </c>
      <c r="H99" s="163" t="str">
        <f t="shared" si="7"/>
        <v/>
      </c>
      <c r="I99" s="430" t="str">
        <f t="shared" si="17"/>
        <v/>
      </c>
      <c r="L99" s="766" t="s">
        <v>725</v>
      </c>
      <c r="M99" s="767"/>
      <c r="N99" s="767"/>
      <c r="O99" s="402" t="str">
        <f>IF($O$97&gt;=$D$62,"YES","NO")</f>
        <v>NO</v>
      </c>
      <c r="P99" s="422" t="str">
        <f>IF($P$97&gt;=$E$62,"YES","NO")</f>
        <v>NO</v>
      </c>
      <c r="AB99" s="441">
        <f t="shared" si="11"/>
        <v>1724</v>
      </c>
      <c r="AC99" s="440">
        <f t="shared" si="12"/>
        <v>0.36458333333333298</v>
      </c>
      <c r="AD99" s="441">
        <f t="shared" si="13"/>
        <v>160</v>
      </c>
      <c r="AE99" s="440">
        <f t="shared" si="14"/>
        <v>0.36458333333333298</v>
      </c>
    </row>
    <row r="100" spans="1:31" ht="12.75" customHeight="1" x14ac:dyDescent="0.25">
      <c r="A100" s="429">
        <v>0.375</v>
      </c>
      <c r="B100" s="439">
        <f>'Warrant 2'!F50</f>
        <v>1575</v>
      </c>
      <c r="C100" s="439">
        <f>'Warrant 2'!I50+'Warrant 4'!C43</f>
        <v>140</v>
      </c>
      <c r="D100" s="163" t="str">
        <f t="shared" si="5"/>
        <v/>
      </c>
      <c r="E100" s="163" t="str">
        <f t="shared" si="15"/>
        <v/>
      </c>
      <c r="F100" s="163" t="str">
        <f t="shared" si="6"/>
        <v/>
      </c>
      <c r="G100" s="163" t="str">
        <f t="shared" si="16"/>
        <v/>
      </c>
      <c r="H100" s="163" t="str">
        <f t="shared" si="7"/>
        <v/>
      </c>
      <c r="I100" s="430" t="str">
        <f t="shared" si="17"/>
        <v/>
      </c>
      <c r="L100" s="766" t="s">
        <v>726</v>
      </c>
      <c r="M100" s="767"/>
      <c r="N100" s="767"/>
      <c r="O100" s="402" t="str">
        <f>IF($O$97&gt;=$F$62,"YES","NO")</f>
        <v>NO</v>
      </c>
      <c r="P100" s="422" t="str">
        <f>IF($P$97&gt;=$G$62,"YES","NO")</f>
        <v>NO</v>
      </c>
      <c r="AB100" s="441">
        <f t="shared" si="11"/>
        <v>1575</v>
      </c>
      <c r="AC100" s="440">
        <f t="shared" si="12"/>
        <v>0.375</v>
      </c>
      <c r="AD100" s="441">
        <f t="shared" si="13"/>
        <v>140</v>
      </c>
      <c r="AE100" s="440">
        <f t="shared" si="14"/>
        <v>0.375</v>
      </c>
    </row>
    <row r="101" spans="1:31" ht="12.75" customHeight="1" thickBot="1" x14ac:dyDescent="0.3">
      <c r="A101" s="429">
        <v>0.38541666666666702</v>
      </c>
      <c r="B101" s="439">
        <f>'Warrant 2'!F51</f>
        <v>1603</v>
      </c>
      <c r="C101" s="439">
        <f>'Warrant 2'!I51+'Warrant 4'!C44</f>
        <v>140</v>
      </c>
      <c r="D101" s="163">
        <f t="shared" si="5"/>
        <v>1</v>
      </c>
      <c r="E101" s="163" t="str">
        <f t="shared" si="15"/>
        <v/>
      </c>
      <c r="F101" s="163">
        <f t="shared" si="6"/>
        <v>1</v>
      </c>
      <c r="G101" s="163">
        <f t="shared" si="16"/>
        <v>1</v>
      </c>
      <c r="H101" s="163">
        <f t="shared" si="7"/>
        <v>1</v>
      </c>
      <c r="I101" s="430" t="str">
        <f t="shared" si="17"/>
        <v/>
      </c>
      <c r="L101" s="768" t="s">
        <v>727</v>
      </c>
      <c r="M101" s="769"/>
      <c r="N101" s="769"/>
      <c r="O101" s="423" t="str">
        <f>IF($O$97&gt;=$H$62,"YES","NO")</f>
        <v>NO</v>
      </c>
      <c r="P101" s="424" t="str">
        <f>IF($P$97&gt;=$I$62,"YES","NO")</f>
        <v>NO</v>
      </c>
      <c r="AB101" s="441">
        <f t="shared" si="11"/>
        <v>1603</v>
      </c>
      <c r="AC101" s="440">
        <f t="shared" si="12"/>
        <v>0.38541666666666702</v>
      </c>
      <c r="AD101" s="441">
        <f t="shared" si="13"/>
        <v>140</v>
      </c>
      <c r="AE101" s="440">
        <f t="shared" si="14"/>
        <v>0.38541666666666702</v>
      </c>
    </row>
    <row r="102" spans="1:31" ht="12.75" customHeight="1" thickBot="1" x14ac:dyDescent="0.3">
      <c r="A102" s="429">
        <v>0.39583333333333298</v>
      </c>
      <c r="B102" s="439">
        <f>'Warrant 2'!F52</f>
        <v>1573</v>
      </c>
      <c r="C102" s="439">
        <f>'Warrant 2'!I52+'Warrant 4'!C45</f>
        <v>136</v>
      </c>
      <c r="D102" s="163" t="str">
        <f t="shared" si="5"/>
        <v/>
      </c>
      <c r="E102" s="163" t="str">
        <f t="shared" si="15"/>
        <v/>
      </c>
      <c r="F102" s="163" t="str">
        <f t="shared" si="6"/>
        <v/>
      </c>
      <c r="G102" s="163" t="str">
        <f t="shared" si="16"/>
        <v/>
      </c>
      <c r="H102" s="163" t="str">
        <f t="shared" si="7"/>
        <v/>
      </c>
      <c r="I102" s="430" t="str">
        <f t="shared" si="17"/>
        <v/>
      </c>
      <c r="AB102" s="441">
        <f t="shared" si="11"/>
        <v>1573</v>
      </c>
      <c r="AC102" s="440">
        <f t="shared" si="12"/>
        <v>0.39583333333333298</v>
      </c>
      <c r="AD102" s="441">
        <f t="shared" si="13"/>
        <v>136</v>
      </c>
      <c r="AE102" s="440">
        <f t="shared" si="14"/>
        <v>0.39583333333333298</v>
      </c>
    </row>
    <row r="103" spans="1:31" ht="12.75" customHeight="1" x14ac:dyDescent="0.25">
      <c r="A103" s="429">
        <v>0.40625</v>
      </c>
      <c r="B103" s="439">
        <f>'Warrant 2'!F53</f>
        <v>1533</v>
      </c>
      <c r="C103" s="439">
        <f>'Warrant 2'!I53+'Warrant 4'!C46</f>
        <v>127</v>
      </c>
      <c r="D103" s="163" t="str">
        <f t="shared" si="5"/>
        <v/>
      </c>
      <c r="E103" s="163" t="str">
        <f t="shared" si="15"/>
        <v/>
      </c>
      <c r="F103" s="163" t="str">
        <f t="shared" si="6"/>
        <v/>
      </c>
      <c r="G103" s="163" t="str">
        <f t="shared" si="16"/>
        <v/>
      </c>
      <c r="H103" s="163" t="str">
        <f t="shared" si="7"/>
        <v/>
      </c>
      <c r="I103" s="430" t="str">
        <f t="shared" si="17"/>
        <v/>
      </c>
      <c r="L103" s="757" t="s">
        <v>731</v>
      </c>
      <c r="M103" s="758"/>
      <c r="N103" s="758"/>
      <c r="O103" s="758"/>
      <c r="P103" s="759"/>
      <c r="AB103" s="441">
        <f t="shared" si="11"/>
        <v>1533</v>
      </c>
      <c r="AC103" s="440">
        <f t="shared" si="12"/>
        <v>0.40625</v>
      </c>
      <c r="AD103" s="441">
        <f t="shared" si="13"/>
        <v>127</v>
      </c>
      <c r="AE103" s="440">
        <f t="shared" si="14"/>
        <v>0.40625</v>
      </c>
    </row>
    <row r="104" spans="1:31" ht="12.75" customHeight="1" x14ac:dyDescent="0.25">
      <c r="A104" s="429">
        <v>0.41666666666666702</v>
      </c>
      <c r="B104" s="439">
        <f>'Warrant 2'!F54</f>
        <v>1529</v>
      </c>
      <c r="C104" s="439">
        <f>'Warrant 2'!I54+'Warrant 4'!C47</f>
        <v>124</v>
      </c>
      <c r="D104" s="163" t="str">
        <f t="shared" si="5"/>
        <v/>
      </c>
      <c r="E104" s="163" t="str">
        <f t="shared" si="15"/>
        <v/>
      </c>
      <c r="F104" s="163" t="str">
        <f t="shared" si="6"/>
        <v/>
      </c>
      <c r="G104" s="163" t="str">
        <f t="shared" si="16"/>
        <v/>
      </c>
      <c r="H104" s="163" t="str">
        <f t="shared" si="7"/>
        <v/>
      </c>
      <c r="I104" s="430" t="str">
        <f t="shared" si="17"/>
        <v/>
      </c>
      <c r="L104" s="760"/>
      <c r="M104" s="761"/>
      <c r="N104" s="761"/>
      <c r="O104" s="761"/>
      <c r="P104" s="762"/>
      <c r="AB104" s="441">
        <f t="shared" si="11"/>
        <v>1529</v>
      </c>
      <c r="AC104" s="440">
        <f t="shared" si="12"/>
        <v>0.41666666666666702</v>
      </c>
      <c r="AD104" s="441">
        <f t="shared" si="13"/>
        <v>124</v>
      </c>
      <c r="AE104" s="440">
        <f t="shared" si="14"/>
        <v>0.41666666666666702</v>
      </c>
    </row>
    <row r="105" spans="1:31" ht="12.75" customHeight="1" x14ac:dyDescent="0.25">
      <c r="A105" s="429">
        <v>0.42708333333333298</v>
      </c>
      <c r="B105" s="439">
        <f>'Warrant 2'!F55</f>
        <v>1509</v>
      </c>
      <c r="C105" s="439">
        <f>'Warrant 2'!I55+'Warrant 4'!C48</f>
        <v>125</v>
      </c>
      <c r="D105" s="163">
        <f t="shared" si="5"/>
        <v>1</v>
      </c>
      <c r="E105" s="163" t="str">
        <f t="shared" si="15"/>
        <v/>
      </c>
      <c r="F105" s="163">
        <f t="shared" si="6"/>
        <v>1</v>
      </c>
      <c r="G105" s="163" t="str">
        <f t="shared" si="16"/>
        <v/>
      </c>
      <c r="H105" s="163">
        <f t="shared" si="7"/>
        <v>1</v>
      </c>
      <c r="I105" s="430" t="str">
        <f t="shared" si="17"/>
        <v/>
      </c>
      <c r="L105" s="760"/>
      <c r="M105" s="761"/>
      <c r="N105" s="761"/>
      <c r="O105" s="761"/>
      <c r="P105" s="762"/>
      <c r="AB105" s="441">
        <f t="shared" si="11"/>
        <v>1509</v>
      </c>
      <c r="AC105" s="440">
        <f t="shared" si="12"/>
        <v>0.42708333333333298</v>
      </c>
      <c r="AD105" s="441">
        <f t="shared" si="13"/>
        <v>125</v>
      </c>
      <c r="AE105" s="440">
        <f t="shared" si="14"/>
        <v>0.42708333333333298</v>
      </c>
    </row>
    <row r="106" spans="1:31" ht="12.75" customHeight="1" thickBot="1" x14ac:dyDescent="0.3">
      <c r="A106" s="429">
        <v>0.4375</v>
      </c>
      <c r="B106" s="439">
        <f>'Warrant 2'!F56</f>
        <v>1532</v>
      </c>
      <c r="C106" s="439">
        <f>'Warrant 2'!I56+'Warrant 4'!C49</f>
        <v>133</v>
      </c>
      <c r="D106" s="163" t="str">
        <f t="shared" si="5"/>
        <v/>
      </c>
      <c r="E106" s="163" t="str">
        <f t="shared" si="15"/>
        <v/>
      </c>
      <c r="F106" s="163" t="str">
        <f t="shared" si="6"/>
        <v/>
      </c>
      <c r="G106" s="163" t="str">
        <f t="shared" si="16"/>
        <v/>
      </c>
      <c r="H106" s="163" t="str">
        <f t="shared" si="7"/>
        <v/>
      </c>
      <c r="I106" s="430" t="str">
        <f t="shared" si="17"/>
        <v/>
      </c>
      <c r="L106" s="763" t="s">
        <v>732</v>
      </c>
      <c r="M106" s="764"/>
      <c r="N106" s="764"/>
      <c r="O106" s="764"/>
      <c r="P106" s="765"/>
      <c r="AB106" s="441">
        <f t="shared" si="11"/>
        <v>1532</v>
      </c>
      <c r="AC106" s="440">
        <f t="shared" si="12"/>
        <v>0.4375</v>
      </c>
      <c r="AD106" s="441">
        <f t="shared" si="13"/>
        <v>133</v>
      </c>
      <c r="AE106" s="440">
        <f t="shared" si="14"/>
        <v>0.4375</v>
      </c>
    </row>
    <row r="107" spans="1:31" ht="12.75" customHeight="1" thickBot="1" x14ac:dyDescent="0.3">
      <c r="A107" s="429">
        <v>0.44791666666666702</v>
      </c>
      <c r="B107" s="439">
        <f>'Warrant 2'!F57</f>
        <v>1602</v>
      </c>
      <c r="C107" s="439">
        <f>'Warrant 2'!I57+'Warrant 4'!C50</f>
        <v>136</v>
      </c>
      <c r="D107" s="163" t="str">
        <f t="shared" si="5"/>
        <v/>
      </c>
      <c r="E107" s="163" t="str">
        <f t="shared" si="15"/>
        <v/>
      </c>
      <c r="F107" s="163" t="str">
        <f t="shared" si="6"/>
        <v/>
      </c>
      <c r="G107" s="163" t="str">
        <f t="shared" si="16"/>
        <v/>
      </c>
      <c r="H107" s="163" t="str">
        <f t="shared" si="7"/>
        <v/>
      </c>
      <c r="I107" s="430" t="str">
        <f t="shared" si="17"/>
        <v/>
      </c>
      <c r="L107" s="442" t="s">
        <v>10</v>
      </c>
      <c r="M107" s="442" t="s">
        <v>729</v>
      </c>
      <c r="N107" s="443"/>
      <c r="O107" s="442" t="s">
        <v>11</v>
      </c>
      <c r="P107" s="442" t="s">
        <v>729</v>
      </c>
      <c r="AB107" s="441">
        <f t="shared" si="11"/>
        <v>1602</v>
      </c>
      <c r="AC107" s="440">
        <f t="shared" si="12"/>
        <v>0.44791666666666702</v>
      </c>
      <c r="AD107" s="441">
        <f t="shared" si="13"/>
        <v>136</v>
      </c>
      <c r="AE107" s="440">
        <f t="shared" si="14"/>
        <v>0.44791666666666702</v>
      </c>
    </row>
    <row r="108" spans="1:31" ht="12.75" customHeight="1" thickBot="1" x14ac:dyDescent="0.3">
      <c r="A108" s="429">
        <v>0.45833333333333298</v>
      </c>
      <c r="B108" s="439">
        <f>'Warrant 2'!F58</f>
        <v>1673</v>
      </c>
      <c r="C108" s="439">
        <f>'Warrant 2'!I58+'Warrant 4'!C51</f>
        <v>141</v>
      </c>
      <c r="D108" s="163" t="str">
        <f t="shared" si="5"/>
        <v/>
      </c>
      <c r="E108" s="163" t="str">
        <f t="shared" si="15"/>
        <v/>
      </c>
      <c r="F108" s="163" t="str">
        <f t="shared" si="6"/>
        <v/>
      </c>
      <c r="G108" s="163" t="str">
        <f t="shared" si="16"/>
        <v/>
      </c>
      <c r="H108" s="163" t="str">
        <f t="shared" si="7"/>
        <v/>
      </c>
      <c r="I108" s="430" t="str">
        <f t="shared" si="17"/>
        <v/>
      </c>
      <c r="L108" s="445" t="s">
        <v>730</v>
      </c>
      <c r="M108" s="445" t="s">
        <v>730</v>
      </c>
      <c r="N108" s="446"/>
      <c r="O108" s="444" t="s">
        <v>730</v>
      </c>
      <c r="P108" s="445" t="s">
        <v>730</v>
      </c>
      <c r="AB108" s="441">
        <f t="shared" si="11"/>
        <v>1673</v>
      </c>
      <c r="AC108" s="440">
        <f t="shared" si="12"/>
        <v>0.45833333333333298</v>
      </c>
      <c r="AD108" s="441">
        <f t="shared" si="13"/>
        <v>141</v>
      </c>
      <c r="AE108" s="440">
        <f t="shared" si="14"/>
        <v>0.45833333333333298</v>
      </c>
    </row>
    <row r="109" spans="1:31" ht="12.75" customHeight="1" x14ac:dyDescent="0.25">
      <c r="A109" s="429">
        <v>0.46875</v>
      </c>
      <c r="B109" s="439">
        <f>'Warrant 2'!F59</f>
        <v>1710</v>
      </c>
      <c r="C109" s="439">
        <f>'Warrant 2'!I59+'Warrant 4'!C52</f>
        <v>140</v>
      </c>
      <c r="D109" s="163">
        <f t="shared" si="5"/>
        <v>1</v>
      </c>
      <c r="E109" s="163" t="str">
        <f t="shared" si="15"/>
        <v/>
      </c>
      <c r="F109" s="163">
        <f t="shared" si="6"/>
        <v>1</v>
      </c>
      <c r="G109" s="163">
        <f t="shared" si="16"/>
        <v>1</v>
      </c>
      <c r="H109" s="163">
        <f t="shared" si="7"/>
        <v>1</v>
      </c>
      <c r="I109" s="430" t="str">
        <f t="shared" si="17"/>
        <v/>
      </c>
      <c r="L109" s="455">
        <v>2458</v>
      </c>
      <c r="M109" s="453">
        <v>0.70833333333333337</v>
      </c>
      <c r="N109" s="446"/>
      <c r="O109" s="447">
        <v>210</v>
      </c>
      <c r="P109" s="453">
        <v>0.29166666666666669</v>
      </c>
      <c r="AB109" s="441">
        <f t="shared" si="11"/>
        <v>1710</v>
      </c>
      <c r="AC109" s="440">
        <f t="shared" si="12"/>
        <v>0.46875</v>
      </c>
      <c r="AD109" s="441">
        <f t="shared" si="13"/>
        <v>140</v>
      </c>
      <c r="AE109" s="440">
        <f t="shared" si="14"/>
        <v>0.46875</v>
      </c>
    </row>
    <row r="110" spans="1:31" ht="12.75" customHeight="1" x14ac:dyDescent="0.25">
      <c r="A110" s="429">
        <v>0.47916666666666702</v>
      </c>
      <c r="B110" s="439">
        <f>'Warrant 2'!F60</f>
        <v>1740</v>
      </c>
      <c r="C110" s="439">
        <f>'Warrant 2'!I60+'Warrant 4'!C53</f>
        <v>128</v>
      </c>
      <c r="D110" s="163" t="str">
        <f t="shared" si="5"/>
        <v/>
      </c>
      <c r="E110" s="163" t="str">
        <f t="shared" si="15"/>
        <v/>
      </c>
      <c r="F110" s="163" t="str">
        <f t="shared" si="6"/>
        <v/>
      </c>
      <c r="G110" s="163" t="str">
        <f t="shared" si="16"/>
        <v/>
      </c>
      <c r="H110" s="163" t="str">
        <f t="shared" si="7"/>
        <v/>
      </c>
      <c r="I110" s="430" t="str">
        <f t="shared" si="17"/>
        <v/>
      </c>
      <c r="L110" s="455">
        <v>2440</v>
      </c>
      <c r="M110" s="453">
        <v>0.69791666666666663</v>
      </c>
      <c r="N110" s="446"/>
      <c r="O110" s="447">
        <v>204</v>
      </c>
      <c r="P110" s="453">
        <v>0.30208333333333331</v>
      </c>
      <c r="AB110" s="441">
        <f t="shared" si="11"/>
        <v>1740</v>
      </c>
      <c r="AC110" s="440">
        <f t="shared" si="12"/>
        <v>0.47916666666666702</v>
      </c>
      <c r="AD110" s="441">
        <f t="shared" si="13"/>
        <v>128</v>
      </c>
      <c r="AE110" s="440">
        <f t="shared" si="14"/>
        <v>0.47916666666666702</v>
      </c>
    </row>
    <row r="111" spans="1:31" ht="12.75" customHeight="1" x14ac:dyDescent="0.25">
      <c r="A111" s="429">
        <v>0.48958333333333298</v>
      </c>
      <c r="B111" s="439">
        <f>'Warrant 2'!F61</f>
        <v>1752</v>
      </c>
      <c r="C111" s="439">
        <f>'Warrant 2'!I61+'Warrant 4'!C54</f>
        <v>124</v>
      </c>
      <c r="D111" s="163" t="str">
        <f t="shared" si="5"/>
        <v/>
      </c>
      <c r="E111" s="163" t="str">
        <f t="shared" si="15"/>
        <v/>
      </c>
      <c r="F111" s="163" t="str">
        <f t="shared" si="6"/>
        <v/>
      </c>
      <c r="G111" s="163" t="str">
        <f t="shared" si="16"/>
        <v/>
      </c>
      <c r="H111" s="163" t="str">
        <f t="shared" si="7"/>
        <v/>
      </c>
      <c r="I111" s="430" t="str">
        <f t="shared" si="17"/>
        <v/>
      </c>
      <c r="L111" s="455">
        <v>2434</v>
      </c>
      <c r="M111" s="453">
        <v>0.6875</v>
      </c>
      <c r="N111" s="446"/>
      <c r="O111" s="447">
        <v>188</v>
      </c>
      <c r="P111" s="453">
        <v>0.3125</v>
      </c>
      <c r="AB111" s="441">
        <f t="shared" si="11"/>
        <v>1752</v>
      </c>
      <c r="AC111" s="440">
        <f t="shared" si="12"/>
        <v>0.48958333333333298</v>
      </c>
      <c r="AD111" s="441">
        <f t="shared" si="13"/>
        <v>124</v>
      </c>
      <c r="AE111" s="440">
        <f t="shared" si="14"/>
        <v>0.48958333333333298</v>
      </c>
    </row>
    <row r="112" spans="1:31" ht="12.75" customHeight="1" x14ac:dyDescent="0.25">
      <c r="A112" s="429">
        <v>0.5</v>
      </c>
      <c r="B112" s="439">
        <f>'Warrant 2'!F62</f>
        <v>1752</v>
      </c>
      <c r="C112" s="439">
        <f>'Warrant 2'!I62+'Warrant 4'!C55</f>
        <v>120</v>
      </c>
      <c r="D112" s="163" t="str">
        <f t="shared" si="5"/>
        <v/>
      </c>
      <c r="E112" s="163" t="str">
        <f t="shared" si="15"/>
        <v/>
      </c>
      <c r="F112" s="163" t="str">
        <f t="shared" si="6"/>
        <v/>
      </c>
      <c r="G112" s="163" t="str">
        <f t="shared" si="16"/>
        <v/>
      </c>
      <c r="H112" s="163" t="str">
        <f t="shared" si="7"/>
        <v/>
      </c>
      <c r="I112" s="430" t="str">
        <f t="shared" si="17"/>
        <v/>
      </c>
      <c r="L112" s="455">
        <v>2425</v>
      </c>
      <c r="M112" s="453">
        <v>0.67708333333333337</v>
      </c>
      <c r="N112" s="446"/>
      <c r="O112" s="447">
        <v>179</v>
      </c>
      <c r="P112" s="453">
        <v>0.66666666666666663</v>
      </c>
      <c r="AB112" s="441">
        <f t="shared" si="11"/>
        <v>1752</v>
      </c>
      <c r="AC112" s="440">
        <f t="shared" si="12"/>
        <v>0.5</v>
      </c>
      <c r="AD112" s="441">
        <f t="shared" si="13"/>
        <v>120</v>
      </c>
      <c r="AE112" s="440">
        <f t="shared" si="14"/>
        <v>0.5</v>
      </c>
    </row>
    <row r="113" spans="1:31" ht="12.75" customHeight="1" x14ac:dyDescent="0.25">
      <c r="A113" s="429">
        <v>0.51041666666666696</v>
      </c>
      <c r="B113" s="439">
        <f>'Warrant 2'!F63</f>
        <v>1758</v>
      </c>
      <c r="C113" s="439">
        <f>'Warrant 2'!I63+'Warrant 4'!C56</f>
        <v>119</v>
      </c>
      <c r="D113" s="163">
        <f t="shared" si="5"/>
        <v>1</v>
      </c>
      <c r="E113" s="163" t="str">
        <f t="shared" si="15"/>
        <v/>
      </c>
      <c r="F113" s="163">
        <f t="shared" si="6"/>
        <v>1</v>
      </c>
      <c r="G113" s="163" t="str">
        <f t="shared" si="16"/>
        <v/>
      </c>
      <c r="H113" s="163">
        <f t="shared" si="7"/>
        <v>1</v>
      </c>
      <c r="I113" s="430" t="str">
        <f t="shared" si="17"/>
        <v/>
      </c>
      <c r="L113" s="455">
        <v>2332</v>
      </c>
      <c r="M113" s="453">
        <v>0.71875</v>
      </c>
      <c r="N113" s="446"/>
      <c r="O113" s="447">
        <v>176</v>
      </c>
      <c r="P113" s="453">
        <v>0.65625</v>
      </c>
      <c r="AB113" s="441">
        <f t="shared" si="11"/>
        <v>1758</v>
      </c>
      <c r="AC113" s="440">
        <f t="shared" si="12"/>
        <v>0.51041666666666696</v>
      </c>
      <c r="AD113" s="441">
        <f t="shared" si="13"/>
        <v>119</v>
      </c>
      <c r="AE113" s="440">
        <f t="shared" si="14"/>
        <v>0.51041666666666696</v>
      </c>
    </row>
    <row r="114" spans="1:31" ht="12.75" customHeight="1" x14ac:dyDescent="0.25">
      <c r="A114" s="429">
        <v>0.52083333333333304</v>
      </c>
      <c r="B114" s="439">
        <f>'Warrant 2'!F64</f>
        <v>1709</v>
      </c>
      <c r="C114" s="439">
        <f>'Warrant 2'!I64+'Warrant 4'!C57</f>
        <v>132</v>
      </c>
      <c r="D114" s="163" t="str">
        <f>IF(AND(B114&gt;=$D$62,D113="",D112="",D111=""),1,"")</f>
        <v/>
      </c>
      <c r="E114" s="163" t="str">
        <f t="shared" ref="E114:E159" si="18">IF(AND(C114&gt;=$E$62,D114=1),1,"")</f>
        <v/>
      </c>
      <c r="F114" s="163" t="str">
        <f>IF(AND(B114&gt;=$F$62,F113="",F112="",F111=""),1,"")</f>
        <v/>
      </c>
      <c r="G114" s="163" t="str">
        <f t="shared" ref="G114:G159" si="19">IF(AND(C114&gt;=$G$62,F114=1),1,"")</f>
        <v/>
      </c>
      <c r="H114" s="163" t="str">
        <f>IF(AND(B114&gt;=$H$62,H113="",H112="",H111=""),1,"")</f>
        <v/>
      </c>
      <c r="I114" s="430" t="str">
        <f t="shared" ref="I114:I159" si="20">IF(AND(C114&gt;=$I$62,H114=1),1,"")</f>
        <v/>
      </c>
      <c r="L114" s="455">
        <v>2311</v>
      </c>
      <c r="M114" s="453">
        <v>0.66666666666666663</v>
      </c>
      <c r="N114" s="446"/>
      <c r="O114" s="447"/>
      <c r="P114" s="453">
        <v>0.67708333333333337</v>
      </c>
      <c r="AB114" s="441">
        <f t="shared" si="11"/>
        <v>1709</v>
      </c>
      <c r="AC114" s="440">
        <f t="shared" si="12"/>
        <v>0.52083333333333304</v>
      </c>
      <c r="AD114" s="441">
        <f t="shared" si="13"/>
        <v>132</v>
      </c>
      <c r="AE114" s="440">
        <f t="shared" si="14"/>
        <v>0.52083333333333304</v>
      </c>
    </row>
    <row r="115" spans="1:31" ht="12.75" customHeight="1" x14ac:dyDescent="0.25">
      <c r="A115" s="429">
        <v>0.53125</v>
      </c>
      <c r="B115" s="439">
        <f>'Warrant 2'!F65</f>
        <v>1665</v>
      </c>
      <c r="C115" s="439">
        <f>'Warrant 2'!I65+'Warrant 4'!C58</f>
        <v>136</v>
      </c>
      <c r="D115" s="163" t="str">
        <f>IF(AND(B115&gt;=$D$62,D114="",D113="",D112=""),1,"")</f>
        <v/>
      </c>
      <c r="E115" s="163" t="str">
        <f t="shared" si="18"/>
        <v/>
      </c>
      <c r="F115" s="163" t="str">
        <f>IF(AND(B115&gt;=$F$62,F114="",F113="",F112=""),1,"")</f>
        <v/>
      </c>
      <c r="G115" s="163" t="str">
        <f t="shared" si="19"/>
        <v/>
      </c>
      <c r="H115" s="163" t="str">
        <f>IF(AND(B115&gt;=$H$62,H114="",H113="",H112=""),1,"")</f>
        <v/>
      </c>
      <c r="I115" s="430" t="str">
        <f t="shared" si="20"/>
        <v/>
      </c>
      <c r="L115" s="455">
        <v>2260</v>
      </c>
      <c r="M115" s="453">
        <v>0.65625</v>
      </c>
      <c r="N115" s="446"/>
      <c r="O115" s="447">
        <v>171</v>
      </c>
      <c r="P115" s="453">
        <v>0.6875</v>
      </c>
      <c r="AB115" s="441">
        <f t="shared" si="11"/>
        <v>1665</v>
      </c>
      <c r="AC115" s="440">
        <f t="shared" si="12"/>
        <v>0.53125</v>
      </c>
      <c r="AD115" s="441">
        <f t="shared" si="13"/>
        <v>136</v>
      </c>
      <c r="AE115" s="440">
        <f t="shared" si="14"/>
        <v>0.53125</v>
      </c>
    </row>
    <row r="116" spans="1:31" ht="12.75" customHeight="1" x14ac:dyDescent="0.25">
      <c r="A116" s="429">
        <v>0.54166666666666696</v>
      </c>
      <c r="B116" s="439">
        <f>'Warrant 2'!F66</f>
        <v>1651</v>
      </c>
      <c r="C116" s="439">
        <f>'Warrant 2'!I66+'Warrant 4'!C59</f>
        <v>134</v>
      </c>
      <c r="D116" s="163" t="str">
        <f>IF(AND(B116&gt;=$D$62,D115="",D114="",D113=""),1,"")</f>
        <v/>
      </c>
      <c r="E116" s="163" t="str">
        <f t="shared" si="18"/>
        <v/>
      </c>
      <c r="F116" s="163" t="str">
        <f>IF(AND(B116&gt;=$F$62,F115="",F114="",F113=""),1,"")</f>
        <v/>
      </c>
      <c r="G116" s="163" t="str">
        <f t="shared" si="19"/>
        <v/>
      </c>
      <c r="H116" s="163" t="str">
        <f>IF(AND(B116&gt;=$H$62,H115="",H114="",H113=""),1,"")</f>
        <v/>
      </c>
      <c r="I116" s="430" t="str">
        <f t="shared" si="20"/>
        <v/>
      </c>
      <c r="L116" s="455">
        <v>2173</v>
      </c>
      <c r="M116" s="453">
        <v>0.30208333333333331</v>
      </c>
      <c r="N116" s="446"/>
      <c r="O116" s="447">
        <v>169</v>
      </c>
      <c r="P116" s="453">
        <v>0.33333333333333331</v>
      </c>
      <c r="AB116" s="441">
        <f t="shared" si="11"/>
        <v>1651</v>
      </c>
      <c r="AC116" s="440">
        <f t="shared" si="12"/>
        <v>0.54166666666666696</v>
      </c>
      <c r="AD116" s="441">
        <f t="shared" si="13"/>
        <v>134</v>
      </c>
      <c r="AE116" s="440">
        <f t="shared" si="14"/>
        <v>0.54166666666666696</v>
      </c>
    </row>
    <row r="117" spans="1:31" ht="12.75" customHeight="1" x14ac:dyDescent="0.25">
      <c r="A117" s="429">
        <v>0.55208333333333304</v>
      </c>
      <c r="B117" s="439">
        <f>'Warrant 2'!F67</f>
        <v>1656</v>
      </c>
      <c r="C117" s="439">
        <f>'Warrant 2'!I67+'Warrant 4'!C60</f>
        <v>128</v>
      </c>
      <c r="D117" s="163">
        <f t="shared" ref="D117:D159" si="21">IF(AND(B117&gt;=$D$62,D116="",D115="",D114=""),1,"")</f>
        <v>1</v>
      </c>
      <c r="E117" s="163" t="str">
        <f t="shared" si="18"/>
        <v/>
      </c>
      <c r="F117" s="163">
        <f t="shared" ref="F117:F159" si="22">IF(AND(B117&gt;=$F$62,F116="",F115="",F114=""),1,"")</f>
        <v>1</v>
      </c>
      <c r="G117" s="163" t="str">
        <f t="shared" si="19"/>
        <v/>
      </c>
      <c r="H117" s="163">
        <f t="shared" ref="H117:H159" si="23">IF(AND(B117&gt;=$H$62,H116="",H115="",H114=""),1,"")</f>
        <v>1</v>
      </c>
      <c r="I117" s="430" t="str">
        <f t="shared" si="20"/>
        <v/>
      </c>
      <c r="L117" s="455">
        <v>2162</v>
      </c>
      <c r="M117" s="453">
        <v>0.72916666666666663</v>
      </c>
      <c r="N117" s="446"/>
      <c r="O117" s="447">
        <v>167</v>
      </c>
      <c r="P117" s="453">
        <v>0.69791666666666663</v>
      </c>
      <c r="AB117" s="441">
        <f t="shared" si="11"/>
        <v>1656</v>
      </c>
      <c r="AC117" s="440">
        <f t="shared" si="12"/>
        <v>0.55208333333333304</v>
      </c>
      <c r="AD117" s="441">
        <f t="shared" si="13"/>
        <v>128</v>
      </c>
      <c r="AE117" s="440">
        <f t="shared" si="14"/>
        <v>0.55208333333333304</v>
      </c>
    </row>
    <row r="118" spans="1:31" ht="12.75" customHeight="1" x14ac:dyDescent="0.25">
      <c r="A118" s="429">
        <v>0.5625</v>
      </c>
      <c r="B118" s="439">
        <f>'Warrant 2'!F68</f>
        <v>1678</v>
      </c>
      <c r="C118" s="439">
        <f>'Warrant 2'!I68+'Warrant 4'!C61</f>
        <v>133</v>
      </c>
      <c r="D118" s="163" t="str">
        <f t="shared" si="21"/>
        <v/>
      </c>
      <c r="E118" s="163" t="str">
        <f t="shared" si="18"/>
        <v/>
      </c>
      <c r="F118" s="163" t="str">
        <f t="shared" si="22"/>
        <v/>
      </c>
      <c r="G118" s="163" t="str">
        <f t="shared" si="19"/>
        <v/>
      </c>
      <c r="H118" s="163" t="str">
        <f t="shared" si="23"/>
        <v/>
      </c>
      <c r="I118" s="430" t="str">
        <f t="shared" si="20"/>
        <v/>
      </c>
      <c r="L118" s="455">
        <v>2160</v>
      </c>
      <c r="M118" s="453">
        <v>0.64583333333333337</v>
      </c>
      <c r="N118" s="446"/>
      <c r="O118" s="447">
        <v>163</v>
      </c>
      <c r="P118" s="453">
        <v>0.64583333333333337</v>
      </c>
      <c r="AB118" s="441">
        <f t="shared" si="11"/>
        <v>1678</v>
      </c>
      <c r="AC118" s="440">
        <f t="shared" si="12"/>
        <v>0.5625</v>
      </c>
      <c r="AD118" s="441">
        <f t="shared" si="13"/>
        <v>133</v>
      </c>
      <c r="AE118" s="440">
        <f t="shared" si="14"/>
        <v>0.5625</v>
      </c>
    </row>
    <row r="119" spans="1:31" ht="12.75" customHeight="1" x14ac:dyDescent="0.25">
      <c r="A119" s="429">
        <v>0.57291666666666696</v>
      </c>
      <c r="B119" s="439">
        <f>'Warrant 2'!F69</f>
        <v>1723</v>
      </c>
      <c r="C119" s="439">
        <f>'Warrant 2'!I69+'Warrant 4'!C62</f>
        <v>127</v>
      </c>
      <c r="D119" s="163" t="str">
        <f t="shared" si="21"/>
        <v/>
      </c>
      <c r="E119" s="163" t="str">
        <f t="shared" si="18"/>
        <v/>
      </c>
      <c r="F119" s="163" t="str">
        <f t="shared" si="22"/>
        <v/>
      </c>
      <c r="G119" s="163" t="str">
        <f t="shared" si="19"/>
        <v/>
      </c>
      <c r="H119" s="163" t="str">
        <f t="shared" si="23"/>
        <v/>
      </c>
      <c r="I119" s="430" t="str">
        <f t="shared" si="20"/>
        <v/>
      </c>
      <c r="L119" s="455">
        <v>2146</v>
      </c>
      <c r="M119" s="453">
        <v>0.3125</v>
      </c>
      <c r="N119" s="446"/>
      <c r="O119" s="447">
        <v>160</v>
      </c>
      <c r="P119" s="453">
        <v>0.36458333333333331</v>
      </c>
      <c r="AB119" s="441">
        <f t="shared" si="11"/>
        <v>1723</v>
      </c>
      <c r="AC119" s="440">
        <f t="shared" si="12"/>
        <v>0.57291666666666696</v>
      </c>
      <c r="AD119" s="441">
        <f t="shared" si="13"/>
        <v>127</v>
      </c>
      <c r="AE119" s="440">
        <f t="shared" si="14"/>
        <v>0.57291666666666696</v>
      </c>
    </row>
    <row r="120" spans="1:31" ht="12.75" customHeight="1" x14ac:dyDescent="0.25">
      <c r="A120" s="429">
        <v>0.58333333333333304</v>
      </c>
      <c r="B120" s="439">
        <f>'Warrant 2'!F70</f>
        <v>1792</v>
      </c>
      <c r="C120" s="439">
        <f>'Warrant 2'!I70+'Warrant 4'!C63</f>
        <v>119</v>
      </c>
      <c r="D120" s="163" t="str">
        <f t="shared" si="21"/>
        <v/>
      </c>
      <c r="E120" s="163" t="str">
        <f t="shared" si="18"/>
        <v/>
      </c>
      <c r="F120" s="163" t="str">
        <f t="shared" si="22"/>
        <v/>
      </c>
      <c r="G120" s="163" t="str">
        <f t="shared" si="19"/>
        <v/>
      </c>
      <c r="H120" s="163" t="str">
        <f t="shared" si="23"/>
        <v/>
      </c>
      <c r="I120" s="430" t="str">
        <f t="shared" si="20"/>
        <v/>
      </c>
      <c r="L120" s="455">
        <v>2127</v>
      </c>
      <c r="M120" s="453">
        <v>0.29166666666666669</v>
      </c>
      <c r="N120" s="446"/>
      <c r="O120" s="447">
        <v>158</v>
      </c>
      <c r="P120" s="453">
        <v>0.71875</v>
      </c>
      <c r="AB120" s="441">
        <f t="shared" si="11"/>
        <v>1792</v>
      </c>
      <c r="AC120" s="440">
        <f t="shared" si="12"/>
        <v>0.58333333333333304</v>
      </c>
      <c r="AD120" s="441">
        <f t="shared" si="13"/>
        <v>119</v>
      </c>
      <c r="AE120" s="440">
        <f t="shared" si="14"/>
        <v>0.58333333333333304</v>
      </c>
    </row>
    <row r="121" spans="1:31" ht="12.75" customHeight="1" thickBot="1" x14ac:dyDescent="0.3">
      <c r="A121" s="429">
        <v>0.59375</v>
      </c>
      <c r="B121" s="439">
        <f>'Warrant 2'!F71</f>
        <v>1854</v>
      </c>
      <c r="C121" s="439">
        <f>'Warrant 2'!I71+'Warrant 4'!C64</f>
        <v>132</v>
      </c>
      <c r="D121" s="163">
        <f t="shared" si="21"/>
        <v>1</v>
      </c>
      <c r="E121" s="163" t="str">
        <f t="shared" si="18"/>
        <v/>
      </c>
      <c r="F121" s="163">
        <f t="shared" si="22"/>
        <v>1</v>
      </c>
      <c r="G121" s="163" t="str">
        <f t="shared" si="19"/>
        <v/>
      </c>
      <c r="H121" s="163">
        <f t="shared" si="23"/>
        <v>1</v>
      </c>
      <c r="I121" s="430" t="str">
        <f t="shared" si="20"/>
        <v/>
      </c>
      <c r="L121" s="455">
        <v>2099</v>
      </c>
      <c r="M121" s="453">
        <v>0.32291666666666669</v>
      </c>
      <c r="N121" s="446"/>
      <c r="O121" s="447">
        <v>156</v>
      </c>
      <c r="P121" s="453">
        <v>0.32291666666666669</v>
      </c>
      <c r="AB121" s="441">
        <f t="shared" si="11"/>
        <v>1854</v>
      </c>
      <c r="AC121" s="440">
        <f t="shared" si="12"/>
        <v>0.59375</v>
      </c>
      <c r="AD121" s="441">
        <f t="shared" si="13"/>
        <v>132</v>
      </c>
      <c r="AE121" s="440">
        <f t="shared" si="14"/>
        <v>0.59375</v>
      </c>
    </row>
    <row r="122" spans="1:31" ht="12.75" customHeight="1" thickBot="1" x14ac:dyDescent="0.3">
      <c r="A122" s="429">
        <v>0.60416666666666696</v>
      </c>
      <c r="B122" s="439">
        <f>'Warrant 2'!F72</f>
        <v>1955</v>
      </c>
      <c r="C122" s="439">
        <f>'Warrant 2'!I72+'Warrant 4'!C65</f>
        <v>122</v>
      </c>
      <c r="D122" s="163" t="str">
        <f t="shared" si="21"/>
        <v/>
      </c>
      <c r="E122" s="163" t="str">
        <f t="shared" si="18"/>
        <v/>
      </c>
      <c r="F122" s="163" t="str">
        <f t="shared" si="22"/>
        <v/>
      </c>
      <c r="G122" s="163" t="str">
        <f t="shared" si="19"/>
        <v/>
      </c>
      <c r="H122" s="163" t="str">
        <f t="shared" si="23"/>
        <v/>
      </c>
      <c r="I122" s="430" t="str">
        <f t="shared" si="20"/>
        <v/>
      </c>
      <c r="L122" s="455">
        <v>2083</v>
      </c>
      <c r="M122" s="453">
        <v>0.33333333333333331</v>
      </c>
      <c r="N122" s="446"/>
      <c r="O122" s="447"/>
      <c r="P122" s="454">
        <v>0.34375</v>
      </c>
      <c r="AB122" s="441">
        <f t="shared" si="11"/>
        <v>1955</v>
      </c>
      <c r="AC122" s="440">
        <f t="shared" si="12"/>
        <v>0.60416666666666696</v>
      </c>
      <c r="AD122" s="441">
        <f t="shared" si="13"/>
        <v>122</v>
      </c>
      <c r="AE122" s="440">
        <f t="shared" si="14"/>
        <v>0.60416666666666696</v>
      </c>
    </row>
    <row r="123" spans="1:31" ht="12.75" customHeight="1" x14ac:dyDescent="0.25">
      <c r="A123" s="429">
        <v>0.61458333333333304</v>
      </c>
      <c r="B123" s="439">
        <f>'Warrant 2'!F73</f>
        <v>2024</v>
      </c>
      <c r="C123" s="439">
        <f>'Warrant 2'!I73+'Warrant 4'!C66</f>
        <v>130</v>
      </c>
      <c r="D123" s="163" t="str">
        <f t="shared" si="21"/>
        <v/>
      </c>
      <c r="E123" s="163" t="str">
        <f t="shared" si="18"/>
        <v/>
      </c>
      <c r="F123" s="163" t="str">
        <f t="shared" si="22"/>
        <v/>
      </c>
      <c r="G123" s="163" t="str">
        <f t="shared" si="19"/>
        <v/>
      </c>
      <c r="H123" s="163" t="str">
        <f t="shared" si="23"/>
        <v/>
      </c>
      <c r="I123" s="430" t="str">
        <f t="shared" si="20"/>
        <v/>
      </c>
      <c r="L123" s="455">
        <v>2048</v>
      </c>
      <c r="M123" s="453">
        <v>0.63541666666666663</v>
      </c>
      <c r="N123" s="446"/>
      <c r="O123" s="447"/>
      <c r="P123" s="453">
        <v>0.35416666666666669</v>
      </c>
      <c r="AB123" s="441">
        <f t="shared" si="11"/>
        <v>2024</v>
      </c>
      <c r="AC123" s="440">
        <f t="shared" si="12"/>
        <v>0.61458333333333304</v>
      </c>
      <c r="AD123" s="441">
        <f t="shared" si="13"/>
        <v>130</v>
      </c>
      <c r="AE123" s="440">
        <f t="shared" si="14"/>
        <v>0.61458333333333304</v>
      </c>
    </row>
    <row r="124" spans="1:31" ht="12.75" customHeight="1" x14ac:dyDescent="0.25">
      <c r="A124" s="429">
        <v>0.625</v>
      </c>
      <c r="B124" s="439">
        <f>'Warrant 2'!F74</f>
        <v>2035</v>
      </c>
      <c r="C124" s="439">
        <f>'Warrant 2'!I74+'Warrant 4'!C67</f>
        <v>141</v>
      </c>
      <c r="D124" s="163" t="str">
        <f t="shared" si="21"/>
        <v/>
      </c>
      <c r="E124" s="163" t="str">
        <f t="shared" si="18"/>
        <v/>
      </c>
      <c r="F124" s="163" t="str">
        <f t="shared" si="22"/>
        <v/>
      </c>
      <c r="G124" s="163" t="str">
        <f t="shared" si="19"/>
        <v/>
      </c>
      <c r="H124" s="163" t="str">
        <f t="shared" si="23"/>
        <v/>
      </c>
      <c r="I124" s="430" t="str">
        <f t="shared" si="20"/>
        <v/>
      </c>
      <c r="L124" s="455">
        <v>2035</v>
      </c>
      <c r="M124" s="453">
        <v>0.625</v>
      </c>
      <c r="N124" s="446"/>
      <c r="O124" s="447">
        <v>154</v>
      </c>
      <c r="P124" s="453">
        <v>0.63541666666666663</v>
      </c>
      <c r="AB124" s="441">
        <f t="shared" si="11"/>
        <v>2035</v>
      </c>
      <c r="AC124" s="440">
        <f t="shared" si="12"/>
        <v>0.625</v>
      </c>
      <c r="AD124" s="441">
        <f t="shared" si="13"/>
        <v>141</v>
      </c>
      <c r="AE124" s="440">
        <f t="shared" si="14"/>
        <v>0.625</v>
      </c>
    </row>
    <row r="125" spans="1:31" ht="12.75" customHeight="1" x14ac:dyDescent="0.25">
      <c r="A125" s="429">
        <v>0.63541666666666696</v>
      </c>
      <c r="B125" s="439">
        <f>'Warrant 2'!F75</f>
        <v>2048</v>
      </c>
      <c r="C125" s="439">
        <f>'Warrant 2'!I75+'Warrant 4'!C68</f>
        <v>154</v>
      </c>
      <c r="D125" s="163">
        <f t="shared" si="21"/>
        <v>1</v>
      </c>
      <c r="E125" s="163" t="str">
        <f t="shared" si="18"/>
        <v/>
      </c>
      <c r="F125" s="163">
        <f t="shared" si="22"/>
        <v>1</v>
      </c>
      <c r="G125" s="163">
        <f t="shared" si="19"/>
        <v>1</v>
      </c>
      <c r="H125" s="163">
        <f t="shared" si="23"/>
        <v>1</v>
      </c>
      <c r="I125" s="430" t="str">
        <f t="shared" si="20"/>
        <v/>
      </c>
      <c r="L125" s="455">
        <v>2024</v>
      </c>
      <c r="M125" s="453">
        <v>0.61458333333333337</v>
      </c>
      <c r="N125" s="446"/>
      <c r="O125" s="447">
        <v>153</v>
      </c>
      <c r="P125" s="453">
        <v>0.70833333333333337</v>
      </c>
      <c r="AB125" s="441">
        <f t="shared" si="11"/>
        <v>2048</v>
      </c>
      <c r="AC125" s="440">
        <f t="shared" si="12"/>
        <v>0.63541666666666696</v>
      </c>
      <c r="AD125" s="441">
        <f t="shared" si="13"/>
        <v>154</v>
      </c>
      <c r="AE125" s="440">
        <f t="shared" si="14"/>
        <v>0.63541666666666696</v>
      </c>
    </row>
    <row r="126" spans="1:31" ht="12.75" customHeight="1" x14ac:dyDescent="0.25">
      <c r="A126" s="429">
        <v>0.64583333333333304</v>
      </c>
      <c r="B126" s="439">
        <f>'Warrant 2'!F76</f>
        <v>2160</v>
      </c>
      <c r="C126" s="439">
        <f>'Warrant 2'!I76+'Warrant 4'!C69</f>
        <v>163</v>
      </c>
      <c r="D126" s="163" t="str">
        <f t="shared" si="21"/>
        <v/>
      </c>
      <c r="E126" s="163" t="str">
        <f t="shared" si="18"/>
        <v/>
      </c>
      <c r="F126" s="163" t="str">
        <f t="shared" si="22"/>
        <v/>
      </c>
      <c r="G126" s="163" t="str">
        <f t="shared" si="19"/>
        <v/>
      </c>
      <c r="H126" s="163" t="str">
        <f t="shared" si="23"/>
        <v/>
      </c>
      <c r="I126" s="430" t="str">
        <f t="shared" si="20"/>
        <v/>
      </c>
      <c r="L126" s="455">
        <v>1974</v>
      </c>
      <c r="M126" s="453">
        <v>0.73958333333333337</v>
      </c>
      <c r="N126" s="446"/>
      <c r="O126" s="447">
        <v>145</v>
      </c>
      <c r="P126" s="453">
        <v>0.72916666666666663</v>
      </c>
      <c r="AB126" s="441">
        <f t="shared" si="11"/>
        <v>2160</v>
      </c>
      <c r="AC126" s="440">
        <f t="shared" si="12"/>
        <v>0.64583333333333304</v>
      </c>
      <c r="AD126" s="441">
        <f t="shared" si="13"/>
        <v>163</v>
      </c>
      <c r="AE126" s="440">
        <f t="shared" si="14"/>
        <v>0.64583333333333304</v>
      </c>
    </row>
    <row r="127" spans="1:31" ht="12.75" customHeight="1" x14ac:dyDescent="0.25">
      <c r="A127" s="429">
        <v>0.65625</v>
      </c>
      <c r="B127" s="439">
        <f>'Warrant 2'!F77</f>
        <v>2260</v>
      </c>
      <c r="C127" s="439">
        <f>'Warrant 2'!I77+'Warrant 4'!C70</f>
        <v>176</v>
      </c>
      <c r="D127" s="163" t="str">
        <f t="shared" si="21"/>
        <v/>
      </c>
      <c r="E127" s="163" t="str">
        <f t="shared" si="18"/>
        <v/>
      </c>
      <c r="F127" s="163" t="str">
        <f t="shared" si="22"/>
        <v/>
      </c>
      <c r="G127" s="163" t="str">
        <f t="shared" si="19"/>
        <v/>
      </c>
      <c r="H127" s="163" t="str">
        <f t="shared" si="23"/>
        <v/>
      </c>
      <c r="I127" s="430" t="str">
        <f t="shared" si="20"/>
        <v/>
      </c>
      <c r="L127" s="455">
        <v>1955</v>
      </c>
      <c r="M127" s="453">
        <v>0.34375</v>
      </c>
      <c r="N127" s="446"/>
      <c r="O127" s="447">
        <v>141</v>
      </c>
      <c r="P127" s="453">
        <v>0.45833333333333331</v>
      </c>
      <c r="AB127" s="441">
        <f t="shared" si="11"/>
        <v>2260</v>
      </c>
      <c r="AC127" s="440">
        <f t="shared" si="12"/>
        <v>0.65625</v>
      </c>
      <c r="AD127" s="441">
        <f t="shared" si="13"/>
        <v>176</v>
      </c>
      <c r="AE127" s="440">
        <f t="shared" si="14"/>
        <v>0.65625</v>
      </c>
    </row>
    <row r="128" spans="1:31" ht="12.75" customHeight="1" x14ac:dyDescent="0.25">
      <c r="A128" s="429">
        <v>0.66666666666666696</v>
      </c>
      <c r="B128" s="439">
        <f>'Warrant 2'!F78</f>
        <v>2311</v>
      </c>
      <c r="C128" s="439">
        <f>'Warrant 2'!I78+'Warrant 4'!C71</f>
        <v>179</v>
      </c>
      <c r="D128" s="163" t="str">
        <f t="shared" si="21"/>
        <v/>
      </c>
      <c r="E128" s="163" t="str">
        <f t="shared" si="18"/>
        <v/>
      </c>
      <c r="F128" s="163" t="str">
        <f t="shared" si="22"/>
        <v/>
      </c>
      <c r="G128" s="163" t="str">
        <f t="shared" si="19"/>
        <v/>
      </c>
      <c r="H128" s="163" t="str">
        <f t="shared" si="23"/>
        <v/>
      </c>
      <c r="I128" s="430" t="str">
        <f t="shared" si="20"/>
        <v/>
      </c>
      <c r="L128" s="455"/>
      <c r="M128" s="453">
        <v>0.60416666666666663</v>
      </c>
      <c r="N128" s="446"/>
      <c r="O128" s="447"/>
      <c r="P128" s="453">
        <v>0.625</v>
      </c>
      <c r="AB128" s="441">
        <f>B128</f>
        <v>2311</v>
      </c>
      <c r="AC128" s="440">
        <f t="shared" si="12"/>
        <v>0.66666666666666696</v>
      </c>
      <c r="AD128" s="441">
        <f t="shared" si="13"/>
        <v>179</v>
      </c>
      <c r="AE128" s="440">
        <f t="shared" si="14"/>
        <v>0.66666666666666696</v>
      </c>
    </row>
    <row r="129" spans="1:31" ht="12.75" customHeight="1" x14ac:dyDescent="0.25">
      <c r="A129" s="429">
        <v>0.67708333333333304</v>
      </c>
      <c r="B129" s="439">
        <f>'Warrant 2'!F79</f>
        <v>2425</v>
      </c>
      <c r="C129" s="439">
        <f>'Warrant 2'!I79+'Warrant 4'!C72</f>
        <v>176</v>
      </c>
      <c r="D129" s="163">
        <f t="shared" si="21"/>
        <v>1</v>
      </c>
      <c r="E129" s="163" t="str">
        <f t="shared" si="18"/>
        <v/>
      </c>
      <c r="F129" s="163">
        <f t="shared" si="22"/>
        <v>1</v>
      </c>
      <c r="G129" s="163">
        <f t="shared" si="19"/>
        <v>1</v>
      </c>
      <c r="H129" s="163">
        <f t="shared" si="23"/>
        <v>1</v>
      </c>
      <c r="I129" s="430">
        <f t="shared" si="20"/>
        <v>1</v>
      </c>
      <c r="L129" s="455">
        <v>1854</v>
      </c>
      <c r="M129" s="453">
        <v>0.59375</v>
      </c>
      <c r="N129" s="446"/>
      <c r="O129" s="447">
        <v>140</v>
      </c>
      <c r="P129" s="453">
        <v>0.375</v>
      </c>
      <c r="AB129" s="441">
        <f t="shared" si="11"/>
        <v>2425</v>
      </c>
      <c r="AC129" s="440">
        <f t="shared" si="12"/>
        <v>0.67708333333333304</v>
      </c>
      <c r="AD129" s="441">
        <f t="shared" si="13"/>
        <v>176</v>
      </c>
      <c r="AE129" s="440">
        <f t="shared" si="14"/>
        <v>0.67708333333333304</v>
      </c>
    </row>
    <row r="130" spans="1:31" ht="12.75" customHeight="1" x14ac:dyDescent="0.25">
      <c r="A130" s="429">
        <v>0.6875</v>
      </c>
      <c r="B130" s="439">
        <f>'Warrant 2'!F80</f>
        <v>2434</v>
      </c>
      <c r="C130" s="439">
        <f>'Warrant 2'!I80+'Warrant 4'!C73</f>
        <v>171</v>
      </c>
      <c r="D130" s="163" t="str">
        <f t="shared" si="21"/>
        <v/>
      </c>
      <c r="E130" s="163" t="str">
        <f t="shared" si="18"/>
        <v/>
      </c>
      <c r="F130" s="163" t="str">
        <f t="shared" si="22"/>
        <v/>
      </c>
      <c r="G130" s="163" t="str">
        <f t="shared" si="19"/>
        <v/>
      </c>
      <c r="H130" s="163" t="str">
        <f t="shared" si="23"/>
        <v/>
      </c>
      <c r="I130" s="430" t="str">
        <f t="shared" si="20"/>
        <v/>
      </c>
      <c r="L130" s="455">
        <v>1822</v>
      </c>
      <c r="M130" s="453">
        <v>0.35416666666666669</v>
      </c>
      <c r="N130" s="446"/>
      <c r="O130" s="447"/>
      <c r="P130" s="453">
        <v>0.38541666666666669</v>
      </c>
      <c r="AB130" s="441">
        <f t="shared" si="11"/>
        <v>2434</v>
      </c>
      <c r="AC130" s="440">
        <f t="shared" si="12"/>
        <v>0.6875</v>
      </c>
      <c r="AD130" s="441">
        <f t="shared" si="13"/>
        <v>171</v>
      </c>
      <c r="AE130" s="440">
        <f t="shared" si="14"/>
        <v>0.6875</v>
      </c>
    </row>
    <row r="131" spans="1:31" ht="12.75" customHeight="1" x14ac:dyDescent="0.25">
      <c r="A131" s="429">
        <v>0.69791666666666696</v>
      </c>
      <c r="B131" s="439">
        <f>'Warrant 2'!F81</f>
        <v>2440</v>
      </c>
      <c r="C131" s="439">
        <f>'Warrant 2'!I81+'Warrant 4'!C74</f>
        <v>167</v>
      </c>
      <c r="D131" s="163" t="str">
        <f t="shared" si="21"/>
        <v/>
      </c>
      <c r="E131" s="163" t="str">
        <f t="shared" si="18"/>
        <v/>
      </c>
      <c r="F131" s="163" t="str">
        <f t="shared" si="22"/>
        <v/>
      </c>
      <c r="G131" s="163" t="str">
        <f t="shared" si="19"/>
        <v/>
      </c>
      <c r="H131" s="163" t="str">
        <f t="shared" si="23"/>
        <v/>
      </c>
      <c r="I131" s="430" t="str">
        <f t="shared" si="20"/>
        <v/>
      </c>
      <c r="L131" s="455">
        <v>1812</v>
      </c>
      <c r="M131" s="453">
        <v>0.75</v>
      </c>
      <c r="N131" s="446"/>
      <c r="O131" s="447"/>
      <c r="P131" s="453">
        <v>0.46875</v>
      </c>
      <c r="AB131" s="441">
        <f t="shared" si="11"/>
        <v>2440</v>
      </c>
      <c r="AC131" s="440">
        <f t="shared" si="12"/>
        <v>0.69791666666666696</v>
      </c>
      <c r="AD131" s="441">
        <f t="shared" si="13"/>
        <v>167</v>
      </c>
      <c r="AE131" s="440">
        <f t="shared" si="14"/>
        <v>0.69791666666666696</v>
      </c>
    </row>
    <row r="132" spans="1:31" ht="12.75" customHeight="1" x14ac:dyDescent="0.25">
      <c r="A132" s="429">
        <v>0.70833333333333304</v>
      </c>
      <c r="B132" s="439">
        <f>'Warrant 2'!F82</f>
        <v>2458</v>
      </c>
      <c r="C132" s="439">
        <f>'Warrant 2'!I82+'Warrant 4'!C75</f>
        <v>153</v>
      </c>
      <c r="D132" s="163" t="str">
        <f t="shared" si="21"/>
        <v/>
      </c>
      <c r="E132" s="163" t="str">
        <f t="shared" si="18"/>
        <v/>
      </c>
      <c r="F132" s="163" t="str">
        <f t="shared" si="22"/>
        <v/>
      </c>
      <c r="G132" s="163" t="str">
        <f t="shared" si="19"/>
        <v/>
      </c>
      <c r="H132" s="163" t="str">
        <f t="shared" si="23"/>
        <v/>
      </c>
      <c r="I132" s="430" t="str">
        <f t="shared" si="20"/>
        <v/>
      </c>
      <c r="L132" s="455">
        <v>1792</v>
      </c>
      <c r="M132" s="453">
        <v>0.58333333333333337</v>
      </c>
      <c r="N132" s="446"/>
      <c r="O132" s="447">
        <v>138</v>
      </c>
      <c r="P132" s="453">
        <v>0.28125</v>
      </c>
      <c r="AB132" s="441">
        <f t="shared" si="11"/>
        <v>2458</v>
      </c>
      <c r="AC132" s="440">
        <f t="shared" si="12"/>
        <v>0.70833333333333304</v>
      </c>
      <c r="AD132" s="441">
        <f t="shared" si="13"/>
        <v>153</v>
      </c>
      <c r="AE132" s="440">
        <f t="shared" si="14"/>
        <v>0.70833333333333304</v>
      </c>
    </row>
    <row r="133" spans="1:31" ht="12.75" customHeight="1" x14ac:dyDescent="0.25">
      <c r="A133" s="429">
        <v>0.71875</v>
      </c>
      <c r="B133" s="439">
        <f>'Warrant 2'!F83</f>
        <v>2332</v>
      </c>
      <c r="C133" s="439">
        <f>'Warrant 2'!I83+'Warrant 4'!C76</f>
        <v>158</v>
      </c>
      <c r="D133" s="163">
        <f t="shared" si="21"/>
        <v>1</v>
      </c>
      <c r="E133" s="163" t="str">
        <f t="shared" si="18"/>
        <v/>
      </c>
      <c r="F133" s="163">
        <f t="shared" si="22"/>
        <v>1</v>
      </c>
      <c r="G133" s="163">
        <f t="shared" si="19"/>
        <v>1</v>
      </c>
      <c r="H133" s="163">
        <f t="shared" si="23"/>
        <v>1</v>
      </c>
      <c r="I133" s="430" t="str">
        <f t="shared" si="20"/>
        <v/>
      </c>
      <c r="L133" s="455">
        <v>1758</v>
      </c>
      <c r="M133" s="453">
        <v>0.51041666666666663</v>
      </c>
      <c r="N133" s="446"/>
      <c r="O133" s="447">
        <v>136</v>
      </c>
      <c r="P133" s="453">
        <v>0.39583333333333331</v>
      </c>
      <c r="AB133" s="441">
        <f t="shared" si="11"/>
        <v>2332</v>
      </c>
      <c r="AC133" s="440">
        <f t="shared" si="12"/>
        <v>0.71875</v>
      </c>
      <c r="AD133" s="441">
        <f t="shared" si="13"/>
        <v>158</v>
      </c>
      <c r="AE133" s="440">
        <f t="shared" si="14"/>
        <v>0.71875</v>
      </c>
    </row>
    <row r="134" spans="1:31" ht="12.75" customHeight="1" x14ac:dyDescent="0.25">
      <c r="A134" s="429">
        <v>0.72916666666666696</v>
      </c>
      <c r="B134" s="439">
        <f>'Warrant 2'!F84</f>
        <v>2162</v>
      </c>
      <c r="C134" s="439">
        <f>'Warrant 2'!I84+'Warrant 4'!C77</f>
        <v>145</v>
      </c>
      <c r="D134" s="163" t="str">
        <f t="shared" si="21"/>
        <v/>
      </c>
      <c r="E134" s="163" t="str">
        <f t="shared" si="18"/>
        <v/>
      </c>
      <c r="F134" s="163" t="str">
        <f t="shared" si="22"/>
        <v/>
      </c>
      <c r="G134" s="163" t="str">
        <f t="shared" si="19"/>
        <v/>
      </c>
      <c r="H134" s="163" t="str">
        <f t="shared" si="23"/>
        <v/>
      </c>
      <c r="I134" s="430" t="str">
        <f t="shared" si="20"/>
        <v/>
      </c>
      <c r="L134" s="455">
        <v>1752</v>
      </c>
      <c r="M134" s="453">
        <v>0.48958333333333331</v>
      </c>
      <c r="N134" s="446"/>
      <c r="O134" s="447"/>
      <c r="P134" s="453">
        <v>0.44791666666666669</v>
      </c>
      <c r="AB134" s="441">
        <f t="shared" si="11"/>
        <v>2162</v>
      </c>
      <c r="AC134" s="440">
        <f t="shared" si="12"/>
        <v>0.72916666666666696</v>
      </c>
      <c r="AD134" s="441">
        <f t="shared" si="13"/>
        <v>145</v>
      </c>
      <c r="AE134" s="440">
        <f t="shared" si="14"/>
        <v>0.72916666666666696</v>
      </c>
    </row>
    <row r="135" spans="1:31" ht="12.75" customHeight="1" x14ac:dyDescent="0.25">
      <c r="A135" s="429">
        <v>0.73958333333333304</v>
      </c>
      <c r="B135" s="439">
        <f>'Warrant 2'!F85</f>
        <v>1974</v>
      </c>
      <c r="C135" s="439">
        <f>'Warrant 2'!I85+'Warrant 4'!C78</f>
        <v>132</v>
      </c>
      <c r="D135" s="163" t="str">
        <f t="shared" si="21"/>
        <v/>
      </c>
      <c r="E135" s="163" t="str">
        <f t="shared" si="18"/>
        <v/>
      </c>
      <c r="F135" s="163" t="str">
        <f t="shared" si="22"/>
        <v/>
      </c>
      <c r="G135" s="163" t="str">
        <f t="shared" si="19"/>
        <v/>
      </c>
      <c r="H135" s="163" t="str">
        <f t="shared" si="23"/>
        <v/>
      </c>
      <c r="I135" s="430" t="str">
        <f t="shared" si="20"/>
        <v/>
      </c>
      <c r="L135" s="455"/>
      <c r="M135" s="453">
        <v>0.5</v>
      </c>
      <c r="N135" s="446"/>
      <c r="O135" s="447"/>
      <c r="P135" s="453">
        <v>0.53125</v>
      </c>
      <c r="AB135" s="441">
        <f t="shared" si="11"/>
        <v>1974</v>
      </c>
      <c r="AC135" s="440">
        <f t="shared" si="12"/>
        <v>0.73958333333333304</v>
      </c>
      <c r="AD135" s="441">
        <f t="shared" si="13"/>
        <v>132</v>
      </c>
      <c r="AE135" s="440">
        <f t="shared" si="14"/>
        <v>0.73958333333333304</v>
      </c>
    </row>
    <row r="136" spans="1:31" ht="12.75" customHeight="1" x14ac:dyDescent="0.25">
      <c r="A136" s="429">
        <v>0.75</v>
      </c>
      <c r="B136" s="439">
        <f>'Warrant 2'!F86</f>
        <v>1812</v>
      </c>
      <c r="C136" s="439">
        <f>'Warrant 2'!I86+'Warrant 4'!C79</f>
        <v>111</v>
      </c>
      <c r="D136" s="163" t="str">
        <f t="shared" si="21"/>
        <v/>
      </c>
      <c r="E136" s="163" t="str">
        <f t="shared" si="18"/>
        <v/>
      </c>
      <c r="F136" s="163" t="str">
        <f t="shared" si="22"/>
        <v/>
      </c>
      <c r="G136" s="163" t="str">
        <f t="shared" si="19"/>
        <v/>
      </c>
      <c r="H136" s="163" t="str">
        <f t="shared" si="23"/>
        <v/>
      </c>
      <c r="I136" s="430" t="str">
        <f t="shared" si="20"/>
        <v/>
      </c>
      <c r="L136" s="455">
        <v>1740</v>
      </c>
      <c r="M136" s="453">
        <v>0.47916666666666669</v>
      </c>
      <c r="N136" s="446"/>
      <c r="O136" s="447">
        <v>134</v>
      </c>
      <c r="P136" s="453">
        <v>0.54166666666666663</v>
      </c>
      <c r="AB136" s="441">
        <f t="shared" si="11"/>
        <v>1812</v>
      </c>
      <c r="AC136" s="440">
        <f t="shared" si="12"/>
        <v>0.75</v>
      </c>
      <c r="AD136" s="441">
        <f t="shared" si="13"/>
        <v>111</v>
      </c>
      <c r="AE136" s="440">
        <f t="shared" si="14"/>
        <v>0.75</v>
      </c>
    </row>
    <row r="137" spans="1:31" ht="12.75" customHeight="1" x14ac:dyDescent="0.25">
      <c r="A137" s="429">
        <v>0.76041666666666696</v>
      </c>
      <c r="B137" s="439">
        <f>'Warrant 2'!F87</f>
        <v>1320</v>
      </c>
      <c r="C137" s="439">
        <f>'Warrant 2'!I87+'Warrant 4'!C80</f>
        <v>69</v>
      </c>
      <c r="D137" s="163">
        <f t="shared" si="21"/>
        <v>1</v>
      </c>
      <c r="E137" s="163" t="str">
        <f t="shared" si="18"/>
        <v/>
      </c>
      <c r="F137" s="163">
        <f t="shared" si="22"/>
        <v>1</v>
      </c>
      <c r="G137" s="163" t="str">
        <f t="shared" si="19"/>
        <v/>
      </c>
      <c r="H137" s="163">
        <f t="shared" si="23"/>
        <v>1</v>
      </c>
      <c r="I137" s="430" t="str">
        <f t="shared" si="20"/>
        <v/>
      </c>
      <c r="L137" s="455">
        <v>1724</v>
      </c>
      <c r="M137" s="453">
        <v>0.36458333333333331</v>
      </c>
      <c r="N137" s="446"/>
      <c r="O137" s="447">
        <v>133</v>
      </c>
      <c r="P137" s="453">
        <v>0.4375</v>
      </c>
      <c r="AB137" s="441">
        <f t="shared" si="11"/>
        <v>1320</v>
      </c>
      <c r="AC137" s="440">
        <f t="shared" si="12"/>
        <v>0.76041666666666696</v>
      </c>
      <c r="AD137" s="441">
        <f t="shared" si="13"/>
        <v>69</v>
      </c>
      <c r="AE137" s="440">
        <f t="shared" si="14"/>
        <v>0.76041666666666696</v>
      </c>
    </row>
    <row r="138" spans="1:31" ht="12.75" customHeight="1" x14ac:dyDescent="0.25">
      <c r="A138" s="429">
        <v>0.77083333333333304</v>
      </c>
      <c r="B138" s="439">
        <f>'Warrant 2'!F88</f>
        <v>871</v>
      </c>
      <c r="C138" s="439">
        <f>'Warrant 2'!I88+'Warrant 4'!C81</f>
        <v>36</v>
      </c>
      <c r="D138" s="163" t="str">
        <f t="shared" si="21"/>
        <v/>
      </c>
      <c r="E138" s="163" t="str">
        <f t="shared" si="18"/>
        <v/>
      </c>
      <c r="F138" s="163" t="str">
        <f t="shared" si="22"/>
        <v/>
      </c>
      <c r="G138" s="163" t="str">
        <f t="shared" si="19"/>
        <v/>
      </c>
      <c r="H138" s="163" t="str">
        <f t="shared" si="23"/>
        <v/>
      </c>
      <c r="I138" s="430" t="str">
        <f t="shared" si="20"/>
        <v/>
      </c>
      <c r="L138" s="455">
        <v>1723</v>
      </c>
      <c r="M138" s="453">
        <v>0.57291666666666663</v>
      </c>
      <c r="N138" s="446"/>
      <c r="O138" s="447"/>
      <c r="P138" s="453">
        <v>0.5625</v>
      </c>
      <c r="AB138" s="441">
        <f t="shared" si="11"/>
        <v>871</v>
      </c>
      <c r="AC138" s="440">
        <f t="shared" si="12"/>
        <v>0.77083333333333304</v>
      </c>
      <c r="AD138" s="441">
        <f t="shared" si="13"/>
        <v>36</v>
      </c>
      <c r="AE138" s="440">
        <f t="shared" si="14"/>
        <v>0.77083333333333304</v>
      </c>
    </row>
    <row r="139" spans="1:31" ht="12.75" customHeight="1" x14ac:dyDescent="0.25">
      <c r="A139" s="429">
        <v>0.78125</v>
      </c>
      <c r="B139" s="439">
        <f>'Warrant 2'!F89</f>
        <v>428</v>
      </c>
      <c r="C139" s="439">
        <f>'Warrant 2'!I89+'Warrant 4'!C82</f>
        <v>15</v>
      </c>
      <c r="D139" s="163" t="str">
        <f t="shared" si="21"/>
        <v/>
      </c>
      <c r="E139" s="163" t="str">
        <f t="shared" si="18"/>
        <v/>
      </c>
      <c r="F139" s="163" t="str">
        <f t="shared" si="22"/>
        <v/>
      </c>
      <c r="G139" s="163" t="str">
        <f t="shared" si="19"/>
        <v/>
      </c>
      <c r="H139" s="163" t="str">
        <f t="shared" si="23"/>
        <v/>
      </c>
      <c r="I139" s="430" t="str">
        <f t="shared" si="20"/>
        <v/>
      </c>
      <c r="L139" s="455">
        <v>1710</v>
      </c>
      <c r="M139" s="453">
        <v>0.46875</v>
      </c>
      <c r="N139" s="446"/>
      <c r="O139" s="447">
        <v>132</v>
      </c>
      <c r="P139" s="453">
        <v>0.52083333333333337</v>
      </c>
      <c r="AB139" s="441">
        <f t="shared" si="11"/>
        <v>428</v>
      </c>
      <c r="AC139" s="440">
        <f t="shared" si="12"/>
        <v>0.78125</v>
      </c>
      <c r="AD139" s="441">
        <f t="shared" si="13"/>
        <v>15</v>
      </c>
      <c r="AE139" s="440">
        <f t="shared" si="14"/>
        <v>0.78125</v>
      </c>
    </row>
    <row r="140" spans="1:31" ht="12.75" customHeight="1" x14ac:dyDescent="0.25">
      <c r="A140" s="429">
        <v>0.79166666666666696</v>
      </c>
      <c r="B140" s="439">
        <f>'Warrant 2'!F90</f>
        <v>0</v>
      </c>
      <c r="C140" s="439">
        <f>'Warrant 2'!I90+'Warrant 4'!C83</f>
        <v>0</v>
      </c>
      <c r="D140" s="163" t="str">
        <f t="shared" si="21"/>
        <v/>
      </c>
      <c r="E140" s="163" t="str">
        <f t="shared" si="18"/>
        <v/>
      </c>
      <c r="F140" s="163" t="str">
        <f t="shared" si="22"/>
        <v/>
      </c>
      <c r="G140" s="163" t="str">
        <f t="shared" si="19"/>
        <v/>
      </c>
      <c r="H140" s="163" t="str">
        <f t="shared" si="23"/>
        <v/>
      </c>
      <c r="I140" s="430" t="str">
        <f t="shared" si="20"/>
        <v/>
      </c>
      <c r="L140" s="455">
        <v>1709</v>
      </c>
      <c r="M140" s="453">
        <v>0.52083333333333337</v>
      </c>
      <c r="N140" s="446"/>
      <c r="O140" s="447"/>
      <c r="P140" s="453">
        <v>0.59375</v>
      </c>
      <c r="AB140" s="441">
        <f t="shared" si="11"/>
        <v>0</v>
      </c>
      <c r="AC140" s="440">
        <f t="shared" si="12"/>
        <v>0.79166666666666696</v>
      </c>
      <c r="AD140" s="441">
        <f t="shared" si="13"/>
        <v>0</v>
      </c>
      <c r="AE140" s="440">
        <f t="shared" si="14"/>
        <v>0.79166666666666696</v>
      </c>
    </row>
    <row r="141" spans="1:31" ht="12.75" customHeight="1" x14ac:dyDescent="0.25">
      <c r="A141" s="429">
        <v>0.80208333333333304</v>
      </c>
      <c r="B141" s="439">
        <f>'Warrant 2'!F91</f>
        <v>0</v>
      </c>
      <c r="C141" s="439">
        <f>'Warrant 2'!I91+'Warrant 4'!C84</f>
        <v>0</v>
      </c>
      <c r="D141" s="163" t="str">
        <f t="shared" si="21"/>
        <v/>
      </c>
      <c r="E141" s="163" t="str">
        <f t="shared" si="18"/>
        <v/>
      </c>
      <c r="F141" s="163" t="str">
        <f t="shared" si="22"/>
        <v/>
      </c>
      <c r="G141" s="163" t="str">
        <f t="shared" si="19"/>
        <v/>
      </c>
      <c r="H141" s="163" t="str">
        <f t="shared" si="23"/>
        <v/>
      </c>
      <c r="I141" s="430" t="str">
        <f t="shared" si="20"/>
        <v/>
      </c>
      <c r="L141" s="455">
        <v>1678</v>
      </c>
      <c r="M141" s="453">
        <v>0.5625</v>
      </c>
      <c r="N141" s="446"/>
      <c r="O141" s="447"/>
      <c r="P141" s="453">
        <v>0.73958333333333337</v>
      </c>
      <c r="AB141" s="441">
        <f t="shared" si="11"/>
        <v>0</v>
      </c>
      <c r="AC141" s="440">
        <f t="shared" si="12"/>
        <v>0.80208333333333304</v>
      </c>
      <c r="AD141" s="441">
        <f t="shared" si="13"/>
        <v>0</v>
      </c>
      <c r="AE141" s="440">
        <f t="shared" si="14"/>
        <v>0.80208333333333304</v>
      </c>
    </row>
    <row r="142" spans="1:31" ht="12.75" customHeight="1" x14ac:dyDescent="0.25">
      <c r="A142" s="429">
        <v>0.8125</v>
      </c>
      <c r="B142" s="439">
        <f>'Warrant 2'!F92</f>
        <v>0</v>
      </c>
      <c r="C142" s="439">
        <f>'Warrant 2'!I92+'Warrant 4'!C85</f>
        <v>0</v>
      </c>
      <c r="D142" s="163" t="str">
        <f t="shared" si="21"/>
        <v/>
      </c>
      <c r="E142" s="163" t="str">
        <f t="shared" si="18"/>
        <v/>
      </c>
      <c r="F142" s="163" t="str">
        <f t="shared" si="22"/>
        <v/>
      </c>
      <c r="G142" s="163" t="str">
        <f t="shared" si="19"/>
        <v/>
      </c>
      <c r="H142" s="163" t="str">
        <f t="shared" si="23"/>
        <v/>
      </c>
      <c r="I142" s="430" t="str">
        <f t="shared" si="20"/>
        <v/>
      </c>
      <c r="L142" s="455">
        <v>1673</v>
      </c>
      <c r="M142" s="453">
        <v>0.45833333333333331</v>
      </c>
      <c r="N142" s="446"/>
      <c r="O142" s="447">
        <v>130</v>
      </c>
      <c r="P142" s="453">
        <v>0.61458333333333337</v>
      </c>
      <c r="AB142" s="441">
        <f t="shared" si="11"/>
        <v>0</v>
      </c>
      <c r="AC142" s="440">
        <f t="shared" si="12"/>
        <v>0.8125</v>
      </c>
      <c r="AD142" s="441">
        <f t="shared" si="13"/>
        <v>0</v>
      </c>
      <c r="AE142" s="440">
        <f t="shared" si="14"/>
        <v>0.8125</v>
      </c>
    </row>
    <row r="143" spans="1:31" ht="12.75" customHeight="1" x14ac:dyDescent="0.25">
      <c r="A143" s="429">
        <v>0.82291666666666696</v>
      </c>
      <c r="B143" s="439">
        <f>'Warrant 2'!F93</f>
        <v>0</v>
      </c>
      <c r="C143" s="439">
        <f>'Warrant 2'!I93+'Warrant 4'!C86</f>
        <v>0</v>
      </c>
      <c r="D143" s="163" t="str">
        <f t="shared" si="21"/>
        <v/>
      </c>
      <c r="E143" s="163" t="str">
        <f t="shared" si="18"/>
        <v/>
      </c>
      <c r="F143" s="163" t="str">
        <f t="shared" si="22"/>
        <v/>
      </c>
      <c r="G143" s="163" t="str">
        <f t="shared" si="19"/>
        <v/>
      </c>
      <c r="H143" s="163" t="str">
        <f t="shared" si="23"/>
        <v/>
      </c>
      <c r="I143" s="430" t="str">
        <f t="shared" si="20"/>
        <v/>
      </c>
      <c r="L143" s="455">
        <v>1665</v>
      </c>
      <c r="M143" s="453">
        <v>0.53125</v>
      </c>
      <c r="N143" s="446"/>
      <c r="O143" s="447">
        <v>128</v>
      </c>
      <c r="P143" s="453">
        <v>0.47916666666666669</v>
      </c>
      <c r="AB143" s="441">
        <f t="shared" si="11"/>
        <v>0</v>
      </c>
      <c r="AC143" s="440">
        <f t="shared" si="12"/>
        <v>0.82291666666666696</v>
      </c>
      <c r="AD143" s="441">
        <f t="shared" si="13"/>
        <v>0</v>
      </c>
      <c r="AE143" s="440">
        <f t="shared" si="14"/>
        <v>0.82291666666666696</v>
      </c>
    </row>
    <row r="144" spans="1:31" ht="12.75" customHeight="1" x14ac:dyDescent="0.25">
      <c r="A144" s="429">
        <v>0.83333333333333304</v>
      </c>
      <c r="B144" s="439">
        <f>'Warrant 2'!F94</f>
        <v>0</v>
      </c>
      <c r="C144" s="439">
        <f>'Warrant 2'!I94+'Warrant 4'!C87</f>
        <v>0</v>
      </c>
      <c r="D144" s="163" t="str">
        <f t="shared" si="21"/>
        <v/>
      </c>
      <c r="E144" s="163" t="str">
        <f t="shared" si="18"/>
        <v/>
      </c>
      <c r="F144" s="163" t="str">
        <f t="shared" si="22"/>
        <v/>
      </c>
      <c r="G144" s="163" t="str">
        <f t="shared" si="19"/>
        <v/>
      </c>
      <c r="H144" s="163" t="str">
        <f t="shared" si="23"/>
        <v/>
      </c>
      <c r="I144" s="430" t="str">
        <f t="shared" si="20"/>
        <v/>
      </c>
      <c r="L144" s="455">
        <v>1656</v>
      </c>
      <c r="M144" s="453">
        <v>0.55208333333333337</v>
      </c>
      <c r="N144" s="446"/>
      <c r="O144" s="447"/>
      <c r="P144" s="453">
        <v>0.55208333333333337</v>
      </c>
      <c r="AB144" s="441">
        <f t="shared" si="11"/>
        <v>0</v>
      </c>
      <c r="AC144" s="440">
        <f t="shared" si="12"/>
        <v>0.83333333333333304</v>
      </c>
      <c r="AD144" s="441">
        <f t="shared" si="13"/>
        <v>0</v>
      </c>
      <c r="AE144" s="440">
        <f t="shared" si="14"/>
        <v>0.83333333333333304</v>
      </c>
    </row>
    <row r="145" spans="1:31" ht="12.75" customHeight="1" x14ac:dyDescent="0.25">
      <c r="A145" s="429">
        <v>0.84375</v>
      </c>
      <c r="B145" s="439">
        <f>'Warrant 2'!F95</f>
        <v>0</v>
      </c>
      <c r="C145" s="439">
        <f>'Warrant 2'!I95+'Warrant 4'!C88</f>
        <v>0</v>
      </c>
      <c r="D145" s="163" t="str">
        <f t="shared" si="21"/>
        <v/>
      </c>
      <c r="E145" s="163" t="str">
        <f t="shared" si="18"/>
        <v/>
      </c>
      <c r="F145" s="163" t="str">
        <f t="shared" si="22"/>
        <v/>
      </c>
      <c r="G145" s="163" t="str">
        <f t="shared" si="19"/>
        <v/>
      </c>
      <c r="H145" s="163" t="str">
        <f t="shared" si="23"/>
        <v/>
      </c>
      <c r="I145" s="430" t="str">
        <f t="shared" si="20"/>
        <v/>
      </c>
      <c r="L145" s="455">
        <v>1651</v>
      </c>
      <c r="M145" s="453">
        <v>0.54166666666666663</v>
      </c>
      <c r="N145" s="446"/>
      <c r="O145" s="447">
        <v>127</v>
      </c>
      <c r="P145" s="453">
        <v>0.40625</v>
      </c>
      <c r="AB145" s="441">
        <f t="shared" si="11"/>
        <v>0</v>
      </c>
      <c r="AC145" s="440">
        <f t="shared" si="12"/>
        <v>0.84375</v>
      </c>
      <c r="AD145" s="441">
        <f t="shared" si="13"/>
        <v>0</v>
      </c>
      <c r="AE145" s="440">
        <f t="shared" si="14"/>
        <v>0.84375</v>
      </c>
    </row>
    <row r="146" spans="1:31" ht="12.75" customHeight="1" x14ac:dyDescent="0.25">
      <c r="A146" s="429">
        <v>0.85416666666666696</v>
      </c>
      <c r="B146" s="439">
        <f>'Warrant 2'!F96</f>
        <v>0</v>
      </c>
      <c r="C146" s="439">
        <f>'Warrant 2'!I96+'Warrant 4'!C89</f>
        <v>0</v>
      </c>
      <c r="D146" s="163" t="str">
        <f t="shared" si="21"/>
        <v/>
      </c>
      <c r="E146" s="163" t="str">
        <f t="shared" si="18"/>
        <v/>
      </c>
      <c r="F146" s="163" t="str">
        <f t="shared" si="22"/>
        <v/>
      </c>
      <c r="G146" s="163" t="str">
        <f t="shared" si="19"/>
        <v/>
      </c>
      <c r="H146" s="163" t="str">
        <f t="shared" si="23"/>
        <v/>
      </c>
      <c r="I146" s="430" t="str">
        <f t="shared" si="20"/>
        <v/>
      </c>
      <c r="L146" s="455">
        <v>1603</v>
      </c>
      <c r="M146" s="453">
        <v>0.38541666666666669</v>
      </c>
      <c r="N146" s="446"/>
      <c r="O146" s="447"/>
      <c r="P146" s="453">
        <v>0.57291666666666663</v>
      </c>
      <c r="AB146" s="441">
        <f t="shared" si="11"/>
        <v>0</v>
      </c>
      <c r="AC146" s="440">
        <f t="shared" si="12"/>
        <v>0.85416666666666696</v>
      </c>
      <c r="AD146" s="441">
        <f t="shared" si="13"/>
        <v>0</v>
      </c>
      <c r="AE146" s="440">
        <f t="shared" si="14"/>
        <v>0.85416666666666696</v>
      </c>
    </row>
    <row r="147" spans="1:31" ht="12.75" customHeight="1" x14ac:dyDescent="0.25">
      <c r="A147" s="429">
        <v>0.86458333333333304</v>
      </c>
      <c r="B147" s="439">
        <f>'Warrant 2'!F97</f>
        <v>0</v>
      </c>
      <c r="C147" s="439">
        <f>'Warrant 2'!I97+'Warrant 4'!C90</f>
        <v>0</v>
      </c>
      <c r="D147" s="163" t="str">
        <f t="shared" si="21"/>
        <v/>
      </c>
      <c r="E147" s="163" t="str">
        <f t="shared" si="18"/>
        <v/>
      </c>
      <c r="F147" s="163" t="str">
        <f t="shared" si="22"/>
        <v/>
      </c>
      <c r="G147" s="163" t="str">
        <f t="shared" si="19"/>
        <v/>
      </c>
      <c r="H147" s="163" t="str">
        <f t="shared" si="23"/>
        <v/>
      </c>
      <c r="I147" s="430" t="str">
        <f t="shared" si="20"/>
        <v/>
      </c>
      <c r="L147" s="455">
        <v>1602</v>
      </c>
      <c r="M147" s="453">
        <v>0.44791666666666669</v>
      </c>
      <c r="N147" s="446"/>
      <c r="O147" s="447">
        <v>125</v>
      </c>
      <c r="P147" s="453">
        <v>0.42708333333333331</v>
      </c>
      <c r="AB147" s="441">
        <f t="shared" si="11"/>
        <v>0</v>
      </c>
      <c r="AC147" s="440">
        <f t="shared" si="12"/>
        <v>0.86458333333333304</v>
      </c>
      <c r="AD147" s="441">
        <f t="shared" si="13"/>
        <v>0</v>
      </c>
      <c r="AE147" s="440">
        <f t="shared" si="14"/>
        <v>0.86458333333333304</v>
      </c>
    </row>
    <row r="148" spans="1:31" ht="12.75" customHeight="1" x14ac:dyDescent="0.25">
      <c r="A148" s="429">
        <v>0.875</v>
      </c>
      <c r="B148" s="439">
        <f>'Warrant 2'!F98</f>
        <v>0</v>
      </c>
      <c r="C148" s="439">
        <f>'Warrant 2'!I98+'Warrant 4'!C91</f>
        <v>0</v>
      </c>
      <c r="D148" s="163" t="str">
        <f t="shared" si="21"/>
        <v/>
      </c>
      <c r="E148" s="163" t="str">
        <f t="shared" si="18"/>
        <v/>
      </c>
      <c r="F148" s="163" t="str">
        <f t="shared" si="22"/>
        <v/>
      </c>
      <c r="G148" s="163" t="str">
        <f t="shared" si="19"/>
        <v/>
      </c>
      <c r="H148" s="163" t="str">
        <f t="shared" si="23"/>
        <v/>
      </c>
      <c r="I148" s="430" t="str">
        <f t="shared" si="20"/>
        <v/>
      </c>
      <c r="L148" s="455">
        <v>1575</v>
      </c>
      <c r="M148" s="453">
        <v>0.375</v>
      </c>
      <c r="N148" s="446"/>
      <c r="O148" s="447">
        <v>124</v>
      </c>
      <c r="P148" s="453">
        <v>0.41666666666666669</v>
      </c>
      <c r="AB148" s="441">
        <f t="shared" si="11"/>
        <v>0</v>
      </c>
      <c r="AC148" s="440">
        <f t="shared" si="12"/>
        <v>0.875</v>
      </c>
      <c r="AD148" s="441">
        <f t="shared" si="13"/>
        <v>0</v>
      </c>
      <c r="AE148" s="440">
        <f t="shared" si="14"/>
        <v>0.875</v>
      </c>
    </row>
    <row r="149" spans="1:31" ht="12.75" customHeight="1" x14ac:dyDescent="0.25">
      <c r="A149" s="429">
        <v>0.88541666666666696</v>
      </c>
      <c r="B149" s="439">
        <f>'Warrant 2'!F99</f>
        <v>0</v>
      </c>
      <c r="C149" s="439">
        <f>'Warrant 2'!I99+'Warrant 4'!C92</f>
        <v>0</v>
      </c>
      <c r="D149" s="163" t="str">
        <f t="shared" si="21"/>
        <v/>
      </c>
      <c r="E149" s="163" t="str">
        <f t="shared" si="18"/>
        <v/>
      </c>
      <c r="F149" s="163" t="str">
        <f t="shared" si="22"/>
        <v/>
      </c>
      <c r="G149" s="163" t="str">
        <f t="shared" si="19"/>
        <v/>
      </c>
      <c r="H149" s="163" t="str">
        <f t="shared" si="23"/>
        <v/>
      </c>
      <c r="I149" s="430" t="str">
        <f t="shared" si="20"/>
        <v/>
      </c>
      <c r="L149" s="455">
        <v>1574</v>
      </c>
      <c r="M149" s="453">
        <v>0.28125</v>
      </c>
      <c r="N149" s="446"/>
      <c r="O149" s="447"/>
      <c r="P149" s="453">
        <v>0.48958333333333331</v>
      </c>
      <c r="AB149" s="441">
        <f t="shared" si="11"/>
        <v>0</v>
      </c>
      <c r="AC149" s="440">
        <f t="shared" si="12"/>
        <v>0.88541666666666696</v>
      </c>
      <c r="AD149" s="441">
        <f t="shared" si="13"/>
        <v>0</v>
      </c>
      <c r="AE149" s="440">
        <f t="shared" si="14"/>
        <v>0.88541666666666696</v>
      </c>
    </row>
    <row r="150" spans="1:31" ht="12.75" customHeight="1" x14ac:dyDescent="0.25">
      <c r="A150" s="429">
        <v>0.89583333333333304</v>
      </c>
      <c r="B150" s="439">
        <f>'Warrant 2'!F100</f>
        <v>0</v>
      </c>
      <c r="C150" s="439">
        <f>'Warrant 2'!I100+'Warrant 4'!C93</f>
        <v>0</v>
      </c>
      <c r="D150" s="163" t="str">
        <f t="shared" si="21"/>
        <v/>
      </c>
      <c r="E150" s="163" t="str">
        <f t="shared" si="18"/>
        <v/>
      </c>
      <c r="F150" s="163" t="str">
        <f t="shared" si="22"/>
        <v/>
      </c>
      <c r="G150" s="163" t="str">
        <f t="shared" si="19"/>
        <v/>
      </c>
      <c r="H150" s="163" t="str">
        <f t="shared" si="23"/>
        <v/>
      </c>
      <c r="I150" s="430" t="str">
        <f t="shared" si="20"/>
        <v/>
      </c>
      <c r="L150" s="455">
        <v>1573</v>
      </c>
      <c r="M150" s="453">
        <v>0.39583333333333331</v>
      </c>
      <c r="N150" s="446"/>
      <c r="O150" s="447">
        <v>122</v>
      </c>
      <c r="P150" s="453">
        <v>0.60416666666666663</v>
      </c>
      <c r="AB150" s="441">
        <f t="shared" si="11"/>
        <v>0</v>
      </c>
      <c r="AC150" s="440">
        <f t="shared" si="12"/>
        <v>0.89583333333333304</v>
      </c>
      <c r="AD150" s="441">
        <f t="shared" si="13"/>
        <v>0</v>
      </c>
      <c r="AE150" s="440">
        <f t="shared" si="14"/>
        <v>0.89583333333333304</v>
      </c>
    </row>
    <row r="151" spans="1:31" ht="12.75" customHeight="1" x14ac:dyDescent="0.25">
      <c r="A151" s="429">
        <v>0.90625</v>
      </c>
      <c r="B151" s="439">
        <f>'Warrant 2'!F101</f>
        <v>0</v>
      </c>
      <c r="C151" s="439">
        <f>'Warrant 2'!I101+'Warrant 4'!C94</f>
        <v>0</v>
      </c>
      <c r="D151" s="163" t="str">
        <f t="shared" si="21"/>
        <v/>
      </c>
      <c r="E151" s="163" t="str">
        <f t="shared" si="18"/>
        <v/>
      </c>
      <c r="F151" s="163" t="str">
        <f t="shared" si="22"/>
        <v/>
      </c>
      <c r="G151" s="163" t="str">
        <f t="shared" si="19"/>
        <v/>
      </c>
      <c r="H151" s="163" t="str">
        <f t="shared" si="23"/>
        <v/>
      </c>
      <c r="I151" s="430" t="str">
        <f t="shared" si="20"/>
        <v/>
      </c>
      <c r="L151" s="455">
        <v>1533</v>
      </c>
      <c r="M151" s="453">
        <v>0.40625</v>
      </c>
      <c r="N151" s="446"/>
      <c r="O151" s="447">
        <v>120</v>
      </c>
      <c r="P151" s="453">
        <v>0.5</v>
      </c>
      <c r="AB151" s="441">
        <f t="shared" si="11"/>
        <v>0</v>
      </c>
      <c r="AC151" s="440">
        <f t="shared" si="12"/>
        <v>0.90625</v>
      </c>
      <c r="AD151" s="441">
        <f t="shared" si="13"/>
        <v>0</v>
      </c>
      <c r="AE151" s="440">
        <f t="shared" si="14"/>
        <v>0.90625</v>
      </c>
    </row>
    <row r="152" spans="1:31" ht="12.75" customHeight="1" x14ac:dyDescent="0.25">
      <c r="A152" s="429">
        <v>0.91666666666666696</v>
      </c>
      <c r="B152" s="439">
        <f>'Warrant 2'!F102</f>
        <v>0</v>
      </c>
      <c r="C152" s="439">
        <f>'Warrant 2'!I102+'Warrant 4'!C95</f>
        <v>0</v>
      </c>
      <c r="D152" s="163" t="str">
        <f t="shared" si="21"/>
        <v/>
      </c>
      <c r="E152" s="163" t="str">
        <f t="shared" si="18"/>
        <v/>
      </c>
      <c r="F152" s="163" t="str">
        <f t="shared" si="22"/>
        <v/>
      </c>
      <c r="G152" s="163" t="str">
        <f t="shared" si="19"/>
        <v/>
      </c>
      <c r="H152" s="163" t="str">
        <f t="shared" si="23"/>
        <v/>
      </c>
      <c r="I152" s="430" t="str">
        <f t="shared" si="20"/>
        <v/>
      </c>
      <c r="L152" s="455">
        <v>1532</v>
      </c>
      <c r="M152" s="453">
        <v>0.4375</v>
      </c>
      <c r="N152" s="446"/>
      <c r="O152" s="447">
        <v>119</v>
      </c>
      <c r="P152" s="453">
        <v>0.51041666666666663</v>
      </c>
      <c r="AB152" s="441">
        <f t="shared" si="11"/>
        <v>0</v>
      </c>
      <c r="AC152" s="440">
        <f t="shared" si="12"/>
        <v>0.91666666666666696</v>
      </c>
      <c r="AD152" s="441">
        <f t="shared" si="13"/>
        <v>0</v>
      </c>
      <c r="AE152" s="440">
        <f t="shared" si="14"/>
        <v>0.91666666666666696</v>
      </c>
    </row>
    <row r="153" spans="1:31" ht="12.75" customHeight="1" x14ac:dyDescent="0.25">
      <c r="A153" s="429">
        <v>0.92708333333333304</v>
      </c>
      <c r="B153" s="439">
        <f>'Warrant 2'!F103</f>
        <v>0</v>
      </c>
      <c r="C153" s="439">
        <f>'Warrant 2'!I103+'Warrant 4'!C96</f>
        <v>0</v>
      </c>
      <c r="D153" s="163" t="str">
        <f t="shared" si="21"/>
        <v/>
      </c>
      <c r="E153" s="163" t="str">
        <f t="shared" si="18"/>
        <v/>
      </c>
      <c r="F153" s="163" t="str">
        <f t="shared" si="22"/>
        <v/>
      </c>
      <c r="G153" s="163" t="str">
        <f t="shared" si="19"/>
        <v/>
      </c>
      <c r="H153" s="163" t="str">
        <f t="shared" si="23"/>
        <v/>
      </c>
      <c r="I153" s="430" t="str">
        <f t="shared" si="20"/>
        <v/>
      </c>
      <c r="L153" s="455">
        <v>1529</v>
      </c>
      <c r="M153" s="453">
        <v>0.41666666666666669</v>
      </c>
      <c r="N153" s="446"/>
      <c r="O153" s="447"/>
      <c r="P153" s="453">
        <v>0.58333333333333337</v>
      </c>
      <c r="AB153" s="441">
        <f t="shared" ref="AB153:AB159" si="24">B153</f>
        <v>0</v>
      </c>
      <c r="AC153" s="440">
        <f t="shared" ref="AC153:AC159" si="25">A153</f>
        <v>0.92708333333333304</v>
      </c>
      <c r="AD153" s="441">
        <f t="shared" ref="AD153:AD159" si="26">C153</f>
        <v>0</v>
      </c>
      <c r="AE153" s="440">
        <f t="shared" ref="AE153:AE159" si="27">A153</f>
        <v>0.92708333333333304</v>
      </c>
    </row>
    <row r="154" spans="1:31" ht="12.75" customHeight="1" x14ac:dyDescent="0.25">
      <c r="A154" s="429">
        <v>0.9375</v>
      </c>
      <c r="B154" s="439">
        <f>'Warrant 2'!F104</f>
        <v>0</v>
      </c>
      <c r="C154" s="439">
        <f>'Warrant 2'!I104+'Warrant 4'!C97</f>
        <v>0</v>
      </c>
      <c r="D154" s="163" t="str">
        <f t="shared" si="21"/>
        <v/>
      </c>
      <c r="E154" s="163" t="str">
        <f t="shared" si="18"/>
        <v/>
      </c>
      <c r="F154" s="163" t="str">
        <f t="shared" si="22"/>
        <v/>
      </c>
      <c r="G154" s="163" t="str">
        <f t="shared" si="19"/>
        <v/>
      </c>
      <c r="H154" s="163" t="str">
        <f t="shared" si="23"/>
        <v/>
      </c>
      <c r="I154" s="430" t="str">
        <f t="shared" si="20"/>
        <v/>
      </c>
      <c r="L154" s="455">
        <v>1509</v>
      </c>
      <c r="M154" s="453">
        <v>0.42708333333333331</v>
      </c>
      <c r="N154" s="446"/>
      <c r="O154" s="447">
        <v>111</v>
      </c>
      <c r="P154" s="453">
        <v>0.75</v>
      </c>
      <c r="AB154" s="441">
        <f t="shared" si="24"/>
        <v>0</v>
      </c>
      <c r="AC154" s="440">
        <f t="shared" si="25"/>
        <v>0.9375</v>
      </c>
      <c r="AD154" s="441">
        <f t="shared" si="26"/>
        <v>0</v>
      </c>
      <c r="AE154" s="440">
        <f t="shared" si="27"/>
        <v>0.9375</v>
      </c>
    </row>
    <row r="155" spans="1:31" ht="12.75" customHeight="1" x14ac:dyDescent="0.25">
      <c r="A155" s="429">
        <v>0.94791666666666696</v>
      </c>
      <c r="B155" s="439">
        <f>'Warrant 2'!F105</f>
        <v>0</v>
      </c>
      <c r="C155" s="439">
        <f>'Warrant 2'!I105+'Warrant 4'!C98</f>
        <v>0</v>
      </c>
      <c r="D155" s="163" t="str">
        <f t="shared" si="21"/>
        <v/>
      </c>
      <c r="E155" s="163" t="str">
        <f t="shared" si="18"/>
        <v/>
      </c>
      <c r="F155" s="163" t="str">
        <f t="shared" si="22"/>
        <v/>
      </c>
      <c r="G155" s="163" t="str">
        <f t="shared" si="19"/>
        <v/>
      </c>
      <c r="H155" s="163" t="str">
        <f t="shared" si="23"/>
        <v/>
      </c>
      <c r="I155" s="430" t="str">
        <f t="shared" si="20"/>
        <v/>
      </c>
      <c r="L155" s="455">
        <v>1320</v>
      </c>
      <c r="M155" s="453">
        <v>0.76041666666666663</v>
      </c>
      <c r="N155" s="446"/>
      <c r="O155" s="447">
        <v>73</v>
      </c>
      <c r="P155" s="453">
        <v>0.27083333333333331</v>
      </c>
      <c r="AB155" s="441">
        <f t="shared" si="24"/>
        <v>0</v>
      </c>
      <c r="AC155" s="440">
        <f t="shared" si="25"/>
        <v>0.94791666666666696</v>
      </c>
      <c r="AD155" s="441">
        <f t="shared" si="26"/>
        <v>0</v>
      </c>
      <c r="AE155" s="440">
        <f t="shared" si="27"/>
        <v>0.94791666666666696</v>
      </c>
    </row>
    <row r="156" spans="1:31" ht="12.75" customHeight="1" thickBot="1" x14ac:dyDescent="0.3">
      <c r="A156" s="429">
        <v>0.95833333333333304</v>
      </c>
      <c r="B156" s="439">
        <f>'Warrant 2'!F106</f>
        <v>0</v>
      </c>
      <c r="C156" s="439">
        <f>'Warrant 2'!I106+'Warrant 4'!C99</f>
        <v>0</v>
      </c>
      <c r="D156" s="163" t="str">
        <f t="shared" si="21"/>
        <v/>
      </c>
      <c r="E156" s="163" t="str">
        <f t="shared" si="18"/>
        <v/>
      </c>
      <c r="F156" s="163" t="str">
        <f t="shared" si="22"/>
        <v/>
      </c>
      <c r="G156" s="163" t="str">
        <f t="shared" si="19"/>
        <v/>
      </c>
      <c r="H156" s="163" t="str">
        <f t="shared" si="23"/>
        <v/>
      </c>
      <c r="I156" s="430" t="str">
        <f t="shared" si="20"/>
        <v/>
      </c>
      <c r="L156" s="455">
        <v>1016</v>
      </c>
      <c r="M156" s="453">
        <v>0.27083333333333331</v>
      </c>
      <c r="N156" s="446"/>
      <c r="O156" s="447">
        <v>69</v>
      </c>
      <c r="P156" s="453">
        <v>0.76041666666666663</v>
      </c>
      <c r="AB156" s="441">
        <f t="shared" si="24"/>
        <v>0</v>
      </c>
      <c r="AC156" s="440">
        <f t="shared" si="25"/>
        <v>0.95833333333333304</v>
      </c>
      <c r="AD156" s="441">
        <f t="shared" si="26"/>
        <v>0</v>
      </c>
      <c r="AE156" s="440">
        <f t="shared" si="27"/>
        <v>0.95833333333333304</v>
      </c>
    </row>
    <row r="157" spans="1:31" ht="12.75" customHeight="1" thickBot="1" x14ac:dyDescent="0.3">
      <c r="A157" s="429">
        <v>0.96875</v>
      </c>
      <c r="B157" s="439">
        <f>'Warrant 2'!F107</f>
        <v>0</v>
      </c>
      <c r="C157" s="439">
        <f>'Warrant 2'!I107+'Warrant 4'!C100</f>
        <v>0</v>
      </c>
      <c r="D157" s="163" t="str">
        <f t="shared" si="21"/>
        <v/>
      </c>
      <c r="E157" s="163" t="str">
        <f t="shared" si="18"/>
        <v/>
      </c>
      <c r="F157" s="163" t="str">
        <f t="shared" si="22"/>
        <v/>
      </c>
      <c r="G157" s="163" t="str">
        <f t="shared" si="19"/>
        <v/>
      </c>
      <c r="H157" s="163" t="str">
        <f t="shared" si="23"/>
        <v/>
      </c>
      <c r="I157" s="430" t="str">
        <f t="shared" si="20"/>
        <v/>
      </c>
      <c r="L157" s="445">
        <v>871</v>
      </c>
      <c r="M157" s="453">
        <v>0.77083333333333337</v>
      </c>
      <c r="N157" s="446"/>
      <c r="O157" s="447">
        <v>36</v>
      </c>
      <c r="P157" s="454">
        <v>0.77083333333333337</v>
      </c>
      <c r="AB157" s="441">
        <f t="shared" si="24"/>
        <v>0</v>
      </c>
      <c r="AC157" s="440">
        <f t="shared" si="25"/>
        <v>0.96875</v>
      </c>
      <c r="AD157" s="441">
        <f t="shared" si="26"/>
        <v>0</v>
      </c>
      <c r="AE157" s="440">
        <f t="shared" si="27"/>
        <v>0.96875</v>
      </c>
    </row>
    <row r="158" spans="1:31" ht="12.75" customHeight="1" x14ac:dyDescent="0.25">
      <c r="A158" s="429">
        <v>0.97916666666666696</v>
      </c>
      <c r="B158" s="439">
        <f>'Warrant 2'!F108</f>
        <v>0</v>
      </c>
      <c r="C158" s="439">
        <f>'Warrant 2'!I108+'Warrant 4'!C101</f>
        <v>0</v>
      </c>
      <c r="D158" s="163" t="str">
        <f t="shared" si="21"/>
        <v/>
      </c>
      <c r="E158" s="163" t="str">
        <f t="shared" si="18"/>
        <v/>
      </c>
      <c r="F158" s="163" t="str">
        <f t="shared" si="22"/>
        <v/>
      </c>
      <c r="G158" s="163" t="str">
        <f t="shared" si="19"/>
        <v/>
      </c>
      <c r="H158" s="163" t="str">
        <f t="shared" si="23"/>
        <v/>
      </c>
      <c r="I158" s="430" t="str">
        <f t="shared" si="20"/>
        <v/>
      </c>
      <c r="L158" s="455">
        <v>455</v>
      </c>
      <c r="M158" s="453">
        <v>0.26041666666666669</v>
      </c>
      <c r="N158" s="446"/>
      <c r="O158" s="447">
        <v>31</v>
      </c>
      <c r="P158" s="453">
        <v>0.26041666666666669</v>
      </c>
      <c r="AB158" s="441">
        <f t="shared" si="24"/>
        <v>0</v>
      </c>
      <c r="AC158" s="440">
        <f t="shared" si="25"/>
        <v>0.97916666666666696</v>
      </c>
      <c r="AD158" s="441">
        <f t="shared" si="26"/>
        <v>0</v>
      </c>
      <c r="AE158" s="440">
        <f t="shared" si="27"/>
        <v>0.97916666666666696</v>
      </c>
    </row>
    <row r="159" spans="1:31" ht="12.75" customHeight="1" thickBot="1" x14ac:dyDescent="0.3">
      <c r="A159" s="429">
        <v>0.98958333333333304</v>
      </c>
      <c r="B159" s="439">
        <f>'Warrant 2'!F109</f>
        <v>0</v>
      </c>
      <c r="C159" s="439">
        <f>'Warrant 2'!I109+'Warrant 4'!C102</f>
        <v>0</v>
      </c>
      <c r="D159" s="163" t="str">
        <f t="shared" si="21"/>
        <v/>
      </c>
      <c r="E159" s="163" t="str">
        <f t="shared" si="18"/>
        <v/>
      </c>
      <c r="F159" s="163" t="str">
        <f t="shared" si="22"/>
        <v/>
      </c>
      <c r="G159" s="163" t="str">
        <f t="shared" si="19"/>
        <v/>
      </c>
      <c r="H159" s="163" t="str">
        <f t="shared" si="23"/>
        <v/>
      </c>
      <c r="I159" s="430" t="str">
        <f t="shared" si="20"/>
        <v/>
      </c>
      <c r="L159" s="455">
        <v>428</v>
      </c>
      <c r="M159" s="453">
        <v>0.78125</v>
      </c>
      <c r="N159" s="446"/>
      <c r="O159" s="447">
        <v>15</v>
      </c>
      <c r="P159" s="453">
        <v>0.78125</v>
      </c>
      <c r="AB159" s="441">
        <f t="shared" si="24"/>
        <v>0</v>
      </c>
      <c r="AC159" s="440">
        <f t="shared" si="25"/>
        <v>0.98958333333333304</v>
      </c>
      <c r="AD159" s="441">
        <f t="shared" si="26"/>
        <v>0</v>
      </c>
      <c r="AE159" s="440">
        <f t="shared" si="27"/>
        <v>0.98958333333333304</v>
      </c>
    </row>
    <row r="160" spans="1:31" ht="12.75" customHeight="1" thickBot="1" x14ac:dyDescent="0.3">
      <c r="A160" s="431" t="s">
        <v>15</v>
      </c>
      <c r="B160" s="169"/>
      <c r="C160" s="169"/>
      <c r="D160" s="401">
        <f>SUM(D63:D159)</f>
        <v>13</v>
      </c>
      <c r="E160" s="401">
        <f t="shared" ref="E160:I160" si="28">SUM(E63:E159)</f>
        <v>1</v>
      </c>
      <c r="F160" s="401">
        <f t="shared" si="28"/>
        <v>13</v>
      </c>
      <c r="G160" s="401">
        <f t="shared" si="28"/>
        <v>7</v>
      </c>
      <c r="H160" s="401">
        <f t="shared" si="28"/>
        <v>13</v>
      </c>
      <c r="I160" s="432">
        <f t="shared" si="28"/>
        <v>2</v>
      </c>
      <c r="L160" s="444">
        <v>0</v>
      </c>
      <c r="M160" s="453">
        <v>0.25</v>
      </c>
      <c r="N160" s="446"/>
      <c r="O160" s="447">
        <v>0</v>
      </c>
      <c r="P160" s="453">
        <v>0.25</v>
      </c>
    </row>
    <row r="161" spans="1:16" ht="12.75" customHeight="1" thickBot="1" x14ac:dyDescent="0.3">
      <c r="A161" s="433" t="s">
        <v>728</v>
      </c>
      <c r="B161" s="434"/>
      <c r="C161" s="434"/>
      <c r="D161" s="706" t="str">
        <f>IF(D160&gt;7,IF(E160&gt;7,"YES","NO"),"NO")</f>
        <v>NO</v>
      </c>
      <c r="E161" s="706"/>
      <c r="F161" s="706" t="str">
        <f>IF(F160&gt;7,IF(G160&gt;7,"YES","NO"),"NO")</f>
        <v>NO</v>
      </c>
      <c r="G161" s="706"/>
      <c r="H161" s="706" t="str">
        <f>IF(H160&gt;7,IF(I160&gt;7,"YES","NO"),"NO")</f>
        <v>NO</v>
      </c>
      <c r="I161" s="707"/>
      <c r="L161" s="447"/>
      <c r="M161" s="448">
        <v>0.79166666666666663</v>
      </c>
      <c r="N161" s="446"/>
      <c r="O161" s="447"/>
      <c r="P161" s="448">
        <v>0.79166666666666663</v>
      </c>
    </row>
    <row r="162" spans="1:16" x14ac:dyDescent="0.25">
      <c r="L162" s="447"/>
      <c r="M162" s="450">
        <v>0.80208333333333337</v>
      </c>
      <c r="N162" s="446"/>
      <c r="O162" s="447"/>
      <c r="P162" s="450">
        <v>0.80208333333333337</v>
      </c>
    </row>
    <row r="163" spans="1:16" x14ac:dyDescent="0.25">
      <c r="L163" s="447"/>
      <c r="M163" s="450">
        <v>0.8125</v>
      </c>
      <c r="N163" s="446"/>
      <c r="O163" s="447"/>
      <c r="P163" s="450">
        <v>0.8125</v>
      </c>
    </row>
    <row r="164" spans="1:16" x14ac:dyDescent="0.25">
      <c r="L164" s="447"/>
      <c r="M164" s="450">
        <v>0.82291666666666663</v>
      </c>
      <c r="N164" s="446"/>
      <c r="O164" s="447"/>
      <c r="P164" s="450">
        <v>0.82291666666666663</v>
      </c>
    </row>
    <row r="165" spans="1:16" x14ac:dyDescent="0.25">
      <c r="L165" s="447"/>
      <c r="M165" s="450">
        <v>0.83333333333333337</v>
      </c>
      <c r="N165" s="446"/>
      <c r="O165" s="447"/>
      <c r="P165" s="450">
        <v>0.83333333333333337</v>
      </c>
    </row>
    <row r="166" spans="1:16" x14ac:dyDescent="0.25">
      <c r="L166" s="447"/>
      <c r="M166" s="450">
        <v>0.84375</v>
      </c>
      <c r="N166" s="446"/>
      <c r="O166" s="447"/>
      <c r="P166" s="450">
        <v>0.84375</v>
      </c>
    </row>
    <row r="167" spans="1:16" x14ac:dyDescent="0.25">
      <c r="L167" s="447"/>
      <c r="M167" s="450">
        <v>0.85416666666666663</v>
      </c>
      <c r="N167" s="446"/>
      <c r="O167" s="447"/>
      <c r="P167" s="450">
        <v>0.85416666666666663</v>
      </c>
    </row>
    <row r="168" spans="1:16" x14ac:dyDescent="0.25">
      <c r="L168" s="447"/>
      <c r="M168" s="450">
        <v>0.86458333333333337</v>
      </c>
      <c r="N168" s="446"/>
      <c r="O168" s="447"/>
      <c r="P168" s="450">
        <v>0.86458333333333337</v>
      </c>
    </row>
    <row r="169" spans="1:16" x14ac:dyDescent="0.25">
      <c r="L169" s="447"/>
      <c r="M169" s="450">
        <v>0.875</v>
      </c>
      <c r="N169" s="446"/>
      <c r="O169" s="447"/>
      <c r="P169" s="450">
        <v>0.875</v>
      </c>
    </row>
    <row r="170" spans="1:16" x14ac:dyDescent="0.25">
      <c r="L170" s="447"/>
      <c r="M170" s="450">
        <v>0.88541666666666663</v>
      </c>
      <c r="N170" s="446"/>
      <c r="O170" s="447"/>
      <c r="P170" s="450">
        <v>0.88541666666666663</v>
      </c>
    </row>
    <row r="171" spans="1:16" x14ac:dyDescent="0.25">
      <c r="L171" s="447"/>
      <c r="M171" s="450">
        <v>0.89583333333333337</v>
      </c>
      <c r="N171" s="446"/>
      <c r="O171" s="447"/>
      <c r="P171" s="450">
        <v>0.89583333333333337</v>
      </c>
    </row>
    <row r="172" spans="1:16" x14ac:dyDescent="0.25">
      <c r="L172" s="447"/>
      <c r="M172" s="450">
        <v>0.90625</v>
      </c>
      <c r="N172" s="446"/>
      <c r="O172" s="447"/>
      <c r="P172" s="450">
        <v>0.90625</v>
      </c>
    </row>
    <row r="173" spans="1:16" x14ac:dyDescent="0.25">
      <c r="L173" s="447"/>
      <c r="M173" s="450">
        <v>0.91666666666666663</v>
      </c>
      <c r="N173" s="446"/>
      <c r="O173" s="447"/>
      <c r="P173" s="450">
        <v>0.91666666666666663</v>
      </c>
    </row>
    <row r="174" spans="1:16" x14ac:dyDescent="0.25">
      <c r="L174" s="447"/>
      <c r="M174" s="450">
        <v>0.92708333333333337</v>
      </c>
      <c r="N174" s="446"/>
      <c r="O174" s="447"/>
      <c r="P174" s="450">
        <v>0.92708333333333337</v>
      </c>
    </row>
    <row r="175" spans="1:16" x14ac:dyDescent="0.25">
      <c r="L175" s="447"/>
      <c r="M175" s="450">
        <v>0.9375</v>
      </c>
      <c r="N175" s="446"/>
      <c r="O175" s="447"/>
      <c r="P175" s="450">
        <v>0.9375</v>
      </c>
    </row>
    <row r="176" spans="1:16" x14ac:dyDescent="0.25">
      <c r="L176" s="447"/>
      <c r="M176" s="450">
        <v>0.94791666666666663</v>
      </c>
      <c r="N176" s="446"/>
      <c r="O176" s="447"/>
      <c r="P176" s="450">
        <v>0.94791666666666663</v>
      </c>
    </row>
    <row r="177" spans="12:16" x14ac:dyDescent="0.25">
      <c r="L177" s="447"/>
      <c r="M177" s="450">
        <v>0.95833333333333337</v>
      </c>
      <c r="N177" s="446"/>
      <c r="O177" s="447"/>
      <c r="P177" s="450">
        <v>0.95833333333333337</v>
      </c>
    </row>
    <row r="178" spans="12:16" x14ac:dyDescent="0.25">
      <c r="L178" s="447"/>
      <c r="M178" s="450">
        <v>0.96875</v>
      </c>
      <c r="N178" s="446"/>
      <c r="O178" s="447"/>
      <c r="P178" s="450">
        <v>0.96875</v>
      </c>
    </row>
    <row r="179" spans="12:16" x14ac:dyDescent="0.25">
      <c r="L179" s="447"/>
      <c r="M179" s="450">
        <v>0.97916666666666663</v>
      </c>
      <c r="N179" s="446"/>
      <c r="O179" s="447"/>
      <c r="P179" s="450">
        <v>0.97916666666666663</v>
      </c>
    </row>
    <row r="180" spans="12:16" ht="13.8" thickBot="1" x14ac:dyDescent="0.3">
      <c r="L180" s="451"/>
      <c r="M180" s="449">
        <v>0.98958333333333337</v>
      </c>
      <c r="N180" s="452"/>
      <c r="O180" s="451"/>
      <c r="P180" s="449">
        <v>0.98958333333333337</v>
      </c>
    </row>
    <row r="236" spans="13:13" x14ac:dyDescent="0.25">
      <c r="M236" s="437"/>
    </row>
    <row r="237" spans="13:13" x14ac:dyDescent="0.25">
      <c r="M237" s="437"/>
    </row>
    <row r="238" spans="13:13" x14ac:dyDescent="0.25">
      <c r="M238" s="437"/>
    </row>
    <row r="239" spans="13:13" x14ac:dyDescent="0.25">
      <c r="M239" s="437"/>
    </row>
    <row r="240" spans="13:13" x14ac:dyDescent="0.25">
      <c r="M240" s="437"/>
    </row>
    <row r="241" spans="13:13" x14ac:dyDescent="0.25">
      <c r="M241" s="437"/>
    </row>
    <row r="242" spans="13:13" x14ac:dyDescent="0.25">
      <c r="M242" s="437"/>
    </row>
    <row r="243" spans="13:13" x14ac:dyDescent="0.25">
      <c r="M243" s="437"/>
    </row>
    <row r="244" spans="13:13" x14ac:dyDescent="0.25">
      <c r="M244" s="437"/>
    </row>
    <row r="245" spans="13:13" x14ac:dyDescent="0.25">
      <c r="M245" s="437"/>
    </row>
    <row r="246" spans="13:13" x14ac:dyDescent="0.25">
      <c r="M246" s="437"/>
    </row>
    <row r="247" spans="13:13" x14ac:dyDescent="0.25">
      <c r="M247" s="437"/>
    </row>
    <row r="248" spans="13:13" x14ac:dyDescent="0.25">
      <c r="M248" s="437"/>
    </row>
    <row r="249" spans="13:13" x14ac:dyDescent="0.25">
      <c r="M249" s="437"/>
    </row>
    <row r="250" spans="13:13" x14ac:dyDescent="0.25">
      <c r="M250" s="437"/>
    </row>
    <row r="251" spans="13:13" x14ac:dyDescent="0.25">
      <c r="M251" s="437"/>
    </row>
    <row r="252" spans="13:13" x14ac:dyDescent="0.25">
      <c r="M252" s="437"/>
    </row>
    <row r="253" spans="13:13" x14ac:dyDescent="0.25">
      <c r="M253" s="437"/>
    </row>
    <row r="254" spans="13:13" x14ac:dyDescent="0.25">
      <c r="M254" s="437"/>
    </row>
    <row r="255" spans="13:13" x14ac:dyDescent="0.25">
      <c r="M255" s="437"/>
    </row>
    <row r="256" spans="13:13" x14ac:dyDescent="0.25">
      <c r="M256" s="437"/>
    </row>
    <row r="257" spans="13:13" x14ac:dyDescent="0.25">
      <c r="M257" s="437"/>
    </row>
    <row r="258" spans="13:13" x14ac:dyDescent="0.25">
      <c r="M258" s="437"/>
    </row>
    <row r="259" spans="13:13" x14ac:dyDescent="0.25">
      <c r="M259" s="437"/>
    </row>
    <row r="260" spans="13:13" x14ac:dyDescent="0.25">
      <c r="M260" s="437"/>
    </row>
    <row r="261" spans="13:13" x14ac:dyDescent="0.25">
      <c r="M261" s="437"/>
    </row>
    <row r="262" spans="13:13" x14ac:dyDescent="0.25">
      <c r="M262" s="437"/>
    </row>
    <row r="263" spans="13:13" x14ac:dyDescent="0.25">
      <c r="M263" s="437"/>
    </row>
    <row r="264" spans="13:13" x14ac:dyDescent="0.25">
      <c r="M264" s="437"/>
    </row>
    <row r="265" spans="13:13" x14ac:dyDescent="0.25">
      <c r="M265" s="437"/>
    </row>
    <row r="266" spans="13:13" x14ac:dyDescent="0.25">
      <c r="M266" s="437"/>
    </row>
    <row r="267" spans="13:13" x14ac:dyDescent="0.25">
      <c r="M267" s="437"/>
    </row>
    <row r="268" spans="13:13" x14ac:dyDescent="0.25">
      <c r="M268" s="437"/>
    </row>
    <row r="269" spans="13:13" x14ac:dyDescent="0.25">
      <c r="M269" s="437"/>
    </row>
    <row r="270" spans="13:13" x14ac:dyDescent="0.25">
      <c r="M270" s="437"/>
    </row>
    <row r="271" spans="13:13" x14ac:dyDescent="0.25">
      <c r="M271" s="437"/>
    </row>
    <row r="272" spans="13:13" x14ac:dyDescent="0.25">
      <c r="M272" s="437"/>
    </row>
    <row r="273" spans="13:13" x14ac:dyDescent="0.25">
      <c r="M273" s="437"/>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L60:N61"/>
    <mergeCell ref="L103:P105"/>
    <mergeCell ref="L106:P106"/>
    <mergeCell ref="L99:N99"/>
    <mergeCell ref="L100:N100"/>
    <mergeCell ref="L101:N101"/>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B5:I7"/>
    <mergeCell ref="B9:I11"/>
    <mergeCell ref="J6:J7"/>
    <mergeCell ref="A1:J2"/>
    <mergeCell ref="C39:I41"/>
    <mergeCell ref="C23:I24"/>
    <mergeCell ref="C42:I44"/>
    <mergeCell ref="C37:I38"/>
    <mergeCell ref="C14:I16"/>
    <mergeCell ref="C18:I22"/>
    <mergeCell ref="C26:I28"/>
    <mergeCell ref="B31:I32"/>
    <mergeCell ref="C29:G29"/>
    <mergeCell ref="F161:G161"/>
    <mergeCell ref="H161:I161"/>
    <mergeCell ref="D161:E161"/>
    <mergeCell ref="B60:B61"/>
    <mergeCell ref="C60:C61"/>
    <mergeCell ref="D60:E60"/>
    <mergeCell ref="F60:G60"/>
    <mergeCell ref="H60:I60"/>
  </mergeCells>
  <dataValidations disablePrompts="1"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S27"/>
  <sheetViews>
    <sheetView zoomScaleNormal="100" zoomScalePageLayoutView="90" workbookViewId="0">
      <selection activeCell="B171" sqref="B171"/>
    </sheetView>
  </sheetViews>
  <sheetFormatPr defaultColWidth="9.21875" defaultRowHeight="13.2" x14ac:dyDescent="0.25"/>
  <cols>
    <col min="1" max="1" width="9.21875" style="21" customWidth="1"/>
    <col min="2" max="7" width="9.21875" style="21"/>
    <col min="8" max="8" width="8.77734375" style="21" customWidth="1"/>
    <col min="9" max="9" width="9.5546875" style="21" customWidth="1"/>
    <col min="10" max="10" width="9.21875" style="21" customWidth="1"/>
    <col min="11" max="11" width="10.21875" style="21" customWidth="1"/>
    <col min="12" max="12" width="11.21875" style="21" customWidth="1"/>
    <col min="13" max="14" width="9.21875" style="21"/>
    <col min="15" max="15" width="9.21875" style="21" customWidth="1"/>
    <col min="16" max="16384" width="9.21875" style="21"/>
  </cols>
  <sheetData>
    <row r="1" spans="1:19" x14ac:dyDescent="0.25">
      <c r="A1" s="557" t="s">
        <v>359</v>
      </c>
      <c r="B1" s="557"/>
      <c r="C1" s="557"/>
      <c r="D1" s="557"/>
      <c r="E1" s="557"/>
      <c r="F1" s="557"/>
      <c r="G1" s="557"/>
      <c r="H1" s="557"/>
      <c r="I1" s="557"/>
      <c r="J1" s="557"/>
      <c r="K1" s="27" t="s">
        <v>399</v>
      </c>
      <c r="L1" s="390">
        <f>IF('Input &amp; Findings'!$G$33="","",'Input &amp; Findings'!$G$33)</f>
        <v>55</v>
      </c>
    </row>
    <row r="2" spans="1:19" x14ac:dyDescent="0.25">
      <c r="A2" s="557"/>
      <c r="B2" s="557"/>
      <c r="C2" s="557"/>
      <c r="D2" s="557"/>
      <c r="E2" s="557"/>
      <c r="F2" s="557"/>
      <c r="G2" s="557"/>
      <c r="H2" s="557"/>
      <c r="I2" s="557"/>
      <c r="J2" s="557"/>
    </row>
    <row r="3" spans="1:19" x14ac:dyDescent="0.25">
      <c r="A3" s="772" t="s">
        <v>361</v>
      </c>
      <c r="B3" s="772"/>
      <c r="C3" s="772"/>
      <c r="D3" s="772"/>
      <c r="E3" s="772"/>
      <c r="F3" s="772"/>
      <c r="G3" s="772"/>
      <c r="H3" s="772"/>
      <c r="I3" s="772"/>
      <c r="J3" s="772"/>
      <c r="K3" s="770" t="s">
        <v>431</v>
      </c>
      <c r="L3" s="770"/>
      <c r="M3" s="770"/>
      <c r="N3" s="770"/>
      <c r="P3" s="770" t="s">
        <v>428</v>
      </c>
      <c r="Q3" s="770"/>
      <c r="R3" s="770"/>
      <c r="S3" s="770"/>
    </row>
    <row r="4" spans="1:19" x14ac:dyDescent="0.25">
      <c r="A4" s="772"/>
      <c r="B4" s="772"/>
      <c r="C4" s="772"/>
      <c r="D4" s="772"/>
      <c r="E4" s="772"/>
      <c r="F4" s="772"/>
      <c r="G4" s="772"/>
      <c r="H4" s="772"/>
      <c r="I4" s="772"/>
      <c r="J4" s="772"/>
      <c r="K4" s="770" t="s">
        <v>246</v>
      </c>
      <c r="L4" s="770"/>
      <c r="M4" s="770" t="s">
        <v>246</v>
      </c>
      <c r="N4" s="770"/>
      <c r="P4" s="770" t="s">
        <v>246</v>
      </c>
      <c r="Q4" s="770"/>
      <c r="R4" s="770" t="s">
        <v>246</v>
      </c>
      <c r="S4" s="770"/>
    </row>
    <row r="5" spans="1:19" x14ac:dyDescent="0.25">
      <c r="A5" s="772"/>
      <c r="B5" s="772"/>
      <c r="C5" s="772"/>
      <c r="D5" s="772"/>
      <c r="E5" s="772"/>
      <c r="F5" s="772"/>
      <c r="G5" s="772"/>
      <c r="H5" s="772"/>
      <c r="I5" s="772"/>
      <c r="J5" s="772"/>
      <c r="K5" s="374" t="str">
        <f>IF(OR('Input &amp; Findings'!$G$33="Unknown",'Input &amp; Findings'!$G$33=25,'Input &amp; Findings'!$G$33=30,'Input &amp; Findings'!$G$33=35),0,"")</f>
        <v/>
      </c>
      <c r="L5" s="374" t="str">
        <f>IF(OR('Input &amp; Findings'!$G$33="Unknown",'Input &amp; Findings'!$G$33=25,'Input &amp; Findings'!$G$33=30,'Input &amp; Findings'!$G$33=35),'Warrant 4'!$BL$78,"")</f>
        <v/>
      </c>
      <c r="M5" s="374" t="str">
        <f>IF(OR('Input &amp; Findings'!$G$33="Unknown",'Input &amp; Findings'!$G$33=25,'Input &amp; Findings'!$G$33=30,'Input &amp; Findings'!$G$33=35),'Warrant 4'!$BK$78,"")</f>
        <v/>
      </c>
      <c r="N5" s="374" t="str">
        <f>IF(OR('Input &amp; Findings'!$G$33="Unknown",'Input &amp; Findings'!$G$33=25,'Input &amp; Findings'!$G$33=30,'Input &amp; Findings'!$G$33=35),0,"")</f>
        <v/>
      </c>
      <c r="O5" s="374"/>
      <c r="P5" s="374">
        <f>IF(OR('Input &amp; Findings'!$G$33="60+",'Input &amp; Findings'!$G$33=55,'Input &amp; Findings'!$G$33=50,'Input &amp; Findings'!$G$33=45,'Input &amp; Findings'!$G$33=40),0,"")</f>
        <v>0</v>
      </c>
      <c r="Q5" s="374">
        <f>IF(OR('Input &amp; Findings'!$G$33="60+",'Input &amp; Findings'!$G$33=55,'Input &amp; Findings'!$G$33=50,'Input &amp; Findings'!$G$33=45,'Input &amp; Findings'!$G$33=40),'Warrant 4'!$BL$78,"")</f>
        <v>0</v>
      </c>
      <c r="R5" s="374">
        <f>IF(OR('Input &amp; Findings'!$G$33="60+",'Input &amp; Findings'!$G$33=55,'Input &amp; Findings'!$G$33=50,'Input &amp; Findings'!$G$33=45,'Input &amp; Findings'!$G$33=40),'Warrant 4'!$BK$78,"")</f>
        <v>2048</v>
      </c>
      <c r="S5" s="374">
        <f>IF(OR('Input &amp; Findings'!$G$33="60+",'Input &amp; Findings'!$G$33=55,'Input &amp; Findings'!$G$33=50,'Input &amp; Findings'!$G$33=45,'Input &amp; Findings'!$G$33=40),0,"")</f>
        <v>0</v>
      </c>
    </row>
    <row r="6" spans="1:19" x14ac:dyDescent="0.25">
      <c r="A6" s="103"/>
      <c r="B6" s="103"/>
      <c r="C6" s="103"/>
      <c r="D6" s="103"/>
      <c r="E6" s="103"/>
      <c r="F6" s="103"/>
      <c r="G6" s="103"/>
      <c r="H6" s="103"/>
      <c r="I6" s="103"/>
      <c r="J6" s="103"/>
      <c r="K6" s="374" t="str">
        <f>IF(OR('Input &amp; Findings'!$G$33="Unknown",'Input &amp; Findings'!$G$33=25,'Input &amp; Findings'!$G$33=30,'Input &amp; Findings'!$G$33=35),'Warrant 4'!$BK$78,"")</f>
        <v/>
      </c>
      <c r="L6" s="374" t="str">
        <f>IF(OR('Input &amp; Findings'!$G$33="Unknown",'Input &amp; Findings'!$G$33=25,'Input &amp; Findings'!$G$33=30,'Input &amp; Findings'!$G$33=35),'Warrant 4'!$BL$78,"")</f>
        <v/>
      </c>
      <c r="M6" s="374" t="str">
        <f>IF(OR('Input &amp; Findings'!$G$33="Unknown",'Input &amp; Findings'!$G$33=25,'Input &amp; Findings'!$G$33=30,'Input &amp; Findings'!$G$33=35),'Warrant 4'!$BK$78,"")</f>
        <v/>
      </c>
      <c r="N6" s="374" t="str">
        <f>IF(OR('Input &amp; Findings'!$G$33="Unknown",'Input &amp; Findings'!$G$33=25,'Input &amp; Findings'!$G$33=30,'Input &amp; Findings'!$G$33=35),'Warrant 4'!$BL$78,"")</f>
        <v/>
      </c>
      <c r="O6" s="374"/>
      <c r="P6" s="374">
        <f>IF(OR('Input &amp; Findings'!$G$33="60+",'Input &amp; Findings'!$G$33=55,'Input &amp; Findings'!$G$33=50,'Input &amp; Findings'!$G$33=45,'Input &amp; Findings'!$G$33=40),'Warrant 4'!$BK$78,"")</f>
        <v>2048</v>
      </c>
      <c r="Q6" s="374">
        <f>IF(OR('Input &amp; Findings'!$G$33="60+",'Input &amp; Findings'!$G$33=55,'Input &amp; Findings'!$G$33=50,'Input &amp; Findings'!$G$33=45,'Input &amp; Findings'!$G$33=40),'Warrant 4'!$BL$78,"")</f>
        <v>0</v>
      </c>
      <c r="R6" s="374">
        <f>IF(OR('Input &amp; Findings'!$G$33="60+",'Input &amp; Findings'!$G$33=55,'Input &amp; Findings'!$G$33=50,'Input &amp; Findings'!$G$33=45,'Input &amp; Findings'!$G$33=40),'Warrant 4'!$BK$78,"")</f>
        <v>2048</v>
      </c>
      <c r="S6" s="374">
        <f>IF(OR('Input &amp; Findings'!$G$33="60+",'Input &amp; Findings'!$G$33=55,'Input &amp; Findings'!$G$33=50,'Input &amp; Findings'!$G$33=45,'Input &amp; Findings'!$G$33=40),'Warrant 4'!$BL$78,"")</f>
        <v>0</v>
      </c>
    </row>
    <row r="7" spans="1:19" x14ac:dyDescent="0.25">
      <c r="A7" s="142" t="s">
        <v>360</v>
      </c>
      <c r="B7" s="102"/>
      <c r="C7" s="102"/>
      <c r="D7" s="102"/>
      <c r="E7" s="102"/>
      <c r="F7" s="102"/>
      <c r="G7" s="102"/>
      <c r="H7" s="102"/>
      <c r="I7" s="102"/>
      <c r="J7" s="280"/>
    </row>
    <row r="8" spans="1:19" x14ac:dyDescent="0.25">
      <c r="A8" s="142" t="s">
        <v>2</v>
      </c>
      <c r="B8" s="102"/>
      <c r="C8" s="102"/>
      <c r="D8" s="102"/>
      <c r="E8" s="102"/>
      <c r="F8" s="102"/>
      <c r="G8" s="102"/>
      <c r="H8" s="102"/>
      <c r="I8" s="102"/>
      <c r="J8" s="280"/>
    </row>
    <row r="9" spans="1:19" x14ac:dyDescent="0.25">
      <c r="A9" s="142" t="s">
        <v>572</v>
      </c>
      <c r="B9" s="102"/>
      <c r="C9" s="102"/>
      <c r="D9" s="102"/>
      <c r="E9" s="102"/>
      <c r="F9" s="102"/>
      <c r="G9" s="102"/>
      <c r="H9" s="102"/>
      <c r="I9" s="102"/>
      <c r="J9" s="280"/>
    </row>
    <row r="10" spans="1:19" x14ac:dyDescent="0.25">
      <c r="A10" s="103"/>
      <c r="B10" s="103"/>
      <c r="C10" s="103"/>
      <c r="D10" s="103"/>
      <c r="E10" s="103"/>
      <c r="F10" s="103"/>
      <c r="G10" s="103"/>
      <c r="H10" s="103"/>
      <c r="I10" s="103"/>
      <c r="J10" s="103"/>
    </row>
    <row r="11" spans="1:19" ht="12.75" customHeight="1" x14ac:dyDescent="0.25">
      <c r="A11" s="784"/>
      <c r="B11" s="784"/>
      <c r="C11" s="784"/>
      <c r="D11" s="773" t="s">
        <v>375</v>
      </c>
      <c r="E11" s="773"/>
      <c r="F11" s="773"/>
      <c r="G11" s="774" t="s">
        <v>241</v>
      </c>
      <c r="H11" s="774"/>
      <c r="I11" s="773" t="s">
        <v>381</v>
      </c>
      <c r="J11" s="775" t="s">
        <v>374</v>
      </c>
    </row>
    <row r="12" spans="1:19" x14ac:dyDescent="0.25">
      <c r="A12" s="784"/>
      <c r="B12" s="784"/>
      <c r="C12" s="784"/>
      <c r="D12" s="773"/>
      <c r="E12" s="773"/>
      <c r="F12" s="773"/>
      <c r="G12" s="774"/>
      <c r="H12" s="774"/>
      <c r="I12" s="773"/>
      <c r="J12" s="775"/>
    </row>
    <row r="13" spans="1:19" x14ac:dyDescent="0.25">
      <c r="A13" s="784"/>
      <c r="B13" s="784"/>
      <c r="C13" s="784"/>
      <c r="D13" s="773"/>
      <c r="E13" s="773"/>
      <c r="F13" s="773"/>
      <c r="G13" s="774"/>
      <c r="H13" s="774"/>
      <c r="I13" s="773"/>
      <c r="J13" s="775"/>
    </row>
    <row r="14" spans="1:19" ht="38.1" customHeight="1" x14ac:dyDescent="0.25">
      <c r="A14" s="773" t="s">
        <v>362</v>
      </c>
      <c r="B14" s="773"/>
      <c r="C14" s="773"/>
      <c r="D14" s="773" t="s">
        <v>376</v>
      </c>
      <c r="E14" s="773"/>
      <c r="F14" s="773"/>
      <c r="G14" s="475"/>
      <c r="H14" s="475"/>
      <c r="I14" s="143" t="str">
        <f>IF(G14="4 or more",20,IF(G14="","",G14*5))</f>
        <v/>
      </c>
      <c r="J14" s="147">
        <v>20</v>
      </c>
    </row>
    <row r="15" spans="1:19" ht="38.1" customHeight="1" x14ac:dyDescent="0.25">
      <c r="A15" s="773" t="s">
        <v>363</v>
      </c>
      <c r="B15" s="773"/>
      <c r="C15" s="773"/>
      <c r="D15" s="773" t="s">
        <v>377</v>
      </c>
      <c r="E15" s="773"/>
      <c r="F15" s="773"/>
      <c r="G15" s="475"/>
      <c r="H15" s="475"/>
      <c r="I15" s="143" t="str">
        <f>IF(G15="5 or more",10,IF(G15="","",G15*2))</f>
        <v/>
      </c>
      <c r="J15" s="147">
        <v>10</v>
      </c>
    </row>
    <row r="16" spans="1:19" ht="51" customHeight="1" x14ac:dyDescent="0.25">
      <c r="A16" s="774" t="s">
        <v>364</v>
      </c>
      <c r="B16" s="774"/>
      <c r="C16" s="774"/>
      <c r="D16" s="773" t="s">
        <v>378</v>
      </c>
      <c r="E16" s="774"/>
      <c r="F16" s="774"/>
      <c r="G16" s="777"/>
      <c r="H16" s="777"/>
      <c r="I16" s="143" t="str">
        <f>IF(G16="&lt;12,000",0,IF(G16="12,000-15,000 w/median",20,IF(G16="&gt;15,000 w/median",20,IF(G16="&gt;15,000 w/o median",30,""))))</f>
        <v/>
      </c>
      <c r="J16" s="147">
        <v>30</v>
      </c>
    </row>
    <row r="17" spans="1:10" ht="56.1" customHeight="1" x14ac:dyDescent="0.25">
      <c r="A17" s="773" t="s">
        <v>365</v>
      </c>
      <c r="B17" s="773"/>
      <c r="C17" s="773"/>
      <c r="D17" s="773" t="s">
        <v>379</v>
      </c>
      <c r="E17" s="773"/>
      <c r="F17" s="773"/>
      <c r="G17" s="271"/>
      <c r="H17" s="281"/>
      <c r="I17" s="143">
        <f>IF(H17="Each Direction",IF(G17=1,20,IF(G17=2,25,30)),IF(G17="3 or more",30,G17*10))</f>
        <v>0</v>
      </c>
      <c r="J17" s="147">
        <v>30</v>
      </c>
    </row>
    <row r="18" spans="1:10" ht="38.1" customHeight="1" x14ac:dyDescent="0.25">
      <c r="A18" s="773" t="s">
        <v>366</v>
      </c>
      <c r="B18" s="773"/>
      <c r="C18" s="773"/>
      <c r="D18" s="773" t="s">
        <v>380</v>
      </c>
      <c r="E18" s="773"/>
      <c r="F18" s="773"/>
      <c r="G18" s="475"/>
      <c r="H18" s="475"/>
      <c r="I18" s="144" t="str">
        <f>IF(G18="&lt;5%",0,IF(G18="5-11%",5,IF(G18="&gt;11%",10,"")))</f>
        <v/>
      </c>
      <c r="J18" s="147">
        <v>10</v>
      </c>
    </row>
    <row r="19" spans="1:10" ht="38.1" customHeight="1" x14ac:dyDescent="0.25">
      <c r="A19" s="773" t="s">
        <v>367</v>
      </c>
      <c r="B19" s="773"/>
      <c r="C19" s="773"/>
      <c r="D19" s="773" t="s">
        <v>397</v>
      </c>
      <c r="E19" s="773"/>
      <c r="F19" s="773"/>
      <c r="G19" s="475"/>
      <c r="H19" s="475"/>
      <c r="I19" s="143">
        <f>G19</f>
        <v>0</v>
      </c>
      <c r="J19" s="147">
        <v>15</v>
      </c>
    </row>
    <row r="20" spans="1:10" ht="38.1" customHeight="1" x14ac:dyDescent="0.25">
      <c r="A20" s="773" t="s">
        <v>573</v>
      </c>
      <c r="B20" s="773"/>
      <c r="C20" s="773"/>
      <c r="D20" s="773" t="s">
        <v>382</v>
      </c>
      <c r="E20" s="773"/>
      <c r="F20" s="773"/>
      <c r="G20" s="475"/>
      <c r="H20" s="475"/>
      <c r="I20" s="143">
        <f>G20</f>
        <v>0</v>
      </c>
      <c r="J20" s="147">
        <v>15</v>
      </c>
    </row>
    <row r="21" spans="1:10" ht="56.1" customHeight="1" x14ac:dyDescent="0.25">
      <c r="A21" s="773" t="s">
        <v>368</v>
      </c>
      <c r="B21" s="773"/>
      <c r="C21" s="773"/>
      <c r="D21" s="773" t="s">
        <v>673</v>
      </c>
      <c r="E21" s="773"/>
      <c r="F21" s="773"/>
      <c r="G21" s="777"/>
      <c r="H21" s="777"/>
      <c r="I21" s="143">
        <f>IF(G21="&lt;50 daily boardings",5,IF(G21="50-150 daily boardings",10,IF(G21="&gt;150 daily boardings or Metro Station w/in 2 blocks",20,0)))</f>
        <v>0</v>
      </c>
      <c r="J21" s="147">
        <v>20</v>
      </c>
    </row>
    <row r="22" spans="1:10" ht="38.1" customHeight="1" x14ac:dyDescent="0.25">
      <c r="A22" s="773" t="s">
        <v>369</v>
      </c>
      <c r="B22" s="773"/>
      <c r="C22" s="773"/>
      <c r="D22" s="773" t="s">
        <v>383</v>
      </c>
      <c r="E22" s="773"/>
      <c r="F22" s="773"/>
      <c r="G22" s="475"/>
      <c r="H22" s="475"/>
      <c r="I22" s="143">
        <f>IF(G22="25-30 mph",10,IF(G22="&gt;30 mph",15,0))</f>
        <v>0</v>
      </c>
      <c r="J22" s="147">
        <v>15</v>
      </c>
    </row>
    <row r="23" spans="1:10" ht="38.1" customHeight="1" x14ac:dyDescent="0.25">
      <c r="A23" s="773" t="s">
        <v>370</v>
      </c>
      <c r="B23" s="773"/>
      <c r="C23" s="773"/>
      <c r="D23" s="773" t="s">
        <v>384</v>
      </c>
      <c r="E23" s="773"/>
      <c r="F23" s="773"/>
      <c r="G23" s="777"/>
      <c r="H23" s="777"/>
      <c r="I23" s="143">
        <f>IF(G23="&lt;300 ft.",0,IF(G23="300-500 ft.",20,IF(G23="&gt;500 ft.",30,0)))</f>
        <v>0</v>
      </c>
      <c r="J23" s="147">
        <v>30</v>
      </c>
    </row>
    <row r="24" spans="1:10" ht="38.1" customHeight="1" x14ac:dyDescent="0.25">
      <c r="A24" s="771" t="s">
        <v>371</v>
      </c>
      <c r="B24" s="771"/>
      <c r="C24" s="771"/>
      <c r="D24" s="771" t="s">
        <v>385</v>
      </c>
      <c r="E24" s="771"/>
      <c r="F24" s="771"/>
      <c r="G24" s="776" t="s">
        <v>111</v>
      </c>
      <c r="H24" s="495"/>
      <c r="I24" s="145">
        <f>IF(G24="Yes",5,0)</f>
        <v>0</v>
      </c>
      <c r="J24" s="148">
        <v>5</v>
      </c>
    </row>
    <row r="25" spans="1:10" ht="38.1" customHeight="1" x14ac:dyDescent="0.25">
      <c r="A25" s="785" t="s">
        <v>372</v>
      </c>
      <c r="B25" s="785"/>
      <c r="C25" s="785"/>
      <c r="D25" s="785"/>
      <c r="E25" s="785"/>
      <c r="F25" s="785"/>
      <c r="G25" s="785"/>
      <c r="H25" s="785"/>
      <c r="I25" s="146">
        <f>SUM(I14:I24)</f>
        <v>0</v>
      </c>
      <c r="J25" s="99">
        <v>200</v>
      </c>
    </row>
    <row r="26" spans="1:10" ht="12.75" customHeight="1" x14ac:dyDescent="0.25">
      <c r="A26" s="782" t="s">
        <v>373</v>
      </c>
      <c r="B26" s="782"/>
      <c r="C26" s="783"/>
      <c r="D26" s="783"/>
      <c r="E26" s="783"/>
      <c r="F26" s="783"/>
      <c r="G26" s="783"/>
      <c r="H26" s="783"/>
      <c r="I26" s="778" t="s">
        <v>396</v>
      </c>
      <c r="J26" s="780">
        <f>I25/J25</f>
        <v>0</v>
      </c>
    </row>
    <row r="27" spans="1:10" x14ac:dyDescent="0.25">
      <c r="A27" s="782"/>
      <c r="B27" s="782"/>
      <c r="C27" s="783"/>
      <c r="D27" s="783"/>
      <c r="E27" s="783"/>
      <c r="F27" s="783"/>
      <c r="G27" s="783"/>
      <c r="H27" s="783"/>
      <c r="I27" s="779"/>
      <c r="J27" s="781"/>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 ref="D14:F14"/>
    <mergeCell ref="D15:F15"/>
    <mergeCell ref="D16:F16"/>
    <mergeCell ref="D24:F24"/>
    <mergeCell ref="I11:I13"/>
    <mergeCell ref="G24:H24"/>
    <mergeCell ref="G23:H23"/>
    <mergeCell ref="G22:H22"/>
    <mergeCell ref="G21:H21"/>
    <mergeCell ref="D17:F17"/>
    <mergeCell ref="D18:F18"/>
    <mergeCell ref="D19:F19"/>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K3:N3"/>
    <mergeCell ref="K4:L4"/>
    <mergeCell ref="M4:N4"/>
    <mergeCell ref="P3:S3"/>
    <mergeCell ref="P4:Q4"/>
    <mergeCell ref="R4:S4"/>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zoomScale="98" zoomScaleNormal="98" workbookViewId="0">
      <selection activeCell="B171" sqref="B171"/>
    </sheetView>
  </sheetViews>
  <sheetFormatPr defaultRowHeight="13.2" x14ac:dyDescent="0.25"/>
  <cols>
    <col min="1" max="1" width="14.77734375" bestFit="1" customWidth="1"/>
    <col min="2" max="6" width="9.21875" style="2" bestFit="1" customWidth="1"/>
    <col min="7" max="7" width="9.21875" style="17" bestFit="1" customWidth="1"/>
    <col min="8" max="8" width="14.77734375" bestFit="1" customWidth="1"/>
    <col min="9" max="13" width="9.21875" style="2" bestFit="1" customWidth="1"/>
    <col min="14" max="14" width="9.21875" style="17" bestFit="1" customWidth="1"/>
    <col min="15" max="15" width="14.77734375" bestFit="1" customWidth="1"/>
    <col min="16" max="20" width="9.21875" style="2" bestFit="1" customWidth="1"/>
    <col min="21" max="21" width="9.21875" style="17" bestFit="1" customWidth="1"/>
    <col min="22" max="22" width="14.77734375" bestFit="1" customWidth="1"/>
    <col min="23" max="27" width="9.21875" style="2" bestFit="1" customWidth="1"/>
    <col min="28" max="28" width="9.21875" style="17" bestFit="1" customWidth="1"/>
  </cols>
  <sheetData>
    <row r="1" spans="1:29" ht="15" x14ac:dyDescent="0.25">
      <c r="A1" s="28"/>
      <c r="B1" s="789" t="s">
        <v>95</v>
      </c>
      <c r="C1" s="790"/>
      <c r="D1" s="790"/>
      <c r="E1" s="790"/>
      <c r="F1" s="790"/>
      <c r="G1" s="790"/>
      <c r="H1" s="28"/>
      <c r="I1" s="789" t="s">
        <v>94</v>
      </c>
      <c r="J1" s="790"/>
      <c r="K1" s="790"/>
      <c r="L1" s="790"/>
      <c r="M1" s="790"/>
      <c r="N1" s="790"/>
      <c r="O1" s="28"/>
      <c r="P1" s="789" t="s">
        <v>96</v>
      </c>
      <c r="Q1" s="790"/>
      <c r="R1" s="790"/>
      <c r="S1" s="790"/>
      <c r="T1" s="790"/>
      <c r="U1" s="790"/>
      <c r="V1" s="28"/>
      <c r="W1" s="789" t="s">
        <v>98</v>
      </c>
      <c r="X1" s="790"/>
      <c r="Y1" s="790"/>
      <c r="Z1" s="790"/>
      <c r="AA1" s="790"/>
      <c r="AB1" s="790"/>
    </row>
    <row r="2" spans="1:29" ht="13.8" x14ac:dyDescent="0.25">
      <c r="A2" s="786" t="s">
        <v>99</v>
      </c>
      <c r="B2" s="788" t="s">
        <v>93</v>
      </c>
      <c r="C2" s="788"/>
      <c r="D2" s="788"/>
      <c r="E2" s="788"/>
      <c r="F2" s="788"/>
      <c r="G2" s="788"/>
      <c r="H2" s="791" t="s">
        <v>99</v>
      </c>
      <c r="I2" s="788" t="s">
        <v>40</v>
      </c>
      <c r="J2" s="788"/>
      <c r="K2" s="788"/>
      <c r="L2" s="788"/>
      <c r="M2" s="788"/>
      <c r="N2" s="788"/>
      <c r="O2" s="786" t="s">
        <v>99</v>
      </c>
      <c r="P2" s="788" t="s">
        <v>97</v>
      </c>
      <c r="Q2" s="788"/>
      <c r="R2" s="788"/>
      <c r="S2" s="788"/>
      <c r="T2" s="788"/>
      <c r="U2" s="788"/>
      <c r="V2" s="786" t="s">
        <v>99</v>
      </c>
      <c r="W2" s="788" t="s">
        <v>39</v>
      </c>
      <c r="X2" s="788"/>
      <c r="Y2" s="788"/>
      <c r="Z2" s="788"/>
      <c r="AA2" s="788"/>
      <c r="AB2" s="788"/>
    </row>
    <row r="3" spans="1:29" ht="26.4" x14ac:dyDescent="0.25">
      <c r="A3" s="787"/>
      <c r="B3" s="32" t="s">
        <v>88</v>
      </c>
      <c r="C3" s="32" t="s">
        <v>89</v>
      </c>
      <c r="D3" s="32" t="s">
        <v>25</v>
      </c>
      <c r="E3" s="32" t="s">
        <v>90</v>
      </c>
      <c r="F3" s="32" t="s">
        <v>91</v>
      </c>
      <c r="G3" s="29" t="s">
        <v>92</v>
      </c>
      <c r="H3" s="787"/>
      <c r="I3" s="32" t="s">
        <v>88</v>
      </c>
      <c r="J3" s="32" t="s">
        <v>89</v>
      </c>
      <c r="K3" s="32" t="s">
        <v>25</v>
      </c>
      <c r="L3" s="32" t="s">
        <v>90</v>
      </c>
      <c r="M3" s="32" t="s">
        <v>91</v>
      </c>
      <c r="N3" s="29" t="s">
        <v>92</v>
      </c>
      <c r="O3" s="787"/>
      <c r="P3" s="32" t="s">
        <v>88</v>
      </c>
      <c r="Q3" s="32" t="s">
        <v>89</v>
      </c>
      <c r="R3" s="32" t="s">
        <v>25</v>
      </c>
      <c r="S3" s="32" t="s">
        <v>90</v>
      </c>
      <c r="T3" s="32" t="s">
        <v>91</v>
      </c>
      <c r="U3" s="29" t="s">
        <v>92</v>
      </c>
      <c r="V3" s="787"/>
      <c r="W3" s="32" t="s">
        <v>88</v>
      </c>
      <c r="X3" s="32" t="s">
        <v>89</v>
      </c>
      <c r="Y3" s="32" t="s">
        <v>25</v>
      </c>
      <c r="Z3" s="32" t="s">
        <v>90</v>
      </c>
      <c r="AA3" s="32" t="s">
        <v>91</v>
      </c>
      <c r="AB3" s="29" t="s">
        <v>92</v>
      </c>
    </row>
    <row r="4" spans="1:29" s="16" customFormat="1" x14ac:dyDescent="0.25">
      <c r="A4" s="30">
        <v>0</v>
      </c>
      <c r="B4" s="28">
        <f>'Turning Movement Data'!B4</f>
        <v>0</v>
      </c>
      <c r="C4" s="28">
        <f>'Turning Movement Data'!C4</f>
        <v>0</v>
      </c>
      <c r="D4" s="28">
        <f>'Turning Movement Data'!D4</f>
        <v>0</v>
      </c>
      <c r="E4" s="28">
        <f>'Turning Movement Data'!E4</f>
        <v>0</v>
      </c>
      <c r="F4" s="28">
        <f>'Turning Movement Data'!F4</f>
        <v>0</v>
      </c>
      <c r="G4" s="28">
        <f>'Turning Movement Data'!G4</f>
        <v>0</v>
      </c>
      <c r="H4" s="30">
        <v>0</v>
      </c>
      <c r="I4" s="28">
        <f>'Turning Movement Data'!H4</f>
        <v>0</v>
      </c>
      <c r="J4" s="28">
        <f>'Turning Movement Data'!I4</f>
        <v>0</v>
      </c>
      <c r="K4" s="28">
        <f>'Turning Movement Data'!J4</f>
        <v>0</v>
      </c>
      <c r="L4" s="28">
        <f>'Turning Movement Data'!K4</f>
        <v>0</v>
      </c>
      <c r="M4" s="28">
        <f>'Turning Movement Data'!L4</f>
        <v>0</v>
      </c>
      <c r="N4" s="28">
        <f>'Turning Movement Data'!M4</f>
        <v>0</v>
      </c>
      <c r="O4" s="30">
        <v>0</v>
      </c>
      <c r="P4" s="28">
        <f>'Turning Movement Data'!N4</f>
        <v>0</v>
      </c>
      <c r="Q4" s="28">
        <f>'Turning Movement Data'!O4</f>
        <v>0</v>
      </c>
      <c r="R4" s="28">
        <f>'Turning Movement Data'!P4</f>
        <v>0</v>
      </c>
      <c r="S4" s="28">
        <f>'Turning Movement Data'!Q4</f>
        <v>0</v>
      </c>
      <c r="T4" s="28">
        <f>'Turning Movement Data'!R4</f>
        <v>0</v>
      </c>
      <c r="U4" s="28">
        <f>'Turning Movement Data'!S4</f>
        <v>0</v>
      </c>
      <c r="V4" s="30">
        <v>0</v>
      </c>
      <c r="W4" s="28">
        <f>'Turning Movement Data'!T4</f>
        <v>0</v>
      </c>
      <c r="X4" s="28">
        <f>'Turning Movement Data'!U4</f>
        <v>0</v>
      </c>
      <c r="Y4" s="28">
        <f>'Turning Movement Data'!V4</f>
        <v>0</v>
      </c>
      <c r="Z4" s="28">
        <f>'Turning Movement Data'!W4</f>
        <v>0</v>
      </c>
      <c r="AA4" s="28">
        <f>'Turning Movement Data'!X4</f>
        <v>0</v>
      </c>
      <c r="AB4" s="28">
        <f>'Turning Movement Data'!Y4</f>
        <v>0</v>
      </c>
      <c r="AC4"/>
    </row>
    <row r="5" spans="1:29" s="6" customFormat="1" x14ac:dyDescent="0.25">
      <c r="A5" s="30">
        <v>1.0416666666666666E-2</v>
      </c>
      <c r="B5" s="28">
        <f>'Turning Movement Data'!B5</f>
        <v>0</v>
      </c>
      <c r="C5" s="28">
        <f>'Turning Movement Data'!C5</f>
        <v>0</v>
      </c>
      <c r="D5" s="28">
        <f>'Turning Movement Data'!D5</f>
        <v>0</v>
      </c>
      <c r="E5" s="28">
        <f>'Turning Movement Data'!E5</f>
        <v>0</v>
      </c>
      <c r="F5" s="28">
        <f>'Turning Movement Data'!F5</f>
        <v>0</v>
      </c>
      <c r="G5" s="28">
        <f>'Turning Movement Data'!G5</f>
        <v>0</v>
      </c>
      <c r="H5" s="30">
        <v>1.0416666666666666E-2</v>
      </c>
      <c r="I5" s="28">
        <f>'Turning Movement Data'!H5</f>
        <v>0</v>
      </c>
      <c r="J5" s="28">
        <f>'Turning Movement Data'!I5</f>
        <v>0</v>
      </c>
      <c r="K5" s="28">
        <f>'Turning Movement Data'!J5</f>
        <v>0</v>
      </c>
      <c r="L5" s="28">
        <f>'Turning Movement Data'!K5</f>
        <v>0</v>
      </c>
      <c r="M5" s="28">
        <f>'Turning Movement Data'!L5</f>
        <v>0</v>
      </c>
      <c r="N5" s="28">
        <f>'Turning Movement Data'!M5</f>
        <v>0</v>
      </c>
      <c r="O5" s="30">
        <v>1.0416666666666666E-2</v>
      </c>
      <c r="P5" s="28">
        <f>'Turning Movement Data'!N5</f>
        <v>0</v>
      </c>
      <c r="Q5" s="28">
        <f>'Turning Movement Data'!O5</f>
        <v>0</v>
      </c>
      <c r="R5" s="28">
        <f>'Turning Movement Data'!P5</f>
        <v>0</v>
      </c>
      <c r="S5" s="28">
        <f>'Turning Movement Data'!Q5</f>
        <v>0</v>
      </c>
      <c r="T5" s="28">
        <f>'Turning Movement Data'!R5</f>
        <v>0</v>
      </c>
      <c r="U5" s="28">
        <f>'Turning Movement Data'!S5</f>
        <v>0</v>
      </c>
      <c r="V5" s="30">
        <v>1.0416666666666666E-2</v>
      </c>
      <c r="W5" s="28">
        <f>'Turning Movement Data'!T5</f>
        <v>0</v>
      </c>
      <c r="X5" s="28">
        <f>'Turning Movement Data'!U5</f>
        <v>0</v>
      </c>
      <c r="Y5" s="28">
        <f>'Turning Movement Data'!V5</f>
        <v>0</v>
      </c>
      <c r="Z5" s="28">
        <f>'Turning Movement Data'!W5</f>
        <v>0</v>
      </c>
      <c r="AA5" s="28">
        <f>'Turning Movement Data'!X5</f>
        <v>0</v>
      </c>
      <c r="AB5" s="28">
        <f>'Turning Movement Data'!Y5</f>
        <v>0</v>
      </c>
      <c r="AC5"/>
    </row>
    <row r="6" spans="1:29" s="16" customFormat="1" x14ac:dyDescent="0.25">
      <c r="A6" s="30">
        <v>2.0833333333333301E-2</v>
      </c>
      <c r="B6" s="28">
        <f>'Turning Movement Data'!B6</f>
        <v>0</v>
      </c>
      <c r="C6" s="28">
        <f>'Turning Movement Data'!C6</f>
        <v>0</v>
      </c>
      <c r="D6" s="28">
        <f>'Turning Movement Data'!D6</f>
        <v>0</v>
      </c>
      <c r="E6" s="28">
        <f>'Turning Movement Data'!E6</f>
        <v>0</v>
      </c>
      <c r="F6" s="28">
        <f>'Turning Movement Data'!F6</f>
        <v>0</v>
      </c>
      <c r="G6" s="28">
        <f>'Turning Movement Data'!G6</f>
        <v>0</v>
      </c>
      <c r="H6" s="30">
        <v>2.0833333333333301E-2</v>
      </c>
      <c r="I6" s="28">
        <f>'Turning Movement Data'!H6</f>
        <v>0</v>
      </c>
      <c r="J6" s="28">
        <f>'Turning Movement Data'!I6</f>
        <v>0</v>
      </c>
      <c r="K6" s="28">
        <f>'Turning Movement Data'!J6</f>
        <v>0</v>
      </c>
      <c r="L6" s="28">
        <f>'Turning Movement Data'!K6</f>
        <v>0</v>
      </c>
      <c r="M6" s="28">
        <f>'Turning Movement Data'!L6</f>
        <v>0</v>
      </c>
      <c r="N6" s="28">
        <f>'Turning Movement Data'!M6</f>
        <v>0</v>
      </c>
      <c r="O6" s="30">
        <v>2.0833333333333301E-2</v>
      </c>
      <c r="P6" s="28">
        <f>'Turning Movement Data'!N6</f>
        <v>0</v>
      </c>
      <c r="Q6" s="28">
        <f>'Turning Movement Data'!O6</f>
        <v>0</v>
      </c>
      <c r="R6" s="28">
        <f>'Turning Movement Data'!P6</f>
        <v>0</v>
      </c>
      <c r="S6" s="28">
        <f>'Turning Movement Data'!Q6</f>
        <v>0</v>
      </c>
      <c r="T6" s="28">
        <f>'Turning Movement Data'!R6</f>
        <v>0</v>
      </c>
      <c r="U6" s="28">
        <f>'Turning Movement Data'!S6</f>
        <v>0</v>
      </c>
      <c r="V6" s="30">
        <v>2.0833333333333301E-2</v>
      </c>
      <c r="W6" s="28">
        <f>'Turning Movement Data'!T6</f>
        <v>0</v>
      </c>
      <c r="X6" s="28">
        <f>'Turning Movement Data'!U6</f>
        <v>0</v>
      </c>
      <c r="Y6" s="28">
        <f>'Turning Movement Data'!V6</f>
        <v>0</v>
      </c>
      <c r="Z6" s="28">
        <f>'Turning Movement Data'!W6</f>
        <v>0</v>
      </c>
      <c r="AA6" s="28">
        <f>'Turning Movement Data'!X6</f>
        <v>0</v>
      </c>
      <c r="AB6" s="28">
        <f>'Turning Movement Data'!Y6</f>
        <v>0</v>
      </c>
      <c r="AC6"/>
    </row>
    <row r="7" spans="1:29" s="5" customFormat="1" x14ac:dyDescent="0.25">
      <c r="A7" s="30">
        <v>3.125E-2</v>
      </c>
      <c r="B7" s="28">
        <f>'Turning Movement Data'!B7</f>
        <v>0</v>
      </c>
      <c r="C7" s="28">
        <f>'Turning Movement Data'!C7</f>
        <v>0</v>
      </c>
      <c r="D7" s="28">
        <f>'Turning Movement Data'!D7</f>
        <v>0</v>
      </c>
      <c r="E7" s="28">
        <f>'Turning Movement Data'!E7</f>
        <v>0</v>
      </c>
      <c r="F7" s="28">
        <f>'Turning Movement Data'!F7</f>
        <v>0</v>
      </c>
      <c r="G7" s="28">
        <f>'Turning Movement Data'!G7</f>
        <v>0</v>
      </c>
      <c r="H7" s="30">
        <v>3.125E-2</v>
      </c>
      <c r="I7" s="28">
        <f>'Turning Movement Data'!H7</f>
        <v>0</v>
      </c>
      <c r="J7" s="28">
        <f>'Turning Movement Data'!I7</f>
        <v>0</v>
      </c>
      <c r="K7" s="28">
        <f>'Turning Movement Data'!J7</f>
        <v>0</v>
      </c>
      <c r="L7" s="28">
        <f>'Turning Movement Data'!K7</f>
        <v>0</v>
      </c>
      <c r="M7" s="28">
        <f>'Turning Movement Data'!L7</f>
        <v>0</v>
      </c>
      <c r="N7" s="28">
        <f>'Turning Movement Data'!M7</f>
        <v>0</v>
      </c>
      <c r="O7" s="30">
        <v>3.125E-2</v>
      </c>
      <c r="P7" s="28">
        <f>'Turning Movement Data'!N7</f>
        <v>0</v>
      </c>
      <c r="Q7" s="28">
        <f>'Turning Movement Data'!O7</f>
        <v>0</v>
      </c>
      <c r="R7" s="28">
        <f>'Turning Movement Data'!P7</f>
        <v>0</v>
      </c>
      <c r="S7" s="28">
        <f>'Turning Movement Data'!Q7</f>
        <v>0</v>
      </c>
      <c r="T7" s="28">
        <f>'Turning Movement Data'!R7</f>
        <v>0</v>
      </c>
      <c r="U7" s="28">
        <f>'Turning Movement Data'!S7</f>
        <v>0</v>
      </c>
      <c r="V7" s="30">
        <v>3.125E-2</v>
      </c>
      <c r="W7" s="28">
        <f>'Turning Movement Data'!T7</f>
        <v>0</v>
      </c>
      <c r="X7" s="28">
        <f>'Turning Movement Data'!U7</f>
        <v>0</v>
      </c>
      <c r="Y7" s="28">
        <f>'Turning Movement Data'!V7</f>
        <v>0</v>
      </c>
      <c r="Z7" s="28">
        <f>'Turning Movement Data'!W7</f>
        <v>0</v>
      </c>
      <c r="AA7" s="28">
        <f>'Turning Movement Data'!X7</f>
        <v>0</v>
      </c>
      <c r="AB7" s="28">
        <f>'Turning Movement Data'!Y7</f>
        <v>0</v>
      </c>
      <c r="AC7"/>
    </row>
    <row r="8" spans="1:29" s="16" customFormat="1" x14ac:dyDescent="0.25">
      <c r="A8" s="30">
        <v>4.1666666666666699E-2</v>
      </c>
      <c r="B8" s="28">
        <f>'Turning Movement Data'!B9</f>
        <v>0</v>
      </c>
      <c r="C8" s="28">
        <f>'Turning Movement Data'!C9</f>
        <v>0</v>
      </c>
      <c r="D8" s="28">
        <f>'Turning Movement Data'!D9</f>
        <v>0</v>
      </c>
      <c r="E8" s="28">
        <f>'Turning Movement Data'!E9</f>
        <v>0</v>
      </c>
      <c r="F8" s="28">
        <f>'Turning Movement Data'!F9</f>
        <v>0</v>
      </c>
      <c r="G8" s="28">
        <f>'Turning Movement Data'!G9</f>
        <v>0</v>
      </c>
      <c r="H8" s="30">
        <v>4.1666666666666699E-2</v>
      </c>
      <c r="I8" s="28">
        <f>'Turning Movement Data'!H9</f>
        <v>0</v>
      </c>
      <c r="J8" s="28">
        <f>'Turning Movement Data'!I9</f>
        <v>0</v>
      </c>
      <c r="K8" s="28">
        <f>'Turning Movement Data'!J9</f>
        <v>0</v>
      </c>
      <c r="L8" s="28">
        <f>'Turning Movement Data'!K9</f>
        <v>0</v>
      </c>
      <c r="M8" s="28">
        <f>'Turning Movement Data'!L9</f>
        <v>0</v>
      </c>
      <c r="N8" s="28">
        <f>'Turning Movement Data'!M9</f>
        <v>0</v>
      </c>
      <c r="O8" s="30">
        <v>4.1666666666666699E-2</v>
      </c>
      <c r="P8" s="28">
        <f>'Turning Movement Data'!N9</f>
        <v>0</v>
      </c>
      <c r="Q8" s="28">
        <f>'Turning Movement Data'!O9</f>
        <v>0</v>
      </c>
      <c r="R8" s="28">
        <f>'Turning Movement Data'!P9</f>
        <v>0</v>
      </c>
      <c r="S8" s="28">
        <f>'Turning Movement Data'!Q9</f>
        <v>0</v>
      </c>
      <c r="T8" s="28">
        <f>'Turning Movement Data'!R9</f>
        <v>0</v>
      </c>
      <c r="U8" s="28">
        <f>'Turning Movement Data'!S9</f>
        <v>0</v>
      </c>
      <c r="V8" s="30">
        <v>4.1666666666666699E-2</v>
      </c>
      <c r="W8" s="28">
        <f>'Turning Movement Data'!T9</f>
        <v>0</v>
      </c>
      <c r="X8" s="28">
        <f>'Turning Movement Data'!U9</f>
        <v>0</v>
      </c>
      <c r="Y8" s="28">
        <f>'Turning Movement Data'!V9</f>
        <v>0</v>
      </c>
      <c r="Z8" s="28">
        <f>'Turning Movement Data'!W9</f>
        <v>0</v>
      </c>
      <c r="AA8" s="28">
        <f>'Turning Movement Data'!X9</f>
        <v>0</v>
      </c>
      <c r="AB8" s="28">
        <f>'Turning Movement Data'!Y9</f>
        <v>0</v>
      </c>
      <c r="AC8"/>
    </row>
    <row r="9" spans="1:29" s="6" customFormat="1" x14ac:dyDescent="0.25">
      <c r="A9" s="30">
        <v>5.2083333333333301E-2</v>
      </c>
      <c r="B9" s="28">
        <f>'Turning Movement Data'!B10</f>
        <v>0</v>
      </c>
      <c r="C9" s="28">
        <f>'Turning Movement Data'!C10</f>
        <v>0</v>
      </c>
      <c r="D9" s="28">
        <f>'Turning Movement Data'!D10</f>
        <v>0</v>
      </c>
      <c r="E9" s="28">
        <f>'Turning Movement Data'!E10</f>
        <v>0</v>
      </c>
      <c r="F9" s="28">
        <f>'Turning Movement Data'!F10</f>
        <v>0</v>
      </c>
      <c r="G9" s="28">
        <f>'Turning Movement Data'!G10</f>
        <v>0</v>
      </c>
      <c r="H9" s="30">
        <v>5.2083333333333301E-2</v>
      </c>
      <c r="I9" s="28">
        <f>'Turning Movement Data'!H10</f>
        <v>0</v>
      </c>
      <c r="J9" s="28">
        <f>'Turning Movement Data'!I10</f>
        <v>0</v>
      </c>
      <c r="K9" s="28">
        <f>'Turning Movement Data'!J10</f>
        <v>0</v>
      </c>
      <c r="L9" s="28">
        <f>'Turning Movement Data'!K10</f>
        <v>0</v>
      </c>
      <c r="M9" s="28">
        <f>'Turning Movement Data'!L10</f>
        <v>0</v>
      </c>
      <c r="N9" s="28">
        <f>'Turning Movement Data'!M10</f>
        <v>0</v>
      </c>
      <c r="O9" s="30">
        <v>5.2083333333333301E-2</v>
      </c>
      <c r="P9" s="28">
        <f>'Turning Movement Data'!N10</f>
        <v>0</v>
      </c>
      <c r="Q9" s="28">
        <f>'Turning Movement Data'!O10</f>
        <v>0</v>
      </c>
      <c r="R9" s="28">
        <f>'Turning Movement Data'!P10</f>
        <v>0</v>
      </c>
      <c r="S9" s="28">
        <f>'Turning Movement Data'!Q10</f>
        <v>0</v>
      </c>
      <c r="T9" s="28">
        <f>'Turning Movement Data'!R10</f>
        <v>0</v>
      </c>
      <c r="U9" s="28">
        <f>'Turning Movement Data'!S10</f>
        <v>0</v>
      </c>
      <c r="V9" s="30">
        <v>5.2083333333333301E-2</v>
      </c>
      <c r="W9" s="28">
        <f>'Turning Movement Data'!T10</f>
        <v>0</v>
      </c>
      <c r="X9" s="28">
        <f>'Turning Movement Data'!U10</f>
        <v>0</v>
      </c>
      <c r="Y9" s="28">
        <f>'Turning Movement Data'!V10</f>
        <v>0</v>
      </c>
      <c r="Z9" s="28">
        <f>'Turning Movement Data'!W10</f>
        <v>0</v>
      </c>
      <c r="AA9" s="28">
        <f>'Turning Movement Data'!X10</f>
        <v>0</v>
      </c>
      <c r="AB9" s="28">
        <f>'Turning Movement Data'!Y10</f>
        <v>0</v>
      </c>
      <c r="AC9"/>
    </row>
    <row r="10" spans="1:29" s="16" customFormat="1" x14ac:dyDescent="0.25">
      <c r="A10" s="30">
        <v>6.25E-2</v>
      </c>
      <c r="B10" s="28">
        <f>'Turning Movement Data'!B11</f>
        <v>0</v>
      </c>
      <c r="C10" s="28">
        <f>'Turning Movement Data'!C11</f>
        <v>0</v>
      </c>
      <c r="D10" s="28">
        <f>'Turning Movement Data'!D11</f>
        <v>0</v>
      </c>
      <c r="E10" s="28">
        <f>'Turning Movement Data'!E11</f>
        <v>0</v>
      </c>
      <c r="F10" s="28">
        <f>'Turning Movement Data'!F11</f>
        <v>0</v>
      </c>
      <c r="G10" s="28">
        <f>'Turning Movement Data'!G11</f>
        <v>0</v>
      </c>
      <c r="H10" s="30">
        <v>6.25E-2</v>
      </c>
      <c r="I10" s="28">
        <f>'Turning Movement Data'!H11</f>
        <v>0</v>
      </c>
      <c r="J10" s="28">
        <f>'Turning Movement Data'!I11</f>
        <v>0</v>
      </c>
      <c r="K10" s="28">
        <f>'Turning Movement Data'!J11</f>
        <v>0</v>
      </c>
      <c r="L10" s="28">
        <f>'Turning Movement Data'!K11</f>
        <v>0</v>
      </c>
      <c r="M10" s="28">
        <f>'Turning Movement Data'!L11</f>
        <v>0</v>
      </c>
      <c r="N10" s="28">
        <f>'Turning Movement Data'!M11</f>
        <v>0</v>
      </c>
      <c r="O10" s="30">
        <v>6.25E-2</v>
      </c>
      <c r="P10" s="28">
        <f>'Turning Movement Data'!N11</f>
        <v>0</v>
      </c>
      <c r="Q10" s="28">
        <f>'Turning Movement Data'!O11</f>
        <v>0</v>
      </c>
      <c r="R10" s="28">
        <f>'Turning Movement Data'!P11</f>
        <v>0</v>
      </c>
      <c r="S10" s="28">
        <f>'Turning Movement Data'!Q11</f>
        <v>0</v>
      </c>
      <c r="T10" s="28">
        <f>'Turning Movement Data'!R11</f>
        <v>0</v>
      </c>
      <c r="U10" s="28">
        <f>'Turning Movement Data'!S11</f>
        <v>0</v>
      </c>
      <c r="V10" s="30">
        <v>6.25E-2</v>
      </c>
      <c r="W10" s="28">
        <f>'Turning Movement Data'!T11</f>
        <v>0</v>
      </c>
      <c r="X10" s="28">
        <f>'Turning Movement Data'!U11</f>
        <v>0</v>
      </c>
      <c r="Y10" s="28">
        <f>'Turning Movement Data'!V11</f>
        <v>0</v>
      </c>
      <c r="Z10" s="28">
        <f>'Turning Movement Data'!W11</f>
        <v>0</v>
      </c>
      <c r="AA10" s="28">
        <f>'Turning Movement Data'!X11</f>
        <v>0</v>
      </c>
      <c r="AB10" s="28">
        <f>'Turning Movement Data'!Y11</f>
        <v>0</v>
      </c>
      <c r="AC10"/>
    </row>
    <row r="11" spans="1:29" s="6" customFormat="1" x14ac:dyDescent="0.25">
      <c r="A11" s="30">
        <v>7.2916666666666699E-2</v>
      </c>
      <c r="B11" s="28">
        <f>'Turning Movement Data'!B12</f>
        <v>0</v>
      </c>
      <c r="C11" s="28">
        <f>'Turning Movement Data'!C12</f>
        <v>0</v>
      </c>
      <c r="D11" s="28">
        <f>'Turning Movement Data'!D12</f>
        <v>0</v>
      </c>
      <c r="E11" s="28">
        <f>'Turning Movement Data'!E12</f>
        <v>0</v>
      </c>
      <c r="F11" s="28">
        <f>'Turning Movement Data'!F12</f>
        <v>0</v>
      </c>
      <c r="G11" s="28">
        <f>'Turning Movement Data'!G12</f>
        <v>0</v>
      </c>
      <c r="H11" s="30">
        <v>7.2916666666666699E-2</v>
      </c>
      <c r="I11" s="28">
        <f>'Turning Movement Data'!H12</f>
        <v>0</v>
      </c>
      <c r="J11" s="28">
        <f>'Turning Movement Data'!I12</f>
        <v>0</v>
      </c>
      <c r="K11" s="28">
        <f>'Turning Movement Data'!J12</f>
        <v>0</v>
      </c>
      <c r="L11" s="28">
        <f>'Turning Movement Data'!K12</f>
        <v>0</v>
      </c>
      <c r="M11" s="28">
        <f>'Turning Movement Data'!L12</f>
        <v>0</v>
      </c>
      <c r="N11" s="28">
        <f>'Turning Movement Data'!M12</f>
        <v>0</v>
      </c>
      <c r="O11" s="30">
        <v>7.2916666666666699E-2</v>
      </c>
      <c r="P11" s="28">
        <f>'Turning Movement Data'!N12</f>
        <v>0</v>
      </c>
      <c r="Q11" s="28">
        <f>'Turning Movement Data'!O12</f>
        <v>0</v>
      </c>
      <c r="R11" s="28">
        <f>'Turning Movement Data'!P12</f>
        <v>0</v>
      </c>
      <c r="S11" s="28">
        <f>'Turning Movement Data'!Q12</f>
        <v>0</v>
      </c>
      <c r="T11" s="28">
        <f>'Turning Movement Data'!R12</f>
        <v>0</v>
      </c>
      <c r="U11" s="28">
        <f>'Turning Movement Data'!S12</f>
        <v>0</v>
      </c>
      <c r="V11" s="30">
        <v>7.2916666666666699E-2</v>
      </c>
      <c r="W11" s="28">
        <f>'Turning Movement Data'!T12</f>
        <v>0</v>
      </c>
      <c r="X11" s="28">
        <f>'Turning Movement Data'!U12</f>
        <v>0</v>
      </c>
      <c r="Y11" s="28">
        <f>'Turning Movement Data'!V12</f>
        <v>0</v>
      </c>
      <c r="Z11" s="28">
        <f>'Turning Movement Data'!W12</f>
        <v>0</v>
      </c>
      <c r="AA11" s="28">
        <f>'Turning Movement Data'!X12</f>
        <v>0</v>
      </c>
      <c r="AB11" s="28">
        <f>'Turning Movement Data'!Y12</f>
        <v>0</v>
      </c>
      <c r="AC11"/>
    </row>
    <row r="12" spans="1:29" s="19" customFormat="1" x14ac:dyDescent="0.25">
      <c r="A12" s="30">
        <v>8.3333333333333301E-2</v>
      </c>
      <c r="B12" s="28">
        <f>'Turning Movement Data'!B14</f>
        <v>0</v>
      </c>
      <c r="C12" s="28">
        <f>'Turning Movement Data'!C14</f>
        <v>0</v>
      </c>
      <c r="D12" s="28">
        <f>'Turning Movement Data'!D14</f>
        <v>0</v>
      </c>
      <c r="E12" s="28">
        <f>'Turning Movement Data'!E14</f>
        <v>0</v>
      </c>
      <c r="F12" s="28">
        <f>'Turning Movement Data'!F14</f>
        <v>0</v>
      </c>
      <c r="G12" s="28">
        <f>'Turning Movement Data'!G14</f>
        <v>0</v>
      </c>
      <c r="H12" s="30">
        <v>8.3333333333333301E-2</v>
      </c>
      <c r="I12" s="28">
        <f>'Turning Movement Data'!H14</f>
        <v>0</v>
      </c>
      <c r="J12" s="28">
        <f>'Turning Movement Data'!I14</f>
        <v>0</v>
      </c>
      <c r="K12" s="28">
        <f>'Turning Movement Data'!J14</f>
        <v>0</v>
      </c>
      <c r="L12" s="28">
        <f>'Turning Movement Data'!K14</f>
        <v>0</v>
      </c>
      <c r="M12" s="28">
        <f>'Turning Movement Data'!L14</f>
        <v>0</v>
      </c>
      <c r="N12" s="28">
        <f>'Turning Movement Data'!M14</f>
        <v>0</v>
      </c>
      <c r="O12" s="30">
        <v>8.3333333333333301E-2</v>
      </c>
      <c r="P12" s="28">
        <f>'Turning Movement Data'!N14</f>
        <v>0</v>
      </c>
      <c r="Q12" s="28">
        <f>'Turning Movement Data'!O14</f>
        <v>0</v>
      </c>
      <c r="R12" s="28">
        <f>'Turning Movement Data'!P14</f>
        <v>0</v>
      </c>
      <c r="S12" s="28">
        <f>'Turning Movement Data'!Q14</f>
        <v>0</v>
      </c>
      <c r="T12" s="28">
        <f>'Turning Movement Data'!R14</f>
        <v>0</v>
      </c>
      <c r="U12" s="28">
        <f>'Turning Movement Data'!S14</f>
        <v>0</v>
      </c>
      <c r="V12" s="30">
        <v>8.3333333333333301E-2</v>
      </c>
      <c r="W12" s="28">
        <f>'Turning Movement Data'!T14</f>
        <v>0</v>
      </c>
      <c r="X12" s="28">
        <f>'Turning Movement Data'!U14</f>
        <v>0</v>
      </c>
      <c r="Y12" s="28">
        <f>'Turning Movement Data'!V14</f>
        <v>0</v>
      </c>
      <c r="Z12" s="28">
        <f>'Turning Movement Data'!W14</f>
        <v>0</v>
      </c>
      <c r="AA12" s="28">
        <f>'Turning Movement Data'!X14</f>
        <v>0</v>
      </c>
      <c r="AB12" s="28">
        <f>'Turning Movement Data'!Y14</f>
        <v>0</v>
      </c>
      <c r="AC12"/>
    </row>
    <row r="13" spans="1:29" s="6" customFormat="1" x14ac:dyDescent="0.25">
      <c r="A13" s="30">
        <v>9.375E-2</v>
      </c>
      <c r="B13" s="28">
        <f>'Turning Movement Data'!B15</f>
        <v>0</v>
      </c>
      <c r="C13" s="28">
        <f>'Turning Movement Data'!C15</f>
        <v>0</v>
      </c>
      <c r="D13" s="28">
        <f>'Turning Movement Data'!D15</f>
        <v>0</v>
      </c>
      <c r="E13" s="28">
        <f>'Turning Movement Data'!E15</f>
        <v>0</v>
      </c>
      <c r="F13" s="28">
        <f>'Turning Movement Data'!F15</f>
        <v>0</v>
      </c>
      <c r="G13" s="28">
        <f>'Turning Movement Data'!G15</f>
        <v>0</v>
      </c>
      <c r="H13" s="30">
        <v>9.375E-2</v>
      </c>
      <c r="I13" s="28">
        <f>'Turning Movement Data'!H15</f>
        <v>0</v>
      </c>
      <c r="J13" s="28">
        <f>'Turning Movement Data'!I15</f>
        <v>0</v>
      </c>
      <c r="K13" s="28">
        <f>'Turning Movement Data'!J15</f>
        <v>0</v>
      </c>
      <c r="L13" s="28">
        <f>'Turning Movement Data'!K15</f>
        <v>0</v>
      </c>
      <c r="M13" s="28">
        <f>'Turning Movement Data'!L15</f>
        <v>0</v>
      </c>
      <c r="N13" s="28">
        <f>'Turning Movement Data'!M15</f>
        <v>0</v>
      </c>
      <c r="O13" s="30">
        <v>9.375E-2</v>
      </c>
      <c r="P13" s="28">
        <f>'Turning Movement Data'!N15</f>
        <v>0</v>
      </c>
      <c r="Q13" s="28">
        <f>'Turning Movement Data'!O15</f>
        <v>0</v>
      </c>
      <c r="R13" s="28">
        <f>'Turning Movement Data'!P15</f>
        <v>0</v>
      </c>
      <c r="S13" s="28">
        <f>'Turning Movement Data'!Q15</f>
        <v>0</v>
      </c>
      <c r="T13" s="28">
        <f>'Turning Movement Data'!R15</f>
        <v>0</v>
      </c>
      <c r="U13" s="28">
        <f>'Turning Movement Data'!S15</f>
        <v>0</v>
      </c>
      <c r="V13" s="30">
        <v>9.375E-2</v>
      </c>
      <c r="W13" s="28">
        <f>'Turning Movement Data'!T15</f>
        <v>0</v>
      </c>
      <c r="X13" s="28">
        <f>'Turning Movement Data'!U15</f>
        <v>0</v>
      </c>
      <c r="Y13" s="28">
        <f>'Turning Movement Data'!V15</f>
        <v>0</v>
      </c>
      <c r="Z13" s="28">
        <f>'Turning Movement Data'!W15</f>
        <v>0</v>
      </c>
      <c r="AA13" s="28">
        <f>'Turning Movement Data'!X15</f>
        <v>0</v>
      </c>
      <c r="AB13" s="28">
        <f>'Turning Movement Data'!Y15</f>
        <v>0</v>
      </c>
      <c r="AC13"/>
    </row>
    <row r="14" spans="1:29" s="16" customFormat="1" x14ac:dyDescent="0.25">
      <c r="A14" s="30">
        <v>0.104166666666667</v>
      </c>
      <c r="B14" s="28">
        <f>'Turning Movement Data'!B16</f>
        <v>0</v>
      </c>
      <c r="C14" s="28">
        <f>'Turning Movement Data'!C16</f>
        <v>0</v>
      </c>
      <c r="D14" s="28">
        <f>'Turning Movement Data'!D16</f>
        <v>0</v>
      </c>
      <c r="E14" s="28">
        <f>'Turning Movement Data'!E16</f>
        <v>0</v>
      </c>
      <c r="F14" s="28">
        <f>'Turning Movement Data'!F16</f>
        <v>0</v>
      </c>
      <c r="G14" s="28">
        <f>'Turning Movement Data'!G16</f>
        <v>0</v>
      </c>
      <c r="H14" s="30">
        <v>0.104166666666667</v>
      </c>
      <c r="I14" s="28">
        <f>'Turning Movement Data'!H16</f>
        <v>0</v>
      </c>
      <c r="J14" s="28">
        <f>'Turning Movement Data'!I16</f>
        <v>0</v>
      </c>
      <c r="K14" s="28">
        <f>'Turning Movement Data'!J16</f>
        <v>0</v>
      </c>
      <c r="L14" s="28">
        <f>'Turning Movement Data'!K16</f>
        <v>0</v>
      </c>
      <c r="M14" s="28">
        <f>'Turning Movement Data'!L16</f>
        <v>0</v>
      </c>
      <c r="N14" s="28">
        <f>'Turning Movement Data'!M16</f>
        <v>0</v>
      </c>
      <c r="O14" s="30">
        <v>0.104166666666667</v>
      </c>
      <c r="P14" s="28">
        <f>'Turning Movement Data'!N16</f>
        <v>0</v>
      </c>
      <c r="Q14" s="28">
        <f>'Turning Movement Data'!O16</f>
        <v>0</v>
      </c>
      <c r="R14" s="28">
        <f>'Turning Movement Data'!P16</f>
        <v>0</v>
      </c>
      <c r="S14" s="28">
        <f>'Turning Movement Data'!Q16</f>
        <v>0</v>
      </c>
      <c r="T14" s="28">
        <f>'Turning Movement Data'!R16</f>
        <v>0</v>
      </c>
      <c r="U14" s="28">
        <f>'Turning Movement Data'!S16</f>
        <v>0</v>
      </c>
      <c r="V14" s="30">
        <v>0.104166666666667</v>
      </c>
      <c r="W14" s="28">
        <f>'Turning Movement Data'!T16</f>
        <v>0</v>
      </c>
      <c r="X14" s="28">
        <f>'Turning Movement Data'!U16</f>
        <v>0</v>
      </c>
      <c r="Y14" s="28">
        <f>'Turning Movement Data'!V16</f>
        <v>0</v>
      </c>
      <c r="Z14" s="28">
        <f>'Turning Movement Data'!W16</f>
        <v>0</v>
      </c>
      <c r="AA14" s="28">
        <f>'Turning Movement Data'!X16</f>
        <v>0</v>
      </c>
      <c r="AB14" s="28">
        <f>'Turning Movement Data'!Y16</f>
        <v>0</v>
      </c>
      <c r="AC14"/>
    </row>
    <row r="15" spans="1:29" s="6" customFormat="1" x14ac:dyDescent="0.25">
      <c r="A15" s="30">
        <v>0.114583333333333</v>
      </c>
      <c r="B15" s="28">
        <f>'Turning Movement Data'!B17</f>
        <v>0</v>
      </c>
      <c r="C15" s="28">
        <f>'Turning Movement Data'!C17</f>
        <v>0</v>
      </c>
      <c r="D15" s="28">
        <f>'Turning Movement Data'!D17</f>
        <v>0</v>
      </c>
      <c r="E15" s="28">
        <f>'Turning Movement Data'!E17</f>
        <v>0</v>
      </c>
      <c r="F15" s="28">
        <f>'Turning Movement Data'!F17</f>
        <v>0</v>
      </c>
      <c r="G15" s="28">
        <f>'Turning Movement Data'!G17</f>
        <v>0</v>
      </c>
      <c r="H15" s="30">
        <v>0.114583333333333</v>
      </c>
      <c r="I15" s="28">
        <f>'Turning Movement Data'!H17</f>
        <v>0</v>
      </c>
      <c r="J15" s="28">
        <f>'Turning Movement Data'!I17</f>
        <v>0</v>
      </c>
      <c r="K15" s="28">
        <f>'Turning Movement Data'!J17</f>
        <v>0</v>
      </c>
      <c r="L15" s="28">
        <f>'Turning Movement Data'!K17</f>
        <v>0</v>
      </c>
      <c r="M15" s="28">
        <f>'Turning Movement Data'!L17</f>
        <v>0</v>
      </c>
      <c r="N15" s="28">
        <f>'Turning Movement Data'!M17</f>
        <v>0</v>
      </c>
      <c r="O15" s="30">
        <v>0.114583333333333</v>
      </c>
      <c r="P15" s="28">
        <f>'Turning Movement Data'!N17</f>
        <v>0</v>
      </c>
      <c r="Q15" s="28">
        <f>'Turning Movement Data'!O17</f>
        <v>0</v>
      </c>
      <c r="R15" s="28">
        <f>'Turning Movement Data'!P17</f>
        <v>0</v>
      </c>
      <c r="S15" s="28">
        <f>'Turning Movement Data'!Q17</f>
        <v>0</v>
      </c>
      <c r="T15" s="28">
        <f>'Turning Movement Data'!R17</f>
        <v>0</v>
      </c>
      <c r="U15" s="28">
        <f>'Turning Movement Data'!S17</f>
        <v>0</v>
      </c>
      <c r="V15" s="30">
        <v>0.114583333333333</v>
      </c>
      <c r="W15" s="28">
        <f>'Turning Movement Data'!T17</f>
        <v>0</v>
      </c>
      <c r="X15" s="28">
        <f>'Turning Movement Data'!U17</f>
        <v>0</v>
      </c>
      <c r="Y15" s="28">
        <f>'Turning Movement Data'!V17</f>
        <v>0</v>
      </c>
      <c r="Z15" s="28">
        <f>'Turning Movement Data'!W17</f>
        <v>0</v>
      </c>
      <c r="AA15" s="28">
        <f>'Turning Movement Data'!X17</f>
        <v>0</v>
      </c>
      <c r="AB15" s="28">
        <f>'Turning Movement Data'!Y17</f>
        <v>0</v>
      </c>
      <c r="AC15"/>
    </row>
    <row r="16" spans="1:29" s="16" customFormat="1" x14ac:dyDescent="0.25">
      <c r="A16" s="30">
        <v>0.125</v>
      </c>
      <c r="B16" s="28">
        <f>'Turning Movement Data'!B19</f>
        <v>0</v>
      </c>
      <c r="C16" s="28">
        <f>'Turning Movement Data'!C19</f>
        <v>0</v>
      </c>
      <c r="D16" s="28">
        <f>'Turning Movement Data'!D19</f>
        <v>0</v>
      </c>
      <c r="E16" s="28">
        <f>'Turning Movement Data'!E19</f>
        <v>0</v>
      </c>
      <c r="F16" s="28">
        <f>'Turning Movement Data'!F19</f>
        <v>0</v>
      </c>
      <c r="G16" s="28">
        <f>'Turning Movement Data'!G19</f>
        <v>0</v>
      </c>
      <c r="H16" s="30">
        <v>0.125</v>
      </c>
      <c r="I16" s="28">
        <f>'Turning Movement Data'!H19</f>
        <v>0</v>
      </c>
      <c r="J16" s="28">
        <f>'Turning Movement Data'!I19</f>
        <v>0</v>
      </c>
      <c r="K16" s="28">
        <f>'Turning Movement Data'!J19</f>
        <v>0</v>
      </c>
      <c r="L16" s="28">
        <f>'Turning Movement Data'!K19</f>
        <v>0</v>
      </c>
      <c r="M16" s="28">
        <f>'Turning Movement Data'!L19</f>
        <v>0</v>
      </c>
      <c r="N16" s="28">
        <f>'Turning Movement Data'!M19</f>
        <v>0</v>
      </c>
      <c r="O16" s="30">
        <v>0.125</v>
      </c>
      <c r="P16" s="28">
        <f>'Turning Movement Data'!N19</f>
        <v>0</v>
      </c>
      <c r="Q16" s="28">
        <f>'Turning Movement Data'!O19</f>
        <v>0</v>
      </c>
      <c r="R16" s="28">
        <f>'Turning Movement Data'!P19</f>
        <v>0</v>
      </c>
      <c r="S16" s="28">
        <f>'Turning Movement Data'!Q19</f>
        <v>0</v>
      </c>
      <c r="T16" s="28">
        <f>'Turning Movement Data'!R19</f>
        <v>0</v>
      </c>
      <c r="U16" s="28">
        <f>'Turning Movement Data'!S19</f>
        <v>0</v>
      </c>
      <c r="V16" s="30">
        <v>0.125</v>
      </c>
      <c r="W16" s="28">
        <f>'Turning Movement Data'!T19</f>
        <v>0</v>
      </c>
      <c r="X16" s="28">
        <f>'Turning Movement Data'!U19</f>
        <v>0</v>
      </c>
      <c r="Y16" s="28">
        <f>'Turning Movement Data'!V19</f>
        <v>0</v>
      </c>
      <c r="Z16" s="28">
        <f>'Turning Movement Data'!W19</f>
        <v>0</v>
      </c>
      <c r="AA16" s="28">
        <f>'Turning Movement Data'!X19</f>
        <v>0</v>
      </c>
      <c r="AB16" s="28">
        <f>'Turning Movement Data'!Y19</f>
        <v>0</v>
      </c>
      <c r="AC16"/>
    </row>
    <row r="17" spans="1:29" s="5" customFormat="1" x14ac:dyDescent="0.25">
      <c r="A17" s="30">
        <v>0.13541666666666699</v>
      </c>
      <c r="B17" s="28">
        <f>'Turning Movement Data'!B20</f>
        <v>0</v>
      </c>
      <c r="C17" s="28">
        <f>'Turning Movement Data'!C20</f>
        <v>0</v>
      </c>
      <c r="D17" s="28">
        <f>'Turning Movement Data'!D20</f>
        <v>0</v>
      </c>
      <c r="E17" s="28">
        <f>'Turning Movement Data'!E20</f>
        <v>0</v>
      </c>
      <c r="F17" s="28">
        <f>'Turning Movement Data'!F20</f>
        <v>0</v>
      </c>
      <c r="G17" s="28">
        <f>'Turning Movement Data'!G20</f>
        <v>0</v>
      </c>
      <c r="H17" s="30">
        <v>0.13541666666666699</v>
      </c>
      <c r="I17" s="28">
        <f>'Turning Movement Data'!H20</f>
        <v>0</v>
      </c>
      <c r="J17" s="28">
        <f>'Turning Movement Data'!I20</f>
        <v>0</v>
      </c>
      <c r="K17" s="28">
        <f>'Turning Movement Data'!J20</f>
        <v>0</v>
      </c>
      <c r="L17" s="28">
        <f>'Turning Movement Data'!K20</f>
        <v>0</v>
      </c>
      <c r="M17" s="28">
        <f>'Turning Movement Data'!L20</f>
        <v>0</v>
      </c>
      <c r="N17" s="28">
        <f>'Turning Movement Data'!M20</f>
        <v>0</v>
      </c>
      <c r="O17" s="30">
        <v>0.13541666666666699</v>
      </c>
      <c r="P17" s="28">
        <f>'Turning Movement Data'!N20</f>
        <v>0</v>
      </c>
      <c r="Q17" s="28">
        <f>'Turning Movement Data'!O20</f>
        <v>0</v>
      </c>
      <c r="R17" s="28">
        <f>'Turning Movement Data'!P20</f>
        <v>0</v>
      </c>
      <c r="S17" s="28">
        <f>'Turning Movement Data'!Q20</f>
        <v>0</v>
      </c>
      <c r="T17" s="28">
        <f>'Turning Movement Data'!R20</f>
        <v>0</v>
      </c>
      <c r="U17" s="28">
        <f>'Turning Movement Data'!S20</f>
        <v>0</v>
      </c>
      <c r="V17" s="30">
        <v>0.13541666666666699</v>
      </c>
      <c r="W17" s="28">
        <f>'Turning Movement Data'!T20</f>
        <v>0</v>
      </c>
      <c r="X17" s="28">
        <f>'Turning Movement Data'!U20</f>
        <v>0</v>
      </c>
      <c r="Y17" s="28">
        <f>'Turning Movement Data'!V20</f>
        <v>0</v>
      </c>
      <c r="Z17" s="28">
        <f>'Turning Movement Data'!W20</f>
        <v>0</v>
      </c>
      <c r="AA17" s="28">
        <f>'Turning Movement Data'!X20</f>
        <v>0</v>
      </c>
      <c r="AB17" s="28">
        <f>'Turning Movement Data'!Y20</f>
        <v>0</v>
      </c>
      <c r="AC17"/>
    </row>
    <row r="18" spans="1:29" s="16" customFormat="1" x14ac:dyDescent="0.25">
      <c r="A18" s="30">
        <v>0.14583333333333301</v>
      </c>
      <c r="B18" s="28">
        <f>'Turning Movement Data'!B21</f>
        <v>0</v>
      </c>
      <c r="C18" s="28">
        <f>'Turning Movement Data'!C21</f>
        <v>0</v>
      </c>
      <c r="D18" s="28">
        <f>'Turning Movement Data'!D21</f>
        <v>0</v>
      </c>
      <c r="E18" s="28">
        <f>'Turning Movement Data'!E21</f>
        <v>0</v>
      </c>
      <c r="F18" s="28">
        <f>'Turning Movement Data'!F21</f>
        <v>0</v>
      </c>
      <c r="G18" s="28">
        <f>'Turning Movement Data'!G21</f>
        <v>0</v>
      </c>
      <c r="H18" s="30">
        <v>0.14583333333333301</v>
      </c>
      <c r="I18" s="28">
        <f>'Turning Movement Data'!H21</f>
        <v>0</v>
      </c>
      <c r="J18" s="28">
        <f>'Turning Movement Data'!I21</f>
        <v>0</v>
      </c>
      <c r="K18" s="28">
        <f>'Turning Movement Data'!J21</f>
        <v>0</v>
      </c>
      <c r="L18" s="28">
        <f>'Turning Movement Data'!K21</f>
        <v>0</v>
      </c>
      <c r="M18" s="28">
        <f>'Turning Movement Data'!L21</f>
        <v>0</v>
      </c>
      <c r="N18" s="28">
        <f>'Turning Movement Data'!M21</f>
        <v>0</v>
      </c>
      <c r="O18" s="30">
        <v>0.14583333333333301</v>
      </c>
      <c r="P18" s="28">
        <f>'Turning Movement Data'!N21</f>
        <v>0</v>
      </c>
      <c r="Q18" s="28">
        <f>'Turning Movement Data'!O21</f>
        <v>0</v>
      </c>
      <c r="R18" s="28">
        <f>'Turning Movement Data'!P21</f>
        <v>0</v>
      </c>
      <c r="S18" s="28">
        <f>'Turning Movement Data'!Q21</f>
        <v>0</v>
      </c>
      <c r="T18" s="28">
        <f>'Turning Movement Data'!R21</f>
        <v>0</v>
      </c>
      <c r="U18" s="28">
        <f>'Turning Movement Data'!S21</f>
        <v>0</v>
      </c>
      <c r="V18" s="30">
        <v>0.14583333333333301</v>
      </c>
      <c r="W18" s="28">
        <f>'Turning Movement Data'!T21</f>
        <v>0</v>
      </c>
      <c r="X18" s="28">
        <f>'Turning Movement Data'!U21</f>
        <v>0</v>
      </c>
      <c r="Y18" s="28">
        <f>'Turning Movement Data'!V21</f>
        <v>0</v>
      </c>
      <c r="Z18" s="28">
        <f>'Turning Movement Data'!W21</f>
        <v>0</v>
      </c>
      <c r="AA18" s="28">
        <f>'Turning Movement Data'!X21</f>
        <v>0</v>
      </c>
      <c r="AB18" s="28">
        <f>'Turning Movement Data'!Y21</f>
        <v>0</v>
      </c>
      <c r="AC18"/>
    </row>
    <row r="19" spans="1:29" s="6" customFormat="1" x14ac:dyDescent="0.25">
      <c r="A19" s="30">
        <v>0.15625</v>
      </c>
      <c r="B19" s="28">
        <f>'Turning Movement Data'!B22</f>
        <v>0</v>
      </c>
      <c r="C19" s="28">
        <f>'Turning Movement Data'!C22</f>
        <v>0</v>
      </c>
      <c r="D19" s="28">
        <f>'Turning Movement Data'!D22</f>
        <v>0</v>
      </c>
      <c r="E19" s="28">
        <f>'Turning Movement Data'!E22</f>
        <v>0</v>
      </c>
      <c r="F19" s="28">
        <f>'Turning Movement Data'!F22</f>
        <v>0</v>
      </c>
      <c r="G19" s="28">
        <f>'Turning Movement Data'!G22</f>
        <v>0</v>
      </c>
      <c r="H19" s="30">
        <v>0.15625</v>
      </c>
      <c r="I19" s="28">
        <f>'Turning Movement Data'!H22</f>
        <v>0</v>
      </c>
      <c r="J19" s="28">
        <f>'Turning Movement Data'!I22</f>
        <v>0</v>
      </c>
      <c r="K19" s="28">
        <f>'Turning Movement Data'!J22</f>
        <v>0</v>
      </c>
      <c r="L19" s="28">
        <f>'Turning Movement Data'!K22</f>
        <v>0</v>
      </c>
      <c r="M19" s="28">
        <f>'Turning Movement Data'!L22</f>
        <v>0</v>
      </c>
      <c r="N19" s="28">
        <f>'Turning Movement Data'!M22</f>
        <v>0</v>
      </c>
      <c r="O19" s="30">
        <v>0.15625</v>
      </c>
      <c r="P19" s="28">
        <f>'Turning Movement Data'!N22</f>
        <v>0</v>
      </c>
      <c r="Q19" s="28">
        <f>'Turning Movement Data'!O22</f>
        <v>0</v>
      </c>
      <c r="R19" s="28">
        <f>'Turning Movement Data'!P22</f>
        <v>0</v>
      </c>
      <c r="S19" s="28">
        <f>'Turning Movement Data'!Q22</f>
        <v>0</v>
      </c>
      <c r="T19" s="28">
        <f>'Turning Movement Data'!R22</f>
        <v>0</v>
      </c>
      <c r="U19" s="28">
        <f>'Turning Movement Data'!S22</f>
        <v>0</v>
      </c>
      <c r="V19" s="30">
        <v>0.15625</v>
      </c>
      <c r="W19" s="28">
        <f>'Turning Movement Data'!T22</f>
        <v>0</v>
      </c>
      <c r="X19" s="28">
        <f>'Turning Movement Data'!U22</f>
        <v>0</v>
      </c>
      <c r="Y19" s="28">
        <f>'Turning Movement Data'!V22</f>
        <v>0</v>
      </c>
      <c r="Z19" s="28">
        <f>'Turning Movement Data'!W22</f>
        <v>0</v>
      </c>
      <c r="AA19" s="28">
        <f>'Turning Movement Data'!X22</f>
        <v>0</v>
      </c>
      <c r="AB19" s="28">
        <f>'Turning Movement Data'!Y22</f>
        <v>0</v>
      </c>
      <c r="AC19"/>
    </row>
    <row r="20" spans="1:29" s="16" customFormat="1" x14ac:dyDescent="0.25">
      <c r="A20" s="30">
        <v>0.16666666666666699</v>
      </c>
      <c r="B20" s="28">
        <f>'Turning Movement Data'!B24</f>
        <v>0</v>
      </c>
      <c r="C20" s="28">
        <f>'Turning Movement Data'!C24</f>
        <v>0</v>
      </c>
      <c r="D20" s="28">
        <f>'Turning Movement Data'!D24</f>
        <v>0</v>
      </c>
      <c r="E20" s="28">
        <f>'Turning Movement Data'!E24</f>
        <v>0</v>
      </c>
      <c r="F20" s="28">
        <f>'Turning Movement Data'!F24</f>
        <v>0</v>
      </c>
      <c r="G20" s="28">
        <f>'Turning Movement Data'!G24</f>
        <v>0</v>
      </c>
      <c r="H20" s="30">
        <v>0.16666666666666699</v>
      </c>
      <c r="I20" s="28">
        <f>'Turning Movement Data'!H24</f>
        <v>0</v>
      </c>
      <c r="J20" s="28">
        <f>'Turning Movement Data'!I24</f>
        <v>0</v>
      </c>
      <c r="K20" s="28">
        <f>'Turning Movement Data'!J24</f>
        <v>0</v>
      </c>
      <c r="L20" s="28">
        <f>'Turning Movement Data'!K24</f>
        <v>0</v>
      </c>
      <c r="M20" s="28">
        <f>'Turning Movement Data'!L24</f>
        <v>0</v>
      </c>
      <c r="N20" s="28">
        <f>'Turning Movement Data'!M24</f>
        <v>0</v>
      </c>
      <c r="O20" s="30">
        <v>0.16666666666666699</v>
      </c>
      <c r="P20" s="28">
        <f>'Turning Movement Data'!N24</f>
        <v>0</v>
      </c>
      <c r="Q20" s="28">
        <f>'Turning Movement Data'!O24</f>
        <v>0</v>
      </c>
      <c r="R20" s="28">
        <f>'Turning Movement Data'!P24</f>
        <v>0</v>
      </c>
      <c r="S20" s="28">
        <f>'Turning Movement Data'!Q24</f>
        <v>0</v>
      </c>
      <c r="T20" s="28">
        <f>'Turning Movement Data'!R24</f>
        <v>0</v>
      </c>
      <c r="U20" s="28">
        <f>'Turning Movement Data'!S24</f>
        <v>0</v>
      </c>
      <c r="V20" s="30">
        <v>0.16666666666666699</v>
      </c>
      <c r="W20" s="28">
        <f>'Turning Movement Data'!T24</f>
        <v>0</v>
      </c>
      <c r="X20" s="28">
        <f>'Turning Movement Data'!U24</f>
        <v>0</v>
      </c>
      <c r="Y20" s="28">
        <f>'Turning Movement Data'!V24</f>
        <v>0</v>
      </c>
      <c r="Z20" s="28">
        <f>'Turning Movement Data'!W24</f>
        <v>0</v>
      </c>
      <c r="AA20" s="28">
        <f>'Turning Movement Data'!X24</f>
        <v>0</v>
      </c>
      <c r="AB20" s="28">
        <f>'Turning Movement Data'!Y24</f>
        <v>0</v>
      </c>
      <c r="AC20"/>
    </row>
    <row r="21" spans="1:29" s="6" customFormat="1" x14ac:dyDescent="0.25">
      <c r="A21" s="30">
        <v>0.17708333333333301</v>
      </c>
      <c r="B21" s="28">
        <f>'Turning Movement Data'!B25</f>
        <v>0</v>
      </c>
      <c r="C21" s="28">
        <f>'Turning Movement Data'!C25</f>
        <v>0</v>
      </c>
      <c r="D21" s="28">
        <f>'Turning Movement Data'!D25</f>
        <v>0</v>
      </c>
      <c r="E21" s="28">
        <f>'Turning Movement Data'!E25</f>
        <v>0</v>
      </c>
      <c r="F21" s="28">
        <f>'Turning Movement Data'!F25</f>
        <v>0</v>
      </c>
      <c r="G21" s="28">
        <f>'Turning Movement Data'!G25</f>
        <v>0</v>
      </c>
      <c r="H21" s="30">
        <v>0.17708333333333301</v>
      </c>
      <c r="I21" s="28">
        <f>'Turning Movement Data'!H25</f>
        <v>0</v>
      </c>
      <c r="J21" s="28">
        <f>'Turning Movement Data'!I25</f>
        <v>0</v>
      </c>
      <c r="K21" s="28">
        <f>'Turning Movement Data'!J25</f>
        <v>0</v>
      </c>
      <c r="L21" s="28">
        <f>'Turning Movement Data'!K25</f>
        <v>0</v>
      </c>
      <c r="M21" s="28">
        <f>'Turning Movement Data'!L25</f>
        <v>0</v>
      </c>
      <c r="N21" s="28">
        <f>'Turning Movement Data'!M25</f>
        <v>0</v>
      </c>
      <c r="O21" s="30">
        <v>0.17708333333333301</v>
      </c>
      <c r="P21" s="28">
        <f>'Turning Movement Data'!N25</f>
        <v>0</v>
      </c>
      <c r="Q21" s="28">
        <f>'Turning Movement Data'!O25</f>
        <v>0</v>
      </c>
      <c r="R21" s="28">
        <f>'Turning Movement Data'!P25</f>
        <v>0</v>
      </c>
      <c r="S21" s="28">
        <f>'Turning Movement Data'!Q25</f>
        <v>0</v>
      </c>
      <c r="T21" s="28">
        <f>'Turning Movement Data'!R25</f>
        <v>0</v>
      </c>
      <c r="U21" s="28">
        <f>'Turning Movement Data'!S25</f>
        <v>0</v>
      </c>
      <c r="V21" s="30">
        <v>0.17708333333333301</v>
      </c>
      <c r="W21" s="28">
        <f>'Turning Movement Data'!T25</f>
        <v>0</v>
      </c>
      <c r="X21" s="28">
        <f>'Turning Movement Data'!U25</f>
        <v>0</v>
      </c>
      <c r="Y21" s="28">
        <f>'Turning Movement Data'!V25</f>
        <v>0</v>
      </c>
      <c r="Z21" s="28">
        <f>'Turning Movement Data'!W25</f>
        <v>0</v>
      </c>
      <c r="AA21" s="28">
        <f>'Turning Movement Data'!X25</f>
        <v>0</v>
      </c>
      <c r="AB21" s="28">
        <f>'Turning Movement Data'!Y25</f>
        <v>0</v>
      </c>
      <c r="AC21"/>
    </row>
    <row r="22" spans="1:29" s="19" customFormat="1" x14ac:dyDescent="0.25">
      <c r="A22" s="30">
        <v>0.1875</v>
      </c>
      <c r="B22" s="28">
        <f>'Turning Movement Data'!B26</f>
        <v>0</v>
      </c>
      <c r="C22" s="28">
        <f>'Turning Movement Data'!C26</f>
        <v>0</v>
      </c>
      <c r="D22" s="28">
        <f>'Turning Movement Data'!D26</f>
        <v>0</v>
      </c>
      <c r="E22" s="28">
        <f>'Turning Movement Data'!E26</f>
        <v>0</v>
      </c>
      <c r="F22" s="28">
        <f>'Turning Movement Data'!F26</f>
        <v>0</v>
      </c>
      <c r="G22" s="28">
        <f>'Turning Movement Data'!G26</f>
        <v>0</v>
      </c>
      <c r="H22" s="30">
        <v>0.1875</v>
      </c>
      <c r="I22" s="28">
        <f>'Turning Movement Data'!H26</f>
        <v>0</v>
      </c>
      <c r="J22" s="28">
        <f>'Turning Movement Data'!I26</f>
        <v>0</v>
      </c>
      <c r="K22" s="28">
        <f>'Turning Movement Data'!J26</f>
        <v>0</v>
      </c>
      <c r="L22" s="28">
        <f>'Turning Movement Data'!K26</f>
        <v>0</v>
      </c>
      <c r="M22" s="28">
        <f>'Turning Movement Data'!L26</f>
        <v>0</v>
      </c>
      <c r="N22" s="28">
        <f>'Turning Movement Data'!M26</f>
        <v>0</v>
      </c>
      <c r="O22" s="30">
        <v>0.1875</v>
      </c>
      <c r="P22" s="28">
        <f>'Turning Movement Data'!N26</f>
        <v>0</v>
      </c>
      <c r="Q22" s="28">
        <f>'Turning Movement Data'!O26</f>
        <v>0</v>
      </c>
      <c r="R22" s="28">
        <f>'Turning Movement Data'!P26</f>
        <v>0</v>
      </c>
      <c r="S22" s="28">
        <f>'Turning Movement Data'!Q26</f>
        <v>0</v>
      </c>
      <c r="T22" s="28">
        <f>'Turning Movement Data'!R26</f>
        <v>0</v>
      </c>
      <c r="U22" s="28">
        <f>'Turning Movement Data'!S26</f>
        <v>0</v>
      </c>
      <c r="V22" s="30">
        <v>0.1875</v>
      </c>
      <c r="W22" s="28">
        <f>'Turning Movement Data'!T26</f>
        <v>0</v>
      </c>
      <c r="X22" s="28">
        <f>'Turning Movement Data'!U26</f>
        <v>0</v>
      </c>
      <c r="Y22" s="28">
        <f>'Turning Movement Data'!V26</f>
        <v>0</v>
      </c>
      <c r="Z22" s="28">
        <f>'Turning Movement Data'!W26</f>
        <v>0</v>
      </c>
      <c r="AA22" s="28">
        <f>'Turning Movement Data'!X26</f>
        <v>0</v>
      </c>
      <c r="AB22" s="28">
        <f>'Turning Movement Data'!Y26</f>
        <v>0</v>
      </c>
      <c r="AC22"/>
    </row>
    <row r="23" spans="1:29" s="6" customFormat="1" x14ac:dyDescent="0.25">
      <c r="A23" s="30">
        <v>0.19791666666666699</v>
      </c>
      <c r="B23" s="28">
        <f>'Turning Movement Data'!B27</f>
        <v>0</v>
      </c>
      <c r="C23" s="28">
        <f>'Turning Movement Data'!C27</f>
        <v>0</v>
      </c>
      <c r="D23" s="28">
        <f>'Turning Movement Data'!D27</f>
        <v>0</v>
      </c>
      <c r="E23" s="28">
        <f>'Turning Movement Data'!E27</f>
        <v>0</v>
      </c>
      <c r="F23" s="28">
        <f>'Turning Movement Data'!F27</f>
        <v>0</v>
      </c>
      <c r="G23" s="28">
        <f>'Turning Movement Data'!G27</f>
        <v>0</v>
      </c>
      <c r="H23" s="30">
        <v>0.19791666666666699</v>
      </c>
      <c r="I23" s="28">
        <f>'Turning Movement Data'!H27</f>
        <v>0</v>
      </c>
      <c r="J23" s="28">
        <f>'Turning Movement Data'!I27</f>
        <v>0</v>
      </c>
      <c r="K23" s="28">
        <f>'Turning Movement Data'!J27</f>
        <v>0</v>
      </c>
      <c r="L23" s="28">
        <f>'Turning Movement Data'!K27</f>
        <v>0</v>
      </c>
      <c r="M23" s="28">
        <f>'Turning Movement Data'!L27</f>
        <v>0</v>
      </c>
      <c r="N23" s="28">
        <f>'Turning Movement Data'!M27</f>
        <v>0</v>
      </c>
      <c r="O23" s="30">
        <v>0.19791666666666699</v>
      </c>
      <c r="P23" s="28">
        <f>'Turning Movement Data'!N27</f>
        <v>0</v>
      </c>
      <c r="Q23" s="28">
        <f>'Turning Movement Data'!O27</f>
        <v>0</v>
      </c>
      <c r="R23" s="28">
        <f>'Turning Movement Data'!P27</f>
        <v>0</v>
      </c>
      <c r="S23" s="28">
        <f>'Turning Movement Data'!Q27</f>
        <v>0</v>
      </c>
      <c r="T23" s="28">
        <f>'Turning Movement Data'!R27</f>
        <v>0</v>
      </c>
      <c r="U23" s="28">
        <f>'Turning Movement Data'!S27</f>
        <v>0</v>
      </c>
      <c r="V23" s="30">
        <v>0.19791666666666699</v>
      </c>
      <c r="W23" s="28">
        <f>'Turning Movement Data'!T27</f>
        <v>0</v>
      </c>
      <c r="X23" s="28">
        <f>'Turning Movement Data'!U27</f>
        <v>0</v>
      </c>
      <c r="Y23" s="28">
        <f>'Turning Movement Data'!V27</f>
        <v>0</v>
      </c>
      <c r="Z23" s="28">
        <f>'Turning Movement Data'!W27</f>
        <v>0</v>
      </c>
      <c r="AA23" s="28">
        <f>'Turning Movement Data'!X27</f>
        <v>0</v>
      </c>
      <c r="AB23" s="28">
        <f>'Turning Movement Data'!Y27</f>
        <v>0</v>
      </c>
      <c r="AC23"/>
    </row>
    <row r="24" spans="1:29" s="16" customFormat="1" x14ac:dyDescent="0.25">
      <c r="A24" s="30">
        <v>0.20833333333333301</v>
      </c>
      <c r="B24" s="28">
        <f>'Turning Movement Data'!B29</f>
        <v>0</v>
      </c>
      <c r="C24" s="28">
        <f>'Turning Movement Data'!C29</f>
        <v>0</v>
      </c>
      <c r="D24" s="28">
        <f>'Turning Movement Data'!D29</f>
        <v>0</v>
      </c>
      <c r="E24" s="28">
        <f>'Turning Movement Data'!E29</f>
        <v>0</v>
      </c>
      <c r="F24" s="28">
        <f>'Turning Movement Data'!F29</f>
        <v>0</v>
      </c>
      <c r="G24" s="28">
        <f>'Turning Movement Data'!G29</f>
        <v>0</v>
      </c>
      <c r="H24" s="30">
        <v>0.20833333333333301</v>
      </c>
      <c r="I24" s="28">
        <f>'Turning Movement Data'!H29</f>
        <v>0</v>
      </c>
      <c r="J24" s="28">
        <f>'Turning Movement Data'!I29</f>
        <v>0</v>
      </c>
      <c r="K24" s="28">
        <f>'Turning Movement Data'!J29</f>
        <v>0</v>
      </c>
      <c r="L24" s="28">
        <f>'Turning Movement Data'!K29</f>
        <v>0</v>
      </c>
      <c r="M24" s="28">
        <f>'Turning Movement Data'!L29</f>
        <v>0</v>
      </c>
      <c r="N24" s="28">
        <f>'Turning Movement Data'!M29</f>
        <v>0</v>
      </c>
      <c r="O24" s="30">
        <v>0.20833333333333301</v>
      </c>
      <c r="P24" s="28">
        <f>'Turning Movement Data'!N29</f>
        <v>0</v>
      </c>
      <c r="Q24" s="28">
        <f>'Turning Movement Data'!O29</f>
        <v>0</v>
      </c>
      <c r="R24" s="28">
        <f>'Turning Movement Data'!P29</f>
        <v>0</v>
      </c>
      <c r="S24" s="28">
        <f>'Turning Movement Data'!Q29</f>
        <v>0</v>
      </c>
      <c r="T24" s="28">
        <f>'Turning Movement Data'!R29</f>
        <v>0</v>
      </c>
      <c r="U24" s="28">
        <f>'Turning Movement Data'!S29</f>
        <v>0</v>
      </c>
      <c r="V24" s="30">
        <v>0.20833333333333301</v>
      </c>
      <c r="W24" s="28">
        <f>'Turning Movement Data'!T29</f>
        <v>0</v>
      </c>
      <c r="X24" s="28">
        <f>'Turning Movement Data'!U29</f>
        <v>0</v>
      </c>
      <c r="Y24" s="28">
        <f>'Turning Movement Data'!V29</f>
        <v>0</v>
      </c>
      <c r="Z24" s="28">
        <f>'Turning Movement Data'!W29</f>
        <v>0</v>
      </c>
      <c r="AA24" s="28">
        <f>'Turning Movement Data'!X29</f>
        <v>0</v>
      </c>
      <c r="AB24" s="28">
        <f>'Turning Movement Data'!Y29</f>
        <v>0</v>
      </c>
      <c r="AC24"/>
    </row>
    <row r="25" spans="1:29" s="6" customFormat="1" x14ac:dyDescent="0.25">
      <c r="A25" s="30">
        <v>0.21875</v>
      </c>
      <c r="B25" s="28">
        <f>'Turning Movement Data'!B30</f>
        <v>0</v>
      </c>
      <c r="C25" s="28">
        <f>'Turning Movement Data'!C30</f>
        <v>0</v>
      </c>
      <c r="D25" s="28">
        <f>'Turning Movement Data'!D30</f>
        <v>0</v>
      </c>
      <c r="E25" s="28">
        <f>'Turning Movement Data'!E30</f>
        <v>0</v>
      </c>
      <c r="F25" s="28">
        <f>'Turning Movement Data'!F30</f>
        <v>0</v>
      </c>
      <c r="G25" s="28">
        <f>'Turning Movement Data'!G30</f>
        <v>0</v>
      </c>
      <c r="H25" s="30">
        <v>0.21875</v>
      </c>
      <c r="I25" s="28">
        <f>'Turning Movement Data'!H30</f>
        <v>0</v>
      </c>
      <c r="J25" s="28">
        <f>'Turning Movement Data'!I30</f>
        <v>0</v>
      </c>
      <c r="K25" s="28">
        <f>'Turning Movement Data'!J30</f>
        <v>0</v>
      </c>
      <c r="L25" s="28">
        <f>'Turning Movement Data'!K30</f>
        <v>0</v>
      </c>
      <c r="M25" s="28">
        <f>'Turning Movement Data'!L30</f>
        <v>0</v>
      </c>
      <c r="N25" s="28">
        <f>'Turning Movement Data'!M30</f>
        <v>0</v>
      </c>
      <c r="O25" s="30">
        <v>0.21875</v>
      </c>
      <c r="P25" s="28">
        <f>'Turning Movement Data'!N30</f>
        <v>0</v>
      </c>
      <c r="Q25" s="28">
        <f>'Turning Movement Data'!O30</f>
        <v>0</v>
      </c>
      <c r="R25" s="28">
        <f>'Turning Movement Data'!P30</f>
        <v>0</v>
      </c>
      <c r="S25" s="28">
        <f>'Turning Movement Data'!Q30</f>
        <v>0</v>
      </c>
      <c r="T25" s="28">
        <f>'Turning Movement Data'!R30</f>
        <v>0</v>
      </c>
      <c r="U25" s="28">
        <f>'Turning Movement Data'!S30</f>
        <v>0</v>
      </c>
      <c r="V25" s="30">
        <v>0.21875</v>
      </c>
      <c r="W25" s="28">
        <f>'Turning Movement Data'!T30</f>
        <v>0</v>
      </c>
      <c r="X25" s="28">
        <f>'Turning Movement Data'!U30</f>
        <v>0</v>
      </c>
      <c r="Y25" s="28">
        <f>'Turning Movement Data'!V30</f>
        <v>0</v>
      </c>
      <c r="Z25" s="28">
        <f>'Turning Movement Data'!W30</f>
        <v>0</v>
      </c>
      <c r="AA25" s="28">
        <f>'Turning Movement Data'!X30</f>
        <v>0</v>
      </c>
      <c r="AB25" s="28">
        <f>'Turning Movement Data'!Y30</f>
        <v>0</v>
      </c>
      <c r="AC25"/>
    </row>
    <row r="26" spans="1:29" s="16" customFormat="1" x14ac:dyDescent="0.25">
      <c r="A26" s="30">
        <v>0.22916666666666699</v>
      </c>
      <c r="B26" s="28">
        <f>'Turning Movement Data'!B31</f>
        <v>0</v>
      </c>
      <c r="C26" s="28">
        <f>'Turning Movement Data'!C31</f>
        <v>0</v>
      </c>
      <c r="D26" s="28">
        <f>'Turning Movement Data'!D31</f>
        <v>0</v>
      </c>
      <c r="E26" s="28">
        <f>'Turning Movement Data'!E31</f>
        <v>0</v>
      </c>
      <c r="F26" s="28">
        <f>'Turning Movement Data'!F31</f>
        <v>0</v>
      </c>
      <c r="G26" s="28">
        <f>'Turning Movement Data'!G31</f>
        <v>0</v>
      </c>
      <c r="H26" s="30">
        <v>0.22916666666666699</v>
      </c>
      <c r="I26" s="28">
        <f>'Turning Movement Data'!H31</f>
        <v>0</v>
      </c>
      <c r="J26" s="28">
        <f>'Turning Movement Data'!I31</f>
        <v>0</v>
      </c>
      <c r="K26" s="28">
        <f>'Turning Movement Data'!J31</f>
        <v>0</v>
      </c>
      <c r="L26" s="28">
        <f>'Turning Movement Data'!K31</f>
        <v>0</v>
      </c>
      <c r="M26" s="28">
        <f>'Turning Movement Data'!L31</f>
        <v>0</v>
      </c>
      <c r="N26" s="28">
        <f>'Turning Movement Data'!M31</f>
        <v>0</v>
      </c>
      <c r="O26" s="30">
        <v>0.22916666666666699</v>
      </c>
      <c r="P26" s="28">
        <f>'Turning Movement Data'!N31</f>
        <v>0</v>
      </c>
      <c r="Q26" s="28">
        <f>'Turning Movement Data'!O31</f>
        <v>0</v>
      </c>
      <c r="R26" s="28">
        <f>'Turning Movement Data'!P31</f>
        <v>0</v>
      </c>
      <c r="S26" s="28">
        <f>'Turning Movement Data'!Q31</f>
        <v>0</v>
      </c>
      <c r="T26" s="28">
        <f>'Turning Movement Data'!R31</f>
        <v>0</v>
      </c>
      <c r="U26" s="28">
        <f>'Turning Movement Data'!S31</f>
        <v>0</v>
      </c>
      <c r="V26" s="30">
        <v>0.22916666666666699</v>
      </c>
      <c r="W26" s="28">
        <f>'Turning Movement Data'!T31</f>
        <v>0</v>
      </c>
      <c r="X26" s="28">
        <f>'Turning Movement Data'!U31</f>
        <v>0</v>
      </c>
      <c r="Y26" s="28">
        <f>'Turning Movement Data'!V31</f>
        <v>0</v>
      </c>
      <c r="Z26" s="28">
        <f>'Turning Movement Data'!W31</f>
        <v>0</v>
      </c>
      <c r="AA26" s="28">
        <f>'Turning Movement Data'!X31</f>
        <v>0</v>
      </c>
      <c r="AB26" s="28">
        <f>'Turning Movement Data'!Y31</f>
        <v>0</v>
      </c>
      <c r="AC26"/>
    </row>
    <row r="27" spans="1:29" s="5" customFormat="1" x14ac:dyDescent="0.25">
      <c r="A27" s="30">
        <v>0.23958333333333301</v>
      </c>
      <c r="B27" s="28">
        <f>'Turning Movement Data'!B32</f>
        <v>0</v>
      </c>
      <c r="C27" s="28">
        <f>'Turning Movement Data'!C32</f>
        <v>0</v>
      </c>
      <c r="D27" s="28">
        <f>'Turning Movement Data'!D32</f>
        <v>0</v>
      </c>
      <c r="E27" s="28">
        <f>'Turning Movement Data'!E32</f>
        <v>0</v>
      </c>
      <c r="F27" s="28">
        <f>'Turning Movement Data'!F32</f>
        <v>0</v>
      </c>
      <c r="G27" s="28">
        <f>'Turning Movement Data'!G32</f>
        <v>0</v>
      </c>
      <c r="H27" s="30">
        <v>0.23958333333333301</v>
      </c>
      <c r="I27" s="28">
        <f>'Turning Movement Data'!H32</f>
        <v>0</v>
      </c>
      <c r="J27" s="28">
        <f>'Turning Movement Data'!I32</f>
        <v>0</v>
      </c>
      <c r="K27" s="28">
        <f>'Turning Movement Data'!J32</f>
        <v>0</v>
      </c>
      <c r="L27" s="28">
        <f>'Turning Movement Data'!K32</f>
        <v>0</v>
      </c>
      <c r="M27" s="28">
        <f>'Turning Movement Data'!L32</f>
        <v>0</v>
      </c>
      <c r="N27" s="28">
        <f>'Turning Movement Data'!M32</f>
        <v>0</v>
      </c>
      <c r="O27" s="30">
        <v>0.23958333333333301</v>
      </c>
      <c r="P27" s="28">
        <f>'Turning Movement Data'!N32</f>
        <v>0</v>
      </c>
      <c r="Q27" s="28">
        <f>'Turning Movement Data'!O32</f>
        <v>0</v>
      </c>
      <c r="R27" s="28">
        <f>'Turning Movement Data'!P32</f>
        <v>0</v>
      </c>
      <c r="S27" s="28">
        <f>'Turning Movement Data'!Q32</f>
        <v>0</v>
      </c>
      <c r="T27" s="28">
        <f>'Turning Movement Data'!R32</f>
        <v>0</v>
      </c>
      <c r="U27" s="28">
        <f>'Turning Movement Data'!S32</f>
        <v>0</v>
      </c>
      <c r="V27" s="30">
        <v>0.23958333333333301</v>
      </c>
      <c r="W27" s="28">
        <f>'Turning Movement Data'!T32</f>
        <v>0</v>
      </c>
      <c r="X27" s="28">
        <f>'Turning Movement Data'!U32</f>
        <v>0</v>
      </c>
      <c r="Y27" s="28">
        <f>'Turning Movement Data'!V32</f>
        <v>0</v>
      </c>
      <c r="Z27" s="28">
        <f>'Turning Movement Data'!W32</f>
        <v>0</v>
      </c>
      <c r="AA27" s="28">
        <f>'Turning Movement Data'!X32</f>
        <v>0</v>
      </c>
      <c r="AB27" s="28">
        <f>'Turning Movement Data'!Y32</f>
        <v>0</v>
      </c>
      <c r="AC27"/>
    </row>
    <row r="28" spans="1:29" s="16" customFormat="1" x14ac:dyDescent="0.25">
      <c r="A28" s="30">
        <v>0.25</v>
      </c>
      <c r="B28" s="28">
        <f>'Turning Movement Data'!B34</f>
        <v>0</v>
      </c>
      <c r="C28" s="28">
        <f>'Turning Movement Data'!C34</f>
        <v>0</v>
      </c>
      <c r="D28" s="28">
        <f>'Turning Movement Data'!D34</f>
        <v>0</v>
      </c>
      <c r="E28" s="28">
        <f>'Turning Movement Data'!E34</f>
        <v>0</v>
      </c>
      <c r="F28" s="28">
        <f>'Turning Movement Data'!F34</f>
        <v>0</v>
      </c>
      <c r="G28" s="28">
        <f>'Turning Movement Data'!G34</f>
        <v>0</v>
      </c>
      <c r="H28" s="30">
        <v>0.25</v>
      </c>
      <c r="I28" s="28">
        <f>'Turning Movement Data'!H34</f>
        <v>0</v>
      </c>
      <c r="J28" s="28">
        <f>'Turning Movement Data'!I34</f>
        <v>0</v>
      </c>
      <c r="K28" s="28">
        <f>'Turning Movement Data'!J34</f>
        <v>0</v>
      </c>
      <c r="L28" s="28">
        <f>'Turning Movement Data'!K34</f>
        <v>0</v>
      </c>
      <c r="M28" s="28">
        <f>'Turning Movement Data'!L34</f>
        <v>0</v>
      </c>
      <c r="N28" s="28">
        <f>'Turning Movement Data'!M34</f>
        <v>0</v>
      </c>
      <c r="O28" s="30">
        <v>0.25</v>
      </c>
      <c r="P28" s="28">
        <f>'Turning Movement Data'!N34</f>
        <v>0</v>
      </c>
      <c r="Q28" s="28">
        <f>'Turning Movement Data'!O34</f>
        <v>0</v>
      </c>
      <c r="R28" s="28">
        <f>'Turning Movement Data'!P34</f>
        <v>0</v>
      </c>
      <c r="S28" s="28">
        <f>'Turning Movement Data'!Q34</f>
        <v>0</v>
      </c>
      <c r="T28" s="28">
        <f>'Turning Movement Data'!R34</f>
        <v>0</v>
      </c>
      <c r="U28" s="28">
        <f>'Turning Movement Data'!S34</f>
        <v>0</v>
      </c>
      <c r="V28" s="30">
        <v>0.25</v>
      </c>
      <c r="W28" s="28">
        <f>'Turning Movement Data'!T34</f>
        <v>0</v>
      </c>
      <c r="X28" s="28">
        <f>'Turning Movement Data'!U34</f>
        <v>0</v>
      </c>
      <c r="Y28" s="28">
        <f>'Turning Movement Data'!V34</f>
        <v>0</v>
      </c>
      <c r="Z28" s="28">
        <f>'Turning Movement Data'!W34</f>
        <v>0</v>
      </c>
      <c r="AA28" s="28">
        <f>'Turning Movement Data'!X34</f>
        <v>0</v>
      </c>
      <c r="AB28" s="28">
        <f>'Turning Movement Data'!Y34</f>
        <v>0</v>
      </c>
      <c r="AC28"/>
    </row>
    <row r="29" spans="1:29" s="6" customFormat="1" x14ac:dyDescent="0.25">
      <c r="A29" s="30">
        <v>0.26041666666666702</v>
      </c>
      <c r="B29" s="28">
        <f>'Turning Movement Data'!B35</f>
        <v>0</v>
      </c>
      <c r="C29" s="28">
        <f>'Turning Movement Data'!C35</f>
        <v>0</v>
      </c>
      <c r="D29" s="28">
        <f>'Turning Movement Data'!D35</f>
        <v>0</v>
      </c>
      <c r="E29" s="28">
        <f>'Turning Movement Data'!E35</f>
        <v>0</v>
      </c>
      <c r="F29" s="28">
        <f>'Turning Movement Data'!F35</f>
        <v>0</v>
      </c>
      <c r="G29" s="28">
        <f>'Turning Movement Data'!G35</f>
        <v>0</v>
      </c>
      <c r="H29" s="30">
        <v>0.26041666666666702</v>
      </c>
      <c r="I29" s="28">
        <f>'Turning Movement Data'!H35</f>
        <v>0</v>
      </c>
      <c r="J29" s="28">
        <f>'Turning Movement Data'!I35</f>
        <v>0</v>
      </c>
      <c r="K29" s="28">
        <f>'Turning Movement Data'!J35</f>
        <v>0</v>
      </c>
      <c r="L29" s="28">
        <f>'Turning Movement Data'!K35</f>
        <v>0</v>
      </c>
      <c r="M29" s="28">
        <f>'Turning Movement Data'!L35</f>
        <v>0</v>
      </c>
      <c r="N29" s="28">
        <f>'Turning Movement Data'!M35</f>
        <v>0</v>
      </c>
      <c r="O29" s="30">
        <v>0.26041666666666702</v>
      </c>
      <c r="P29" s="28">
        <f>'Turning Movement Data'!N35</f>
        <v>0</v>
      </c>
      <c r="Q29" s="28">
        <f>'Turning Movement Data'!O35</f>
        <v>0</v>
      </c>
      <c r="R29" s="28">
        <f>'Turning Movement Data'!P35</f>
        <v>0</v>
      </c>
      <c r="S29" s="28">
        <f>'Turning Movement Data'!Q35</f>
        <v>0</v>
      </c>
      <c r="T29" s="28">
        <f>'Turning Movement Data'!R35</f>
        <v>0</v>
      </c>
      <c r="U29" s="28">
        <f>'Turning Movement Data'!S35</f>
        <v>0</v>
      </c>
      <c r="V29" s="30">
        <v>0.26041666666666702</v>
      </c>
      <c r="W29" s="28">
        <f>'Turning Movement Data'!T35</f>
        <v>0</v>
      </c>
      <c r="X29" s="28">
        <f>'Turning Movement Data'!U35</f>
        <v>0</v>
      </c>
      <c r="Y29" s="28">
        <f>'Turning Movement Data'!V35</f>
        <v>0</v>
      </c>
      <c r="Z29" s="28">
        <f>'Turning Movement Data'!W35</f>
        <v>0</v>
      </c>
      <c r="AA29" s="28">
        <f>'Turning Movement Data'!X35</f>
        <v>0</v>
      </c>
      <c r="AB29" s="28">
        <f>'Turning Movement Data'!Y35</f>
        <v>0</v>
      </c>
      <c r="AC29"/>
    </row>
    <row r="30" spans="1:29" s="16" customFormat="1" x14ac:dyDescent="0.25">
      <c r="A30" s="30">
        <v>0.27083333333333298</v>
      </c>
      <c r="B30" s="28">
        <f>'Turning Movement Data'!B36</f>
        <v>0</v>
      </c>
      <c r="C30" s="28">
        <f>'Turning Movement Data'!C36</f>
        <v>0</v>
      </c>
      <c r="D30" s="28">
        <f>'Turning Movement Data'!D36</f>
        <v>0</v>
      </c>
      <c r="E30" s="28">
        <f>'Turning Movement Data'!E36</f>
        <v>0</v>
      </c>
      <c r="F30" s="28">
        <f>'Turning Movement Data'!F36</f>
        <v>0</v>
      </c>
      <c r="G30" s="28">
        <f>'Turning Movement Data'!G36</f>
        <v>0</v>
      </c>
      <c r="H30" s="30">
        <v>0.27083333333333298</v>
      </c>
      <c r="I30" s="28">
        <f>'Turning Movement Data'!H36</f>
        <v>0</v>
      </c>
      <c r="J30" s="28">
        <f>'Turning Movement Data'!I36</f>
        <v>0</v>
      </c>
      <c r="K30" s="28">
        <f>'Turning Movement Data'!J36</f>
        <v>0</v>
      </c>
      <c r="L30" s="28">
        <f>'Turning Movement Data'!K36</f>
        <v>0</v>
      </c>
      <c r="M30" s="28">
        <f>'Turning Movement Data'!L36</f>
        <v>0</v>
      </c>
      <c r="N30" s="28">
        <f>'Turning Movement Data'!M36</f>
        <v>0</v>
      </c>
      <c r="O30" s="30">
        <v>0.27083333333333298</v>
      </c>
      <c r="P30" s="28">
        <f>'Turning Movement Data'!N36</f>
        <v>0</v>
      </c>
      <c r="Q30" s="28">
        <f>'Turning Movement Data'!O36</f>
        <v>0</v>
      </c>
      <c r="R30" s="28">
        <f>'Turning Movement Data'!P36</f>
        <v>0</v>
      </c>
      <c r="S30" s="28">
        <f>'Turning Movement Data'!Q36</f>
        <v>0</v>
      </c>
      <c r="T30" s="28">
        <f>'Turning Movement Data'!R36</f>
        <v>0</v>
      </c>
      <c r="U30" s="28">
        <f>'Turning Movement Data'!S36</f>
        <v>0</v>
      </c>
      <c r="V30" s="30">
        <v>0.27083333333333298</v>
      </c>
      <c r="W30" s="28">
        <f>'Turning Movement Data'!T36</f>
        <v>0</v>
      </c>
      <c r="X30" s="28">
        <f>'Turning Movement Data'!U36</f>
        <v>0</v>
      </c>
      <c r="Y30" s="28">
        <f>'Turning Movement Data'!V36</f>
        <v>0</v>
      </c>
      <c r="Z30" s="28">
        <f>'Turning Movement Data'!W36</f>
        <v>0</v>
      </c>
      <c r="AA30" s="28">
        <f>'Turning Movement Data'!X36</f>
        <v>0</v>
      </c>
      <c r="AB30" s="28">
        <f>'Turning Movement Data'!Y36</f>
        <v>0</v>
      </c>
      <c r="AC30"/>
    </row>
    <row r="31" spans="1:29" s="6" customFormat="1" x14ac:dyDescent="0.25">
      <c r="A31" s="30">
        <v>0.28125</v>
      </c>
      <c r="B31" s="28">
        <f>'Turning Movement Data'!B37</f>
        <v>0</v>
      </c>
      <c r="C31" s="28">
        <f>'Turning Movement Data'!C37</f>
        <v>0</v>
      </c>
      <c r="D31" s="28">
        <f>'Turning Movement Data'!D37</f>
        <v>0</v>
      </c>
      <c r="E31" s="28">
        <f>'Turning Movement Data'!E37</f>
        <v>0</v>
      </c>
      <c r="F31" s="28">
        <f>'Turning Movement Data'!F37</f>
        <v>0</v>
      </c>
      <c r="G31" s="28">
        <f>'Turning Movement Data'!G37</f>
        <v>0</v>
      </c>
      <c r="H31" s="30">
        <v>0.28125</v>
      </c>
      <c r="I31" s="28">
        <f>'Turning Movement Data'!H37</f>
        <v>0</v>
      </c>
      <c r="J31" s="28">
        <f>'Turning Movement Data'!I37</f>
        <v>0</v>
      </c>
      <c r="K31" s="28">
        <f>'Turning Movement Data'!J37</f>
        <v>0</v>
      </c>
      <c r="L31" s="28">
        <f>'Turning Movement Data'!K37</f>
        <v>0</v>
      </c>
      <c r="M31" s="28">
        <f>'Turning Movement Data'!L37</f>
        <v>0</v>
      </c>
      <c r="N31" s="28">
        <f>'Turning Movement Data'!M37</f>
        <v>0</v>
      </c>
      <c r="O31" s="30">
        <v>0.28125</v>
      </c>
      <c r="P31" s="28">
        <f>'Turning Movement Data'!N37</f>
        <v>0</v>
      </c>
      <c r="Q31" s="28">
        <f>'Turning Movement Data'!O37</f>
        <v>0</v>
      </c>
      <c r="R31" s="28">
        <f>'Turning Movement Data'!P37</f>
        <v>0</v>
      </c>
      <c r="S31" s="28">
        <f>'Turning Movement Data'!Q37</f>
        <v>0</v>
      </c>
      <c r="T31" s="28">
        <f>'Turning Movement Data'!R37</f>
        <v>0</v>
      </c>
      <c r="U31" s="28">
        <f>'Turning Movement Data'!S37</f>
        <v>0</v>
      </c>
      <c r="V31" s="30">
        <v>0.28125</v>
      </c>
      <c r="W31" s="28">
        <f>'Turning Movement Data'!T37</f>
        <v>0</v>
      </c>
      <c r="X31" s="28">
        <f>'Turning Movement Data'!U37</f>
        <v>0</v>
      </c>
      <c r="Y31" s="28">
        <f>'Turning Movement Data'!V37</f>
        <v>0</v>
      </c>
      <c r="Z31" s="28">
        <f>'Turning Movement Data'!W37</f>
        <v>0</v>
      </c>
      <c r="AA31" s="28">
        <f>'Turning Movement Data'!X37</f>
        <v>0</v>
      </c>
      <c r="AB31" s="28">
        <f>'Turning Movement Data'!Y37</f>
        <v>0</v>
      </c>
      <c r="AC31"/>
    </row>
    <row r="32" spans="1:29" s="19" customFormat="1" x14ac:dyDescent="0.25">
      <c r="A32" s="30">
        <v>0.29166666666666702</v>
      </c>
      <c r="B32" s="28">
        <f>'Turning Movement Data'!B39</f>
        <v>0</v>
      </c>
      <c r="C32" s="28">
        <f>'Turning Movement Data'!C39</f>
        <v>175</v>
      </c>
      <c r="D32" s="28">
        <f>'Turning Movement Data'!D39</f>
        <v>157</v>
      </c>
      <c r="E32" s="28">
        <f>'Turning Movement Data'!E39</f>
        <v>0</v>
      </c>
      <c r="F32" s="28">
        <f>'Turning Movement Data'!F39</f>
        <v>0</v>
      </c>
      <c r="G32" s="28">
        <f>'Turning Movement Data'!G39</f>
        <v>332</v>
      </c>
      <c r="H32" s="30">
        <v>0.29166666666666702</v>
      </c>
      <c r="I32" s="28">
        <f>'Turning Movement Data'!H39</f>
        <v>0</v>
      </c>
      <c r="J32" s="28">
        <f>'Turning Movement Data'!I39</f>
        <v>0</v>
      </c>
      <c r="K32" s="28">
        <f>'Turning Movement Data'!J39</f>
        <v>0</v>
      </c>
      <c r="L32" s="28">
        <f>'Turning Movement Data'!K39</f>
        <v>0</v>
      </c>
      <c r="M32" s="28">
        <f>'Turning Movement Data'!L39</f>
        <v>0</v>
      </c>
      <c r="N32" s="28">
        <f>'Turning Movement Data'!M39</f>
        <v>0</v>
      </c>
      <c r="O32" s="30">
        <v>0.29166666666666702</v>
      </c>
      <c r="P32" s="28">
        <f>'Turning Movement Data'!N39</f>
        <v>67</v>
      </c>
      <c r="Q32" s="28">
        <f>'Turning Movement Data'!O39</f>
        <v>56</v>
      </c>
      <c r="R32" s="28">
        <f>'Turning Movement Data'!P39</f>
        <v>0</v>
      </c>
      <c r="S32" s="28">
        <f>'Turning Movement Data'!Q39</f>
        <v>0</v>
      </c>
      <c r="T32" s="28">
        <f>'Turning Movement Data'!R39</f>
        <v>0</v>
      </c>
      <c r="U32" s="28">
        <f>'Turning Movement Data'!S39</f>
        <v>123</v>
      </c>
      <c r="V32" s="30">
        <v>0.29166666666666702</v>
      </c>
      <c r="W32" s="28">
        <f>'Turning Movement Data'!T39</f>
        <v>56</v>
      </c>
      <c r="X32" s="28">
        <f>'Turning Movement Data'!U39</f>
        <v>0</v>
      </c>
      <c r="Y32" s="28">
        <f>'Turning Movement Data'!V39</f>
        <v>8</v>
      </c>
      <c r="Z32" s="28">
        <f>'Turning Movement Data'!W39</f>
        <v>0</v>
      </c>
      <c r="AA32" s="28">
        <f>'Turning Movement Data'!X39</f>
        <v>0</v>
      </c>
      <c r="AB32" s="28">
        <f>'Turning Movement Data'!Y39</f>
        <v>64</v>
      </c>
      <c r="AC32"/>
    </row>
    <row r="33" spans="1:29" s="6" customFormat="1" x14ac:dyDescent="0.25">
      <c r="A33" s="30">
        <v>0.30208333333333298</v>
      </c>
      <c r="B33" s="28">
        <f>'Turning Movement Data'!B40</f>
        <v>0</v>
      </c>
      <c r="C33" s="28">
        <f>'Turning Movement Data'!C40</f>
        <v>239</v>
      </c>
      <c r="D33" s="28">
        <f>'Turning Movement Data'!D40</f>
        <v>151</v>
      </c>
      <c r="E33" s="28">
        <f>'Turning Movement Data'!E40</f>
        <v>0</v>
      </c>
      <c r="F33" s="28">
        <f>'Turning Movement Data'!F40</f>
        <v>0</v>
      </c>
      <c r="G33" s="28">
        <f>'Turning Movement Data'!G40</f>
        <v>390</v>
      </c>
      <c r="H33" s="30">
        <v>0.30208333333333298</v>
      </c>
      <c r="I33" s="28">
        <f>'Turning Movement Data'!H40</f>
        <v>0</v>
      </c>
      <c r="J33" s="28">
        <f>'Turning Movement Data'!I40</f>
        <v>0</v>
      </c>
      <c r="K33" s="28">
        <f>'Turning Movement Data'!J40</f>
        <v>0</v>
      </c>
      <c r="L33" s="28">
        <f>'Turning Movement Data'!K40</f>
        <v>0</v>
      </c>
      <c r="M33" s="28">
        <f>'Turning Movement Data'!L40</f>
        <v>0</v>
      </c>
      <c r="N33" s="28">
        <f>'Turning Movement Data'!M40</f>
        <v>0</v>
      </c>
      <c r="O33" s="30">
        <v>0.30208333333333298</v>
      </c>
      <c r="P33" s="28">
        <f>'Turning Movement Data'!N40</f>
        <v>79</v>
      </c>
      <c r="Q33" s="28">
        <f>'Turning Movement Data'!O40</f>
        <v>92</v>
      </c>
      <c r="R33" s="28">
        <f>'Turning Movement Data'!P40</f>
        <v>0</v>
      </c>
      <c r="S33" s="28">
        <f>'Turning Movement Data'!Q40</f>
        <v>0</v>
      </c>
      <c r="T33" s="28">
        <f>'Turning Movement Data'!R40</f>
        <v>0</v>
      </c>
      <c r="U33" s="28">
        <f>'Turning Movement Data'!S40</f>
        <v>171</v>
      </c>
      <c r="V33" s="30">
        <v>0.30208333333333298</v>
      </c>
      <c r="W33" s="28">
        <f>'Turning Movement Data'!T40</f>
        <v>58</v>
      </c>
      <c r="X33" s="28">
        <f>'Turning Movement Data'!U40</f>
        <v>0</v>
      </c>
      <c r="Y33" s="28">
        <f>'Turning Movement Data'!V40</f>
        <v>8</v>
      </c>
      <c r="Z33" s="28">
        <f>'Turning Movement Data'!W40</f>
        <v>0</v>
      </c>
      <c r="AA33" s="28">
        <f>'Turning Movement Data'!X40</f>
        <v>0</v>
      </c>
      <c r="AB33" s="28">
        <f>'Turning Movement Data'!Y40</f>
        <v>66</v>
      </c>
      <c r="AC33"/>
    </row>
    <row r="34" spans="1:29" s="16" customFormat="1" x14ac:dyDescent="0.25">
      <c r="A34" s="30">
        <v>0.3125</v>
      </c>
      <c r="B34" s="28">
        <f>'Turning Movement Data'!B41</f>
        <v>0</v>
      </c>
      <c r="C34" s="28">
        <f>'Turning Movement Data'!C41</f>
        <v>235</v>
      </c>
      <c r="D34" s="28">
        <f>'Turning Movement Data'!D41</f>
        <v>162</v>
      </c>
      <c r="E34" s="28">
        <f>'Turning Movement Data'!E41</f>
        <v>0</v>
      </c>
      <c r="F34" s="28">
        <f>'Turning Movement Data'!F41</f>
        <v>0</v>
      </c>
      <c r="G34" s="28">
        <f>'Turning Movement Data'!G41</f>
        <v>397</v>
      </c>
      <c r="H34" s="30">
        <v>0.3125</v>
      </c>
      <c r="I34" s="28">
        <f>'Turning Movement Data'!H41</f>
        <v>0</v>
      </c>
      <c r="J34" s="28">
        <f>'Turning Movement Data'!I41</f>
        <v>0</v>
      </c>
      <c r="K34" s="28">
        <f>'Turning Movement Data'!J41</f>
        <v>0</v>
      </c>
      <c r="L34" s="28">
        <f>'Turning Movement Data'!K41</f>
        <v>0</v>
      </c>
      <c r="M34" s="28">
        <f>'Turning Movement Data'!L41</f>
        <v>0</v>
      </c>
      <c r="N34" s="28">
        <f>'Turning Movement Data'!M41</f>
        <v>0</v>
      </c>
      <c r="O34" s="30">
        <v>0.3125</v>
      </c>
      <c r="P34" s="28">
        <f>'Turning Movement Data'!N41</f>
        <v>72</v>
      </c>
      <c r="Q34" s="28">
        <f>'Turning Movement Data'!O41</f>
        <v>89</v>
      </c>
      <c r="R34" s="28">
        <f>'Turning Movement Data'!P41</f>
        <v>0</v>
      </c>
      <c r="S34" s="28">
        <f>'Turning Movement Data'!Q41</f>
        <v>0</v>
      </c>
      <c r="T34" s="28">
        <f>'Turning Movement Data'!R41</f>
        <v>0</v>
      </c>
      <c r="U34" s="28">
        <f>'Turning Movement Data'!S41</f>
        <v>161</v>
      </c>
      <c r="V34" s="30">
        <v>0.3125</v>
      </c>
      <c r="W34" s="28">
        <f>'Turning Movement Data'!T41</f>
        <v>72</v>
      </c>
      <c r="X34" s="28">
        <f>'Turning Movement Data'!U41</f>
        <v>0</v>
      </c>
      <c r="Y34" s="28">
        <f>'Turning Movement Data'!V41</f>
        <v>10</v>
      </c>
      <c r="Z34" s="28">
        <f>'Turning Movement Data'!W41</f>
        <v>0</v>
      </c>
      <c r="AA34" s="28">
        <f>'Turning Movement Data'!X41</f>
        <v>0</v>
      </c>
      <c r="AB34" s="28">
        <f>'Turning Movement Data'!Y41</f>
        <v>82</v>
      </c>
      <c r="AC34"/>
    </row>
    <row r="35" spans="1:29" s="6" customFormat="1" x14ac:dyDescent="0.25">
      <c r="A35" s="30">
        <v>0.32291666666666702</v>
      </c>
      <c r="B35" s="28">
        <f>'Turning Movement Data'!B42</f>
        <v>0</v>
      </c>
      <c r="C35" s="28">
        <f>'Turning Movement Data'!C42</f>
        <v>228</v>
      </c>
      <c r="D35" s="28">
        <f>'Turning Movement Data'!D42</f>
        <v>143</v>
      </c>
      <c r="E35" s="28">
        <f>'Turning Movement Data'!E42</f>
        <v>0</v>
      </c>
      <c r="F35" s="28">
        <f>'Turning Movement Data'!F42</f>
        <v>0</v>
      </c>
      <c r="G35" s="28">
        <f>'Turning Movement Data'!G42</f>
        <v>371</v>
      </c>
      <c r="H35" s="30">
        <v>0.32291666666666702</v>
      </c>
      <c r="I35" s="28">
        <f>'Turning Movement Data'!H42</f>
        <v>0</v>
      </c>
      <c r="J35" s="28">
        <f>'Turning Movement Data'!I42</f>
        <v>0</v>
      </c>
      <c r="K35" s="28">
        <f>'Turning Movement Data'!J42</f>
        <v>0</v>
      </c>
      <c r="L35" s="28">
        <f>'Turning Movement Data'!K42</f>
        <v>0</v>
      </c>
      <c r="M35" s="28">
        <f>'Turning Movement Data'!L42</f>
        <v>0</v>
      </c>
      <c r="N35" s="28">
        <f>'Turning Movement Data'!M42</f>
        <v>0</v>
      </c>
      <c r="O35" s="30">
        <v>0.32291666666666702</v>
      </c>
      <c r="P35" s="28">
        <f>'Turning Movement Data'!N42</f>
        <v>64</v>
      </c>
      <c r="Q35" s="28">
        <f>'Turning Movement Data'!O42</f>
        <v>118</v>
      </c>
      <c r="R35" s="28">
        <f>'Turning Movement Data'!P42</f>
        <v>0</v>
      </c>
      <c r="S35" s="28">
        <f>'Turning Movement Data'!Q42</f>
        <v>0</v>
      </c>
      <c r="T35" s="28">
        <f>'Turning Movement Data'!R42</f>
        <v>0</v>
      </c>
      <c r="U35" s="28">
        <f>'Turning Movement Data'!S42</f>
        <v>182</v>
      </c>
      <c r="V35" s="30">
        <v>0.32291666666666702</v>
      </c>
      <c r="W35" s="28">
        <f>'Turning Movement Data'!T42</f>
        <v>47</v>
      </c>
      <c r="X35" s="28">
        <f>'Turning Movement Data'!U42</f>
        <v>0</v>
      </c>
      <c r="Y35" s="28">
        <f>'Turning Movement Data'!V42</f>
        <v>9</v>
      </c>
      <c r="Z35" s="28">
        <f>'Turning Movement Data'!W42</f>
        <v>0</v>
      </c>
      <c r="AA35" s="28">
        <f>'Turning Movement Data'!X42</f>
        <v>0</v>
      </c>
      <c r="AB35" s="28">
        <f>'Turning Movement Data'!Y42</f>
        <v>56</v>
      </c>
      <c r="AC35"/>
    </row>
    <row r="36" spans="1:29" s="16" customFormat="1" x14ac:dyDescent="0.25">
      <c r="A36" s="30">
        <v>0.33333333333333298</v>
      </c>
      <c r="B36" s="28">
        <f>'Turning Movement Data'!B44</f>
        <v>0</v>
      </c>
      <c r="C36" s="28">
        <f>'Turning Movement Data'!C44</f>
        <v>208</v>
      </c>
      <c r="D36" s="28">
        <f>'Turning Movement Data'!D44</f>
        <v>140</v>
      </c>
      <c r="E36" s="28">
        <f>'Turning Movement Data'!E44</f>
        <v>0</v>
      </c>
      <c r="F36" s="28">
        <f>'Turning Movement Data'!F44</f>
        <v>0</v>
      </c>
      <c r="G36" s="28">
        <f>'Turning Movement Data'!G44</f>
        <v>348</v>
      </c>
      <c r="H36" s="30">
        <v>0.33333333333333298</v>
      </c>
      <c r="I36" s="28">
        <f>'Turning Movement Data'!H44</f>
        <v>0</v>
      </c>
      <c r="J36" s="28">
        <f>'Turning Movement Data'!I44</f>
        <v>0</v>
      </c>
      <c r="K36" s="28">
        <f>'Turning Movement Data'!J44</f>
        <v>0</v>
      </c>
      <c r="L36" s="28">
        <f>'Turning Movement Data'!K44</f>
        <v>0</v>
      </c>
      <c r="M36" s="28">
        <f>'Turning Movement Data'!L44</f>
        <v>0</v>
      </c>
      <c r="N36" s="28">
        <f>'Turning Movement Data'!M44</f>
        <v>0</v>
      </c>
      <c r="O36" s="30">
        <v>0.33333333333333298</v>
      </c>
      <c r="P36" s="28">
        <f>'Turning Movement Data'!N44</f>
        <v>60</v>
      </c>
      <c r="Q36" s="28">
        <f>'Turning Movement Data'!O44</f>
        <v>93</v>
      </c>
      <c r="R36" s="28">
        <f>'Turning Movement Data'!P44</f>
        <v>0</v>
      </c>
      <c r="S36" s="28">
        <f>'Turning Movement Data'!Q44</f>
        <v>0</v>
      </c>
      <c r="T36" s="28">
        <f>'Turning Movement Data'!R44</f>
        <v>0</v>
      </c>
      <c r="U36" s="28">
        <f>'Turning Movement Data'!S44</f>
        <v>153</v>
      </c>
      <c r="V36" s="30">
        <v>0.33333333333333298</v>
      </c>
      <c r="W36" s="28">
        <f>'Turning Movement Data'!T44</f>
        <v>42</v>
      </c>
      <c r="X36" s="28">
        <f>'Turning Movement Data'!U44</f>
        <v>0</v>
      </c>
      <c r="Y36" s="28">
        <f>'Turning Movement Data'!V44</f>
        <v>12</v>
      </c>
      <c r="Z36" s="28">
        <f>'Turning Movement Data'!W44</f>
        <v>0</v>
      </c>
      <c r="AA36" s="28">
        <f>'Turning Movement Data'!X44</f>
        <v>0</v>
      </c>
      <c r="AB36" s="28">
        <f>'Turning Movement Data'!Y44</f>
        <v>54</v>
      </c>
      <c r="AC36"/>
    </row>
    <row r="37" spans="1:29" s="5" customFormat="1" x14ac:dyDescent="0.25">
      <c r="A37" s="30">
        <v>0.34375</v>
      </c>
      <c r="B37" s="28">
        <f>'Turning Movement Data'!B45</f>
        <v>0</v>
      </c>
      <c r="C37" s="28">
        <f>'Turning Movement Data'!C45</f>
        <v>181</v>
      </c>
      <c r="D37" s="28">
        <f>'Turning Movement Data'!D45</f>
        <v>162</v>
      </c>
      <c r="E37" s="28">
        <f>'Turning Movement Data'!E45</f>
        <v>1</v>
      </c>
      <c r="F37" s="28">
        <f>'Turning Movement Data'!F45</f>
        <v>0</v>
      </c>
      <c r="G37" s="28">
        <f>'Turning Movement Data'!G45</f>
        <v>344</v>
      </c>
      <c r="H37" s="30">
        <v>0.34375</v>
      </c>
      <c r="I37" s="28">
        <f>'Turning Movement Data'!H45</f>
        <v>0</v>
      </c>
      <c r="J37" s="28">
        <f>'Turning Movement Data'!I45</f>
        <v>0</v>
      </c>
      <c r="K37" s="28">
        <f>'Turning Movement Data'!J45</f>
        <v>0</v>
      </c>
      <c r="L37" s="28">
        <f>'Turning Movement Data'!K45</f>
        <v>0</v>
      </c>
      <c r="M37" s="28">
        <f>'Turning Movement Data'!L45</f>
        <v>0</v>
      </c>
      <c r="N37" s="28">
        <f>'Turning Movement Data'!M45</f>
        <v>0</v>
      </c>
      <c r="O37" s="30">
        <v>0.34375</v>
      </c>
      <c r="P37" s="28">
        <f>'Turning Movement Data'!N45</f>
        <v>66</v>
      </c>
      <c r="Q37" s="28">
        <f>'Turning Movement Data'!O45</f>
        <v>124</v>
      </c>
      <c r="R37" s="28">
        <f>'Turning Movement Data'!P45</f>
        <v>0</v>
      </c>
      <c r="S37" s="28">
        <f>'Turning Movement Data'!Q45</f>
        <v>0</v>
      </c>
      <c r="T37" s="28">
        <f>'Turning Movement Data'!R45</f>
        <v>0</v>
      </c>
      <c r="U37" s="28">
        <f>'Turning Movement Data'!S45</f>
        <v>190</v>
      </c>
      <c r="V37" s="30">
        <v>0.34375</v>
      </c>
      <c r="W37" s="28">
        <f>'Turning Movement Data'!T45</f>
        <v>38</v>
      </c>
      <c r="X37" s="28">
        <f>'Turning Movement Data'!U45</f>
        <v>0</v>
      </c>
      <c r="Y37" s="28">
        <f>'Turning Movement Data'!V45</f>
        <v>7</v>
      </c>
      <c r="Z37" s="28">
        <f>'Turning Movement Data'!W45</f>
        <v>0</v>
      </c>
      <c r="AA37" s="28">
        <f>'Turning Movement Data'!X45</f>
        <v>0</v>
      </c>
      <c r="AB37" s="28">
        <f>'Turning Movement Data'!Y45</f>
        <v>45</v>
      </c>
      <c r="AC37"/>
    </row>
    <row r="38" spans="1:29" s="16" customFormat="1" x14ac:dyDescent="0.25">
      <c r="A38" s="30">
        <v>0.35416666666666702</v>
      </c>
      <c r="B38" s="28">
        <f>'Turning Movement Data'!B46</f>
        <v>0</v>
      </c>
      <c r="C38" s="28">
        <f>'Turning Movement Data'!C46</f>
        <v>180</v>
      </c>
      <c r="D38" s="28">
        <f>'Turning Movement Data'!D46</f>
        <v>140</v>
      </c>
      <c r="E38" s="28">
        <f>'Turning Movement Data'!E46</f>
        <v>0</v>
      </c>
      <c r="F38" s="28">
        <f>'Turning Movement Data'!F46</f>
        <v>0</v>
      </c>
      <c r="G38" s="28">
        <f>'Turning Movement Data'!G46</f>
        <v>320</v>
      </c>
      <c r="H38" s="30">
        <v>0.35416666666666702</v>
      </c>
      <c r="I38" s="28">
        <f>'Turning Movement Data'!H46</f>
        <v>0</v>
      </c>
      <c r="J38" s="28">
        <f>'Turning Movement Data'!I46</f>
        <v>0</v>
      </c>
      <c r="K38" s="28">
        <f>'Turning Movement Data'!J46</f>
        <v>0</v>
      </c>
      <c r="L38" s="28">
        <f>'Turning Movement Data'!K46</f>
        <v>0</v>
      </c>
      <c r="M38" s="28">
        <f>'Turning Movement Data'!L46</f>
        <v>0</v>
      </c>
      <c r="N38" s="28">
        <f>'Turning Movement Data'!M46</f>
        <v>0</v>
      </c>
      <c r="O38" s="30">
        <v>0.35416666666666702</v>
      </c>
      <c r="P38" s="28">
        <f>'Turning Movement Data'!N46</f>
        <v>86</v>
      </c>
      <c r="Q38" s="28">
        <f>'Turning Movement Data'!O46</f>
        <v>105</v>
      </c>
      <c r="R38" s="28">
        <f>'Turning Movement Data'!P46</f>
        <v>0</v>
      </c>
      <c r="S38" s="28">
        <f>'Turning Movement Data'!Q46</f>
        <v>0</v>
      </c>
      <c r="T38" s="28">
        <f>'Turning Movement Data'!R46</f>
        <v>0</v>
      </c>
      <c r="U38" s="28">
        <f>'Turning Movement Data'!S46</f>
        <v>191</v>
      </c>
      <c r="V38" s="30">
        <v>0.35416666666666702</v>
      </c>
      <c r="W38" s="28">
        <f>'Turning Movement Data'!T46</f>
        <v>35</v>
      </c>
      <c r="X38" s="28">
        <f>'Turning Movement Data'!U46</f>
        <v>0</v>
      </c>
      <c r="Y38" s="28">
        <f>'Turning Movement Data'!V46</f>
        <v>14</v>
      </c>
      <c r="Z38" s="28">
        <f>'Turning Movement Data'!W46</f>
        <v>0</v>
      </c>
      <c r="AA38" s="28">
        <f>'Turning Movement Data'!X46</f>
        <v>0</v>
      </c>
      <c r="AB38" s="28">
        <f>'Turning Movement Data'!Y46</f>
        <v>49</v>
      </c>
      <c r="AC38"/>
    </row>
    <row r="39" spans="1:29" s="6" customFormat="1" x14ac:dyDescent="0.25">
      <c r="A39" s="30">
        <v>0.36458333333333298</v>
      </c>
      <c r="B39" s="28">
        <f>'Turning Movement Data'!B47</f>
        <v>0</v>
      </c>
      <c r="C39" s="28">
        <f>'Turning Movement Data'!C47</f>
        <v>201</v>
      </c>
      <c r="D39" s="28">
        <f>'Turning Movement Data'!D47</f>
        <v>144</v>
      </c>
      <c r="E39" s="28">
        <f>'Turning Movement Data'!E47</f>
        <v>0</v>
      </c>
      <c r="F39" s="28">
        <f>'Turning Movement Data'!F47</f>
        <v>0</v>
      </c>
      <c r="G39" s="28">
        <f>'Turning Movement Data'!G47</f>
        <v>345</v>
      </c>
      <c r="H39" s="30">
        <v>0.36458333333333298</v>
      </c>
      <c r="I39" s="28">
        <f>'Turning Movement Data'!H47</f>
        <v>0</v>
      </c>
      <c r="J39" s="28">
        <f>'Turning Movement Data'!I47</f>
        <v>0</v>
      </c>
      <c r="K39" s="28">
        <f>'Turning Movement Data'!J47</f>
        <v>0</v>
      </c>
      <c r="L39" s="28">
        <f>'Turning Movement Data'!K47</f>
        <v>0</v>
      </c>
      <c r="M39" s="28">
        <f>'Turning Movement Data'!L47</f>
        <v>0</v>
      </c>
      <c r="N39" s="28">
        <f>'Turning Movement Data'!M47</f>
        <v>0</v>
      </c>
      <c r="O39" s="30">
        <v>0.36458333333333298</v>
      </c>
      <c r="P39" s="28">
        <f>'Turning Movement Data'!N47</f>
        <v>70</v>
      </c>
      <c r="Q39" s="28">
        <f>'Turning Movement Data'!O47</f>
        <v>122</v>
      </c>
      <c r="R39" s="28">
        <f>'Turning Movement Data'!P47</f>
        <v>0</v>
      </c>
      <c r="S39" s="28">
        <f>'Turning Movement Data'!Q47</f>
        <v>0</v>
      </c>
      <c r="T39" s="28">
        <f>'Turning Movement Data'!R47</f>
        <v>0</v>
      </c>
      <c r="U39" s="28">
        <f>'Turning Movement Data'!S47</f>
        <v>192</v>
      </c>
      <c r="V39" s="30">
        <v>0.36458333333333298</v>
      </c>
      <c r="W39" s="28">
        <f>'Turning Movement Data'!T47</f>
        <v>59</v>
      </c>
      <c r="X39" s="28">
        <f>'Turning Movement Data'!U47</f>
        <v>0</v>
      </c>
      <c r="Y39" s="28">
        <f>'Turning Movement Data'!V47</f>
        <v>14</v>
      </c>
      <c r="Z39" s="28">
        <f>'Turning Movement Data'!W47</f>
        <v>0</v>
      </c>
      <c r="AA39" s="28">
        <f>'Turning Movement Data'!X47</f>
        <v>0</v>
      </c>
      <c r="AB39" s="28">
        <f>'Turning Movement Data'!Y47</f>
        <v>73</v>
      </c>
      <c r="AC39"/>
    </row>
    <row r="40" spans="1:29" s="16" customFormat="1" x14ac:dyDescent="0.25">
      <c r="A40" s="30">
        <v>0.375</v>
      </c>
      <c r="B40" s="28">
        <f>'Turning Movement Data'!B49</f>
        <v>0</v>
      </c>
      <c r="C40" s="28">
        <f>'Turning Movement Data'!C49</f>
        <v>142</v>
      </c>
      <c r="D40" s="28">
        <f>'Turning Movement Data'!D49</f>
        <v>78</v>
      </c>
      <c r="E40" s="28">
        <f>'Turning Movement Data'!E49</f>
        <v>0</v>
      </c>
      <c r="F40" s="28">
        <f>'Turning Movement Data'!F49</f>
        <v>0</v>
      </c>
      <c r="G40" s="28">
        <f>'Turning Movement Data'!G49</f>
        <v>220</v>
      </c>
      <c r="H40" s="30">
        <v>0.375</v>
      </c>
      <c r="I40" s="28">
        <f>'Turning Movement Data'!H49</f>
        <v>0</v>
      </c>
      <c r="J40" s="28">
        <f>'Turning Movement Data'!I49</f>
        <v>0</v>
      </c>
      <c r="K40" s="28">
        <f>'Turning Movement Data'!J49</f>
        <v>0</v>
      </c>
      <c r="L40" s="28">
        <f>'Turning Movement Data'!K49</f>
        <v>0</v>
      </c>
      <c r="M40" s="28">
        <f>'Turning Movement Data'!L49</f>
        <v>0</v>
      </c>
      <c r="N40" s="28">
        <f>'Turning Movement Data'!M49</f>
        <v>0</v>
      </c>
      <c r="O40" s="30">
        <v>0.375</v>
      </c>
      <c r="P40" s="28">
        <f>'Turning Movement Data'!N49</f>
        <v>49</v>
      </c>
      <c r="Q40" s="28">
        <f>'Turning Movement Data'!O49</f>
        <v>104</v>
      </c>
      <c r="R40" s="28">
        <f>'Turning Movement Data'!P49</f>
        <v>0</v>
      </c>
      <c r="S40" s="28">
        <f>'Turning Movement Data'!Q49</f>
        <v>0</v>
      </c>
      <c r="T40" s="28">
        <f>'Turning Movement Data'!R49</f>
        <v>0</v>
      </c>
      <c r="U40" s="28">
        <f>'Turning Movement Data'!S49</f>
        <v>153</v>
      </c>
      <c r="V40" s="30">
        <v>0.375</v>
      </c>
      <c r="W40" s="28">
        <f>'Turning Movement Data'!T49</f>
        <v>35</v>
      </c>
      <c r="X40" s="28">
        <f>'Turning Movement Data'!U49</f>
        <v>0</v>
      </c>
      <c r="Y40" s="28">
        <f>'Turning Movement Data'!V49</f>
        <v>12</v>
      </c>
      <c r="Z40" s="28">
        <f>'Turning Movement Data'!W49</f>
        <v>0</v>
      </c>
      <c r="AA40" s="28">
        <f>'Turning Movement Data'!X49</f>
        <v>0</v>
      </c>
      <c r="AB40" s="28">
        <f>'Turning Movement Data'!Y49</f>
        <v>47</v>
      </c>
      <c r="AC40"/>
    </row>
    <row r="41" spans="1:29" s="6" customFormat="1" x14ac:dyDescent="0.25">
      <c r="A41" s="30">
        <v>0.38541666666666702</v>
      </c>
      <c r="B41" s="28">
        <f>'Turning Movement Data'!B50</f>
        <v>0</v>
      </c>
      <c r="C41" s="28">
        <f>'Turning Movement Data'!C50</f>
        <v>139</v>
      </c>
      <c r="D41" s="28">
        <f>'Turning Movement Data'!D50</f>
        <v>89</v>
      </c>
      <c r="E41" s="28">
        <f>'Turning Movement Data'!E50</f>
        <v>0</v>
      </c>
      <c r="F41" s="28">
        <f>'Turning Movement Data'!F50</f>
        <v>0</v>
      </c>
      <c r="G41" s="28">
        <f>'Turning Movement Data'!G50</f>
        <v>228</v>
      </c>
      <c r="H41" s="30">
        <v>0.38541666666666702</v>
      </c>
      <c r="I41" s="28">
        <f>'Turning Movement Data'!H50</f>
        <v>0</v>
      </c>
      <c r="J41" s="28">
        <f>'Turning Movement Data'!I50</f>
        <v>0</v>
      </c>
      <c r="K41" s="28">
        <f>'Turning Movement Data'!J50</f>
        <v>0</v>
      </c>
      <c r="L41" s="28">
        <f>'Turning Movement Data'!K50</f>
        <v>0</v>
      </c>
      <c r="M41" s="28">
        <f>'Turning Movement Data'!L50</f>
        <v>0</v>
      </c>
      <c r="N41" s="28">
        <f>'Turning Movement Data'!M50</f>
        <v>0</v>
      </c>
      <c r="O41" s="30">
        <v>0.38541666666666702</v>
      </c>
      <c r="P41" s="28">
        <f>'Turning Movement Data'!N50</f>
        <v>55</v>
      </c>
      <c r="Q41" s="28">
        <f>'Turning Movement Data'!O50</f>
        <v>118</v>
      </c>
      <c r="R41" s="28">
        <f>'Turning Movement Data'!P50</f>
        <v>0</v>
      </c>
      <c r="S41" s="28">
        <f>'Turning Movement Data'!Q50</f>
        <v>0</v>
      </c>
      <c r="T41" s="28">
        <f>'Turning Movement Data'!R50</f>
        <v>0</v>
      </c>
      <c r="U41" s="28">
        <f>'Turning Movement Data'!S50</f>
        <v>173</v>
      </c>
      <c r="V41" s="30">
        <v>0.38541666666666702</v>
      </c>
      <c r="W41" s="28">
        <f>'Turning Movement Data'!T50</f>
        <v>42</v>
      </c>
      <c r="X41" s="28">
        <f>'Turning Movement Data'!U50</f>
        <v>0</v>
      </c>
      <c r="Y41" s="28">
        <f>'Turning Movement Data'!V50</f>
        <v>13</v>
      </c>
      <c r="Z41" s="28">
        <f>'Turning Movement Data'!W50</f>
        <v>0</v>
      </c>
      <c r="AA41" s="28">
        <f>'Turning Movement Data'!X50</f>
        <v>0</v>
      </c>
      <c r="AB41" s="28">
        <f>'Turning Movement Data'!Y50</f>
        <v>55</v>
      </c>
      <c r="AC41"/>
    </row>
    <row r="42" spans="1:29" s="19" customFormat="1" x14ac:dyDescent="0.25">
      <c r="A42" s="30">
        <v>0.39583333333333298</v>
      </c>
      <c r="B42" s="28">
        <f>'Turning Movement Data'!B51</f>
        <v>0</v>
      </c>
      <c r="C42" s="28">
        <f>'Turning Movement Data'!C51</f>
        <v>141</v>
      </c>
      <c r="D42" s="28">
        <f>'Turning Movement Data'!D51</f>
        <v>90</v>
      </c>
      <c r="E42" s="28">
        <f>'Turning Movement Data'!E51</f>
        <v>0</v>
      </c>
      <c r="F42" s="28">
        <f>'Turning Movement Data'!F51</f>
        <v>0</v>
      </c>
      <c r="G42" s="28">
        <f>'Turning Movement Data'!G51</f>
        <v>231</v>
      </c>
      <c r="H42" s="30">
        <v>0.39583333333333298</v>
      </c>
      <c r="I42" s="28">
        <f>'Turning Movement Data'!H51</f>
        <v>0</v>
      </c>
      <c r="J42" s="28">
        <f>'Turning Movement Data'!I51</f>
        <v>0</v>
      </c>
      <c r="K42" s="28">
        <f>'Turning Movement Data'!J51</f>
        <v>0</v>
      </c>
      <c r="L42" s="28">
        <f>'Turning Movement Data'!K51</f>
        <v>0</v>
      </c>
      <c r="M42" s="28">
        <f>'Turning Movement Data'!L51</f>
        <v>0</v>
      </c>
      <c r="N42" s="28">
        <f>'Turning Movement Data'!M51</f>
        <v>0</v>
      </c>
      <c r="O42" s="30">
        <v>0.39583333333333298</v>
      </c>
      <c r="P42" s="28">
        <f>'Turning Movement Data'!N51</f>
        <v>61</v>
      </c>
      <c r="Q42" s="28">
        <f>'Turning Movement Data'!O51</f>
        <v>121</v>
      </c>
      <c r="R42" s="28">
        <f>'Turning Movement Data'!P51</f>
        <v>0</v>
      </c>
      <c r="S42" s="28">
        <f>'Turning Movement Data'!Q51</f>
        <v>0</v>
      </c>
      <c r="T42" s="28">
        <f>'Turning Movement Data'!R51</f>
        <v>0</v>
      </c>
      <c r="U42" s="28">
        <f>'Turning Movement Data'!S51</f>
        <v>182</v>
      </c>
      <c r="V42" s="30">
        <v>0.39583333333333298</v>
      </c>
      <c r="W42" s="28">
        <f>'Turning Movement Data'!T51</f>
        <v>51</v>
      </c>
      <c r="X42" s="28">
        <f>'Turning Movement Data'!U51</f>
        <v>0</v>
      </c>
      <c r="Y42" s="28">
        <f>'Turning Movement Data'!V51</f>
        <v>8</v>
      </c>
      <c r="Z42" s="28">
        <f>'Turning Movement Data'!W51</f>
        <v>0</v>
      </c>
      <c r="AA42" s="28">
        <f>'Turning Movement Data'!X51</f>
        <v>0</v>
      </c>
      <c r="AB42" s="28">
        <f>'Turning Movement Data'!Y51</f>
        <v>59</v>
      </c>
      <c r="AC42"/>
    </row>
    <row r="43" spans="1:29" s="6" customFormat="1" x14ac:dyDescent="0.25">
      <c r="A43" s="30">
        <v>0.40625</v>
      </c>
      <c r="B43" s="28">
        <f>'Turning Movement Data'!B52</f>
        <v>0</v>
      </c>
      <c r="C43" s="28">
        <f>'Turning Movement Data'!C52</f>
        <v>137</v>
      </c>
      <c r="D43" s="28">
        <f>'Turning Movement Data'!D52</f>
        <v>96</v>
      </c>
      <c r="E43" s="28">
        <f>'Turning Movement Data'!E52</f>
        <v>0</v>
      </c>
      <c r="F43" s="28">
        <f>'Turning Movement Data'!F52</f>
        <v>0</v>
      </c>
      <c r="G43" s="28">
        <f>'Turning Movement Data'!G52</f>
        <v>233</v>
      </c>
      <c r="H43" s="30">
        <v>0.40625</v>
      </c>
      <c r="I43" s="28">
        <f>'Turning Movement Data'!H52</f>
        <v>0</v>
      </c>
      <c r="J43" s="28">
        <f>'Turning Movement Data'!I52</f>
        <v>0</v>
      </c>
      <c r="K43" s="28">
        <f>'Turning Movement Data'!J52</f>
        <v>0</v>
      </c>
      <c r="L43" s="28">
        <f>'Turning Movement Data'!K52</f>
        <v>0</v>
      </c>
      <c r="M43" s="28">
        <f>'Turning Movement Data'!L52</f>
        <v>0</v>
      </c>
      <c r="N43" s="28">
        <f>'Turning Movement Data'!M52</f>
        <v>0</v>
      </c>
      <c r="O43" s="30">
        <v>0.40625</v>
      </c>
      <c r="P43" s="28">
        <f>'Turning Movement Data'!N52</f>
        <v>57</v>
      </c>
      <c r="Q43" s="28">
        <f>'Turning Movement Data'!O52</f>
        <v>98</v>
      </c>
      <c r="R43" s="28">
        <f>'Turning Movement Data'!P52</f>
        <v>0</v>
      </c>
      <c r="S43" s="28">
        <f>'Turning Movement Data'!Q52</f>
        <v>0</v>
      </c>
      <c r="T43" s="28">
        <f>'Turning Movement Data'!R52</f>
        <v>0</v>
      </c>
      <c r="U43" s="28">
        <f>'Turning Movement Data'!S52</f>
        <v>155</v>
      </c>
      <c r="V43" s="30">
        <v>0.40625</v>
      </c>
      <c r="W43" s="28">
        <f>'Turning Movement Data'!T52</f>
        <v>43</v>
      </c>
      <c r="X43" s="28">
        <f>'Turning Movement Data'!U52</f>
        <v>0</v>
      </c>
      <c r="Y43" s="28">
        <f>'Turning Movement Data'!V52</f>
        <v>12</v>
      </c>
      <c r="Z43" s="28">
        <f>'Turning Movement Data'!W52</f>
        <v>0</v>
      </c>
      <c r="AA43" s="28">
        <f>'Turning Movement Data'!X52</f>
        <v>0</v>
      </c>
      <c r="AB43" s="28">
        <f>'Turning Movement Data'!Y52</f>
        <v>55</v>
      </c>
      <c r="AC43"/>
    </row>
    <row r="44" spans="1:29" s="16" customFormat="1" ht="13.5" customHeight="1" x14ac:dyDescent="0.25">
      <c r="A44" s="30">
        <v>0.41666666666666702</v>
      </c>
      <c r="B44" s="28">
        <f>'Turning Movement Data'!B54</f>
        <v>0</v>
      </c>
      <c r="C44" s="28">
        <f>'Turning Movement Data'!C54</f>
        <v>119</v>
      </c>
      <c r="D44" s="28">
        <f>'Turning Movement Data'!D54</f>
        <v>101</v>
      </c>
      <c r="E44" s="28">
        <f>'Turning Movement Data'!E54</f>
        <v>0</v>
      </c>
      <c r="F44" s="28">
        <f>'Turning Movement Data'!F54</f>
        <v>0</v>
      </c>
      <c r="G44" s="28">
        <f>'Turning Movement Data'!G54</f>
        <v>220</v>
      </c>
      <c r="H44" s="30">
        <v>0.41666666666666702</v>
      </c>
      <c r="I44" s="28">
        <f>'Turning Movement Data'!H54</f>
        <v>0</v>
      </c>
      <c r="J44" s="28">
        <f>'Turning Movement Data'!I54</f>
        <v>0</v>
      </c>
      <c r="K44" s="28">
        <f>'Turning Movement Data'!J54</f>
        <v>0</v>
      </c>
      <c r="L44" s="28">
        <f>'Turning Movement Data'!K54</f>
        <v>0</v>
      </c>
      <c r="M44" s="28">
        <f>'Turning Movement Data'!L54</f>
        <v>0</v>
      </c>
      <c r="N44" s="28">
        <f>'Turning Movement Data'!M54</f>
        <v>0</v>
      </c>
      <c r="O44" s="30">
        <v>0.41666666666666702</v>
      </c>
      <c r="P44" s="28">
        <f>'Turning Movement Data'!N54</f>
        <v>49</v>
      </c>
      <c r="Q44" s="28">
        <f>'Turning Movement Data'!O54</f>
        <v>132</v>
      </c>
      <c r="R44" s="28">
        <f>'Turning Movement Data'!P54</f>
        <v>0</v>
      </c>
      <c r="S44" s="28">
        <f>'Turning Movement Data'!Q54</f>
        <v>0</v>
      </c>
      <c r="T44" s="28">
        <f>'Turning Movement Data'!R54</f>
        <v>0</v>
      </c>
      <c r="U44" s="28">
        <f>'Turning Movement Data'!S54</f>
        <v>181</v>
      </c>
      <c r="V44" s="30">
        <v>0.41666666666666702</v>
      </c>
      <c r="W44" s="28">
        <f>'Turning Movement Data'!T54</f>
        <v>43</v>
      </c>
      <c r="X44" s="28">
        <f>'Turning Movement Data'!U54</f>
        <v>0</v>
      </c>
      <c r="Y44" s="28">
        <f>'Turning Movement Data'!V54</f>
        <v>8</v>
      </c>
      <c r="Z44" s="28">
        <f>'Turning Movement Data'!W54</f>
        <v>0</v>
      </c>
      <c r="AA44" s="28">
        <f>'Turning Movement Data'!X54</f>
        <v>0</v>
      </c>
      <c r="AB44" s="28">
        <f>'Turning Movement Data'!Y54</f>
        <v>51</v>
      </c>
      <c r="AC44"/>
    </row>
    <row r="45" spans="1:29" s="6" customFormat="1" x14ac:dyDescent="0.25">
      <c r="A45" s="30">
        <v>0.42708333333333298</v>
      </c>
      <c r="B45" s="28">
        <f>'Turning Movement Data'!B55</f>
        <v>0</v>
      </c>
      <c r="C45" s="28">
        <f>'Turning Movement Data'!C55</f>
        <v>121</v>
      </c>
      <c r="D45" s="28">
        <f>'Turning Movement Data'!D55</f>
        <v>83</v>
      </c>
      <c r="E45" s="28">
        <f>'Turning Movement Data'!E55</f>
        <v>0</v>
      </c>
      <c r="F45" s="28">
        <f>'Turning Movement Data'!F55</f>
        <v>0</v>
      </c>
      <c r="G45" s="28">
        <f>'Turning Movement Data'!G55</f>
        <v>204</v>
      </c>
      <c r="H45" s="30">
        <v>0.42708333333333298</v>
      </c>
      <c r="I45" s="28">
        <f>'Turning Movement Data'!H55</f>
        <v>0</v>
      </c>
      <c r="J45" s="28">
        <f>'Turning Movement Data'!I55</f>
        <v>0</v>
      </c>
      <c r="K45" s="28">
        <f>'Turning Movement Data'!J55</f>
        <v>0</v>
      </c>
      <c r="L45" s="28">
        <f>'Turning Movement Data'!K55</f>
        <v>0</v>
      </c>
      <c r="M45" s="28">
        <f>'Turning Movement Data'!L55</f>
        <v>0</v>
      </c>
      <c r="N45" s="28">
        <f>'Turning Movement Data'!M55</f>
        <v>0</v>
      </c>
      <c r="O45" s="30">
        <v>0.42708333333333298</v>
      </c>
      <c r="P45" s="28">
        <f>'Turning Movement Data'!N55</f>
        <v>44</v>
      </c>
      <c r="Q45" s="28">
        <f>'Turning Movement Data'!O55</f>
        <v>123</v>
      </c>
      <c r="R45" s="28">
        <f>'Turning Movement Data'!P55</f>
        <v>0</v>
      </c>
      <c r="S45" s="28">
        <f>'Turning Movement Data'!Q55</f>
        <v>0</v>
      </c>
      <c r="T45" s="28">
        <f>'Turning Movement Data'!R55</f>
        <v>0</v>
      </c>
      <c r="U45" s="28">
        <f>'Turning Movement Data'!S55</f>
        <v>167</v>
      </c>
      <c r="V45" s="30">
        <v>0.42708333333333298</v>
      </c>
      <c r="W45" s="28">
        <f>'Turning Movement Data'!T55</f>
        <v>40</v>
      </c>
      <c r="X45" s="28">
        <f>'Turning Movement Data'!U55</f>
        <v>0</v>
      </c>
      <c r="Y45" s="28">
        <f>'Turning Movement Data'!V55</f>
        <v>10</v>
      </c>
      <c r="Z45" s="28">
        <f>'Turning Movement Data'!W55</f>
        <v>0</v>
      </c>
      <c r="AA45" s="28">
        <f>'Turning Movement Data'!X55</f>
        <v>0</v>
      </c>
      <c r="AB45" s="28">
        <f>'Turning Movement Data'!Y55</f>
        <v>50</v>
      </c>
      <c r="AC45"/>
    </row>
    <row r="46" spans="1:29" s="16" customFormat="1" x14ac:dyDescent="0.25">
      <c r="A46" s="30">
        <v>0.4375</v>
      </c>
      <c r="B46" s="28">
        <f>'Turning Movement Data'!B56</f>
        <v>0</v>
      </c>
      <c r="C46" s="28">
        <f>'Turning Movement Data'!C56</f>
        <v>120</v>
      </c>
      <c r="D46" s="28">
        <f>'Turning Movement Data'!D56</f>
        <v>93</v>
      </c>
      <c r="E46" s="28">
        <f>'Turning Movement Data'!E56</f>
        <v>0</v>
      </c>
      <c r="F46" s="28">
        <f>'Turning Movement Data'!F56</f>
        <v>0</v>
      </c>
      <c r="G46" s="28">
        <f>'Turning Movement Data'!G56</f>
        <v>213</v>
      </c>
      <c r="H46" s="30">
        <v>0.4375</v>
      </c>
      <c r="I46" s="28">
        <f>'Turning Movement Data'!H56</f>
        <v>0</v>
      </c>
      <c r="J46" s="28">
        <f>'Turning Movement Data'!I56</f>
        <v>0</v>
      </c>
      <c r="K46" s="28">
        <f>'Turning Movement Data'!J56</f>
        <v>0</v>
      </c>
      <c r="L46" s="28">
        <f>'Turning Movement Data'!K56</f>
        <v>0</v>
      </c>
      <c r="M46" s="28">
        <f>'Turning Movement Data'!L56</f>
        <v>0</v>
      </c>
      <c r="N46" s="28">
        <f>'Turning Movement Data'!M56</f>
        <v>0</v>
      </c>
      <c r="O46" s="30">
        <v>0.4375</v>
      </c>
      <c r="P46" s="28">
        <f>'Turning Movement Data'!N56</f>
        <v>56</v>
      </c>
      <c r="Q46" s="28">
        <f>'Turning Movement Data'!O56</f>
        <v>104</v>
      </c>
      <c r="R46" s="28">
        <f>'Turning Movement Data'!P56</f>
        <v>0</v>
      </c>
      <c r="S46" s="28">
        <f>'Turning Movement Data'!Q56</f>
        <v>0</v>
      </c>
      <c r="T46" s="28">
        <f>'Turning Movement Data'!R56</f>
        <v>0</v>
      </c>
      <c r="U46" s="28">
        <f>'Turning Movement Data'!S56</f>
        <v>160</v>
      </c>
      <c r="V46" s="30">
        <v>0.4375</v>
      </c>
      <c r="W46" s="28">
        <f>'Turning Movement Data'!T56</f>
        <v>29</v>
      </c>
      <c r="X46" s="28">
        <f>'Turning Movement Data'!U56</f>
        <v>0</v>
      </c>
      <c r="Y46" s="28">
        <f>'Turning Movement Data'!V56</f>
        <v>11</v>
      </c>
      <c r="Z46" s="28">
        <f>'Turning Movement Data'!W56</f>
        <v>0</v>
      </c>
      <c r="AA46" s="28">
        <f>'Turning Movement Data'!X56</f>
        <v>0</v>
      </c>
      <c r="AB46" s="28">
        <f>'Turning Movement Data'!Y56</f>
        <v>40</v>
      </c>
      <c r="AC46"/>
    </row>
    <row r="47" spans="1:29" s="5" customFormat="1" x14ac:dyDescent="0.25">
      <c r="A47" s="30">
        <v>0.44791666666666702</v>
      </c>
      <c r="B47" s="28">
        <f>'Turning Movement Data'!B57</f>
        <v>0</v>
      </c>
      <c r="C47" s="28">
        <f>'Turning Movement Data'!C57</f>
        <v>137</v>
      </c>
      <c r="D47" s="28">
        <f>'Turning Movement Data'!D57</f>
        <v>79</v>
      </c>
      <c r="E47" s="28">
        <f>'Turning Movement Data'!E57</f>
        <v>0</v>
      </c>
      <c r="F47" s="28">
        <f>'Turning Movement Data'!F57</f>
        <v>0</v>
      </c>
      <c r="G47" s="28">
        <f>'Turning Movement Data'!G57</f>
        <v>216</v>
      </c>
      <c r="H47" s="30">
        <v>0.44791666666666702</v>
      </c>
      <c r="I47" s="28">
        <f>'Turning Movement Data'!H57</f>
        <v>0</v>
      </c>
      <c r="J47" s="28">
        <f>'Turning Movement Data'!I57</f>
        <v>0</v>
      </c>
      <c r="K47" s="28">
        <f>'Turning Movement Data'!J57</f>
        <v>0</v>
      </c>
      <c r="L47" s="28">
        <f>'Turning Movement Data'!K57</f>
        <v>0</v>
      </c>
      <c r="M47" s="28">
        <f>'Turning Movement Data'!L57</f>
        <v>0</v>
      </c>
      <c r="N47" s="28">
        <f>'Turning Movement Data'!M57</f>
        <v>0</v>
      </c>
      <c r="O47" s="30">
        <v>0.44791666666666702</v>
      </c>
      <c r="P47" s="28">
        <f>'Turning Movement Data'!N57</f>
        <v>52</v>
      </c>
      <c r="Q47" s="28">
        <f>'Turning Movement Data'!O57</f>
        <v>116</v>
      </c>
      <c r="R47" s="28">
        <f>'Turning Movement Data'!P57</f>
        <v>0</v>
      </c>
      <c r="S47" s="28">
        <f>'Turning Movement Data'!Q57</f>
        <v>0</v>
      </c>
      <c r="T47" s="28">
        <f>'Turning Movement Data'!R57</f>
        <v>0</v>
      </c>
      <c r="U47" s="28">
        <f>'Turning Movement Data'!S57</f>
        <v>168</v>
      </c>
      <c r="V47" s="30">
        <v>0.44791666666666702</v>
      </c>
      <c r="W47" s="28">
        <f>'Turning Movement Data'!T57</f>
        <v>29</v>
      </c>
      <c r="X47" s="28">
        <f>'Turning Movement Data'!U57</f>
        <v>0</v>
      </c>
      <c r="Y47" s="28">
        <f>'Turning Movement Data'!V57</f>
        <v>17</v>
      </c>
      <c r="Z47" s="28">
        <f>'Turning Movement Data'!W57</f>
        <v>0</v>
      </c>
      <c r="AA47" s="28">
        <f>'Turning Movement Data'!X57</f>
        <v>0</v>
      </c>
      <c r="AB47" s="28">
        <f>'Turning Movement Data'!Y57</f>
        <v>46</v>
      </c>
      <c r="AC47"/>
    </row>
    <row r="48" spans="1:29" s="16" customFormat="1" x14ac:dyDescent="0.25">
      <c r="A48" s="30">
        <v>0.45833333333333298</v>
      </c>
      <c r="B48" s="28">
        <f>'Turning Movement Data'!B59</f>
        <v>0</v>
      </c>
      <c r="C48" s="28">
        <f>'Turning Movement Data'!C59</f>
        <v>150</v>
      </c>
      <c r="D48" s="28">
        <f>'Turning Movement Data'!D59</f>
        <v>82</v>
      </c>
      <c r="E48" s="28">
        <f>'Turning Movement Data'!E59</f>
        <v>0</v>
      </c>
      <c r="F48" s="28">
        <f>'Turning Movement Data'!F59</f>
        <v>0</v>
      </c>
      <c r="G48" s="28">
        <f>'Turning Movement Data'!G59</f>
        <v>232</v>
      </c>
      <c r="H48" s="30">
        <v>0.45833333333333298</v>
      </c>
      <c r="I48" s="28">
        <f>'Turning Movement Data'!H59</f>
        <v>0</v>
      </c>
      <c r="J48" s="28">
        <f>'Turning Movement Data'!I59</f>
        <v>0</v>
      </c>
      <c r="K48" s="28">
        <f>'Turning Movement Data'!J59</f>
        <v>0</v>
      </c>
      <c r="L48" s="28">
        <f>'Turning Movement Data'!K59</f>
        <v>0</v>
      </c>
      <c r="M48" s="28">
        <f>'Turning Movement Data'!L59</f>
        <v>0</v>
      </c>
      <c r="N48" s="28">
        <f>'Turning Movement Data'!M59</f>
        <v>0</v>
      </c>
      <c r="O48" s="30">
        <v>0.45833333333333298</v>
      </c>
      <c r="P48" s="28">
        <f>'Turning Movement Data'!N59</f>
        <v>27</v>
      </c>
      <c r="Q48" s="28">
        <f>'Turning Movement Data'!O59</f>
        <v>122</v>
      </c>
      <c r="R48" s="28">
        <f>'Turning Movement Data'!P59</f>
        <v>0</v>
      </c>
      <c r="S48" s="28">
        <f>'Turning Movement Data'!Q59</f>
        <v>0</v>
      </c>
      <c r="T48" s="28">
        <f>'Turning Movement Data'!R59</f>
        <v>0</v>
      </c>
      <c r="U48" s="28">
        <f>'Turning Movement Data'!S59</f>
        <v>149</v>
      </c>
      <c r="V48" s="30">
        <v>0.45833333333333298</v>
      </c>
      <c r="W48" s="28">
        <f>'Turning Movement Data'!T59</f>
        <v>46</v>
      </c>
      <c r="X48" s="28">
        <f>'Turning Movement Data'!U59</f>
        <v>0</v>
      </c>
      <c r="Y48" s="28">
        <f>'Turning Movement Data'!V59</f>
        <v>7</v>
      </c>
      <c r="Z48" s="28">
        <f>'Turning Movement Data'!W59</f>
        <v>0</v>
      </c>
      <c r="AA48" s="28">
        <f>'Turning Movement Data'!X59</f>
        <v>0</v>
      </c>
      <c r="AB48" s="28">
        <f>'Turning Movement Data'!Y59</f>
        <v>53</v>
      </c>
      <c r="AC48"/>
    </row>
    <row r="49" spans="1:35" s="6" customFormat="1" x14ac:dyDescent="0.25">
      <c r="A49" s="30">
        <v>0.46875</v>
      </c>
      <c r="B49" s="28">
        <f>'Turning Movement Data'!B60</f>
        <v>0</v>
      </c>
      <c r="C49" s="28">
        <f>'Turning Movement Data'!C60</f>
        <v>126</v>
      </c>
      <c r="D49" s="28">
        <f>'Turning Movement Data'!D60</f>
        <v>85</v>
      </c>
      <c r="E49" s="28">
        <f>'Turning Movement Data'!E60</f>
        <v>0</v>
      </c>
      <c r="F49" s="28">
        <f>'Turning Movement Data'!F60</f>
        <v>0</v>
      </c>
      <c r="G49" s="28">
        <f>'Turning Movement Data'!G60</f>
        <v>211</v>
      </c>
      <c r="H49" s="30">
        <v>0.46875</v>
      </c>
      <c r="I49" s="28">
        <f>'Turning Movement Data'!H60</f>
        <v>0</v>
      </c>
      <c r="J49" s="28">
        <f>'Turning Movement Data'!I60</f>
        <v>0</v>
      </c>
      <c r="K49" s="28">
        <f>'Turning Movement Data'!J60</f>
        <v>0</v>
      </c>
      <c r="L49" s="28">
        <f>'Turning Movement Data'!K60</f>
        <v>0</v>
      </c>
      <c r="M49" s="28">
        <f>'Turning Movement Data'!L60</f>
        <v>0</v>
      </c>
      <c r="N49" s="28">
        <f>'Turning Movement Data'!M60</f>
        <v>0</v>
      </c>
      <c r="O49" s="30">
        <v>0.46875</v>
      </c>
      <c r="P49" s="28">
        <f>'Turning Movement Data'!N60</f>
        <v>50</v>
      </c>
      <c r="Q49" s="28">
        <f>'Turning Movement Data'!O60</f>
        <v>133</v>
      </c>
      <c r="R49" s="28">
        <f>'Turning Movement Data'!P60</f>
        <v>0</v>
      </c>
      <c r="S49" s="28">
        <f>'Turning Movement Data'!Q60</f>
        <v>0</v>
      </c>
      <c r="T49" s="28">
        <f>'Turning Movement Data'!R60</f>
        <v>0</v>
      </c>
      <c r="U49" s="28">
        <f>'Turning Movement Data'!S60</f>
        <v>183</v>
      </c>
      <c r="V49" s="30">
        <v>0.46875</v>
      </c>
      <c r="W49" s="28">
        <f>'Turning Movement Data'!T60</f>
        <v>37</v>
      </c>
      <c r="X49" s="28">
        <f>'Turning Movement Data'!U60</f>
        <v>0</v>
      </c>
      <c r="Y49" s="28">
        <f>'Turning Movement Data'!V60</f>
        <v>20</v>
      </c>
      <c r="Z49" s="28">
        <f>'Turning Movement Data'!W60</f>
        <v>0</v>
      </c>
      <c r="AA49" s="28">
        <f>'Turning Movement Data'!X60</f>
        <v>0</v>
      </c>
      <c r="AB49" s="28">
        <f>'Turning Movement Data'!Y60</f>
        <v>57</v>
      </c>
      <c r="AC49"/>
    </row>
    <row r="50" spans="1:35" s="16" customFormat="1" x14ac:dyDescent="0.25">
      <c r="A50" s="30">
        <v>0.47916666666666702</v>
      </c>
      <c r="B50" s="28">
        <f>'Turning Movement Data'!B61</f>
        <v>0</v>
      </c>
      <c r="C50" s="28">
        <f>'Turning Movement Data'!C61</f>
        <v>154</v>
      </c>
      <c r="D50" s="28">
        <f>'Turning Movement Data'!D61</f>
        <v>89</v>
      </c>
      <c r="E50" s="28">
        <f>'Turning Movement Data'!E61</f>
        <v>0</v>
      </c>
      <c r="F50" s="28">
        <f>'Turning Movement Data'!F61</f>
        <v>0</v>
      </c>
      <c r="G50" s="28">
        <f>'Turning Movement Data'!G61</f>
        <v>243</v>
      </c>
      <c r="H50" s="30">
        <v>0.47916666666666702</v>
      </c>
      <c r="I50" s="28">
        <f>'Turning Movement Data'!H61</f>
        <v>0</v>
      </c>
      <c r="J50" s="28">
        <f>'Turning Movement Data'!I61</f>
        <v>0</v>
      </c>
      <c r="K50" s="28">
        <f>'Turning Movement Data'!J61</f>
        <v>0</v>
      </c>
      <c r="L50" s="28">
        <f>'Turning Movement Data'!K61</f>
        <v>0</v>
      </c>
      <c r="M50" s="28">
        <f>'Turning Movement Data'!L61</f>
        <v>0</v>
      </c>
      <c r="N50" s="28">
        <f>'Turning Movement Data'!M61</f>
        <v>0</v>
      </c>
      <c r="O50" s="30">
        <v>0.47916666666666702</v>
      </c>
      <c r="P50" s="28">
        <f>'Turning Movement Data'!N61</f>
        <v>65</v>
      </c>
      <c r="Q50" s="28">
        <f>'Turning Movement Data'!O61</f>
        <v>135</v>
      </c>
      <c r="R50" s="28">
        <f>'Turning Movement Data'!P61</f>
        <v>0</v>
      </c>
      <c r="S50" s="28">
        <f>'Turning Movement Data'!Q61</f>
        <v>0</v>
      </c>
      <c r="T50" s="28">
        <f>'Turning Movement Data'!R61</f>
        <v>0</v>
      </c>
      <c r="U50" s="28">
        <f>'Turning Movement Data'!S61</f>
        <v>200</v>
      </c>
      <c r="V50" s="30">
        <v>0.47916666666666702</v>
      </c>
      <c r="W50" s="28">
        <f>'Turning Movement Data'!T61</f>
        <v>33</v>
      </c>
      <c r="X50" s="28">
        <f>'Turning Movement Data'!U61</f>
        <v>0</v>
      </c>
      <c r="Y50" s="28">
        <f>'Turning Movement Data'!V61</f>
        <v>12</v>
      </c>
      <c r="Z50" s="28">
        <f>'Turning Movement Data'!W61</f>
        <v>0</v>
      </c>
      <c r="AA50" s="28">
        <f>'Turning Movement Data'!X61</f>
        <v>0</v>
      </c>
      <c r="AB50" s="28">
        <f>'Turning Movement Data'!Y61</f>
        <v>45</v>
      </c>
      <c r="AC50"/>
    </row>
    <row r="51" spans="1:35" s="5" customFormat="1" x14ac:dyDescent="0.25">
      <c r="A51" s="30">
        <v>0.48958333333333298</v>
      </c>
      <c r="B51" s="28">
        <f>'Turning Movement Data'!B62</f>
        <v>0</v>
      </c>
      <c r="C51" s="28">
        <f>'Turning Movement Data'!C62</f>
        <v>155</v>
      </c>
      <c r="D51" s="28">
        <f>'Turning Movement Data'!D62</f>
        <v>107</v>
      </c>
      <c r="E51" s="28">
        <f>'Turning Movement Data'!E62</f>
        <v>0</v>
      </c>
      <c r="F51" s="28">
        <f>'Turning Movement Data'!F62</f>
        <v>0</v>
      </c>
      <c r="G51" s="28">
        <f>'Turning Movement Data'!G62</f>
        <v>262</v>
      </c>
      <c r="H51" s="30">
        <v>0.48958333333333298</v>
      </c>
      <c r="I51" s="28">
        <f>'Turning Movement Data'!H62</f>
        <v>0</v>
      </c>
      <c r="J51" s="28">
        <f>'Turning Movement Data'!I62</f>
        <v>0</v>
      </c>
      <c r="K51" s="28">
        <f>'Turning Movement Data'!J62</f>
        <v>0</v>
      </c>
      <c r="L51" s="28">
        <f>'Turning Movement Data'!K62</f>
        <v>0</v>
      </c>
      <c r="M51" s="28">
        <f>'Turning Movement Data'!L62</f>
        <v>0</v>
      </c>
      <c r="N51" s="28">
        <f>'Turning Movement Data'!M62</f>
        <v>0</v>
      </c>
      <c r="O51" s="30">
        <v>0.48958333333333298</v>
      </c>
      <c r="P51" s="28">
        <f>'Turning Movement Data'!N62</f>
        <v>59</v>
      </c>
      <c r="Q51" s="28">
        <f>'Turning Movement Data'!O62</f>
        <v>134</v>
      </c>
      <c r="R51" s="28">
        <f>'Turning Movement Data'!P62</f>
        <v>0</v>
      </c>
      <c r="S51" s="28">
        <f>'Turning Movement Data'!Q62</f>
        <v>0</v>
      </c>
      <c r="T51" s="28">
        <f>'Turning Movement Data'!R62</f>
        <v>0</v>
      </c>
      <c r="U51" s="28">
        <f>'Turning Movement Data'!S62</f>
        <v>193</v>
      </c>
      <c r="V51" s="30">
        <v>0.48958333333333298</v>
      </c>
      <c r="W51" s="28">
        <f>'Turning Movement Data'!T62</f>
        <v>48</v>
      </c>
      <c r="X51" s="28">
        <f>'Turning Movement Data'!U62</f>
        <v>0</v>
      </c>
      <c r="Y51" s="28">
        <f>'Turning Movement Data'!V62</f>
        <v>11</v>
      </c>
      <c r="Z51" s="28">
        <f>'Turning Movement Data'!W62</f>
        <v>0</v>
      </c>
      <c r="AA51" s="28">
        <f>'Turning Movement Data'!X62</f>
        <v>0</v>
      </c>
      <c r="AB51" s="28">
        <f>'Turning Movement Data'!Y62</f>
        <v>59</v>
      </c>
      <c r="AC51"/>
    </row>
    <row r="52" spans="1:35" s="19" customFormat="1" x14ac:dyDescent="0.25">
      <c r="A52" s="30">
        <v>0.5</v>
      </c>
      <c r="B52" s="28">
        <f>'Turning Movement Data'!B64</f>
        <v>0</v>
      </c>
      <c r="C52" s="28">
        <f>'Turning Movement Data'!C64</f>
        <v>145</v>
      </c>
      <c r="D52" s="28">
        <f>'Turning Movement Data'!D64</f>
        <v>69</v>
      </c>
      <c r="E52" s="28">
        <f>'Turning Movement Data'!E64</f>
        <v>0</v>
      </c>
      <c r="F52" s="28">
        <f>'Turning Movement Data'!F64</f>
        <v>0</v>
      </c>
      <c r="G52" s="28">
        <f>'Turning Movement Data'!G64</f>
        <v>214</v>
      </c>
      <c r="H52" s="30">
        <v>0.5</v>
      </c>
      <c r="I52" s="28">
        <f>'Turning Movement Data'!H64</f>
        <v>0</v>
      </c>
      <c r="J52" s="28">
        <f>'Turning Movement Data'!I64</f>
        <v>0</v>
      </c>
      <c r="K52" s="28">
        <f>'Turning Movement Data'!J64</f>
        <v>0</v>
      </c>
      <c r="L52" s="28">
        <f>'Turning Movement Data'!K64</f>
        <v>0</v>
      </c>
      <c r="M52" s="28">
        <f>'Turning Movement Data'!L64</f>
        <v>0</v>
      </c>
      <c r="N52" s="28">
        <f>'Turning Movement Data'!M64</f>
        <v>0</v>
      </c>
      <c r="O52" s="30">
        <v>0.5</v>
      </c>
      <c r="P52" s="28">
        <f>'Turning Movement Data'!N64</f>
        <v>54</v>
      </c>
      <c r="Q52" s="28">
        <f>'Turning Movement Data'!O64</f>
        <v>150</v>
      </c>
      <c r="R52" s="28">
        <f>'Turning Movement Data'!P64</f>
        <v>0</v>
      </c>
      <c r="S52" s="28">
        <f>'Turning Movement Data'!Q64</f>
        <v>0</v>
      </c>
      <c r="T52" s="28">
        <f>'Turning Movement Data'!R64</f>
        <v>0</v>
      </c>
      <c r="U52" s="28">
        <f>'Turning Movement Data'!S64</f>
        <v>204</v>
      </c>
      <c r="V52" s="30">
        <v>0.5</v>
      </c>
      <c r="W52" s="28">
        <f>'Turning Movement Data'!T64</f>
        <v>34</v>
      </c>
      <c r="X52" s="28">
        <f>'Turning Movement Data'!U64</f>
        <v>0</v>
      </c>
      <c r="Y52" s="28">
        <f>'Turning Movement Data'!V64</f>
        <v>13</v>
      </c>
      <c r="Z52" s="28">
        <f>'Turning Movement Data'!W64</f>
        <v>0</v>
      </c>
      <c r="AA52" s="28">
        <f>'Turning Movement Data'!X64</f>
        <v>0</v>
      </c>
      <c r="AB52" s="28">
        <f>'Turning Movement Data'!Y64</f>
        <v>47</v>
      </c>
      <c r="AC52"/>
    </row>
    <row r="53" spans="1:35" s="6" customFormat="1" x14ac:dyDescent="0.25">
      <c r="A53" s="30">
        <v>0.51041666666666696</v>
      </c>
      <c r="B53" s="28">
        <f>'Turning Movement Data'!B65</f>
        <v>0</v>
      </c>
      <c r="C53" s="28">
        <f>'Turning Movement Data'!C65</f>
        <v>142</v>
      </c>
      <c r="D53" s="28">
        <f>'Turning Movement Data'!D65</f>
        <v>83</v>
      </c>
      <c r="E53" s="28">
        <f>'Turning Movement Data'!E65</f>
        <v>0</v>
      </c>
      <c r="F53" s="28">
        <f>'Turning Movement Data'!F65</f>
        <v>0</v>
      </c>
      <c r="G53" s="28">
        <f>'Turning Movement Data'!G65</f>
        <v>225</v>
      </c>
      <c r="H53" s="30">
        <v>0.51041666666666696</v>
      </c>
      <c r="I53" s="28">
        <f>'Turning Movement Data'!H65</f>
        <v>0</v>
      </c>
      <c r="J53" s="28">
        <f>'Turning Movement Data'!I65</f>
        <v>0</v>
      </c>
      <c r="K53" s="28">
        <f>'Turning Movement Data'!J65</f>
        <v>0</v>
      </c>
      <c r="L53" s="28">
        <f>'Turning Movement Data'!K65</f>
        <v>0</v>
      </c>
      <c r="M53" s="28">
        <f>'Turning Movement Data'!L65</f>
        <v>0</v>
      </c>
      <c r="N53" s="28">
        <f>'Turning Movement Data'!M65</f>
        <v>0</v>
      </c>
      <c r="O53" s="30">
        <v>0.51041666666666696</v>
      </c>
      <c r="P53" s="28">
        <f>'Turning Movement Data'!N65</f>
        <v>49</v>
      </c>
      <c r="Q53" s="28">
        <f>'Turning Movement Data'!O65</f>
        <v>150</v>
      </c>
      <c r="R53" s="28">
        <f>'Turning Movement Data'!P65</f>
        <v>0</v>
      </c>
      <c r="S53" s="28">
        <f>'Turning Movement Data'!Q65</f>
        <v>0</v>
      </c>
      <c r="T53" s="28">
        <f>'Turning Movement Data'!R65</f>
        <v>0</v>
      </c>
      <c r="U53" s="28">
        <f>'Turning Movement Data'!S65</f>
        <v>199</v>
      </c>
      <c r="V53" s="30">
        <v>0.51041666666666696</v>
      </c>
      <c r="W53" s="28">
        <f>'Turning Movement Data'!T65</f>
        <v>33</v>
      </c>
      <c r="X53" s="28">
        <f>'Turning Movement Data'!U65</f>
        <v>0</v>
      </c>
      <c r="Y53" s="28">
        <f>'Turning Movement Data'!V65</f>
        <v>10</v>
      </c>
      <c r="Z53" s="28">
        <f>'Turning Movement Data'!W65</f>
        <v>0</v>
      </c>
      <c r="AA53" s="28">
        <f>'Turning Movement Data'!X65</f>
        <v>0</v>
      </c>
      <c r="AB53" s="28">
        <f>'Turning Movement Data'!Y65</f>
        <v>43</v>
      </c>
      <c r="AC53"/>
    </row>
    <row r="54" spans="1:35" s="16" customFormat="1" x14ac:dyDescent="0.25">
      <c r="A54" s="30">
        <v>0.52083333333333304</v>
      </c>
      <c r="B54" s="28">
        <f>'Turning Movement Data'!B66</f>
        <v>0</v>
      </c>
      <c r="C54" s="28">
        <f>'Turning Movement Data'!C66</f>
        <v>151</v>
      </c>
      <c r="D54" s="28">
        <f>'Turning Movement Data'!D66</f>
        <v>84</v>
      </c>
      <c r="E54" s="28">
        <f>'Turning Movement Data'!E66</f>
        <v>0</v>
      </c>
      <c r="F54" s="28">
        <f>'Turning Movement Data'!F66</f>
        <v>0</v>
      </c>
      <c r="G54" s="28">
        <f>'Turning Movement Data'!G66</f>
        <v>235</v>
      </c>
      <c r="H54" s="30">
        <v>0.52083333333333304</v>
      </c>
      <c r="I54" s="28">
        <f>'Turning Movement Data'!H66</f>
        <v>0</v>
      </c>
      <c r="J54" s="28">
        <f>'Turning Movement Data'!I66</f>
        <v>0</v>
      </c>
      <c r="K54" s="28">
        <f>'Turning Movement Data'!J66</f>
        <v>0</v>
      </c>
      <c r="L54" s="28">
        <f>'Turning Movement Data'!K66</f>
        <v>0</v>
      </c>
      <c r="M54" s="28">
        <f>'Turning Movement Data'!L66</f>
        <v>0</v>
      </c>
      <c r="N54" s="28">
        <f>'Turning Movement Data'!M66</f>
        <v>0</v>
      </c>
      <c r="O54" s="30">
        <v>0.52083333333333304</v>
      </c>
      <c r="P54" s="28">
        <f>'Turning Movement Data'!N66</f>
        <v>49</v>
      </c>
      <c r="Q54" s="28">
        <f>'Turning Movement Data'!O66</f>
        <v>171</v>
      </c>
      <c r="R54" s="28">
        <f>'Turning Movement Data'!P66</f>
        <v>0</v>
      </c>
      <c r="S54" s="28">
        <f>'Turning Movement Data'!Q66</f>
        <v>0</v>
      </c>
      <c r="T54" s="28">
        <f>'Turning Movement Data'!R66</f>
        <v>0</v>
      </c>
      <c r="U54" s="28">
        <f>'Turning Movement Data'!S66</f>
        <v>220</v>
      </c>
      <c r="V54" s="30">
        <v>0.52083333333333304</v>
      </c>
      <c r="W54" s="28">
        <f>'Turning Movement Data'!T66</f>
        <v>31</v>
      </c>
      <c r="X54" s="28">
        <f>'Turning Movement Data'!U66</f>
        <v>0</v>
      </c>
      <c r="Y54" s="28">
        <f>'Turning Movement Data'!V66</f>
        <v>9</v>
      </c>
      <c r="Z54" s="28">
        <f>'Turning Movement Data'!W66</f>
        <v>0</v>
      </c>
      <c r="AA54" s="28">
        <f>'Turning Movement Data'!X66</f>
        <v>0</v>
      </c>
      <c r="AB54" s="28">
        <f>'Turning Movement Data'!Y66</f>
        <v>40</v>
      </c>
      <c r="AC54"/>
    </row>
    <row r="55" spans="1:35" s="6" customFormat="1" x14ac:dyDescent="0.25">
      <c r="A55" s="30">
        <v>0.53125</v>
      </c>
      <c r="B55" s="28">
        <f>'Turning Movement Data'!B67</f>
        <v>0</v>
      </c>
      <c r="C55" s="28">
        <f>'Turning Movement Data'!C67</f>
        <v>166</v>
      </c>
      <c r="D55" s="28">
        <f>'Turning Movement Data'!D67</f>
        <v>94</v>
      </c>
      <c r="E55" s="28">
        <f>'Turning Movement Data'!E67</f>
        <v>0</v>
      </c>
      <c r="F55" s="28">
        <f>'Turning Movement Data'!F67</f>
        <v>0</v>
      </c>
      <c r="G55" s="28">
        <f>'Turning Movement Data'!G67</f>
        <v>260</v>
      </c>
      <c r="H55" s="30">
        <v>0.53125</v>
      </c>
      <c r="I55" s="28">
        <f>'Turning Movement Data'!H67</f>
        <v>0</v>
      </c>
      <c r="J55" s="28">
        <f>'Turning Movement Data'!I67</f>
        <v>0</v>
      </c>
      <c r="K55" s="28">
        <f>'Turning Movement Data'!J67</f>
        <v>0</v>
      </c>
      <c r="L55" s="28">
        <f>'Turning Movement Data'!K67</f>
        <v>0</v>
      </c>
      <c r="M55" s="28">
        <f>'Turning Movement Data'!L67</f>
        <v>0</v>
      </c>
      <c r="N55" s="28">
        <f>'Turning Movement Data'!M67</f>
        <v>0</v>
      </c>
      <c r="O55" s="30">
        <v>0.53125</v>
      </c>
      <c r="P55" s="28">
        <f>'Turning Movement Data'!N67</f>
        <v>48</v>
      </c>
      <c r="Q55" s="28">
        <f>'Turning Movement Data'!O67</f>
        <v>147</v>
      </c>
      <c r="R55" s="28">
        <f>'Turning Movement Data'!P67</f>
        <v>0</v>
      </c>
      <c r="S55" s="28">
        <f>'Turning Movement Data'!Q67</f>
        <v>0</v>
      </c>
      <c r="T55" s="28">
        <f>'Turning Movement Data'!R67</f>
        <v>0</v>
      </c>
      <c r="U55" s="28">
        <f>'Turning Movement Data'!S67</f>
        <v>195</v>
      </c>
      <c r="V55" s="30">
        <v>0.53125</v>
      </c>
      <c r="W55" s="28">
        <f>'Turning Movement Data'!T67</f>
        <v>39</v>
      </c>
      <c r="X55" s="28">
        <f>'Turning Movement Data'!U67</f>
        <v>0</v>
      </c>
      <c r="Y55" s="28">
        <f>'Turning Movement Data'!V67</f>
        <v>12</v>
      </c>
      <c r="Z55" s="28">
        <f>'Turning Movement Data'!W67</f>
        <v>0</v>
      </c>
      <c r="AA55" s="28">
        <f>'Turning Movement Data'!X67</f>
        <v>0</v>
      </c>
      <c r="AB55" s="28">
        <f>'Turning Movement Data'!Y67</f>
        <v>51</v>
      </c>
      <c r="AC55"/>
    </row>
    <row r="56" spans="1:35" s="16" customFormat="1" x14ac:dyDescent="0.25">
      <c r="A56" s="30">
        <v>0.54166666666666696</v>
      </c>
      <c r="B56" s="28">
        <f>'Turning Movement Data'!B69</f>
        <v>0</v>
      </c>
      <c r="C56" s="28">
        <f>'Turning Movement Data'!C69</f>
        <v>133</v>
      </c>
      <c r="D56" s="28">
        <f>'Turning Movement Data'!D69</f>
        <v>76</v>
      </c>
      <c r="E56" s="28">
        <f>'Turning Movement Data'!E69</f>
        <v>0</v>
      </c>
      <c r="F56" s="28">
        <f>'Turning Movement Data'!F69</f>
        <v>0</v>
      </c>
      <c r="G56" s="28">
        <f>'Turning Movement Data'!G69</f>
        <v>209</v>
      </c>
      <c r="H56" s="30">
        <v>0.54166666666666696</v>
      </c>
      <c r="I56" s="28">
        <f>'Turning Movement Data'!H69</f>
        <v>0</v>
      </c>
      <c r="J56" s="28">
        <f>'Turning Movement Data'!I69</f>
        <v>0</v>
      </c>
      <c r="K56" s="28">
        <f>'Turning Movement Data'!J69</f>
        <v>0</v>
      </c>
      <c r="L56" s="28">
        <f>'Turning Movement Data'!K69</f>
        <v>0</v>
      </c>
      <c r="M56" s="28">
        <f>'Turning Movement Data'!L69</f>
        <v>0</v>
      </c>
      <c r="N56" s="28">
        <f>'Turning Movement Data'!M69</f>
        <v>0</v>
      </c>
      <c r="O56" s="30">
        <v>0.54166666666666696</v>
      </c>
      <c r="P56" s="28">
        <f>'Turning Movement Data'!N69</f>
        <v>42</v>
      </c>
      <c r="Q56" s="28">
        <f>'Turning Movement Data'!O69</f>
        <v>173</v>
      </c>
      <c r="R56" s="28">
        <f>'Turning Movement Data'!P69</f>
        <v>0</v>
      </c>
      <c r="S56" s="28">
        <f>'Turning Movement Data'!Q69</f>
        <v>0</v>
      </c>
      <c r="T56" s="28">
        <f>'Turning Movement Data'!R69</f>
        <v>0</v>
      </c>
      <c r="U56" s="28">
        <f>'Turning Movement Data'!S69</f>
        <v>215</v>
      </c>
      <c r="V56" s="30">
        <v>0.54166666666666696</v>
      </c>
      <c r="W56" s="28">
        <f>'Turning Movement Data'!T69</f>
        <v>46</v>
      </c>
      <c r="X56" s="28">
        <f>'Turning Movement Data'!U69</f>
        <v>0</v>
      </c>
      <c r="Y56" s="28">
        <f>'Turning Movement Data'!V69</f>
        <v>6</v>
      </c>
      <c r="Z56" s="28">
        <f>'Turning Movement Data'!W69</f>
        <v>0</v>
      </c>
      <c r="AA56" s="28">
        <f>'Turning Movement Data'!X69</f>
        <v>0</v>
      </c>
      <c r="AB56" s="28">
        <f>'Turning Movement Data'!Y69</f>
        <v>52</v>
      </c>
      <c r="AC56"/>
    </row>
    <row r="57" spans="1:35" s="5" customFormat="1" x14ac:dyDescent="0.25">
      <c r="A57" s="30">
        <v>0.55208333333333304</v>
      </c>
      <c r="B57" s="28">
        <f>'Turning Movement Data'!B70</f>
        <v>0</v>
      </c>
      <c r="C57" s="28">
        <f>'Turning Movement Data'!C70</f>
        <v>125</v>
      </c>
      <c r="D57" s="28">
        <f>'Turning Movement Data'!D70</f>
        <v>79</v>
      </c>
      <c r="E57" s="28">
        <f>'Turning Movement Data'!E70</f>
        <v>0</v>
      </c>
      <c r="F57" s="28">
        <f>'Turning Movement Data'!F70</f>
        <v>0</v>
      </c>
      <c r="G57" s="28">
        <f>'Turning Movement Data'!G70</f>
        <v>204</v>
      </c>
      <c r="H57" s="30">
        <v>0.55208333333333304</v>
      </c>
      <c r="I57" s="28">
        <f>'Turning Movement Data'!H70</f>
        <v>0</v>
      </c>
      <c r="J57" s="28">
        <f>'Turning Movement Data'!I70</f>
        <v>0</v>
      </c>
      <c r="K57" s="28">
        <f>'Turning Movement Data'!J70</f>
        <v>0</v>
      </c>
      <c r="L57" s="28">
        <f>'Turning Movement Data'!K70</f>
        <v>0</v>
      </c>
      <c r="M57" s="28">
        <f>'Turning Movement Data'!L70</f>
        <v>0</v>
      </c>
      <c r="N57" s="28">
        <f>'Turning Movement Data'!M70</f>
        <v>0</v>
      </c>
      <c r="O57" s="30">
        <v>0.55208333333333304</v>
      </c>
      <c r="P57" s="28">
        <f>'Turning Movement Data'!N70</f>
        <v>28</v>
      </c>
      <c r="Q57" s="28">
        <f>'Turning Movement Data'!O70</f>
        <v>143</v>
      </c>
      <c r="R57" s="28">
        <f>'Turning Movement Data'!P70</f>
        <v>0</v>
      </c>
      <c r="S57" s="28">
        <f>'Turning Movement Data'!Q70</f>
        <v>0</v>
      </c>
      <c r="T57" s="28">
        <f>'Turning Movement Data'!R70</f>
        <v>0</v>
      </c>
      <c r="U57" s="28">
        <f>'Turning Movement Data'!S70</f>
        <v>171</v>
      </c>
      <c r="V57" s="30">
        <v>0.55208333333333304</v>
      </c>
      <c r="W57" s="28">
        <f>'Turning Movement Data'!T70</f>
        <v>49</v>
      </c>
      <c r="X57" s="28">
        <f>'Turning Movement Data'!U70</f>
        <v>0</v>
      </c>
      <c r="Y57" s="28">
        <f>'Turning Movement Data'!V70</f>
        <v>14</v>
      </c>
      <c r="Z57" s="28">
        <f>'Turning Movement Data'!W70</f>
        <v>0</v>
      </c>
      <c r="AA57" s="28">
        <f>'Turning Movement Data'!X70</f>
        <v>0</v>
      </c>
      <c r="AB57" s="28">
        <f>'Turning Movement Data'!Y70</f>
        <v>63</v>
      </c>
      <c r="AC57"/>
      <c r="AI57" s="5">
        <f>AI5</f>
        <v>0</v>
      </c>
    </row>
    <row r="58" spans="1:35" s="16" customFormat="1" x14ac:dyDescent="0.25">
      <c r="A58" s="30">
        <v>0.5625</v>
      </c>
      <c r="B58" s="28">
        <f>'Turning Movement Data'!B71</f>
        <v>0</v>
      </c>
      <c r="C58" s="28">
        <f>'Turning Movement Data'!C71</f>
        <v>133</v>
      </c>
      <c r="D58" s="28">
        <f>'Turning Movement Data'!D71</f>
        <v>84</v>
      </c>
      <c r="E58" s="28">
        <f>'Turning Movement Data'!E71</f>
        <v>0</v>
      </c>
      <c r="F58" s="28">
        <f>'Turning Movement Data'!F71</f>
        <v>0</v>
      </c>
      <c r="G58" s="28">
        <f>'Turning Movement Data'!G71</f>
        <v>217</v>
      </c>
      <c r="H58" s="30">
        <v>0.5625</v>
      </c>
      <c r="I58" s="28">
        <f>'Turning Movement Data'!H71</f>
        <v>0</v>
      </c>
      <c r="J58" s="28">
        <f>'Turning Movement Data'!I71</f>
        <v>0</v>
      </c>
      <c r="K58" s="28">
        <f>'Turning Movement Data'!J71</f>
        <v>0</v>
      </c>
      <c r="L58" s="28">
        <f>'Turning Movement Data'!K71</f>
        <v>0</v>
      </c>
      <c r="M58" s="28">
        <f>'Turning Movement Data'!L71</f>
        <v>0</v>
      </c>
      <c r="N58" s="28">
        <f>'Turning Movement Data'!M71</f>
        <v>0</v>
      </c>
      <c r="O58" s="30">
        <v>0.5625</v>
      </c>
      <c r="P58" s="28">
        <f>'Turning Movement Data'!N71</f>
        <v>40</v>
      </c>
      <c r="Q58" s="28">
        <f>'Turning Movement Data'!O71</f>
        <v>154</v>
      </c>
      <c r="R58" s="28">
        <f>'Turning Movement Data'!P71</f>
        <v>0</v>
      </c>
      <c r="S58" s="28">
        <f>'Turning Movement Data'!Q71</f>
        <v>0</v>
      </c>
      <c r="T58" s="28">
        <f>'Turning Movement Data'!R71</f>
        <v>0</v>
      </c>
      <c r="U58" s="28">
        <f>'Turning Movement Data'!S71</f>
        <v>194</v>
      </c>
      <c r="V58" s="30">
        <v>0.5625</v>
      </c>
      <c r="W58" s="28">
        <f>'Turning Movement Data'!T71</f>
        <v>37</v>
      </c>
      <c r="X58" s="28">
        <f>'Turning Movement Data'!U71</f>
        <v>0</v>
      </c>
      <c r="Y58" s="28">
        <f>'Turning Movement Data'!V71</f>
        <v>9</v>
      </c>
      <c r="Z58" s="28">
        <f>'Turning Movement Data'!W71</f>
        <v>0</v>
      </c>
      <c r="AA58" s="28">
        <f>'Turning Movement Data'!X71</f>
        <v>0</v>
      </c>
      <c r="AB58" s="28">
        <f>'Turning Movement Data'!Y71</f>
        <v>46</v>
      </c>
      <c r="AC58"/>
    </row>
    <row r="59" spans="1:35" s="6" customFormat="1" x14ac:dyDescent="0.25">
      <c r="A59" s="30">
        <v>0.57291666666666696</v>
      </c>
      <c r="B59" s="28">
        <f>'Turning Movement Data'!B72</f>
        <v>0</v>
      </c>
      <c r="C59" s="28">
        <f>'Turning Movement Data'!C72</f>
        <v>147</v>
      </c>
      <c r="D59" s="28">
        <f>'Turning Movement Data'!D72</f>
        <v>84</v>
      </c>
      <c r="E59" s="28">
        <f>'Turning Movement Data'!E72</f>
        <v>0</v>
      </c>
      <c r="F59" s="28">
        <f>'Turning Movement Data'!F72</f>
        <v>0</v>
      </c>
      <c r="G59" s="28">
        <f>'Turning Movement Data'!G72</f>
        <v>231</v>
      </c>
      <c r="H59" s="30">
        <v>0.57291666666666696</v>
      </c>
      <c r="I59" s="28">
        <f>'Turning Movement Data'!H72</f>
        <v>0</v>
      </c>
      <c r="J59" s="28">
        <f>'Turning Movement Data'!I72</f>
        <v>0</v>
      </c>
      <c r="K59" s="28">
        <f>'Turning Movement Data'!J72</f>
        <v>0</v>
      </c>
      <c r="L59" s="28">
        <f>'Turning Movement Data'!K72</f>
        <v>0</v>
      </c>
      <c r="M59" s="28">
        <f>'Turning Movement Data'!L72</f>
        <v>0</v>
      </c>
      <c r="N59" s="28">
        <f>'Turning Movement Data'!M72</f>
        <v>0</v>
      </c>
      <c r="O59" s="30">
        <v>0.57291666666666696</v>
      </c>
      <c r="P59" s="28">
        <f>'Turning Movement Data'!N72</f>
        <v>40</v>
      </c>
      <c r="Q59" s="28">
        <f>'Turning Movement Data'!O72</f>
        <v>170</v>
      </c>
      <c r="R59" s="28">
        <f>'Turning Movement Data'!P72</f>
        <v>0</v>
      </c>
      <c r="S59" s="28">
        <f>'Turning Movement Data'!Q72</f>
        <v>0</v>
      </c>
      <c r="T59" s="28">
        <f>'Turning Movement Data'!R72</f>
        <v>0</v>
      </c>
      <c r="U59" s="28">
        <f>'Turning Movement Data'!S72</f>
        <v>210</v>
      </c>
      <c r="V59" s="30">
        <v>0.57291666666666696</v>
      </c>
      <c r="W59" s="28">
        <f>'Turning Movement Data'!T72</f>
        <v>49</v>
      </c>
      <c r="X59" s="28">
        <f>'Turning Movement Data'!U72</f>
        <v>0</v>
      </c>
      <c r="Y59" s="28">
        <f>'Turning Movement Data'!V72</f>
        <v>14</v>
      </c>
      <c r="Z59" s="28">
        <f>'Turning Movement Data'!W72</f>
        <v>0</v>
      </c>
      <c r="AA59" s="28">
        <f>'Turning Movement Data'!X72</f>
        <v>0</v>
      </c>
      <c r="AB59" s="28">
        <f>'Turning Movement Data'!Y72</f>
        <v>63</v>
      </c>
      <c r="AC59"/>
    </row>
    <row r="60" spans="1:35" s="16" customFormat="1" x14ac:dyDescent="0.25">
      <c r="A60" s="30">
        <v>0.58333333333333304</v>
      </c>
      <c r="B60" s="28">
        <f>'Turning Movement Data'!B74</f>
        <v>0</v>
      </c>
      <c r="C60" s="28">
        <f>'Turning Movement Data'!C74</f>
        <v>129</v>
      </c>
      <c r="D60" s="28">
        <f>'Turning Movement Data'!D74</f>
        <v>83</v>
      </c>
      <c r="E60" s="28">
        <f>'Turning Movement Data'!E74</f>
        <v>0</v>
      </c>
      <c r="F60" s="28">
        <f>'Turning Movement Data'!F74</f>
        <v>0</v>
      </c>
      <c r="G60" s="28">
        <f>'Turning Movement Data'!G74</f>
        <v>212</v>
      </c>
      <c r="H60" s="30">
        <v>0.58333333333333304</v>
      </c>
      <c r="I60" s="28">
        <f>'Turning Movement Data'!H74</f>
        <v>0</v>
      </c>
      <c r="J60" s="28">
        <f>'Turning Movement Data'!I74</f>
        <v>0</v>
      </c>
      <c r="K60" s="28">
        <f>'Turning Movement Data'!J74</f>
        <v>0</v>
      </c>
      <c r="L60" s="28">
        <f>'Turning Movement Data'!K74</f>
        <v>0</v>
      </c>
      <c r="M60" s="28">
        <f>'Turning Movement Data'!L74</f>
        <v>0</v>
      </c>
      <c r="N60" s="28">
        <f>'Turning Movement Data'!M74</f>
        <v>0</v>
      </c>
      <c r="O60" s="30">
        <v>0.58333333333333304</v>
      </c>
      <c r="P60" s="28">
        <f>'Turning Movement Data'!N74</f>
        <v>44</v>
      </c>
      <c r="Q60" s="28">
        <f>'Turning Movement Data'!O74</f>
        <v>173</v>
      </c>
      <c r="R60" s="28">
        <f>'Turning Movement Data'!P74</f>
        <v>0</v>
      </c>
      <c r="S60" s="28">
        <f>'Turning Movement Data'!Q74</f>
        <v>0</v>
      </c>
      <c r="T60" s="28">
        <f>'Turning Movement Data'!R74</f>
        <v>0</v>
      </c>
      <c r="U60" s="28">
        <f>'Turning Movement Data'!S74</f>
        <v>217</v>
      </c>
      <c r="V60" s="30">
        <v>0.58333333333333304</v>
      </c>
      <c r="W60" s="28">
        <f>'Turning Movement Data'!T74</f>
        <v>30</v>
      </c>
      <c r="X60" s="28">
        <f>'Turning Movement Data'!U74</f>
        <v>0</v>
      </c>
      <c r="Y60" s="28">
        <f>'Turning Movement Data'!V74</f>
        <v>8</v>
      </c>
      <c r="Z60" s="28">
        <f>'Turning Movement Data'!W74</f>
        <v>0</v>
      </c>
      <c r="AA60" s="28">
        <f>'Turning Movement Data'!X74</f>
        <v>0</v>
      </c>
      <c r="AB60" s="28">
        <f>'Turning Movement Data'!Y74</f>
        <v>38</v>
      </c>
      <c r="AC60"/>
    </row>
    <row r="61" spans="1:35" s="6" customFormat="1" x14ac:dyDescent="0.25">
      <c r="A61" s="30">
        <v>0.59375</v>
      </c>
      <c r="B61" s="28">
        <f>'Turning Movement Data'!B75</f>
        <v>0</v>
      </c>
      <c r="C61" s="28">
        <f>'Turning Movement Data'!C75</f>
        <v>132</v>
      </c>
      <c r="D61" s="28">
        <f>'Turning Movement Data'!D75</f>
        <v>70</v>
      </c>
      <c r="E61" s="28">
        <f>'Turning Movement Data'!E75</f>
        <v>1</v>
      </c>
      <c r="F61" s="28">
        <f>'Turning Movement Data'!F75</f>
        <v>0</v>
      </c>
      <c r="G61" s="28">
        <f>'Turning Movement Data'!G75</f>
        <v>203</v>
      </c>
      <c r="H61" s="30">
        <v>0.59375</v>
      </c>
      <c r="I61" s="28">
        <f>'Turning Movement Data'!H75</f>
        <v>0</v>
      </c>
      <c r="J61" s="28">
        <f>'Turning Movement Data'!I75</f>
        <v>0</v>
      </c>
      <c r="K61" s="28">
        <f>'Turning Movement Data'!J75</f>
        <v>0</v>
      </c>
      <c r="L61" s="28">
        <f>'Turning Movement Data'!K75</f>
        <v>0</v>
      </c>
      <c r="M61" s="28">
        <f>'Turning Movement Data'!L75</f>
        <v>0</v>
      </c>
      <c r="N61" s="28">
        <f>'Turning Movement Data'!M75</f>
        <v>0</v>
      </c>
      <c r="O61" s="30">
        <v>0.59375</v>
      </c>
      <c r="P61" s="28">
        <f>'Turning Movement Data'!N75</f>
        <v>42</v>
      </c>
      <c r="Q61" s="28">
        <f>'Turning Movement Data'!O75</f>
        <v>152</v>
      </c>
      <c r="R61" s="28">
        <f>'Turning Movement Data'!P75</f>
        <v>0</v>
      </c>
      <c r="S61" s="28">
        <f>'Turning Movement Data'!Q75</f>
        <v>0</v>
      </c>
      <c r="T61" s="28">
        <f>'Turning Movement Data'!R75</f>
        <v>0</v>
      </c>
      <c r="U61" s="28">
        <f>'Turning Movement Data'!S75</f>
        <v>194</v>
      </c>
      <c r="V61" s="30">
        <v>0.59375</v>
      </c>
      <c r="W61" s="28">
        <f>'Turning Movement Data'!T75</f>
        <v>48</v>
      </c>
      <c r="X61" s="28">
        <f>'Turning Movement Data'!U75</f>
        <v>0</v>
      </c>
      <c r="Y61" s="28">
        <f>'Turning Movement Data'!V75</f>
        <v>20</v>
      </c>
      <c r="Z61" s="28">
        <f>'Turning Movement Data'!W75</f>
        <v>0</v>
      </c>
      <c r="AA61" s="28">
        <f>'Turning Movement Data'!X75</f>
        <v>0</v>
      </c>
      <c r="AB61" s="28">
        <f>'Turning Movement Data'!Y75</f>
        <v>68</v>
      </c>
      <c r="AC61"/>
    </row>
    <row r="62" spans="1:35" s="19" customFormat="1" x14ac:dyDescent="0.25">
      <c r="A62" s="30">
        <v>0.60416666666666696</v>
      </c>
      <c r="B62" s="28">
        <f>'Turning Movement Data'!B76</f>
        <v>0</v>
      </c>
      <c r="C62" s="28">
        <f>'Turning Movement Data'!C76</f>
        <v>143</v>
      </c>
      <c r="D62" s="28">
        <f>'Turning Movement Data'!D76</f>
        <v>76</v>
      </c>
      <c r="E62" s="28">
        <f>'Turning Movement Data'!E76</f>
        <v>0</v>
      </c>
      <c r="F62" s="28">
        <f>'Turning Movement Data'!F76</f>
        <v>0</v>
      </c>
      <c r="G62" s="28">
        <f>'Turning Movement Data'!G76</f>
        <v>219</v>
      </c>
      <c r="H62" s="30">
        <v>0.60416666666666696</v>
      </c>
      <c r="I62" s="28">
        <f>'Turning Movement Data'!H76</f>
        <v>0</v>
      </c>
      <c r="J62" s="28">
        <f>'Turning Movement Data'!I76</f>
        <v>0</v>
      </c>
      <c r="K62" s="28">
        <f>'Turning Movement Data'!J76</f>
        <v>0</v>
      </c>
      <c r="L62" s="28">
        <f>'Turning Movement Data'!K76</f>
        <v>0</v>
      </c>
      <c r="M62" s="28">
        <f>'Turning Movement Data'!L76</f>
        <v>0</v>
      </c>
      <c r="N62" s="28">
        <f>'Turning Movement Data'!M76</f>
        <v>0</v>
      </c>
      <c r="O62" s="30">
        <v>0.60416666666666696</v>
      </c>
      <c r="P62" s="28">
        <f>'Turning Movement Data'!N76</f>
        <v>55</v>
      </c>
      <c r="Q62" s="28">
        <f>'Turning Movement Data'!O76</f>
        <v>182</v>
      </c>
      <c r="R62" s="28">
        <f>'Turning Movement Data'!P76</f>
        <v>0</v>
      </c>
      <c r="S62" s="28">
        <f>'Turning Movement Data'!Q76</f>
        <v>0</v>
      </c>
      <c r="T62" s="28">
        <f>'Turning Movement Data'!R76</f>
        <v>0</v>
      </c>
      <c r="U62" s="28">
        <f>'Turning Movement Data'!S76</f>
        <v>237</v>
      </c>
      <c r="V62" s="30">
        <v>0.60416666666666696</v>
      </c>
      <c r="W62" s="28">
        <f>'Turning Movement Data'!T76</f>
        <v>28</v>
      </c>
      <c r="X62" s="28">
        <f>'Turning Movement Data'!U76</f>
        <v>0</v>
      </c>
      <c r="Y62" s="28">
        <f>'Turning Movement Data'!V76</f>
        <v>7</v>
      </c>
      <c r="Z62" s="28">
        <f>'Turning Movement Data'!W76</f>
        <v>0</v>
      </c>
      <c r="AA62" s="28">
        <f>'Turning Movement Data'!X76</f>
        <v>0</v>
      </c>
      <c r="AB62" s="28">
        <f>'Turning Movement Data'!Y76</f>
        <v>35</v>
      </c>
      <c r="AC62"/>
    </row>
    <row r="63" spans="1:35" s="6" customFormat="1" x14ac:dyDescent="0.25">
      <c r="A63" s="30">
        <v>0.61458333333333304</v>
      </c>
      <c r="B63" s="28">
        <f>'Turning Movement Data'!B77</f>
        <v>0</v>
      </c>
      <c r="C63" s="28">
        <f>'Turning Movement Data'!C77</f>
        <v>158</v>
      </c>
      <c r="D63" s="28">
        <f>'Turning Movement Data'!D77</f>
        <v>86</v>
      </c>
      <c r="E63" s="28">
        <f>'Turning Movement Data'!E77</f>
        <v>0</v>
      </c>
      <c r="F63" s="28">
        <f>'Turning Movement Data'!F77</f>
        <v>0</v>
      </c>
      <c r="G63" s="28">
        <f>'Turning Movement Data'!G77</f>
        <v>244</v>
      </c>
      <c r="H63" s="30">
        <v>0.61458333333333304</v>
      </c>
      <c r="I63" s="28">
        <f>'Turning Movement Data'!H77</f>
        <v>0</v>
      </c>
      <c r="J63" s="28">
        <f>'Turning Movement Data'!I77</f>
        <v>0</v>
      </c>
      <c r="K63" s="28">
        <f>'Turning Movement Data'!J77</f>
        <v>0</v>
      </c>
      <c r="L63" s="28">
        <f>'Turning Movement Data'!K77</f>
        <v>0</v>
      </c>
      <c r="M63" s="28">
        <f>'Turning Movement Data'!L77</f>
        <v>0</v>
      </c>
      <c r="N63" s="28">
        <f>'Turning Movement Data'!M77</f>
        <v>0</v>
      </c>
      <c r="O63" s="30">
        <v>0.61458333333333304</v>
      </c>
      <c r="P63" s="28">
        <f>'Turning Movement Data'!N77</f>
        <v>54</v>
      </c>
      <c r="Q63" s="28">
        <f>'Turning Movement Data'!O77</f>
        <v>212</v>
      </c>
      <c r="R63" s="28">
        <f>'Turning Movement Data'!P77</f>
        <v>0</v>
      </c>
      <c r="S63" s="28">
        <f>'Turning Movement Data'!Q77</f>
        <v>0</v>
      </c>
      <c r="T63" s="28">
        <f>'Turning Movement Data'!R77</f>
        <v>0</v>
      </c>
      <c r="U63" s="28">
        <f>'Turning Movement Data'!S77</f>
        <v>266</v>
      </c>
      <c r="V63" s="30">
        <v>0.61458333333333304</v>
      </c>
      <c r="W63" s="28">
        <f>'Turning Movement Data'!T77</f>
        <v>35</v>
      </c>
      <c r="X63" s="28">
        <f>'Turning Movement Data'!U77</f>
        <v>0</v>
      </c>
      <c r="Y63" s="28">
        <f>'Turning Movement Data'!V77</f>
        <v>13</v>
      </c>
      <c r="Z63" s="28">
        <f>'Turning Movement Data'!W77</f>
        <v>0</v>
      </c>
      <c r="AA63" s="28">
        <f>'Turning Movement Data'!X77</f>
        <v>0</v>
      </c>
      <c r="AB63" s="28">
        <f>'Turning Movement Data'!Y77</f>
        <v>48</v>
      </c>
      <c r="AC63"/>
    </row>
    <row r="64" spans="1:35" s="16" customFormat="1" x14ac:dyDescent="0.25">
      <c r="A64" s="30">
        <v>0.625</v>
      </c>
      <c r="B64" s="28">
        <f>'Turning Movement Data'!B79</f>
        <v>0</v>
      </c>
      <c r="C64" s="28">
        <f>'Turning Movement Data'!C79</f>
        <v>145</v>
      </c>
      <c r="D64" s="28">
        <f>'Turning Movement Data'!D79</f>
        <v>80</v>
      </c>
      <c r="E64" s="28">
        <f>'Turning Movement Data'!E79</f>
        <v>0</v>
      </c>
      <c r="F64" s="28">
        <f>'Turning Movement Data'!F79</f>
        <v>0</v>
      </c>
      <c r="G64" s="28">
        <f>'Turning Movement Data'!G79</f>
        <v>225</v>
      </c>
      <c r="H64" s="30">
        <v>0.625</v>
      </c>
      <c r="I64" s="28">
        <f>'Turning Movement Data'!H79</f>
        <v>0</v>
      </c>
      <c r="J64" s="28">
        <f>'Turning Movement Data'!I79</f>
        <v>0</v>
      </c>
      <c r="K64" s="28">
        <f>'Turning Movement Data'!J79</f>
        <v>0</v>
      </c>
      <c r="L64" s="28">
        <f>'Turning Movement Data'!K79</f>
        <v>0</v>
      </c>
      <c r="M64" s="28">
        <f>'Turning Movement Data'!L79</f>
        <v>0</v>
      </c>
      <c r="N64" s="28">
        <f>'Turning Movement Data'!M79</f>
        <v>0</v>
      </c>
      <c r="O64" s="30">
        <v>0.625</v>
      </c>
      <c r="P64" s="28">
        <f>'Turning Movement Data'!N79</f>
        <v>62</v>
      </c>
      <c r="Q64" s="28">
        <f>'Turning Movement Data'!O79</f>
        <v>204</v>
      </c>
      <c r="R64" s="28">
        <f>'Turning Movement Data'!P79</f>
        <v>0</v>
      </c>
      <c r="S64" s="28">
        <f>'Turning Movement Data'!Q79</f>
        <v>0</v>
      </c>
      <c r="T64" s="28">
        <f>'Turning Movement Data'!R79</f>
        <v>0</v>
      </c>
      <c r="U64" s="28">
        <f>'Turning Movement Data'!S79</f>
        <v>266</v>
      </c>
      <c r="V64" s="30">
        <v>0.625</v>
      </c>
      <c r="W64" s="28">
        <f>'Turning Movement Data'!T79</f>
        <v>26</v>
      </c>
      <c r="X64" s="28">
        <f>'Turning Movement Data'!U79</f>
        <v>0</v>
      </c>
      <c r="Y64" s="28">
        <f>'Turning Movement Data'!V79</f>
        <v>16</v>
      </c>
      <c r="Z64" s="28">
        <f>'Turning Movement Data'!W79</f>
        <v>0</v>
      </c>
      <c r="AA64" s="28">
        <f>'Turning Movement Data'!X79</f>
        <v>0</v>
      </c>
      <c r="AB64" s="28">
        <f>'Turning Movement Data'!Y79</f>
        <v>42</v>
      </c>
      <c r="AC64"/>
    </row>
    <row r="65" spans="1:29" s="6" customFormat="1" x14ac:dyDescent="0.25">
      <c r="A65" s="30">
        <v>0.63541666666666696</v>
      </c>
      <c r="B65" s="28">
        <f>'Turning Movement Data'!B80</f>
        <v>0</v>
      </c>
      <c r="C65" s="28">
        <f>'Turning Movement Data'!C80</f>
        <v>125</v>
      </c>
      <c r="D65" s="28">
        <f>'Turning Movement Data'!D80</f>
        <v>84</v>
      </c>
      <c r="E65" s="28">
        <f>'Turning Movement Data'!E80</f>
        <v>0</v>
      </c>
      <c r="F65" s="28">
        <f>'Turning Movement Data'!F80</f>
        <v>0</v>
      </c>
      <c r="G65" s="28">
        <f>'Turning Movement Data'!G80</f>
        <v>209</v>
      </c>
      <c r="H65" s="30">
        <v>0.63541666666666696</v>
      </c>
      <c r="I65" s="28">
        <f>'Turning Movement Data'!H80</f>
        <v>0</v>
      </c>
      <c r="J65" s="28">
        <f>'Turning Movement Data'!I80</f>
        <v>0</v>
      </c>
      <c r="K65" s="28">
        <f>'Turning Movement Data'!J80</f>
        <v>0</v>
      </c>
      <c r="L65" s="28">
        <f>'Turning Movement Data'!K80</f>
        <v>0</v>
      </c>
      <c r="M65" s="28">
        <f>'Turning Movement Data'!L80</f>
        <v>0</v>
      </c>
      <c r="N65" s="28">
        <f>'Turning Movement Data'!M80</f>
        <v>0</v>
      </c>
      <c r="O65" s="30">
        <v>0.63541666666666696</v>
      </c>
      <c r="P65" s="28">
        <f>'Turning Movement Data'!N80</f>
        <v>66</v>
      </c>
      <c r="Q65" s="28">
        <f>'Turning Movement Data'!O80</f>
        <v>223</v>
      </c>
      <c r="R65" s="28">
        <f>'Turning Movement Data'!P80</f>
        <v>0</v>
      </c>
      <c r="S65" s="28">
        <f>'Turning Movement Data'!Q80</f>
        <v>0</v>
      </c>
      <c r="T65" s="28">
        <f>'Turning Movement Data'!R80</f>
        <v>0</v>
      </c>
      <c r="U65" s="28">
        <f>'Turning Movement Data'!S80</f>
        <v>289</v>
      </c>
      <c r="V65" s="30">
        <v>0.63541666666666696</v>
      </c>
      <c r="W65" s="28">
        <f>'Turning Movement Data'!T80</f>
        <v>37</v>
      </c>
      <c r="X65" s="28">
        <f>'Turning Movement Data'!U80</f>
        <v>0</v>
      </c>
      <c r="Y65" s="28">
        <f>'Turning Movement Data'!V80</f>
        <v>16</v>
      </c>
      <c r="Z65" s="28">
        <f>'Turning Movement Data'!W80</f>
        <v>0</v>
      </c>
      <c r="AA65" s="28">
        <f>'Turning Movement Data'!X80</f>
        <v>0</v>
      </c>
      <c r="AB65" s="28">
        <f>'Turning Movement Data'!Y80</f>
        <v>53</v>
      </c>
      <c r="AC65"/>
    </row>
    <row r="66" spans="1:29" s="16" customFormat="1" x14ac:dyDescent="0.25">
      <c r="A66" s="30">
        <v>0.64583333333333304</v>
      </c>
      <c r="B66" s="28">
        <f>'Turning Movement Data'!B81</f>
        <v>0</v>
      </c>
      <c r="C66" s="28">
        <f>'Turning Movement Data'!C81</f>
        <v>140</v>
      </c>
      <c r="D66" s="28">
        <f>'Turning Movement Data'!D81</f>
        <v>97</v>
      </c>
      <c r="E66" s="28">
        <f>'Turning Movement Data'!E81</f>
        <v>0</v>
      </c>
      <c r="F66" s="28">
        <f>'Turning Movement Data'!F81</f>
        <v>0</v>
      </c>
      <c r="G66" s="28">
        <f>'Turning Movement Data'!G81</f>
        <v>237</v>
      </c>
      <c r="H66" s="30">
        <v>0.64583333333333304</v>
      </c>
      <c r="I66" s="28">
        <f>'Turning Movement Data'!H81</f>
        <v>0</v>
      </c>
      <c r="J66" s="28">
        <f>'Turning Movement Data'!I81</f>
        <v>0</v>
      </c>
      <c r="K66" s="28">
        <f>'Turning Movement Data'!J81</f>
        <v>0</v>
      </c>
      <c r="L66" s="28">
        <f>'Turning Movement Data'!K81</f>
        <v>0</v>
      </c>
      <c r="M66" s="28">
        <f>'Turning Movement Data'!L81</f>
        <v>0</v>
      </c>
      <c r="N66" s="28">
        <f>'Turning Movement Data'!M81</f>
        <v>0</v>
      </c>
      <c r="O66" s="30">
        <v>0.64583333333333304</v>
      </c>
      <c r="P66" s="28">
        <f>'Turning Movement Data'!N81</f>
        <v>66</v>
      </c>
      <c r="Q66" s="28">
        <f>'Turning Movement Data'!O81</f>
        <v>222</v>
      </c>
      <c r="R66" s="28">
        <f>'Turning Movement Data'!P81</f>
        <v>0</v>
      </c>
      <c r="S66" s="28">
        <f>'Turning Movement Data'!Q81</f>
        <v>0</v>
      </c>
      <c r="T66" s="28">
        <f>'Turning Movement Data'!R81</f>
        <v>0</v>
      </c>
      <c r="U66" s="28">
        <f>'Turning Movement Data'!S81</f>
        <v>288</v>
      </c>
      <c r="V66" s="30">
        <v>0.64583333333333304</v>
      </c>
      <c r="W66" s="28">
        <f>'Turning Movement Data'!T81</f>
        <v>34</v>
      </c>
      <c r="X66" s="28">
        <f>'Turning Movement Data'!U81</f>
        <v>0</v>
      </c>
      <c r="Y66" s="28">
        <f>'Turning Movement Data'!V81</f>
        <v>12</v>
      </c>
      <c r="Z66" s="28">
        <f>'Turning Movement Data'!W81</f>
        <v>0</v>
      </c>
      <c r="AA66" s="28">
        <f>'Turning Movement Data'!X81</f>
        <v>0</v>
      </c>
      <c r="AB66" s="28">
        <f>'Turning Movement Data'!Y81</f>
        <v>46</v>
      </c>
      <c r="AC66"/>
    </row>
    <row r="67" spans="1:29" s="5" customFormat="1" x14ac:dyDescent="0.25">
      <c r="A67" s="30">
        <v>0.65625</v>
      </c>
      <c r="B67" s="28">
        <f>'Turning Movement Data'!B82</f>
        <v>0</v>
      </c>
      <c r="C67" s="28">
        <f>'Turning Movement Data'!C82</f>
        <v>156</v>
      </c>
      <c r="D67" s="28">
        <f>'Turning Movement Data'!D82</f>
        <v>72</v>
      </c>
      <c r="E67" s="28">
        <f>'Turning Movement Data'!E82</f>
        <v>0</v>
      </c>
      <c r="F67" s="28">
        <f>'Turning Movement Data'!F82</f>
        <v>0</v>
      </c>
      <c r="G67" s="28">
        <f>'Turning Movement Data'!G82</f>
        <v>228</v>
      </c>
      <c r="H67" s="30">
        <v>0.65625</v>
      </c>
      <c r="I67" s="28">
        <f>'Turning Movement Data'!H82</f>
        <v>0</v>
      </c>
      <c r="J67" s="28">
        <f>'Turning Movement Data'!I82</f>
        <v>0</v>
      </c>
      <c r="K67" s="28">
        <f>'Turning Movement Data'!J82</f>
        <v>0</v>
      </c>
      <c r="L67" s="28">
        <f>'Turning Movement Data'!K82</f>
        <v>0</v>
      </c>
      <c r="M67" s="28">
        <f>'Turning Movement Data'!L82</f>
        <v>0</v>
      </c>
      <c r="N67" s="28">
        <f>'Turning Movement Data'!M82</f>
        <v>0</v>
      </c>
      <c r="O67" s="30">
        <v>0.65625</v>
      </c>
      <c r="P67" s="28">
        <f>'Turning Movement Data'!N82</f>
        <v>71</v>
      </c>
      <c r="Q67" s="28">
        <f>'Turning Movement Data'!O82</f>
        <v>222</v>
      </c>
      <c r="R67" s="28">
        <f>'Turning Movement Data'!P82</f>
        <v>0</v>
      </c>
      <c r="S67" s="28">
        <f>'Turning Movement Data'!Q82</f>
        <v>0</v>
      </c>
      <c r="T67" s="28">
        <f>'Turning Movement Data'!R82</f>
        <v>0</v>
      </c>
      <c r="U67" s="28">
        <f>'Turning Movement Data'!S82</f>
        <v>293</v>
      </c>
      <c r="V67" s="30">
        <v>0.65625</v>
      </c>
      <c r="W67" s="28">
        <f>'Turning Movement Data'!T82</f>
        <v>34</v>
      </c>
      <c r="X67" s="28">
        <f>'Turning Movement Data'!U82</f>
        <v>0</v>
      </c>
      <c r="Y67" s="28">
        <f>'Turning Movement Data'!V82</f>
        <v>24</v>
      </c>
      <c r="Z67" s="28">
        <f>'Turning Movement Data'!W82</f>
        <v>0</v>
      </c>
      <c r="AA67" s="28">
        <f>'Turning Movement Data'!X82</f>
        <v>0</v>
      </c>
      <c r="AB67" s="28">
        <f>'Turning Movement Data'!Y82</f>
        <v>58</v>
      </c>
      <c r="AC67"/>
    </row>
    <row r="68" spans="1:29" s="16" customFormat="1" x14ac:dyDescent="0.25">
      <c r="A68" s="30">
        <v>0.66666666666666696</v>
      </c>
      <c r="B68" s="28">
        <f>'Turning Movement Data'!B84</f>
        <v>0</v>
      </c>
      <c r="C68" s="28">
        <f>'Turning Movement Data'!C84</f>
        <v>143</v>
      </c>
      <c r="D68" s="28">
        <f>'Turning Movement Data'!D84</f>
        <v>82</v>
      </c>
      <c r="E68" s="28">
        <f>'Turning Movement Data'!E84</f>
        <v>0</v>
      </c>
      <c r="F68" s="28">
        <f>'Turning Movement Data'!F84</f>
        <v>0</v>
      </c>
      <c r="G68" s="28">
        <f>'Turning Movement Data'!G84</f>
        <v>225</v>
      </c>
      <c r="H68" s="30">
        <v>0.66666666666666696</v>
      </c>
      <c r="I68" s="28">
        <f>'Turning Movement Data'!H84</f>
        <v>0</v>
      </c>
      <c r="J68" s="28">
        <f>'Turning Movement Data'!I84</f>
        <v>0</v>
      </c>
      <c r="K68" s="28">
        <f>'Turning Movement Data'!J84</f>
        <v>0</v>
      </c>
      <c r="L68" s="28">
        <f>'Turning Movement Data'!K84</f>
        <v>0</v>
      </c>
      <c r="M68" s="28">
        <f>'Turning Movement Data'!L84</f>
        <v>0</v>
      </c>
      <c r="N68" s="28">
        <f>'Turning Movement Data'!M84</f>
        <v>0</v>
      </c>
      <c r="O68" s="30">
        <v>0.66666666666666696</v>
      </c>
      <c r="P68" s="28">
        <f>'Turning Movement Data'!N84</f>
        <v>71</v>
      </c>
      <c r="Q68" s="28">
        <f>'Turning Movement Data'!O84</f>
        <v>208</v>
      </c>
      <c r="R68" s="28">
        <f>'Turning Movement Data'!P84</f>
        <v>0</v>
      </c>
      <c r="S68" s="28">
        <f>'Turning Movement Data'!Q84</f>
        <v>0</v>
      </c>
      <c r="T68" s="28">
        <f>'Turning Movement Data'!R84</f>
        <v>0</v>
      </c>
      <c r="U68" s="28">
        <f>'Turning Movement Data'!S84</f>
        <v>279</v>
      </c>
      <c r="V68" s="30">
        <v>0.66666666666666696</v>
      </c>
      <c r="W68" s="28">
        <f>'Turning Movement Data'!T84</f>
        <v>44</v>
      </c>
      <c r="X68" s="28">
        <f>'Turning Movement Data'!U84</f>
        <v>0</v>
      </c>
      <c r="Y68" s="28">
        <f>'Turning Movement Data'!V84</f>
        <v>20</v>
      </c>
      <c r="Z68" s="28">
        <f>'Turning Movement Data'!W84</f>
        <v>0</v>
      </c>
      <c r="AA68" s="28">
        <f>'Turning Movement Data'!X84</f>
        <v>0</v>
      </c>
      <c r="AB68" s="28">
        <f>'Turning Movement Data'!Y84</f>
        <v>64</v>
      </c>
      <c r="AC68"/>
    </row>
    <row r="69" spans="1:29" s="6" customFormat="1" x14ac:dyDescent="0.25">
      <c r="A69" s="30">
        <v>0.67708333333333304</v>
      </c>
      <c r="B69" s="28">
        <f>'Turning Movement Data'!B85</f>
        <v>0</v>
      </c>
      <c r="C69" s="28">
        <f>'Turning Movement Data'!C85</f>
        <v>191</v>
      </c>
      <c r="D69" s="28">
        <f>'Turning Movement Data'!D85</f>
        <v>76</v>
      </c>
      <c r="E69" s="28">
        <f>'Turning Movement Data'!E85</f>
        <v>0</v>
      </c>
      <c r="F69" s="28">
        <f>'Turning Movement Data'!F85</f>
        <v>0</v>
      </c>
      <c r="G69" s="28">
        <f>'Turning Movement Data'!G85</f>
        <v>267</v>
      </c>
      <c r="H69" s="30">
        <v>0.67708333333333304</v>
      </c>
      <c r="I69" s="28">
        <f>'Turning Movement Data'!H85</f>
        <v>0</v>
      </c>
      <c r="J69" s="28">
        <f>'Turning Movement Data'!I85</f>
        <v>0</v>
      </c>
      <c r="K69" s="28">
        <f>'Turning Movement Data'!J85</f>
        <v>0</v>
      </c>
      <c r="L69" s="28">
        <f>'Turning Movement Data'!K85</f>
        <v>0</v>
      </c>
      <c r="M69" s="28">
        <f>'Turning Movement Data'!L85</f>
        <v>0</v>
      </c>
      <c r="N69" s="28">
        <f>'Turning Movement Data'!M85</f>
        <v>0</v>
      </c>
      <c r="O69" s="30">
        <v>0.67708333333333304</v>
      </c>
      <c r="P69" s="28">
        <f>'Turning Movement Data'!N85</f>
        <v>88</v>
      </c>
      <c r="Q69" s="28">
        <f>'Turning Movement Data'!O85</f>
        <v>255</v>
      </c>
      <c r="R69" s="28">
        <f>'Turning Movement Data'!P85</f>
        <v>0</v>
      </c>
      <c r="S69" s="28">
        <f>'Turning Movement Data'!Q85</f>
        <v>0</v>
      </c>
      <c r="T69" s="28">
        <f>'Turning Movement Data'!R85</f>
        <v>0</v>
      </c>
      <c r="U69" s="28">
        <f>'Turning Movement Data'!S85</f>
        <v>343</v>
      </c>
      <c r="V69" s="30">
        <v>0.67708333333333304</v>
      </c>
      <c r="W69" s="28">
        <f>'Turning Movement Data'!T85</f>
        <v>49</v>
      </c>
      <c r="X69" s="28">
        <f>'Turning Movement Data'!U85</f>
        <v>0</v>
      </c>
      <c r="Y69" s="28">
        <f>'Turning Movement Data'!V85</f>
        <v>18</v>
      </c>
      <c r="Z69" s="28">
        <f>'Turning Movement Data'!W85</f>
        <v>0</v>
      </c>
      <c r="AA69" s="28">
        <f>'Turning Movement Data'!X85</f>
        <v>0</v>
      </c>
      <c r="AB69" s="28">
        <f>'Turning Movement Data'!Y85</f>
        <v>67</v>
      </c>
      <c r="AC69"/>
    </row>
    <row r="70" spans="1:29" s="16" customFormat="1" x14ac:dyDescent="0.25">
      <c r="A70" s="30">
        <v>0.6875</v>
      </c>
      <c r="B70" s="28">
        <f>'Turning Movement Data'!B86</f>
        <v>0</v>
      </c>
      <c r="C70" s="28">
        <f>'Turning Movement Data'!C86</f>
        <v>198</v>
      </c>
      <c r="D70" s="28">
        <f>'Turning Movement Data'!D86</f>
        <v>90</v>
      </c>
      <c r="E70" s="28">
        <f>'Turning Movement Data'!E86</f>
        <v>0</v>
      </c>
      <c r="F70" s="28">
        <f>'Turning Movement Data'!F86</f>
        <v>0</v>
      </c>
      <c r="G70" s="28">
        <f>'Turning Movement Data'!G86</f>
        <v>288</v>
      </c>
      <c r="H70" s="30">
        <v>0.6875</v>
      </c>
      <c r="I70" s="28">
        <f>'Turning Movement Data'!H86</f>
        <v>0</v>
      </c>
      <c r="J70" s="28">
        <f>'Turning Movement Data'!I86</f>
        <v>0</v>
      </c>
      <c r="K70" s="28">
        <f>'Turning Movement Data'!J86</f>
        <v>0</v>
      </c>
      <c r="L70" s="28">
        <f>'Turning Movement Data'!K86</f>
        <v>0</v>
      </c>
      <c r="M70" s="28">
        <f>'Turning Movement Data'!L86</f>
        <v>0</v>
      </c>
      <c r="N70" s="28">
        <f>'Turning Movement Data'!M86</f>
        <v>0</v>
      </c>
      <c r="O70" s="30">
        <v>0.6875</v>
      </c>
      <c r="P70" s="28">
        <f>'Turning Movement Data'!N86</f>
        <v>68</v>
      </c>
      <c r="Q70" s="28">
        <f>'Turning Movement Data'!O86</f>
        <v>269</v>
      </c>
      <c r="R70" s="28">
        <f>'Turning Movement Data'!P86</f>
        <v>0</v>
      </c>
      <c r="S70" s="28">
        <f>'Turning Movement Data'!Q86</f>
        <v>0</v>
      </c>
      <c r="T70" s="28">
        <f>'Turning Movement Data'!R86</f>
        <v>0</v>
      </c>
      <c r="U70" s="28">
        <f>'Turning Movement Data'!S86</f>
        <v>337</v>
      </c>
      <c r="V70" s="30">
        <v>0.6875</v>
      </c>
      <c r="W70" s="28">
        <f>'Turning Movement Data'!T86</f>
        <v>44</v>
      </c>
      <c r="X70" s="28">
        <f>'Turning Movement Data'!U86</f>
        <v>0</v>
      </c>
      <c r="Y70" s="28">
        <f>'Turning Movement Data'!V86</f>
        <v>19</v>
      </c>
      <c r="Z70" s="28">
        <f>'Turning Movement Data'!W86</f>
        <v>0</v>
      </c>
      <c r="AA70" s="28">
        <f>'Turning Movement Data'!X86</f>
        <v>0</v>
      </c>
      <c r="AB70" s="28">
        <f>'Turning Movement Data'!Y86</f>
        <v>63</v>
      </c>
      <c r="AC70"/>
    </row>
    <row r="71" spans="1:29" s="6" customFormat="1" x14ac:dyDescent="0.25">
      <c r="A71" s="30">
        <v>0.69791666666666696</v>
      </c>
      <c r="B71" s="28">
        <f>'Turning Movement Data'!B87</f>
        <v>0</v>
      </c>
      <c r="C71" s="28">
        <f>'Turning Movement Data'!C87</f>
        <v>149</v>
      </c>
      <c r="D71" s="28">
        <f>'Turning Movement Data'!D87</f>
        <v>102</v>
      </c>
      <c r="E71" s="28">
        <f>'Turning Movement Data'!E87</f>
        <v>0</v>
      </c>
      <c r="F71" s="28">
        <f>'Turning Movement Data'!F87</f>
        <v>0</v>
      </c>
      <c r="G71" s="28">
        <f>'Turning Movement Data'!G87</f>
        <v>251</v>
      </c>
      <c r="H71" s="30">
        <v>0.69791666666666696</v>
      </c>
      <c r="I71" s="28">
        <f>'Turning Movement Data'!H87</f>
        <v>0</v>
      </c>
      <c r="J71" s="28">
        <f>'Turning Movement Data'!I87</f>
        <v>0</v>
      </c>
      <c r="K71" s="28">
        <f>'Turning Movement Data'!J87</f>
        <v>0</v>
      </c>
      <c r="L71" s="28">
        <f>'Turning Movement Data'!K87</f>
        <v>0</v>
      </c>
      <c r="M71" s="28">
        <f>'Turning Movement Data'!L87</f>
        <v>0</v>
      </c>
      <c r="N71" s="28">
        <f>'Turning Movement Data'!M87</f>
        <v>0</v>
      </c>
      <c r="O71" s="30">
        <v>0.69791666666666696</v>
      </c>
      <c r="P71" s="28">
        <f>'Turning Movement Data'!N87</f>
        <v>82</v>
      </c>
      <c r="Q71" s="28">
        <f>'Turning Movement Data'!O87</f>
        <v>239</v>
      </c>
      <c r="R71" s="28">
        <f>'Turning Movement Data'!P87</f>
        <v>0</v>
      </c>
      <c r="S71" s="28">
        <f>'Turning Movement Data'!Q87</f>
        <v>0</v>
      </c>
      <c r="T71" s="28">
        <f>'Turning Movement Data'!R87</f>
        <v>0</v>
      </c>
      <c r="U71" s="28">
        <f>'Turning Movement Data'!S87</f>
        <v>321</v>
      </c>
      <c r="V71" s="30">
        <v>0.69791666666666696</v>
      </c>
      <c r="W71" s="28">
        <f>'Turning Movement Data'!T87</f>
        <v>42</v>
      </c>
      <c r="X71" s="28">
        <f>'Turning Movement Data'!U87</f>
        <v>0</v>
      </c>
      <c r="Y71" s="28">
        <f>'Turning Movement Data'!V87</f>
        <v>23</v>
      </c>
      <c r="Z71" s="28">
        <f>'Turning Movement Data'!W87</f>
        <v>0</v>
      </c>
      <c r="AA71" s="28">
        <f>'Turning Movement Data'!X87</f>
        <v>0</v>
      </c>
      <c r="AB71" s="28">
        <f>'Turning Movement Data'!Y87</f>
        <v>65</v>
      </c>
      <c r="AC71"/>
    </row>
    <row r="72" spans="1:29" s="19" customFormat="1" x14ac:dyDescent="0.25">
      <c r="A72" s="30">
        <v>0.70833333333333304</v>
      </c>
      <c r="B72" s="28">
        <f>'Turning Movement Data'!B89</f>
        <v>0</v>
      </c>
      <c r="C72" s="28">
        <f>'Turning Movement Data'!C89</f>
        <v>196</v>
      </c>
      <c r="D72" s="28">
        <f>'Turning Movement Data'!D89</f>
        <v>101</v>
      </c>
      <c r="E72" s="28">
        <f>'Turning Movement Data'!E89</f>
        <v>0</v>
      </c>
      <c r="F72" s="28">
        <f>'Turning Movement Data'!F89</f>
        <v>0</v>
      </c>
      <c r="G72" s="28">
        <f>'Turning Movement Data'!G89</f>
        <v>297</v>
      </c>
      <c r="H72" s="30">
        <v>0.70833333333333304</v>
      </c>
      <c r="I72" s="28">
        <f>'Turning Movement Data'!H89</f>
        <v>0</v>
      </c>
      <c r="J72" s="28">
        <f>'Turning Movement Data'!I89</f>
        <v>0</v>
      </c>
      <c r="K72" s="28">
        <f>'Turning Movement Data'!J89</f>
        <v>0</v>
      </c>
      <c r="L72" s="28">
        <f>'Turning Movement Data'!K89</f>
        <v>0</v>
      </c>
      <c r="M72" s="28">
        <f>'Turning Movement Data'!L89</f>
        <v>0</v>
      </c>
      <c r="N72" s="28">
        <f>'Turning Movement Data'!M89</f>
        <v>0</v>
      </c>
      <c r="O72" s="30">
        <v>0.70833333333333304</v>
      </c>
      <c r="P72" s="28">
        <f>'Turning Movement Data'!N89</f>
        <v>80</v>
      </c>
      <c r="Q72" s="28">
        <f>'Turning Movement Data'!O89</f>
        <v>241</v>
      </c>
      <c r="R72" s="28">
        <f>'Turning Movement Data'!P89</f>
        <v>0</v>
      </c>
      <c r="S72" s="28">
        <f>'Turning Movement Data'!Q89</f>
        <v>0</v>
      </c>
      <c r="T72" s="28">
        <f>'Turning Movement Data'!R89</f>
        <v>0</v>
      </c>
      <c r="U72" s="28">
        <f>'Turning Movement Data'!S89</f>
        <v>321</v>
      </c>
      <c r="V72" s="30">
        <v>0.70833333333333304</v>
      </c>
      <c r="W72" s="28">
        <f>'Turning Movement Data'!T89</f>
        <v>28</v>
      </c>
      <c r="X72" s="28">
        <f>'Turning Movement Data'!U89</f>
        <v>0</v>
      </c>
      <c r="Y72" s="28">
        <f>'Turning Movement Data'!V89</f>
        <v>18</v>
      </c>
      <c r="Z72" s="28">
        <f>'Turning Movement Data'!W89</f>
        <v>0</v>
      </c>
      <c r="AA72" s="28">
        <f>'Turning Movement Data'!X89</f>
        <v>0</v>
      </c>
      <c r="AB72" s="28">
        <f>'Turning Movement Data'!Y89</f>
        <v>46</v>
      </c>
      <c r="AC72"/>
    </row>
    <row r="73" spans="1:29" s="6" customFormat="1" x14ac:dyDescent="0.25">
      <c r="A73" s="30">
        <v>0.71875</v>
      </c>
      <c r="B73" s="28">
        <f>'Turning Movement Data'!B90</f>
        <v>0</v>
      </c>
      <c r="C73" s="28">
        <f>'Turning Movement Data'!C90</f>
        <v>196</v>
      </c>
      <c r="D73" s="28">
        <f>'Turning Movement Data'!D90</f>
        <v>95</v>
      </c>
      <c r="E73" s="28">
        <f>'Turning Movement Data'!E90</f>
        <v>0</v>
      </c>
      <c r="F73" s="28">
        <f>'Turning Movement Data'!F90</f>
        <v>0</v>
      </c>
      <c r="G73" s="28">
        <f>'Turning Movement Data'!G90</f>
        <v>291</v>
      </c>
      <c r="H73" s="30">
        <v>0.71875</v>
      </c>
      <c r="I73" s="28">
        <f>'Turning Movement Data'!H90</f>
        <v>0</v>
      </c>
      <c r="J73" s="28">
        <f>'Turning Movement Data'!I90</f>
        <v>0</v>
      </c>
      <c r="K73" s="28">
        <f>'Turning Movement Data'!J90</f>
        <v>0</v>
      </c>
      <c r="L73" s="28">
        <f>'Turning Movement Data'!K90</f>
        <v>0</v>
      </c>
      <c r="M73" s="28">
        <f>'Turning Movement Data'!L90</f>
        <v>0</v>
      </c>
      <c r="N73" s="28">
        <f>'Turning Movement Data'!M90</f>
        <v>0</v>
      </c>
      <c r="O73" s="30">
        <v>0.71875</v>
      </c>
      <c r="P73" s="28">
        <f>'Turning Movement Data'!N90</f>
        <v>84</v>
      </c>
      <c r="Q73" s="28">
        <f>'Turning Movement Data'!O90</f>
        <v>244</v>
      </c>
      <c r="R73" s="28">
        <f>'Turning Movement Data'!P90</f>
        <v>0</v>
      </c>
      <c r="S73" s="28">
        <f>'Turning Movement Data'!Q90</f>
        <v>0</v>
      </c>
      <c r="T73" s="28">
        <f>'Turning Movement Data'!R90</f>
        <v>0</v>
      </c>
      <c r="U73" s="28">
        <f>'Turning Movement Data'!S90</f>
        <v>328</v>
      </c>
      <c r="V73" s="30">
        <v>0.71875</v>
      </c>
      <c r="W73" s="28">
        <f>'Turning Movement Data'!T90</f>
        <v>37</v>
      </c>
      <c r="X73" s="28">
        <f>'Turning Movement Data'!U90</f>
        <v>0</v>
      </c>
      <c r="Y73" s="28">
        <f>'Turning Movement Data'!V90</f>
        <v>20</v>
      </c>
      <c r="Z73" s="28">
        <f>'Turning Movement Data'!W90</f>
        <v>0</v>
      </c>
      <c r="AA73" s="28">
        <f>'Turning Movement Data'!X90</f>
        <v>0</v>
      </c>
      <c r="AB73" s="28">
        <f>'Turning Movement Data'!Y90</f>
        <v>57</v>
      </c>
      <c r="AC73"/>
    </row>
    <row r="74" spans="1:29" s="16" customFormat="1" x14ac:dyDescent="0.25">
      <c r="A74" s="30">
        <v>0.72916666666666696</v>
      </c>
      <c r="B74" s="28">
        <f>'Turning Movement Data'!B91</f>
        <v>0</v>
      </c>
      <c r="C74" s="28">
        <f>'Turning Movement Data'!C91</f>
        <v>189</v>
      </c>
      <c r="D74" s="28">
        <f>'Turning Movement Data'!D91</f>
        <v>88</v>
      </c>
      <c r="E74" s="28">
        <f>'Turning Movement Data'!E91</f>
        <v>0</v>
      </c>
      <c r="F74" s="28">
        <f>'Turning Movement Data'!F91</f>
        <v>0</v>
      </c>
      <c r="G74" s="28">
        <f>'Turning Movement Data'!G91</f>
        <v>277</v>
      </c>
      <c r="H74" s="30">
        <v>0.72916666666666696</v>
      </c>
      <c r="I74" s="28">
        <f>'Turning Movement Data'!H91</f>
        <v>0</v>
      </c>
      <c r="J74" s="28">
        <f>'Turning Movement Data'!I91</f>
        <v>0</v>
      </c>
      <c r="K74" s="28">
        <f>'Turning Movement Data'!J91</f>
        <v>0</v>
      </c>
      <c r="L74" s="28">
        <f>'Turning Movement Data'!K91</f>
        <v>0</v>
      </c>
      <c r="M74" s="28">
        <f>'Turning Movement Data'!L91</f>
        <v>0</v>
      </c>
      <c r="N74" s="28">
        <f>'Turning Movement Data'!M91</f>
        <v>0</v>
      </c>
      <c r="O74" s="30">
        <v>0.72916666666666696</v>
      </c>
      <c r="P74" s="28">
        <f>'Turning Movement Data'!N91</f>
        <v>81</v>
      </c>
      <c r="Q74" s="28">
        <f>'Turning Movement Data'!O91</f>
        <v>273</v>
      </c>
      <c r="R74" s="28">
        <f>'Turning Movement Data'!P91</f>
        <v>0</v>
      </c>
      <c r="S74" s="28">
        <f>'Turning Movement Data'!Q91</f>
        <v>0</v>
      </c>
      <c r="T74" s="28">
        <f>'Turning Movement Data'!R91</f>
        <v>0</v>
      </c>
      <c r="U74" s="28">
        <f>'Turning Movement Data'!S91</f>
        <v>354</v>
      </c>
      <c r="V74" s="30">
        <v>0.72916666666666696</v>
      </c>
      <c r="W74" s="28">
        <f>'Turning Movement Data'!T91</f>
        <v>40</v>
      </c>
      <c r="X74" s="28">
        <f>'Turning Movement Data'!U91</f>
        <v>1</v>
      </c>
      <c r="Y74" s="28">
        <f>'Turning Movement Data'!V91</f>
        <v>16</v>
      </c>
      <c r="Z74" s="28">
        <f>'Turning Movement Data'!W91</f>
        <v>0</v>
      </c>
      <c r="AA74" s="28">
        <f>'Turning Movement Data'!X91</f>
        <v>0</v>
      </c>
      <c r="AB74" s="28">
        <f>'Turning Movement Data'!Y91</f>
        <v>57</v>
      </c>
      <c r="AC74"/>
    </row>
    <row r="75" spans="1:29" s="6" customFormat="1" x14ac:dyDescent="0.25">
      <c r="A75" s="30">
        <v>0.73958333333333304</v>
      </c>
      <c r="B75" s="28">
        <f>'Turning Movement Data'!B92</f>
        <v>0</v>
      </c>
      <c r="C75" s="28">
        <f>'Turning Movement Data'!C92</f>
        <v>170</v>
      </c>
      <c r="D75" s="28">
        <f>'Turning Movement Data'!D92</f>
        <v>106</v>
      </c>
      <c r="E75" s="28">
        <f>'Turning Movement Data'!E92</f>
        <v>0</v>
      </c>
      <c r="F75" s="28">
        <f>'Turning Movement Data'!F92</f>
        <v>0</v>
      </c>
      <c r="G75" s="28">
        <f>'Turning Movement Data'!G92</f>
        <v>276</v>
      </c>
      <c r="H75" s="30">
        <v>0.73958333333333304</v>
      </c>
      <c r="I75" s="28">
        <f>'Turning Movement Data'!H92</f>
        <v>0</v>
      </c>
      <c r="J75" s="28">
        <f>'Turning Movement Data'!I92</f>
        <v>0</v>
      </c>
      <c r="K75" s="28">
        <f>'Turning Movement Data'!J92</f>
        <v>0</v>
      </c>
      <c r="L75" s="28">
        <f>'Turning Movement Data'!K92</f>
        <v>0</v>
      </c>
      <c r="M75" s="28">
        <f>'Turning Movement Data'!L92</f>
        <v>0</v>
      </c>
      <c r="N75" s="28">
        <f>'Turning Movement Data'!M92</f>
        <v>0</v>
      </c>
      <c r="O75" s="30">
        <v>0.73958333333333304</v>
      </c>
      <c r="P75" s="28">
        <f>'Turning Movement Data'!N92</f>
        <v>76</v>
      </c>
      <c r="Q75" s="28">
        <f>'Turning Movement Data'!O92</f>
        <v>238</v>
      </c>
      <c r="R75" s="28">
        <f>'Turning Movement Data'!P92</f>
        <v>0</v>
      </c>
      <c r="S75" s="28">
        <f>'Turning Movement Data'!Q92</f>
        <v>0</v>
      </c>
      <c r="T75" s="28">
        <f>'Turning Movement Data'!R92</f>
        <v>0</v>
      </c>
      <c r="U75" s="28">
        <f>'Turning Movement Data'!S92</f>
        <v>314</v>
      </c>
      <c r="V75" s="30">
        <v>0.73958333333333304</v>
      </c>
      <c r="W75" s="28">
        <f>'Turning Movement Data'!T92</f>
        <v>34</v>
      </c>
      <c r="X75" s="28">
        <f>'Turning Movement Data'!U92</f>
        <v>0</v>
      </c>
      <c r="Y75" s="28">
        <f>'Turning Movement Data'!V92</f>
        <v>14</v>
      </c>
      <c r="Z75" s="28">
        <f>'Turning Movement Data'!W92</f>
        <v>0</v>
      </c>
      <c r="AA75" s="28">
        <f>'Turning Movement Data'!X92</f>
        <v>0</v>
      </c>
      <c r="AB75" s="28">
        <f>'Turning Movement Data'!Y92</f>
        <v>48</v>
      </c>
      <c r="AC75"/>
    </row>
    <row r="76" spans="1:29" s="16" customFormat="1" x14ac:dyDescent="0.25">
      <c r="A76" s="30">
        <v>0.75</v>
      </c>
      <c r="B76" s="28">
        <f>'Turning Movement Data'!B94</f>
        <v>0</v>
      </c>
      <c r="C76" s="28">
        <f>'Turning Movement Data'!C94</f>
        <v>126</v>
      </c>
      <c r="D76" s="28">
        <f>'Turning Movement Data'!D94</f>
        <v>86</v>
      </c>
      <c r="E76" s="28">
        <f>'Turning Movement Data'!E94</f>
        <v>0</v>
      </c>
      <c r="F76" s="28">
        <f>'Turning Movement Data'!F94</f>
        <v>0</v>
      </c>
      <c r="G76" s="28">
        <f>'Turning Movement Data'!G94</f>
        <v>212</v>
      </c>
      <c r="H76" s="30">
        <v>0.75</v>
      </c>
      <c r="I76" s="28">
        <f>'Turning Movement Data'!H94</f>
        <v>0</v>
      </c>
      <c r="J76" s="28">
        <f>'Turning Movement Data'!I94</f>
        <v>0</v>
      </c>
      <c r="K76" s="28">
        <f>'Turning Movement Data'!J94</f>
        <v>0</v>
      </c>
      <c r="L76" s="28">
        <f>'Turning Movement Data'!K94</f>
        <v>0</v>
      </c>
      <c r="M76" s="28">
        <f>'Turning Movement Data'!L94</f>
        <v>0</v>
      </c>
      <c r="N76" s="28">
        <f>'Turning Movement Data'!M94</f>
        <v>0</v>
      </c>
      <c r="O76" s="30">
        <v>0.75</v>
      </c>
      <c r="P76" s="28">
        <f>'Turning Movement Data'!N94</f>
        <v>73</v>
      </c>
      <c r="Q76" s="28">
        <f>'Turning Movement Data'!O94</f>
        <v>207</v>
      </c>
      <c r="R76" s="28">
        <f>'Turning Movement Data'!P94</f>
        <v>0</v>
      </c>
      <c r="S76" s="28">
        <f>'Turning Movement Data'!Q94</f>
        <v>0</v>
      </c>
      <c r="T76" s="28">
        <f>'Turning Movement Data'!R94</f>
        <v>0</v>
      </c>
      <c r="U76" s="28">
        <f>'Turning Movement Data'!S94</f>
        <v>280</v>
      </c>
      <c r="V76" s="30">
        <v>0.75</v>
      </c>
      <c r="W76" s="28">
        <f>'Turning Movement Data'!T94</f>
        <v>27</v>
      </c>
      <c r="X76" s="28">
        <f>'Turning Movement Data'!U94</f>
        <v>0</v>
      </c>
      <c r="Y76" s="28">
        <f>'Turning Movement Data'!V94</f>
        <v>24</v>
      </c>
      <c r="Z76" s="28">
        <f>'Turning Movement Data'!W94</f>
        <v>0</v>
      </c>
      <c r="AA76" s="28">
        <f>'Turning Movement Data'!X94</f>
        <v>0</v>
      </c>
      <c r="AB76" s="28">
        <f>'Turning Movement Data'!Y94</f>
        <v>51</v>
      </c>
      <c r="AC76"/>
    </row>
    <row r="77" spans="1:29" s="5" customFormat="1" x14ac:dyDescent="0.25">
      <c r="A77" s="30">
        <v>0.76041666666666696</v>
      </c>
      <c r="B77" s="28">
        <f>'Turning Movement Data'!B95</f>
        <v>0</v>
      </c>
      <c r="C77" s="28">
        <f>'Turning Movement Data'!C95</f>
        <v>108</v>
      </c>
      <c r="D77" s="28">
        <f>'Turning Movement Data'!D95</f>
        <v>91</v>
      </c>
      <c r="E77" s="28">
        <f>'Turning Movement Data'!E95</f>
        <v>0</v>
      </c>
      <c r="F77" s="28">
        <f>'Turning Movement Data'!F95</f>
        <v>0</v>
      </c>
      <c r="G77" s="28">
        <f>'Turning Movement Data'!G95</f>
        <v>199</v>
      </c>
      <c r="H77" s="30">
        <v>0.76041666666666696</v>
      </c>
      <c r="I77" s="28">
        <f>'Turning Movement Data'!H95</f>
        <v>0</v>
      </c>
      <c r="J77" s="28">
        <f>'Turning Movement Data'!I95</f>
        <v>0</v>
      </c>
      <c r="K77" s="28">
        <f>'Turning Movement Data'!J95</f>
        <v>0</v>
      </c>
      <c r="L77" s="28">
        <f>'Turning Movement Data'!K95</f>
        <v>0</v>
      </c>
      <c r="M77" s="28">
        <f>'Turning Movement Data'!L95</f>
        <v>0</v>
      </c>
      <c r="N77" s="28">
        <f>'Turning Movement Data'!M95</f>
        <v>0</v>
      </c>
      <c r="O77" s="30">
        <v>0.76041666666666696</v>
      </c>
      <c r="P77" s="28">
        <f>'Turning Movement Data'!N95</f>
        <v>68</v>
      </c>
      <c r="Q77" s="28">
        <f>'Turning Movement Data'!O95</f>
        <v>182</v>
      </c>
      <c r="R77" s="28">
        <f>'Turning Movement Data'!P95</f>
        <v>0</v>
      </c>
      <c r="S77" s="28">
        <f>'Turning Movement Data'!Q95</f>
        <v>0</v>
      </c>
      <c r="T77" s="28">
        <f>'Turning Movement Data'!R95</f>
        <v>0</v>
      </c>
      <c r="U77" s="28">
        <f>'Turning Movement Data'!S95</f>
        <v>250</v>
      </c>
      <c r="V77" s="30">
        <v>0.76041666666666696</v>
      </c>
      <c r="W77" s="28">
        <f>'Turning Movement Data'!T95</f>
        <v>34</v>
      </c>
      <c r="X77" s="28">
        <f>'Turning Movement Data'!U95</f>
        <v>0</v>
      </c>
      <c r="Y77" s="28">
        <f>'Turning Movement Data'!V95</f>
        <v>15</v>
      </c>
      <c r="Z77" s="28">
        <f>'Turning Movement Data'!W95</f>
        <v>0</v>
      </c>
      <c r="AA77" s="28">
        <f>'Turning Movement Data'!X95</f>
        <v>0</v>
      </c>
      <c r="AB77" s="28">
        <f>'Turning Movement Data'!Y95</f>
        <v>49</v>
      </c>
      <c r="AC77"/>
    </row>
    <row r="78" spans="1:29" s="16" customFormat="1" x14ac:dyDescent="0.25">
      <c r="A78" s="30">
        <v>0.77083333333333304</v>
      </c>
      <c r="B78" s="28">
        <f>'Turning Movement Data'!B96</f>
        <v>0</v>
      </c>
      <c r="C78" s="28">
        <f>'Turning Movement Data'!C96</f>
        <v>126</v>
      </c>
      <c r="D78" s="28">
        <f>'Turning Movement Data'!D96</f>
        <v>66</v>
      </c>
      <c r="E78" s="28">
        <f>'Turning Movement Data'!E96</f>
        <v>0</v>
      </c>
      <c r="F78" s="28">
        <f>'Turning Movement Data'!F96</f>
        <v>0</v>
      </c>
      <c r="G78" s="28">
        <f>'Turning Movement Data'!G96</f>
        <v>192</v>
      </c>
      <c r="H78" s="30">
        <v>0.77083333333333304</v>
      </c>
      <c r="I78" s="28">
        <f>'Turning Movement Data'!H96</f>
        <v>0</v>
      </c>
      <c r="J78" s="28">
        <f>'Turning Movement Data'!I96</f>
        <v>0</v>
      </c>
      <c r="K78" s="28">
        <f>'Turning Movement Data'!J96</f>
        <v>0</v>
      </c>
      <c r="L78" s="28">
        <f>'Turning Movement Data'!K96</f>
        <v>0</v>
      </c>
      <c r="M78" s="28">
        <f>'Turning Movement Data'!L96</f>
        <v>0</v>
      </c>
      <c r="N78" s="28">
        <f>'Turning Movement Data'!M96</f>
        <v>0</v>
      </c>
      <c r="O78" s="30">
        <v>0.77083333333333304</v>
      </c>
      <c r="P78" s="28">
        <f>'Turning Movement Data'!N96</f>
        <v>56</v>
      </c>
      <c r="Q78" s="28">
        <f>'Turning Movement Data'!O96</f>
        <v>195</v>
      </c>
      <c r="R78" s="28">
        <f>'Turning Movement Data'!P96</f>
        <v>0</v>
      </c>
      <c r="S78" s="28">
        <f>'Turning Movement Data'!Q96</f>
        <v>0</v>
      </c>
      <c r="T78" s="28">
        <f>'Turning Movement Data'!R96</f>
        <v>0</v>
      </c>
      <c r="U78" s="28">
        <f>'Turning Movement Data'!S96</f>
        <v>251</v>
      </c>
      <c r="V78" s="30">
        <v>0.77083333333333304</v>
      </c>
      <c r="W78" s="28">
        <f>'Turning Movement Data'!T96</f>
        <v>32</v>
      </c>
      <c r="X78" s="28">
        <f>'Turning Movement Data'!U96</f>
        <v>0</v>
      </c>
      <c r="Y78" s="28">
        <f>'Turning Movement Data'!V96</f>
        <v>9</v>
      </c>
      <c r="Z78" s="28">
        <f>'Turning Movement Data'!W96</f>
        <v>0</v>
      </c>
      <c r="AA78" s="28">
        <f>'Turning Movement Data'!X96</f>
        <v>0</v>
      </c>
      <c r="AB78" s="28">
        <f>'Turning Movement Data'!Y96</f>
        <v>41</v>
      </c>
      <c r="AC78"/>
    </row>
    <row r="79" spans="1:29" s="6" customFormat="1" x14ac:dyDescent="0.25">
      <c r="A79" s="30">
        <v>0.78125</v>
      </c>
      <c r="B79" s="28">
        <f>'Turning Movement Data'!B97</f>
        <v>0</v>
      </c>
      <c r="C79" s="28">
        <f>'Turning Movement Data'!C97</f>
        <v>151</v>
      </c>
      <c r="D79" s="28">
        <f>'Turning Movement Data'!D97</f>
        <v>78</v>
      </c>
      <c r="E79" s="28">
        <f>'Turning Movement Data'!E97</f>
        <v>0</v>
      </c>
      <c r="F79" s="28">
        <f>'Turning Movement Data'!F97</f>
        <v>0</v>
      </c>
      <c r="G79" s="28">
        <f>'Turning Movement Data'!G97</f>
        <v>229</v>
      </c>
      <c r="H79" s="30">
        <v>0.78125</v>
      </c>
      <c r="I79" s="28">
        <f>'Turning Movement Data'!H97</f>
        <v>0</v>
      </c>
      <c r="J79" s="28">
        <f>'Turning Movement Data'!I97</f>
        <v>0</v>
      </c>
      <c r="K79" s="28">
        <f>'Turning Movement Data'!J97</f>
        <v>0</v>
      </c>
      <c r="L79" s="28">
        <f>'Turning Movement Data'!K97</f>
        <v>0</v>
      </c>
      <c r="M79" s="28">
        <f>'Turning Movement Data'!L97</f>
        <v>0</v>
      </c>
      <c r="N79" s="28">
        <f>'Turning Movement Data'!M97</f>
        <v>0</v>
      </c>
      <c r="O79" s="30">
        <v>0.78125</v>
      </c>
      <c r="P79" s="28">
        <f>'Turning Movement Data'!N97</f>
        <v>44</v>
      </c>
      <c r="Q79" s="28">
        <f>'Turning Movement Data'!O97</f>
        <v>155</v>
      </c>
      <c r="R79" s="28">
        <f>'Turning Movement Data'!P97</f>
        <v>0</v>
      </c>
      <c r="S79" s="28">
        <f>'Turning Movement Data'!Q97</f>
        <v>0</v>
      </c>
      <c r="T79" s="28">
        <f>'Turning Movement Data'!R97</f>
        <v>0</v>
      </c>
      <c r="U79" s="28">
        <f>'Turning Movement Data'!S97</f>
        <v>199</v>
      </c>
      <c r="V79" s="30">
        <v>0.78125</v>
      </c>
      <c r="W79" s="28">
        <f>'Turning Movement Data'!T97</f>
        <v>18</v>
      </c>
      <c r="X79" s="28">
        <f>'Turning Movement Data'!U97</f>
        <v>0</v>
      </c>
      <c r="Y79" s="28">
        <f>'Turning Movement Data'!V97</f>
        <v>7</v>
      </c>
      <c r="Z79" s="28">
        <f>'Turning Movement Data'!W97</f>
        <v>0</v>
      </c>
      <c r="AA79" s="28">
        <f>'Turning Movement Data'!X97</f>
        <v>0</v>
      </c>
      <c r="AB79" s="28">
        <f>'Turning Movement Data'!Y97</f>
        <v>25</v>
      </c>
      <c r="AC79"/>
    </row>
    <row r="80" spans="1:29" s="16" customFormat="1" x14ac:dyDescent="0.25">
      <c r="A80" s="30">
        <v>0.79166666666666696</v>
      </c>
      <c r="B80" s="28">
        <f>'Turning Movement Data'!B99</f>
        <v>0</v>
      </c>
      <c r="C80" s="28">
        <f>'Turning Movement Data'!C99</f>
        <v>0</v>
      </c>
      <c r="D80" s="28">
        <f>'Turning Movement Data'!D99</f>
        <v>0</v>
      </c>
      <c r="E80" s="28">
        <f>'Turning Movement Data'!E99</f>
        <v>0</v>
      </c>
      <c r="F80" s="28">
        <f>'Turning Movement Data'!F99</f>
        <v>0</v>
      </c>
      <c r="G80" s="28">
        <f>'Turning Movement Data'!G99</f>
        <v>0</v>
      </c>
      <c r="H80" s="30">
        <v>0.79166666666666696</v>
      </c>
      <c r="I80" s="28">
        <f>'Turning Movement Data'!H99</f>
        <v>0</v>
      </c>
      <c r="J80" s="28">
        <f>'Turning Movement Data'!I99</f>
        <v>0</v>
      </c>
      <c r="K80" s="28">
        <f>'Turning Movement Data'!J99</f>
        <v>0</v>
      </c>
      <c r="L80" s="28">
        <f>'Turning Movement Data'!K99</f>
        <v>0</v>
      </c>
      <c r="M80" s="28">
        <f>'Turning Movement Data'!L99</f>
        <v>0</v>
      </c>
      <c r="N80" s="28">
        <f>'Turning Movement Data'!M99</f>
        <v>0</v>
      </c>
      <c r="O80" s="30">
        <v>0.79166666666666696</v>
      </c>
      <c r="P80" s="28">
        <f>'Turning Movement Data'!N99</f>
        <v>0</v>
      </c>
      <c r="Q80" s="28">
        <f>'Turning Movement Data'!O99</f>
        <v>0</v>
      </c>
      <c r="R80" s="28">
        <f>'Turning Movement Data'!P99</f>
        <v>0</v>
      </c>
      <c r="S80" s="28">
        <f>'Turning Movement Data'!Q99</f>
        <v>0</v>
      </c>
      <c r="T80" s="28">
        <f>'Turning Movement Data'!R99</f>
        <v>0</v>
      </c>
      <c r="U80" s="28">
        <f>'Turning Movement Data'!S99</f>
        <v>0</v>
      </c>
      <c r="V80" s="30">
        <v>0.79166666666666696</v>
      </c>
      <c r="W80" s="28">
        <f>'Turning Movement Data'!T99</f>
        <v>0</v>
      </c>
      <c r="X80" s="28">
        <f>'Turning Movement Data'!U99</f>
        <v>0</v>
      </c>
      <c r="Y80" s="28">
        <f>'Turning Movement Data'!V99</f>
        <v>0</v>
      </c>
      <c r="Z80" s="28">
        <f>'Turning Movement Data'!W99</f>
        <v>0</v>
      </c>
      <c r="AA80" s="28">
        <f>'Turning Movement Data'!X99</f>
        <v>0</v>
      </c>
      <c r="AB80" s="28">
        <f>'Turning Movement Data'!Y99</f>
        <v>0</v>
      </c>
      <c r="AC80"/>
    </row>
    <row r="81" spans="1:29" s="6" customFormat="1" x14ac:dyDescent="0.25">
      <c r="A81" s="30">
        <v>0.80208333333333304</v>
      </c>
      <c r="B81" s="28">
        <f>'Turning Movement Data'!B100</f>
        <v>0</v>
      </c>
      <c r="C81" s="28">
        <f>'Turning Movement Data'!C100</f>
        <v>0</v>
      </c>
      <c r="D81" s="28">
        <f>'Turning Movement Data'!D100</f>
        <v>0</v>
      </c>
      <c r="E81" s="28">
        <f>'Turning Movement Data'!E100</f>
        <v>0</v>
      </c>
      <c r="F81" s="28">
        <f>'Turning Movement Data'!F100</f>
        <v>0</v>
      </c>
      <c r="G81" s="28">
        <f>'Turning Movement Data'!G100</f>
        <v>0</v>
      </c>
      <c r="H81" s="30">
        <v>0.80208333333333304</v>
      </c>
      <c r="I81" s="28">
        <f>'Turning Movement Data'!H100</f>
        <v>0</v>
      </c>
      <c r="J81" s="28">
        <f>'Turning Movement Data'!I100</f>
        <v>0</v>
      </c>
      <c r="K81" s="28">
        <f>'Turning Movement Data'!J100</f>
        <v>0</v>
      </c>
      <c r="L81" s="28">
        <f>'Turning Movement Data'!K100</f>
        <v>0</v>
      </c>
      <c r="M81" s="28">
        <f>'Turning Movement Data'!L100</f>
        <v>0</v>
      </c>
      <c r="N81" s="28">
        <f>'Turning Movement Data'!M100</f>
        <v>0</v>
      </c>
      <c r="O81" s="30">
        <v>0.80208333333333304</v>
      </c>
      <c r="P81" s="28">
        <f>'Turning Movement Data'!N100</f>
        <v>0</v>
      </c>
      <c r="Q81" s="28">
        <f>'Turning Movement Data'!O100</f>
        <v>0</v>
      </c>
      <c r="R81" s="28">
        <f>'Turning Movement Data'!P100</f>
        <v>0</v>
      </c>
      <c r="S81" s="28">
        <f>'Turning Movement Data'!Q100</f>
        <v>0</v>
      </c>
      <c r="T81" s="28">
        <f>'Turning Movement Data'!R100</f>
        <v>0</v>
      </c>
      <c r="U81" s="28">
        <f>'Turning Movement Data'!S100</f>
        <v>0</v>
      </c>
      <c r="V81" s="30">
        <v>0.80208333333333304</v>
      </c>
      <c r="W81" s="28">
        <f>'Turning Movement Data'!T100</f>
        <v>0</v>
      </c>
      <c r="X81" s="28">
        <f>'Turning Movement Data'!U100</f>
        <v>0</v>
      </c>
      <c r="Y81" s="28">
        <f>'Turning Movement Data'!V100</f>
        <v>0</v>
      </c>
      <c r="Z81" s="28">
        <f>'Turning Movement Data'!W100</f>
        <v>0</v>
      </c>
      <c r="AA81" s="28">
        <f>'Turning Movement Data'!X100</f>
        <v>0</v>
      </c>
      <c r="AB81" s="28">
        <f>'Turning Movement Data'!Y100</f>
        <v>0</v>
      </c>
      <c r="AC81"/>
    </row>
    <row r="82" spans="1:29" s="19" customFormat="1" x14ac:dyDescent="0.25">
      <c r="A82" s="30">
        <v>0.8125</v>
      </c>
      <c r="B82" s="28">
        <f>'Turning Movement Data'!B101</f>
        <v>0</v>
      </c>
      <c r="C82" s="28">
        <f>'Turning Movement Data'!C101</f>
        <v>0</v>
      </c>
      <c r="D82" s="28">
        <f>'Turning Movement Data'!D101</f>
        <v>0</v>
      </c>
      <c r="E82" s="28">
        <f>'Turning Movement Data'!E101</f>
        <v>0</v>
      </c>
      <c r="F82" s="28">
        <f>'Turning Movement Data'!F101</f>
        <v>0</v>
      </c>
      <c r="G82" s="28">
        <f>'Turning Movement Data'!G101</f>
        <v>0</v>
      </c>
      <c r="H82" s="30">
        <v>0.8125</v>
      </c>
      <c r="I82" s="28">
        <f>'Turning Movement Data'!H101</f>
        <v>0</v>
      </c>
      <c r="J82" s="28">
        <f>'Turning Movement Data'!I101</f>
        <v>0</v>
      </c>
      <c r="K82" s="28">
        <f>'Turning Movement Data'!J101</f>
        <v>0</v>
      </c>
      <c r="L82" s="28">
        <f>'Turning Movement Data'!K101</f>
        <v>0</v>
      </c>
      <c r="M82" s="28">
        <f>'Turning Movement Data'!L101</f>
        <v>0</v>
      </c>
      <c r="N82" s="28">
        <f>'Turning Movement Data'!M101</f>
        <v>0</v>
      </c>
      <c r="O82" s="30">
        <v>0.8125</v>
      </c>
      <c r="P82" s="28">
        <f>'Turning Movement Data'!N101</f>
        <v>0</v>
      </c>
      <c r="Q82" s="28">
        <f>'Turning Movement Data'!O101</f>
        <v>0</v>
      </c>
      <c r="R82" s="28">
        <f>'Turning Movement Data'!P101</f>
        <v>0</v>
      </c>
      <c r="S82" s="28">
        <f>'Turning Movement Data'!Q101</f>
        <v>0</v>
      </c>
      <c r="T82" s="28">
        <f>'Turning Movement Data'!R101</f>
        <v>0</v>
      </c>
      <c r="U82" s="28">
        <f>'Turning Movement Data'!S101</f>
        <v>0</v>
      </c>
      <c r="V82" s="30">
        <v>0.8125</v>
      </c>
      <c r="W82" s="28">
        <f>'Turning Movement Data'!T101</f>
        <v>0</v>
      </c>
      <c r="X82" s="28">
        <f>'Turning Movement Data'!U101</f>
        <v>0</v>
      </c>
      <c r="Y82" s="28">
        <f>'Turning Movement Data'!V101</f>
        <v>0</v>
      </c>
      <c r="Z82" s="28">
        <f>'Turning Movement Data'!W101</f>
        <v>0</v>
      </c>
      <c r="AA82" s="28">
        <f>'Turning Movement Data'!X101</f>
        <v>0</v>
      </c>
      <c r="AB82" s="28">
        <f>'Turning Movement Data'!Y101</f>
        <v>0</v>
      </c>
      <c r="AC82"/>
    </row>
    <row r="83" spans="1:29" s="6" customFormat="1" x14ac:dyDescent="0.25">
      <c r="A83" s="30">
        <v>0.82291666666666696</v>
      </c>
      <c r="B83" s="28">
        <f>'Turning Movement Data'!B102</f>
        <v>0</v>
      </c>
      <c r="C83" s="28">
        <f>'Turning Movement Data'!C102</f>
        <v>0</v>
      </c>
      <c r="D83" s="28">
        <f>'Turning Movement Data'!D102</f>
        <v>0</v>
      </c>
      <c r="E83" s="28">
        <f>'Turning Movement Data'!E102</f>
        <v>0</v>
      </c>
      <c r="F83" s="28">
        <f>'Turning Movement Data'!F102</f>
        <v>0</v>
      </c>
      <c r="G83" s="28">
        <f>'Turning Movement Data'!G102</f>
        <v>0</v>
      </c>
      <c r="H83" s="30">
        <v>0.82291666666666696</v>
      </c>
      <c r="I83" s="28">
        <f>'Turning Movement Data'!H102</f>
        <v>0</v>
      </c>
      <c r="J83" s="28">
        <f>'Turning Movement Data'!I102</f>
        <v>0</v>
      </c>
      <c r="K83" s="28">
        <f>'Turning Movement Data'!J102</f>
        <v>0</v>
      </c>
      <c r="L83" s="28">
        <f>'Turning Movement Data'!K102</f>
        <v>0</v>
      </c>
      <c r="M83" s="28">
        <f>'Turning Movement Data'!L102</f>
        <v>0</v>
      </c>
      <c r="N83" s="28">
        <f>'Turning Movement Data'!M102</f>
        <v>0</v>
      </c>
      <c r="O83" s="30">
        <v>0.82291666666666696</v>
      </c>
      <c r="P83" s="28">
        <f>'Turning Movement Data'!N102</f>
        <v>0</v>
      </c>
      <c r="Q83" s="28">
        <f>'Turning Movement Data'!O102</f>
        <v>0</v>
      </c>
      <c r="R83" s="28">
        <f>'Turning Movement Data'!P102</f>
        <v>0</v>
      </c>
      <c r="S83" s="28">
        <f>'Turning Movement Data'!Q102</f>
        <v>0</v>
      </c>
      <c r="T83" s="28">
        <f>'Turning Movement Data'!R102</f>
        <v>0</v>
      </c>
      <c r="U83" s="28">
        <f>'Turning Movement Data'!S102</f>
        <v>0</v>
      </c>
      <c r="V83" s="30">
        <v>0.82291666666666696</v>
      </c>
      <c r="W83" s="28">
        <f>'Turning Movement Data'!T102</f>
        <v>0</v>
      </c>
      <c r="X83" s="28">
        <f>'Turning Movement Data'!U102</f>
        <v>0</v>
      </c>
      <c r="Y83" s="28">
        <f>'Turning Movement Data'!V102</f>
        <v>0</v>
      </c>
      <c r="Z83" s="28">
        <f>'Turning Movement Data'!W102</f>
        <v>0</v>
      </c>
      <c r="AA83" s="28">
        <f>'Turning Movement Data'!X102</f>
        <v>0</v>
      </c>
      <c r="AB83" s="28">
        <f>'Turning Movement Data'!Y102</f>
        <v>0</v>
      </c>
      <c r="AC83"/>
    </row>
    <row r="84" spans="1:29" s="16" customFormat="1" x14ac:dyDescent="0.25">
      <c r="A84" s="30">
        <v>0.83333333333333304</v>
      </c>
      <c r="B84" s="28">
        <f>'Turning Movement Data'!B104</f>
        <v>0</v>
      </c>
      <c r="C84" s="28">
        <f>'Turning Movement Data'!C104</f>
        <v>0</v>
      </c>
      <c r="D84" s="28">
        <f>'Turning Movement Data'!D104</f>
        <v>0</v>
      </c>
      <c r="E84" s="28">
        <f>'Turning Movement Data'!E104</f>
        <v>0</v>
      </c>
      <c r="F84" s="28">
        <f>'Turning Movement Data'!F104</f>
        <v>0</v>
      </c>
      <c r="G84" s="28">
        <f>'Turning Movement Data'!G104</f>
        <v>0</v>
      </c>
      <c r="H84" s="30">
        <v>0.83333333333333304</v>
      </c>
      <c r="I84" s="28">
        <f>'Turning Movement Data'!H104</f>
        <v>0</v>
      </c>
      <c r="J84" s="28">
        <f>'Turning Movement Data'!I104</f>
        <v>0</v>
      </c>
      <c r="K84" s="28">
        <f>'Turning Movement Data'!J104</f>
        <v>0</v>
      </c>
      <c r="L84" s="28">
        <f>'Turning Movement Data'!K104</f>
        <v>0</v>
      </c>
      <c r="M84" s="28">
        <f>'Turning Movement Data'!L104</f>
        <v>0</v>
      </c>
      <c r="N84" s="28">
        <f>'Turning Movement Data'!M104</f>
        <v>0</v>
      </c>
      <c r="O84" s="30">
        <v>0.83333333333333304</v>
      </c>
      <c r="P84" s="28">
        <f>'Turning Movement Data'!N104</f>
        <v>0</v>
      </c>
      <c r="Q84" s="28">
        <f>'Turning Movement Data'!O104</f>
        <v>0</v>
      </c>
      <c r="R84" s="28">
        <f>'Turning Movement Data'!P104</f>
        <v>0</v>
      </c>
      <c r="S84" s="28">
        <f>'Turning Movement Data'!Q104</f>
        <v>0</v>
      </c>
      <c r="T84" s="28">
        <f>'Turning Movement Data'!R104</f>
        <v>0</v>
      </c>
      <c r="U84" s="28">
        <f>'Turning Movement Data'!S104</f>
        <v>0</v>
      </c>
      <c r="V84" s="30">
        <v>0.83333333333333304</v>
      </c>
      <c r="W84" s="28">
        <f>'Turning Movement Data'!T104</f>
        <v>0</v>
      </c>
      <c r="X84" s="28">
        <f>'Turning Movement Data'!U104</f>
        <v>0</v>
      </c>
      <c r="Y84" s="28">
        <f>'Turning Movement Data'!V104</f>
        <v>0</v>
      </c>
      <c r="Z84" s="28">
        <f>'Turning Movement Data'!W104</f>
        <v>0</v>
      </c>
      <c r="AA84" s="28">
        <f>'Turning Movement Data'!X104</f>
        <v>0</v>
      </c>
      <c r="AB84" s="28">
        <f>'Turning Movement Data'!Y104</f>
        <v>0</v>
      </c>
      <c r="AC84"/>
    </row>
    <row r="85" spans="1:29" s="6" customFormat="1" x14ac:dyDescent="0.25">
      <c r="A85" s="30">
        <v>0.84375</v>
      </c>
      <c r="B85" s="28">
        <f>'Turning Movement Data'!B105</f>
        <v>0</v>
      </c>
      <c r="C85" s="28">
        <f>'Turning Movement Data'!C105</f>
        <v>0</v>
      </c>
      <c r="D85" s="28">
        <f>'Turning Movement Data'!D105</f>
        <v>0</v>
      </c>
      <c r="E85" s="28">
        <f>'Turning Movement Data'!E105</f>
        <v>0</v>
      </c>
      <c r="F85" s="28">
        <f>'Turning Movement Data'!F105</f>
        <v>0</v>
      </c>
      <c r="G85" s="28">
        <f>'Turning Movement Data'!G105</f>
        <v>0</v>
      </c>
      <c r="H85" s="30">
        <v>0.84375</v>
      </c>
      <c r="I85" s="28">
        <f>'Turning Movement Data'!H105</f>
        <v>0</v>
      </c>
      <c r="J85" s="28">
        <f>'Turning Movement Data'!I105</f>
        <v>0</v>
      </c>
      <c r="K85" s="28">
        <f>'Turning Movement Data'!J105</f>
        <v>0</v>
      </c>
      <c r="L85" s="28">
        <f>'Turning Movement Data'!K105</f>
        <v>0</v>
      </c>
      <c r="M85" s="28">
        <f>'Turning Movement Data'!L105</f>
        <v>0</v>
      </c>
      <c r="N85" s="28">
        <f>'Turning Movement Data'!M105</f>
        <v>0</v>
      </c>
      <c r="O85" s="30">
        <v>0.84375</v>
      </c>
      <c r="P85" s="28">
        <f>'Turning Movement Data'!N105</f>
        <v>0</v>
      </c>
      <c r="Q85" s="28">
        <f>'Turning Movement Data'!O105</f>
        <v>0</v>
      </c>
      <c r="R85" s="28">
        <f>'Turning Movement Data'!P105</f>
        <v>0</v>
      </c>
      <c r="S85" s="28">
        <f>'Turning Movement Data'!Q105</f>
        <v>0</v>
      </c>
      <c r="T85" s="28">
        <f>'Turning Movement Data'!R105</f>
        <v>0</v>
      </c>
      <c r="U85" s="28">
        <f>'Turning Movement Data'!S105</f>
        <v>0</v>
      </c>
      <c r="V85" s="30">
        <v>0.84375</v>
      </c>
      <c r="W85" s="28">
        <f>'Turning Movement Data'!T105</f>
        <v>0</v>
      </c>
      <c r="X85" s="28">
        <f>'Turning Movement Data'!U105</f>
        <v>0</v>
      </c>
      <c r="Y85" s="28">
        <f>'Turning Movement Data'!V105</f>
        <v>0</v>
      </c>
      <c r="Z85" s="28">
        <f>'Turning Movement Data'!W105</f>
        <v>0</v>
      </c>
      <c r="AA85" s="28">
        <f>'Turning Movement Data'!X105</f>
        <v>0</v>
      </c>
      <c r="AB85" s="28">
        <f>'Turning Movement Data'!Y105</f>
        <v>0</v>
      </c>
      <c r="AC85"/>
    </row>
    <row r="86" spans="1:29" s="16" customFormat="1" x14ac:dyDescent="0.25">
      <c r="A86" s="30">
        <v>0.85416666666666696</v>
      </c>
      <c r="B86" s="28">
        <f>'Turning Movement Data'!B106</f>
        <v>0</v>
      </c>
      <c r="C86" s="28">
        <f>'Turning Movement Data'!C106</f>
        <v>0</v>
      </c>
      <c r="D86" s="28">
        <f>'Turning Movement Data'!D106</f>
        <v>0</v>
      </c>
      <c r="E86" s="28">
        <f>'Turning Movement Data'!E106</f>
        <v>0</v>
      </c>
      <c r="F86" s="28">
        <f>'Turning Movement Data'!F106</f>
        <v>0</v>
      </c>
      <c r="G86" s="28">
        <f>'Turning Movement Data'!G106</f>
        <v>0</v>
      </c>
      <c r="H86" s="30">
        <v>0.85416666666666696</v>
      </c>
      <c r="I86" s="28">
        <f>'Turning Movement Data'!H106</f>
        <v>0</v>
      </c>
      <c r="J86" s="28">
        <f>'Turning Movement Data'!I106</f>
        <v>0</v>
      </c>
      <c r="K86" s="28">
        <f>'Turning Movement Data'!J106</f>
        <v>0</v>
      </c>
      <c r="L86" s="28">
        <f>'Turning Movement Data'!K106</f>
        <v>0</v>
      </c>
      <c r="M86" s="28">
        <f>'Turning Movement Data'!L106</f>
        <v>0</v>
      </c>
      <c r="N86" s="28">
        <f>'Turning Movement Data'!M106</f>
        <v>0</v>
      </c>
      <c r="O86" s="30">
        <v>0.85416666666666696</v>
      </c>
      <c r="P86" s="28">
        <f>'Turning Movement Data'!N106</f>
        <v>0</v>
      </c>
      <c r="Q86" s="28">
        <f>'Turning Movement Data'!O106</f>
        <v>0</v>
      </c>
      <c r="R86" s="28">
        <f>'Turning Movement Data'!P106</f>
        <v>0</v>
      </c>
      <c r="S86" s="28">
        <f>'Turning Movement Data'!Q106</f>
        <v>0</v>
      </c>
      <c r="T86" s="28">
        <f>'Turning Movement Data'!R106</f>
        <v>0</v>
      </c>
      <c r="U86" s="28">
        <f>'Turning Movement Data'!S106</f>
        <v>0</v>
      </c>
      <c r="V86" s="30">
        <v>0.85416666666666696</v>
      </c>
      <c r="W86" s="28">
        <f>'Turning Movement Data'!T106</f>
        <v>0</v>
      </c>
      <c r="X86" s="28">
        <f>'Turning Movement Data'!U106</f>
        <v>0</v>
      </c>
      <c r="Y86" s="28">
        <f>'Turning Movement Data'!V106</f>
        <v>0</v>
      </c>
      <c r="Z86" s="28">
        <f>'Turning Movement Data'!W106</f>
        <v>0</v>
      </c>
      <c r="AA86" s="28">
        <f>'Turning Movement Data'!X106</f>
        <v>0</v>
      </c>
      <c r="AB86" s="28">
        <f>'Turning Movement Data'!Y106</f>
        <v>0</v>
      </c>
      <c r="AC86"/>
    </row>
    <row r="87" spans="1:29" s="5" customFormat="1" x14ac:dyDescent="0.25">
      <c r="A87" s="30">
        <v>0.86458333333333304</v>
      </c>
      <c r="B87" s="28">
        <f>'Turning Movement Data'!B107</f>
        <v>0</v>
      </c>
      <c r="C87" s="28">
        <f>'Turning Movement Data'!C107</f>
        <v>0</v>
      </c>
      <c r="D87" s="28">
        <f>'Turning Movement Data'!D107</f>
        <v>0</v>
      </c>
      <c r="E87" s="28">
        <f>'Turning Movement Data'!E107</f>
        <v>0</v>
      </c>
      <c r="F87" s="28">
        <f>'Turning Movement Data'!F107</f>
        <v>0</v>
      </c>
      <c r="G87" s="28">
        <f>'Turning Movement Data'!G107</f>
        <v>0</v>
      </c>
      <c r="H87" s="30">
        <v>0.86458333333333304</v>
      </c>
      <c r="I87" s="28">
        <f>'Turning Movement Data'!H107</f>
        <v>0</v>
      </c>
      <c r="J87" s="28">
        <f>'Turning Movement Data'!I107</f>
        <v>0</v>
      </c>
      <c r="K87" s="28">
        <f>'Turning Movement Data'!J107</f>
        <v>0</v>
      </c>
      <c r="L87" s="28">
        <f>'Turning Movement Data'!K107</f>
        <v>0</v>
      </c>
      <c r="M87" s="28">
        <f>'Turning Movement Data'!L107</f>
        <v>0</v>
      </c>
      <c r="N87" s="28">
        <f>'Turning Movement Data'!M107</f>
        <v>0</v>
      </c>
      <c r="O87" s="30">
        <v>0.86458333333333304</v>
      </c>
      <c r="P87" s="28">
        <f>'Turning Movement Data'!N107</f>
        <v>0</v>
      </c>
      <c r="Q87" s="28">
        <f>'Turning Movement Data'!O107</f>
        <v>0</v>
      </c>
      <c r="R87" s="28">
        <f>'Turning Movement Data'!P107</f>
        <v>0</v>
      </c>
      <c r="S87" s="28">
        <f>'Turning Movement Data'!Q107</f>
        <v>0</v>
      </c>
      <c r="T87" s="28">
        <f>'Turning Movement Data'!R107</f>
        <v>0</v>
      </c>
      <c r="U87" s="28">
        <f>'Turning Movement Data'!S107</f>
        <v>0</v>
      </c>
      <c r="V87" s="30">
        <v>0.86458333333333304</v>
      </c>
      <c r="W87" s="28">
        <f>'Turning Movement Data'!T107</f>
        <v>0</v>
      </c>
      <c r="X87" s="28">
        <f>'Turning Movement Data'!U107</f>
        <v>0</v>
      </c>
      <c r="Y87" s="28">
        <f>'Turning Movement Data'!V107</f>
        <v>0</v>
      </c>
      <c r="Z87" s="28">
        <f>'Turning Movement Data'!W107</f>
        <v>0</v>
      </c>
      <c r="AA87" s="28">
        <f>'Turning Movement Data'!X107</f>
        <v>0</v>
      </c>
      <c r="AB87" s="28">
        <f>'Turning Movement Data'!Y107</f>
        <v>0</v>
      </c>
      <c r="AC87"/>
    </row>
    <row r="88" spans="1:29" s="16" customFormat="1" x14ac:dyDescent="0.25">
      <c r="A88" s="30">
        <v>0.875</v>
      </c>
      <c r="B88" s="28">
        <f>'Turning Movement Data'!B109</f>
        <v>0</v>
      </c>
      <c r="C88" s="28">
        <f>'Turning Movement Data'!C109</f>
        <v>0</v>
      </c>
      <c r="D88" s="28">
        <f>'Turning Movement Data'!D109</f>
        <v>0</v>
      </c>
      <c r="E88" s="28">
        <f>'Turning Movement Data'!E109</f>
        <v>0</v>
      </c>
      <c r="F88" s="28">
        <f>'Turning Movement Data'!F109</f>
        <v>0</v>
      </c>
      <c r="G88" s="28">
        <f>'Turning Movement Data'!G109</f>
        <v>0</v>
      </c>
      <c r="H88" s="30">
        <v>0.875</v>
      </c>
      <c r="I88" s="28">
        <f>'Turning Movement Data'!H109</f>
        <v>0</v>
      </c>
      <c r="J88" s="28">
        <f>'Turning Movement Data'!I109</f>
        <v>0</v>
      </c>
      <c r="K88" s="28">
        <f>'Turning Movement Data'!J109</f>
        <v>0</v>
      </c>
      <c r="L88" s="28">
        <f>'Turning Movement Data'!K109</f>
        <v>0</v>
      </c>
      <c r="M88" s="28">
        <f>'Turning Movement Data'!L109</f>
        <v>0</v>
      </c>
      <c r="N88" s="28">
        <f>'Turning Movement Data'!M109</f>
        <v>0</v>
      </c>
      <c r="O88" s="30">
        <v>0.875</v>
      </c>
      <c r="P88" s="28">
        <f>'Turning Movement Data'!N109</f>
        <v>0</v>
      </c>
      <c r="Q88" s="28">
        <f>'Turning Movement Data'!O109</f>
        <v>0</v>
      </c>
      <c r="R88" s="28">
        <f>'Turning Movement Data'!P109</f>
        <v>0</v>
      </c>
      <c r="S88" s="28">
        <f>'Turning Movement Data'!Q109</f>
        <v>0</v>
      </c>
      <c r="T88" s="28">
        <f>'Turning Movement Data'!R109</f>
        <v>0</v>
      </c>
      <c r="U88" s="28">
        <f>'Turning Movement Data'!S109</f>
        <v>0</v>
      </c>
      <c r="V88" s="30">
        <v>0.875</v>
      </c>
      <c r="W88" s="28">
        <f>'Turning Movement Data'!T109</f>
        <v>0</v>
      </c>
      <c r="X88" s="28">
        <f>'Turning Movement Data'!U109</f>
        <v>0</v>
      </c>
      <c r="Y88" s="28">
        <f>'Turning Movement Data'!V109</f>
        <v>0</v>
      </c>
      <c r="Z88" s="28">
        <f>'Turning Movement Data'!W109</f>
        <v>0</v>
      </c>
      <c r="AA88" s="28">
        <f>'Turning Movement Data'!X109</f>
        <v>0</v>
      </c>
      <c r="AB88" s="28">
        <f>'Turning Movement Data'!Y109</f>
        <v>0</v>
      </c>
      <c r="AC88"/>
    </row>
    <row r="89" spans="1:29" s="6" customFormat="1" x14ac:dyDescent="0.25">
      <c r="A89" s="30">
        <v>0.88541666666666696</v>
      </c>
      <c r="B89" s="28">
        <f>'Turning Movement Data'!B110</f>
        <v>0</v>
      </c>
      <c r="C89" s="28">
        <f>'Turning Movement Data'!C110</f>
        <v>0</v>
      </c>
      <c r="D89" s="28">
        <f>'Turning Movement Data'!D110</f>
        <v>0</v>
      </c>
      <c r="E89" s="28">
        <f>'Turning Movement Data'!E110</f>
        <v>0</v>
      </c>
      <c r="F89" s="28">
        <f>'Turning Movement Data'!F110</f>
        <v>0</v>
      </c>
      <c r="G89" s="28">
        <f>'Turning Movement Data'!G110</f>
        <v>0</v>
      </c>
      <c r="H89" s="30">
        <v>0.88541666666666696</v>
      </c>
      <c r="I89" s="28">
        <f>'Turning Movement Data'!H110</f>
        <v>0</v>
      </c>
      <c r="J89" s="28">
        <f>'Turning Movement Data'!I110</f>
        <v>0</v>
      </c>
      <c r="K89" s="28">
        <f>'Turning Movement Data'!J110</f>
        <v>0</v>
      </c>
      <c r="L89" s="28">
        <f>'Turning Movement Data'!K110</f>
        <v>0</v>
      </c>
      <c r="M89" s="28">
        <f>'Turning Movement Data'!L110</f>
        <v>0</v>
      </c>
      <c r="N89" s="28">
        <f>'Turning Movement Data'!M110</f>
        <v>0</v>
      </c>
      <c r="O89" s="30">
        <v>0.88541666666666696</v>
      </c>
      <c r="P89" s="28">
        <f>'Turning Movement Data'!N110</f>
        <v>0</v>
      </c>
      <c r="Q89" s="28">
        <f>'Turning Movement Data'!O110</f>
        <v>0</v>
      </c>
      <c r="R89" s="28">
        <f>'Turning Movement Data'!P110</f>
        <v>0</v>
      </c>
      <c r="S89" s="28">
        <f>'Turning Movement Data'!Q110</f>
        <v>0</v>
      </c>
      <c r="T89" s="28">
        <f>'Turning Movement Data'!R110</f>
        <v>0</v>
      </c>
      <c r="U89" s="28">
        <f>'Turning Movement Data'!S110</f>
        <v>0</v>
      </c>
      <c r="V89" s="30">
        <v>0.88541666666666696</v>
      </c>
      <c r="W89" s="28">
        <f>'Turning Movement Data'!T110</f>
        <v>0</v>
      </c>
      <c r="X89" s="28">
        <f>'Turning Movement Data'!U110</f>
        <v>0</v>
      </c>
      <c r="Y89" s="28">
        <f>'Turning Movement Data'!V110</f>
        <v>0</v>
      </c>
      <c r="Z89" s="28">
        <f>'Turning Movement Data'!W110</f>
        <v>0</v>
      </c>
      <c r="AA89" s="28">
        <f>'Turning Movement Data'!X110</f>
        <v>0</v>
      </c>
      <c r="AB89" s="28">
        <f>'Turning Movement Data'!Y110</f>
        <v>0</v>
      </c>
      <c r="AC89"/>
    </row>
    <row r="90" spans="1:29" s="16" customFormat="1" x14ac:dyDescent="0.25">
      <c r="A90" s="30">
        <v>0.89583333333333304</v>
      </c>
      <c r="B90" s="28">
        <f>'Turning Movement Data'!B111</f>
        <v>0</v>
      </c>
      <c r="C90" s="28">
        <f>'Turning Movement Data'!C111</f>
        <v>0</v>
      </c>
      <c r="D90" s="28">
        <f>'Turning Movement Data'!D111</f>
        <v>0</v>
      </c>
      <c r="E90" s="28">
        <f>'Turning Movement Data'!E111</f>
        <v>0</v>
      </c>
      <c r="F90" s="28">
        <f>'Turning Movement Data'!F111</f>
        <v>0</v>
      </c>
      <c r="G90" s="28">
        <f>'Turning Movement Data'!G111</f>
        <v>0</v>
      </c>
      <c r="H90" s="30">
        <v>0.89583333333333304</v>
      </c>
      <c r="I90" s="28">
        <f>'Turning Movement Data'!H111</f>
        <v>0</v>
      </c>
      <c r="J90" s="28">
        <f>'Turning Movement Data'!I111</f>
        <v>0</v>
      </c>
      <c r="K90" s="28">
        <f>'Turning Movement Data'!J111</f>
        <v>0</v>
      </c>
      <c r="L90" s="28">
        <f>'Turning Movement Data'!K111</f>
        <v>0</v>
      </c>
      <c r="M90" s="28">
        <f>'Turning Movement Data'!L111</f>
        <v>0</v>
      </c>
      <c r="N90" s="28">
        <f>'Turning Movement Data'!M111</f>
        <v>0</v>
      </c>
      <c r="O90" s="30">
        <v>0.89583333333333304</v>
      </c>
      <c r="P90" s="28">
        <f>'Turning Movement Data'!N111</f>
        <v>0</v>
      </c>
      <c r="Q90" s="28">
        <f>'Turning Movement Data'!O111</f>
        <v>0</v>
      </c>
      <c r="R90" s="28">
        <f>'Turning Movement Data'!P111</f>
        <v>0</v>
      </c>
      <c r="S90" s="28">
        <f>'Turning Movement Data'!Q111</f>
        <v>0</v>
      </c>
      <c r="T90" s="28">
        <f>'Turning Movement Data'!R111</f>
        <v>0</v>
      </c>
      <c r="U90" s="28">
        <f>'Turning Movement Data'!S111</f>
        <v>0</v>
      </c>
      <c r="V90" s="30">
        <v>0.89583333333333304</v>
      </c>
      <c r="W90" s="28">
        <f>'Turning Movement Data'!T111</f>
        <v>0</v>
      </c>
      <c r="X90" s="28">
        <f>'Turning Movement Data'!U111</f>
        <v>0</v>
      </c>
      <c r="Y90" s="28">
        <f>'Turning Movement Data'!V111</f>
        <v>0</v>
      </c>
      <c r="Z90" s="28">
        <f>'Turning Movement Data'!W111</f>
        <v>0</v>
      </c>
      <c r="AA90" s="28">
        <f>'Turning Movement Data'!X111</f>
        <v>0</v>
      </c>
      <c r="AB90" s="28">
        <f>'Turning Movement Data'!Y111</f>
        <v>0</v>
      </c>
      <c r="AC90"/>
    </row>
    <row r="91" spans="1:29" s="6" customFormat="1" x14ac:dyDescent="0.25">
      <c r="A91" s="30">
        <v>0.90625</v>
      </c>
      <c r="B91" s="28">
        <f>'Turning Movement Data'!B112</f>
        <v>0</v>
      </c>
      <c r="C91" s="28">
        <f>'Turning Movement Data'!C112</f>
        <v>0</v>
      </c>
      <c r="D91" s="28">
        <f>'Turning Movement Data'!D112</f>
        <v>0</v>
      </c>
      <c r="E91" s="28">
        <f>'Turning Movement Data'!E112</f>
        <v>0</v>
      </c>
      <c r="F91" s="28">
        <f>'Turning Movement Data'!F112</f>
        <v>0</v>
      </c>
      <c r="G91" s="28">
        <f>'Turning Movement Data'!G112</f>
        <v>0</v>
      </c>
      <c r="H91" s="30">
        <v>0.90625</v>
      </c>
      <c r="I91" s="28">
        <f>'Turning Movement Data'!H112</f>
        <v>0</v>
      </c>
      <c r="J91" s="28">
        <f>'Turning Movement Data'!I112</f>
        <v>0</v>
      </c>
      <c r="K91" s="28">
        <f>'Turning Movement Data'!J112</f>
        <v>0</v>
      </c>
      <c r="L91" s="28">
        <f>'Turning Movement Data'!K112</f>
        <v>0</v>
      </c>
      <c r="M91" s="28">
        <f>'Turning Movement Data'!L112</f>
        <v>0</v>
      </c>
      <c r="N91" s="28">
        <f>'Turning Movement Data'!M112</f>
        <v>0</v>
      </c>
      <c r="O91" s="30">
        <v>0.90625</v>
      </c>
      <c r="P91" s="28">
        <f>'Turning Movement Data'!N112</f>
        <v>0</v>
      </c>
      <c r="Q91" s="28">
        <f>'Turning Movement Data'!O112</f>
        <v>0</v>
      </c>
      <c r="R91" s="28">
        <f>'Turning Movement Data'!P112</f>
        <v>0</v>
      </c>
      <c r="S91" s="28">
        <f>'Turning Movement Data'!Q112</f>
        <v>0</v>
      </c>
      <c r="T91" s="28">
        <f>'Turning Movement Data'!R112</f>
        <v>0</v>
      </c>
      <c r="U91" s="28">
        <f>'Turning Movement Data'!S112</f>
        <v>0</v>
      </c>
      <c r="V91" s="30">
        <v>0.90625</v>
      </c>
      <c r="W91" s="28">
        <f>'Turning Movement Data'!T112</f>
        <v>0</v>
      </c>
      <c r="X91" s="28">
        <f>'Turning Movement Data'!U112</f>
        <v>0</v>
      </c>
      <c r="Y91" s="28">
        <f>'Turning Movement Data'!V112</f>
        <v>0</v>
      </c>
      <c r="Z91" s="28">
        <f>'Turning Movement Data'!W112</f>
        <v>0</v>
      </c>
      <c r="AA91" s="28">
        <f>'Turning Movement Data'!X112</f>
        <v>0</v>
      </c>
      <c r="AB91" s="28">
        <f>'Turning Movement Data'!Y112</f>
        <v>0</v>
      </c>
      <c r="AC91"/>
    </row>
    <row r="92" spans="1:29" s="19" customFormat="1" x14ac:dyDescent="0.25">
      <c r="A92" s="30">
        <v>0.91666666666666696</v>
      </c>
      <c r="B92" s="28">
        <f>'Turning Movement Data'!B114</f>
        <v>0</v>
      </c>
      <c r="C92" s="28">
        <f>'Turning Movement Data'!C114</f>
        <v>0</v>
      </c>
      <c r="D92" s="28">
        <f>'Turning Movement Data'!D114</f>
        <v>0</v>
      </c>
      <c r="E92" s="28">
        <f>'Turning Movement Data'!E114</f>
        <v>0</v>
      </c>
      <c r="F92" s="28">
        <f>'Turning Movement Data'!F114</f>
        <v>0</v>
      </c>
      <c r="G92" s="28">
        <f>'Turning Movement Data'!G114</f>
        <v>0</v>
      </c>
      <c r="H92" s="30">
        <v>0.91666666666666696</v>
      </c>
      <c r="I92" s="28">
        <f>'Turning Movement Data'!H114</f>
        <v>0</v>
      </c>
      <c r="J92" s="28">
        <f>'Turning Movement Data'!I114</f>
        <v>0</v>
      </c>
      <c r="K92" s="28">
        <f>'Turning Movement Data'!J114</f>
        <v>0</v>
      </c>
      <c r="L92" s="28">
        <f>'Turning Movement Data'!K114</f>
        <v>0</v>
      </c>
      <c r="M92" s="28">
        <f>'Turning Movement Data'!L114</f>
        <v>0</v>
      </c>
      <c r="N92" s="28">
        <f>'Turning Movement Data'!M114</f>
        <v>0</v>
      </c>
      <c r="O92" s="30">
        <v>0.91666666666666696</v>
      </c>
      <c r="P92" s="28">
        <f>'Turning Movement Data'!N114</f>
        <v>0</v>
      </c>
      <c r="Q92" s="28">
        <f>'Turning Movement Data'!O114</f>
        <v>0</v>
      </c>
      <c r="R92" s="28">
        <f>'Turning Movement Data'!P114</f>
        <v>0</v>
      </c>
      <c r="S92" s="28">
        <f>'Turning Movement Data'!Q114</f>
        <v>0</v>
      </c>
      <c r="T92" s="28">
        <f>'Turning Movement Data'!R114</f>
        <v>0</v>
      </c>
      <c r="U92" s="28">
        <f>'Turning Movement Data'!S114</f>
        <v>0</v>
      </c>
      <c r="V92" s="30">
        <v>0.91666666666666696</v>
      </c>
      <c r="W92" s="28">
        <f>'Turning Movement Data'!T114</f>
        <v>0</v>
      </c>
      <c r="X92" s="28">
        <f>'Turning Movement Data'!U114</f>
        <v>0</v>
      </c>
      <c r="Y92" s="28">
        <f>'Turning Movement Data'!V114</f>
        <v>0</v>
      </c>
      <c r="Z92" s="28">
        <f>'Turning Movement Data'!W114</f>
        <v>0</v>
      </c>
      <c r="AA92" s="28">
        <f>'Turning Movement Data'!X114</f>
        <v>0</v>
      </c>
      <c r="AB92" s="28">
        <f>'Turning Movement Data'!Y114</f>
        <v>0</v>
      </c>
      <c r="AC92"/>
    </row>
    <row r="93" spans="1:29" s="6" customFormat="1" x14ac:dyDescent="0.25">
      <c r="A93" s="30">
        <v>0.92708333333333304</v>
      </c>
      <c r="B93" s="28">
        <f>'Turning Movement Data'!B115</f>
        <v>0</v>
      </c>
      <c r="C93" s="28">
        <f>'Turning Movement Data'!C115</f>
        <v>0</v>
      </c>
      <c r="D93" s="28">
        <f>'Turning Movement Data'!D115</f>
        <v>0</v>
      </c>
      <c r="E93" s="28">
        <f>'Turning Movement Data'!E115</f>
        <v>0</v>
      </c>
      <c r="F93" s="28">
        <f>'Turning Movement Data'!F115</f>
        <v>0</v>
      </c>
      <c r="G93" s="28">
        <f>'Turning Movement Data'!G115</f>
        <v>0</v>
      </c>
      <c r="H93" s="30">
        <v>0.92708333333333304</v>
      </c>
      <c r="I93" s="28">
        <f>'Turning Movement Data'!H115</f>
        <v>0</v>
      </c>
      <c r="J93" s="28">
        <f>'Turning Movement Data'!I115</f>
        <v>0</v>
      </c>
      <c r="K93" s="28">
        <f>'Turning Movement Data'!J115</f>
        <v>0</v>
      </c>
      <c r="L93" s="28">
        <f>'Turning Movement Data'!K115</f>
        <v>0</v>
      </c>
      <c r="M93" s="28">
        <f>'Turning Movement Data'!L115</f>
        <v>0</v>
      </c>
      <c r="N93" s="28">
        <f>'Turning Movement Data'!M115</f>
        <v>0</v>
      </c>
      <c r="O93" s="30">
        <v>0.92708333333333304</v>
      </c>
      <c r="P93" s="28">
        <f>'Turning Movement Data'!N115</f>
        <v>0</v>
      </c>
      <c r="Q93" s="28">
        <f>'Turning Movement Data'!O115</f>
        <v>0</v>
      </c>
      <c r="R93" s="28">
        <f>'Turning Movement Data'!P115</f>
        <v>0</v>
      </c>
      <c r="S93" s="28">
        <f>'Turning Movement Data'!Q115</f>
        <v>0</v>
      </c>
      <c r="T93" s="28">
        <f>'Turning Movement Data'!R115</f>
        <v>0</v>
      </c>
      <c r="U93" s="28">
        <f>'Turning Movement Data'!S115</f>
        <v>0</v>
      </c>
      <c r="V93" s="30">
        <v>0.92708333333333304</v>
      </c>
      <c r="W93" s="28">
        <f>'Turning Movement Data'!T115</f>
        <v>0</v>
      </c>
      <c r="X93" s="28">
        <f>'Turning Movement Data'!U115</f>
        <v>0</v>
      </c>
      <c r="Y93" s="28">
        <f>'Turning Movement Data'!V115</f>
        <v>0</v>
      </c>
      <c r="Z93" s="28">
        <f>'Turning Movement Data'!W115</f>
        <v>0</v>
      </c>
      <c r="AA93" s="28">
        <f>'Turning Movement Data'!X115</f>
        <v>0</v>
      </c>
      <c r="AB93" s="28">
        <f>'Turning Movement Data'!Y115</f>
        <v>0</v>
      </c>
      <c r="AC93"/>
    </row>
    <row r="94" spans="1:29" s="16" customFormat="1" x14ac:dyDescent="0.25">
      <c r="A94" s="30">
        <v>0.9375</v>
      </c>
      <c r="B94" s="28">
        <f>'Turning Movement Data'!B116</f>
        <v>0</v>
      </c>
      <c r="C94" s="28">
        <f>'Turning Movement Data'!C116</f>
        <v>0</v>
      </c>
      <c r="D94" s="28">
        <f>'Turning Movement Data'!D116</f>
        <v>0</v>
      </c>
      <c r="E94" s="28">
        <f>'Turning Movement Data'!E116</f>
        <v>0</v>
      </c>
      <c r="F94" s="28">
        <f>'Turning Movement Data'!F116</f>
        <v>0</v>
      </c>
      <c r="G94" s="28">
        <f>'Turning Movement Data'!G116</f>
        <v>0</v>
      </c>
      <c r="H94" s="30">
        <v>0.9375</v>
      </c>
      <c r="I94" s="28">
        <f>'Turning Movement Data'!H116</f>
        <v>0</v>
      </c>
      <c r="J94" s="28">
        <f>'Turning Movement Data'!I116</f>
        <v>0</v>
      </c>
      <c r="K94" s="28">
        <f>'Turning Movement Data'!J116</f>
        <v>0</v>
      </c>
      <c r="L94" s="28">
        <f>'Turning Movement Data'!K116</f>
        <v>0</v>
      </c>
      <c r="M94" s="28">
        <f>'Turning Movement Data'!L116</f>
        <v>0</v>
      </c>
      <c r="N94" s="28">
        <f>'Turning Movement Data'!M116</f>
        <v>0</v>
      </c>
      <c r="O94" s="30">
        <v>0.9375</v>
      </c>
      <c r="P94" s="28">
        <f>'Turning Movement Data'!N116</f>
        <v>0</v>
      </c>
      <c r="Q94" s="28">
        <f>'Turning Movement Data'!O116</f>
        <v>0</v>
      </c>
      <c r="R94" s="28">
        <f>'Turning Movement Data'!P116</f>
        <v>0</v>
      </c>
      <c r="S94" s="28">
        <f>'Turning Movement Data'!Q116</f>
        <v>0</v>
      </c>
      <c r="T94" s="28">
        <f>'Turning Movement Data'!R116</f>
        <v>0</v>
      </c>
      <c r="U94" s="28">
        <f>'Turning Movement Data'!S116</f>
        <v>0</v>
      </c>
      <c r="V94" s="30">
        <v>0.9375</v>
      </c>
      <c r="W94" s="28">
        <f>'Turning Movement Data'!T116</f>
        <v>0</v>
      </c>
      <c r="X94" s="28">
        <f>'Turning Movement Data'!U116</f>
        <v>0</v>
      </c>
      <c r="Y94" s="28">
        <f>'Turning Movement Data'!V116</f>
        <v>0</v>
      </c>
      <c r="Z94" s="28">
        <f>'Turning Movement Data'!W116</f>
        <v>0</v>
      </c>
      <c r="AA94" s="28">
        <f>'Turning Movement Data'!X116</f>
        <v>0</v>
      </c>
      <c r="AB94" s="28">
        <f>'Turning Movement Data'!Y116</f>
        <v>0</v>
      </c>
      <c r="AC94"/>
    </row>
    <row r="95" spans="1:29" s="6" customFormat="1" x14ac:dyDescent="0.25">
      <c r="A95" s="30">
        <v>0.94791666666666696</v>
      </c>
      <c r="B95" s="28">
        <f>'Turning Movement Data'!B117</f>
        <v>0</v>
      </c>
      <c r="C95" s="28">
        <f>'Turning Movement Data'!C117</f>
        <v>0</v>
      </c>
      <c r="D95" s="28">
        <f>'Turning Movement Data'!D117</f>
        <v>0</v>
      </c>
      <c r="E95" s="28">
        <f>'Turning Movement Data'!E117</f>
        <v>0</v>
      </c>
      <c r="F95" s="28">
        <f>'Turning Movement Data'!F117</f>
        <v>0</v>
      </c>
      <c r="G95" s="28">
        <f>'Turning Movement Data'!G117</f>
        <v>0</v>
      </c>
      <c r="H95" s="30">
        <v>0.94791666666666696</v>
      </c>
      <c r="I95" s="28">
        <f>'Turning Movement Data'!H117</f>
        <v>0</v>
      </c>
      <c r="J95" s="28">
        <f>'Turning Movement Data'!I117</f>
        <v>0</v>
      </c>
      <c r="K95" s="28">
        <f>'Turning Movement Data'!J117</f>
        <v>0</v>
      </c>
      <c r="L95" s="28">
        <f>'Turning Movement Data'!K117</f>
        <v>0</v>
      </c>
      <c r="M95" s="28">
        <f>'Turning Movement Data'!L117</f>
        <v>0</v>
      </c>
      <c r="N95" s="28">
        <f>'Turning Movement Data'!M117</f>
        <v>0</v>
      </c>
      <c r="O95" s="30">
        <v>0.94791666666666696</v>
      </c>
      <c r="P95" s="28">
        <f>'Turning Movement Data'!N117</f>
        <v>0</v>
      </c>
      <c r="Q95" s="28">
        <f>'Turning Movement Data'!O117</f>
        <v>0</v>
      </c>
      <c r="R95" s="28">
        <f>'Turning Movement Data'!P117</f>
        <v>0</v>
      </c>
      <c r="S95" s="28">
        <f>'Turning Movement Data'!Q117</f>
        <v>0</v>
      </c>
      <c r="T95" s="28">
        <f>'Turning Movement Data'!R117</f>
        <v>0</v>
      </c>
      <c r="U95" s="28">
        <f>'Turning Movement Data'!S117</f>
        <v>0</v>
      </c>
      <c r="V95" s="30">
        <v>0.94791666666666696</v>
      </c>
      <c r="W95" s="28">
        <f>'Turning Movement Data'!T117</f>
        <v>0</v>
      </c>
      <c r="X95" s="28">
        <f>'Turning Movement Data'!U117</f>
        <v>0</v>
      </c>
      <c r="Y95" s="28">
        <f>'Turning Movement Data'!V117</f>
        <v>0</v>
      </c>
      <c r="Z95" s="28">
        <f>'Turning Movement Data'!W117</f>
        <v>0</v>
      </c>
      <c r="AA95" s="28">
        <f>'Turning Movement Data'!X117</f>
        <v>0</v>
      </c>
      <c r="AB95" s="28">
        <f>'Turning Movement Data'!Y117</f>
        <v>0</v>
      </c>
      <c r="AC95"/>
    </row>
    <row r="96" spans="1:29" s="16" customFormat="1" x14ac:dyDescent="0.25">
      <c r="A96" s="30">
        <v>0.95833333333333304</v>
      </c>
      <c r="B96" s="28">
        <f>'Turning Movement Data'!B119</f>
        <v>0</v>
      </c>
      <c r="C96" s="28">
        <f>'Turning Movement Data'!C119</f>
        <v>0</v>
      </c>
      <c r="D96" s="28">
        <f>'Turning Movement Data'!D119</f>
        <v>0</v>
      </c>
      <c r="E96" s="28">
        <f>'Turning Movement Data'!E119</f>
        <v>0</v>
      </c>
      <c r="F96" s="28">
        <f>'Turning Movement Data'!F119</f>
        <v>0</v>
      </c>
      <c r="G96" s="28">
        <f>'Turning Movement Data'!G119</f>
        <v>0</v>
      </c>
      <c r="H96" s="30">
        <v>0.95833333333333304</v>
      </c>
      <c r="I96" s="28">
        <f>'Turning Movement Data'!H119</f>
        <v>0</v>
      </c>
      <c r="J96" s="28">
        <f>'Turning Movement Data'!I119</f>
        <v>0</v>
      </c>
      <c r="K96" s="28">
        <f>'Turning Movement Data'!J119</f>
        <v>0</v>
      </c>
      <c r="L96" s="28">
        <f>'Turning Movement Data'!K119</f>
        <v>0</v>
      </c>
      <c r="M96" s="28">
        <f>'Turning Movement Data'!L119</f>
        <v>0</v>
      </c>
      <c r="N96" s="28">
        <f>'Turning Movement Data'!M119</f>
        <v>0</v>
      </c>
      <c r="O96" s="30">
        <v>0.95833333333333304</v>
      </c>
      <c r="P96" s="28">
        <f>'Turning Movement Data'!N119</f>
        <v>0</v>
      </c>
      <c r="Q96" s="28">
        <f>'Turning Movement Data'!O119</f>
        <v>0</v>
      </c>
      <c r="R96" s="28">
        <f>'Turning Movement Data'!P119</f>
        <v>0</v>
      </c>
      <c r="S96" s="28">
        <f>'Turning Movement Data'!Q119</f>
        <v>0</v>
      </c>
      <c r="T96" s="28">
        <f>'Turning Movement Data'!R119</f>
        <v>0</v>
      </c>
      <c r="U96" s="28">
        <f>'Turning Movement Data'!S119</f>
        <v>0</v>
      </c>
      <c r="V96" s="30">
        <v>0.95833333333333304</v>
      </c>
      <c r="W96" s="28">
        <f>'Turning Movement Data'!T119</f>
        <v>0</v>
      </c>
      <c r="X96" s="28">
        <f>'Turning Movement Data'!U119</f>
        <v>0</v>
      </c>
      <c r="Y96" s="28">
        <f>'Turning Movement Data'!V119</f>
        <v>0</v>
      </c>
      <c r="Z96" s="28">
        <f>'Turning Movement Data'!W119</f>
        <v>0</v>
      </c>
      <c r="AA96" s="28">
        <f>'Turning Movement Data'!X119</f>
        <v>0</v>
      </c>
      <c r="AB96" s="28">
        <f>'Turning Movement Data'!Y119</f>
        <v>0</v>
      </c>
      <c r="AC96"/>
    </row>
    <row r="97" spans="1:55" s="5" customFormat="1" x14ac:dyDescent="0.25">
      <c r="A97" s="30">
        <v>0.96875</v>
      </c>
      <c r="B97" s="28">
        <f>'Turning Movement Data'!B120</f>
        <v>0</v>
      </c>
      <c r="C97" s="28">
        <f>'Turning Movement Data'!C120</f>
        <v>0</v>
      </c>
      <c r="D97" s="28">
        <f>'Turning Movement Data'!D120</f>
        <v>0</v>
      </c>
      <c r="E97" s="28">
        <f>'Turning Movement Data'!E120</f>
        <v>0</v>
      </c>
      <c r="F97" s="28">
        <f>'Turning Movement Data'!F120</f>
        <v>0</v>
      </c>
      <c r="G97" s="28">
        <f>'Turning Movement Data'!G120</f>
        <v>0</v>
      </c>
      <c r="H97" s="30">
        <v>0.96875</v>
      </c>
      <c r="I97" s="28">
        <f>'Turning Movement Data'!H120</f>
        <v>0</v>
      </c>
      <c r="J97" s="28">
        <f>'Turning Movement Data'!I120</f>
        <v>0</v>
      </c>
      <c r="K97" s="28">
        <f>'Turning Movement Data'!J120</f>
        <v>0</v>
      </c>
      <c r="L97" s="28">
        <f>'Turning Movement Data'!K120</f>
        <v>0</v>
      </c>
      <c r="M97" s="28">
        <f>'Turning Movement Data'!L120</f>
        <v>0</v>
      </c>
      <c r="N97" s="28">
        <f>'Turning Movement Data'!M120</f>
        <v>0</v>
      </c>
      <c r="O97" s="30">
        <v>0.96875</v>
      </c>
      <c r="P97" s="28">
        <f>'Turning Movement Data'!N120</f>
        <v>0</v>
      </c>
      <c r="Q97" s="28">
        <f>'Turning Movement Data'!O120</f>
        <v>0</v>
      </c>
      <c r="R97" s="28">
        <f>'Turning Movement Data'!P120</f>
        <v>0</v>
      </c>
      <c r="S97" s="28">
        <f>'Turning Movement Data'!Q120</f>
        <v>0</v>
      </c>
      <c r="T97" s="28">
        <f>'Turning Movement Data'!R120</f>
        <v>0</v>
      </c>
      <c r="U97" s="28">
        <f>'Turning Movement Data'!S120</f>
        <v>0</v>
      </c>
      <c r="V97" s="30">
        <v>0.96875</v>
      </c>
      <c r="W97" s="28">
        <f>'Turning Movement Data'!T120</f>
        <v>0</v>
      </c>
      <c r="X97" s="28">
        <f>'Turning Movement Data'!U120</f>
        <v>0</v>
      </c>
      <c r="Y97" s="28">
        <f>'Turning Movement Data'!V120</f>
        <v>0</v>
      </c>
      <c r="Z97" s="28">
        <f>'Turning Movement Data'!W120</f>
        <v>0</v>
      </c>
      <c r="AA97" s="28">
        <f>'Turning Movement Data'!X120</f>
        <v>0</v>
      </c>
      <c r="AB97" s="28">
        <f>'Turning Movement Data'!Y120</f>
        <v>0</v>
      </c>
      <c r="AC97"/>
    </row>
    <row r="98" spans="1:55" s="16" customFormat="1" x14ac:dyDescent="0.25">
      <c r="A98" s="30">
        <v>0.97916666666666696</v>
      </c>
      <c r="B98" s="28">
        <f>'Turning Movement Data'!B121</f>
        <v>0</v>
      </c>
      <c r="C98" s="28">
        <f>'Turning Movement Data'!C121</f>
        <v>0</v>
      </c>
      <c r="D98" s="28">
        <f>'Turning Movement Data'!D121</f>
        <v>0</v>
      </c>
      <c r="E98" s="28">
        <f>'Turning Movement Data'!E121</f>
        <v>0</v>
      </c>
      <c r="F98" s="28">
        <f>'Turning Movement Data'!F121</f>
        <v>0</v>
      </c>
      <c r="G98" s="28">
        <f>'Turning Movement Data'!G121</f>
        <v>0</v>
      </c>
      <c r="H98" s="30">
        <v>0.97916666666666696</v>
      </c>
      <c r="I98" s="28">
        <f>'Turning Movement Data'!H121</f>
        <v>0</v>
      </c>
      <c r="J98" s="28">
        <f>'Turning Movement Data'!I121</f>
        <v>0</v>
      </c>
      <c r="K98" s="28">
        <f>'Turning Movement Data'!J121</f>
        <v>0</v>
      </c>
      <c r="L98" s="28">
        <f>'Turning Movement Data'!K121</f>
        <v>0</v>
      </c>
      <c r="M98" s="28">
        <f>'Turning Movement Data'!L121</f>
        <v>0</v>
      </c>
      <c r="N98" s="28">
        <f>'Turning Movement Data'!M121</f>
        <v>0</v>
      </c>
      <c r="O98" s="30">
        <v>0.97916666666666696</v>
      </c>
      <c r="P98" s="28">
        <f>'Turning Movement Data'!N121</f>
        <v>0</v>
      </c>
      <c r="Q98" s="28">
        <f>'Turning Movement Data'!O121</f>
        <v>0</v>
      </c>
      <c r="R98" s="28">
        <f>'Turning Movement Data'!P121</f>
        <v>0</v>
      </c>
      <c r="S98" s="28">
        <f>'Turning Movement Data'!Q121</f>
        <v>0</v>
      </c>
      <c r="T98" s="28">
        <f>'Turning Movement Data'!R121</f>
        <v>0</v>
      </c>
      <c r="U98" s="28">
        <f>'Turning Movement Data'!S121</f>
        <v>0</v>
      </c>
      <c r="V98" s="30">
        <v>0.97916666666666696</v>
      </c>
      <c r="W98" s="28">
        <f>'Turning Movement Data'!T121</f>
        <v>0</v>
      </c>
      <c r="X98" s="28">
        <f>'Turning Movement Data'!U121</f>
        <v>0</v>
      </c>
      <c r="Y98" s="28">
        <f>'Turning Movement Data'!V121</f>
        <v>0</v>
      </c>
      <c r="Z98" s="28">
        <f>'Turning Movement Data'!W121</f>
        <v>0</v>
      </c>
      <c r="AA98" s="28">
        <f>'Turning Movement Data'!X121</f>
        <v>0</v>
      </c>
      <c r="AB98" s="28">
        <f>'Turning Movement Data'!Y121</f>
        <v>0</v>
      </c>
      <c r="AC98"/>
    </row>
    <row r="99" spans="1:55" s="6" customFormat="1" x14ac:dyDescent="0.25">
      <c r="A99" s="30">
        <v>0.98958333333333304</v>
      </c>
      <c r="B99" s="28">
        <f>'Turning Movement Data'!B122</f>
        <v>0</v>
      </c>
      <c r="C99" s="28">
        <f>'Turning Movement Data'!C122</f>
        <v>0</v>
      </c>
      <c r="D99" s="28">
        <f>'Turning Movement Data'!D122</f>
        <v>0</v>
      </c>
      <c r="E99" s="28">
        <f>'Turning Movement Data'!E122</f>
        <v>0</v>
      </c>
      <c r="F99" s="28">
        <f>'Turning Movement Data'!F122</f>
        <v>0</v>
      </c>
      <c r="G99" s="28">
        <f>'Turning Movement Data'!G122</f>
        <v>0</v>
      </c>
      <c r="H99" s="30">
        <v>0.98958333333333304</v>
      </c>
      <c r="I99" s="28">
        <f>'Turning Movement Data'!H122</f>
        <v>0</v>
      </c>
      <c r="J99" s="28">
        <f>'Turning Movement Data'!I122</f>
        <v>0</v>
      </c>
      <c r="K99" s="28">
        <f>'Turning Movement Data'!J122</f>
        <v>0</v>
      </c>
      <c r="L99" s="28">
        <f>'Turning Movement Data'!K122</f>
        <v>0</v>
      </c>
      <c r="M99" s="28">
        <f>'Turning Movement Data'!L122</f>
        <v>0</v>
      </c>
      <c r="N99" s="28">
        <f>'Turning Movement Data'!M122</f>
        <v>0</v>
      </c>
      <c r="O99" s="30">
        <v>0.98958333333333304</v>
      </c>
      <c r="P99" s="28">
        <f>'Turning Movement Data'!N122</f>
        <v>0</v>
      </c>
      <c r="Q99" s="28">
        <f>'Turning Movement Data'!O122</f>
        <v>0</v>
      </c>
      <c r="R99" s="28">
        <f>'Turning Movement Data'!P122</f>
        <v>0</v>
      </c>
      <c r="S99" s="28">
        <f>'Turning Movement Data'!Q122</f>
        <v>0</v>
      </c>
      <c r="T99" s="28">
        <f>'Turning Movement Data'!R122</f>
        <v>0</v>
      </c>
      <c r="U99" s="28">
        <f>'Turning Movement Data'!S122</f>
        <v>0</v>
      </c>
      <c r="V99" s="30">
        <v>0.98958333333333304</v>
      </c>
      <c r="W99" s="28">
        <f>'Turning Movement Data'!T122</f>
        <v>0</v>
      </c>
      <c r="X99" s="28">
        <f>'Turning Movement Data'!U122</f>
        <v>0</v>
      </c>
      <c r="Y99" s="28">
        <f>'Turning Movement Data'!V122</f>
        <v>0</v>
      </c>
      <c r="Z99" s="28">
        <f>'Turning Movement Data'!W122</f>
        <v>0</v>
      </c>
      <c r="AA99" s="28">
        <f>'Turning Movement Data'!X122</f>
        <v>0</v>
      </c>
      <c r="AB99" s="28">
        <f>'Turning Movement Data'!Y122</f>
        <v>0</v>
      </c>
      <c r="AC99"/>
    </row>
    <row r="100" spans="1:55" s="6" customFormat="1" x14ac:dyDescent="0.25">
      <c r="A100" s="2"/>
      <c r="B100" s="2"/>
      <c r="C100" s="2"/>
      <c r="D100" s="2"/>
      <c r="E100" s="2"/>
      <c r="F100" s="2"/>
      <c r="G100" s="17"/>
      <c r="H100" s="2"/>
      <c r="I100" s="2"/>
      <c r="J100" s="2"/>
      <c r="K100" s="2"/>
      <c r="L100" s="2"/>
      <c r="M100" s="2"/>
      <c r="N100" s="17"/>
      <c r="O100" s="2"/>
      <c r="P100" s="2"/>
      <c r="Q100" s="2"/>
      <c r="R100" s="2"/>
      <c r="S100" s="2"/>
      <c r="T100" s="2"/>
      <c r="U100" s="17"/>
      <c r="V100" s="2"/>
      <c r="W100" s="2"/>
      <c r="X100" s="2"/>
      <c r="Y100" s="2"/>
      <c r="Z100" s="2"/>
      <c r="AA100" s="2"/>
      <c r="AB100" s="17"/>
      <c r="AC100"/>
    </row>
    <row r="101" spans="1:55" ht="15" x14ac:dyDescent="0.25">
      <c r="AE101" s="28"/>
      <c r="AF101" s="789"/>
      <c r="AG101" s="790"/>
      <c r="AH101" s="790"/>
      <c r="AI101" s="790"/>
      <c r="AJ101" s="790"/>
      <c r="AK101" s="790"/>
      <c r="AL101" s="789"/>
      <c r="AM101" s="790"/>
      <c r="AN101" s="790"/>
      <c r="AO101" s="790"/>
      <c r="AP101" s="790"/>
      <c r="AQ101" s="790"/>
      <c r="AR101" s="789"/>
      <c r="AS101" s="790"/>
      <c r="AT101" s="790"/>
      <c r="AU101" s="790"/>
      <c r="AV101" s="790"/>
      <c r="AW101" s="790"/>
      <c r="AX101" s="789"/>
      <c r="AY101" s="790"/>
      <c r="AZ101" s="790"/>
      <c r="BA101" s="790"/>
      <c r="BB101" s="790"/>
      <c r="BC101" s="790"/>
    </row>
    <row r="102" spans="1:55" ht="13.8" x14ac:dyDescent="0.25">
      <c r="A102" s="12" t="s">
        <v>218</v>
      </c>
      <c r="H102" s="12" t="s">
        <v>218</v>
      </c>
      <c r="O102" s="12" t="s">
        <v>218</v>
      </c>
      <c r="V102" s="12" t="s">
        <v>218</v>
      </c>
      <c r="AE102" s="786"/>
      <c r="AF102" s="788"/>
      <c r="AG102" s="788"/>
      <c r="AH102" s="788"/>
      <c r="AI102" s="788"/>
      <c r="AJ102" s="788"/>
      <c r="AK102" s="788"/>
      <c r="AL102" s="788"/>
      <c r="AM102" s="788"/>
      <c r="AN102" s="788"/>
      <c r="AO102" s="788"/>
      <c r="AP102" s="788"/>
      <c r="AQ102" s="788"/>
      <c r="AR102" s="788"/>
      <c r="AS102" s="788"/>
      <c r="AT102" s="788"/>
      <c r="AU102" s="788"/>
      <c r="AV102" s="788"/>
      <c r="AW102" s="788"/>
      <c r="AX102" s="788"/>
      <c r="AY102" s="788"/>
      <c r="AZ102" s="788"/>
      <c r="BA102" s="788"/>
      <c r="BB102" s="788"/>
      <c r="BC102" s="788"/>
    </row>
    <row r="103" spans="1:55" x14ac:dyDescent="0.25">
      <c r="A103" s="12" t="s">
        <v>219</v>
      </c>
      <c r="H103" s="12" t="s">
        <v>219</v>
      </c>
      <c r="O103" s="12" t="s">
        <v>219</v>
      </c>
      <c r="V103" s="12" t="s">
        <v>219</v>
      </c>
      <c r="AE103" s="787"/>
      <c r="AF103" s="32"/>
      <c r="AG103" s="32"/>
      <c r="AH103" s="32"/>
      <c r="AI103" s="32"/>
      <c r="AJ103" s="32"/>
      <c r="AK103" s="29"/>
      <c r="AL103" s="32"/>
      <c r="AM103" s="32"/>
      <c r="AN103" s="32"/>
      <c r="AO103" s="32"/>
      <c r="AP103" s="32"/>
      <c r="AQ103" s="29"/>
      <c r="AR103" s="32"/>
      <c r="AS103" s="32"/>
      <c r="AT103" s="32"/>
      <c r="AU103" s="32"/>
      <c r="AV103" s="32"/>
      <c r="AW103" s="29"/>
      <c r="AX103" s="32"/>
      <c r="AY103" s="32"/>
      <c r="AZ103" s="32"/>
      <c r="BA103" s="32"/>
      <c r="BB103" s="32"/>
      <c r="BC103" s="29"/>
    </row>
    <row r="104" spans="1:55" x14ac:dyDescent="0.25">
      <c r="A104" s="18">
        <v>0</v>
      </c>
      <c r="B104" s="4">
        <f>SUM(B4:B7)</f>
        <v>0</v>
      </c>
      <c r="C104" s="4">
        <f t="shared" ref="C104:G104" si="0">SUM(C4:C7)</f>
        <v>0</v>
      </c>
      <c r="D104" s="4">
        <f t="shared" si="0"/>
        <v>0</v>
      </c>
      <c r="E104" s="4">
        <f t="shared" si="0"/>
        <v>0</v>
      </c>
      <c r="F104" s="4">
        <f t="shared" si="0"/>
        <v>0</v>
      </c>
      <c r="G104" s="4">
        <f t="shared" si="0"/>
        <v>0</v>
      </c>
      <c r="H104" s="18">
        <v>0</v>
      </c>
      <c r="I104" s="4">
        <f>SUM(I4:I7)</f>
        <v>0</v>
      </c>
      <c r="J104" s="4">
        <f t="shared" ref="J104:N104" si="1">SUM(J4:J7)</f>
        <v>0</v>
      </c>
      <c r="K104" s="4">
        <f t="shared" si="1"/>
        <v>0</v>
      </c>
      <c r="L104" s="4">
        <f t="shared" si="1"/>
        <v>0</v>
      </c>
      <c r="M104" s="4">
        <f t="shared" si="1"/>
        <v>0</v>
      </c>
      <c r="N104" s="4">
        <f t="shared" si="1"/>
        <v>0</v>
      </c>
      <c r="O104" s="18">
        <v>0</v>
      </c>
      <c r="P104" s="4">
        <f>SUM(P4:P7)</f>
        <v>0</v>
      </c>
      <c r="Q104" s="4">
        <f t="shared" ref="Q104:U104" si="2">SUM(Q4:Q7)</f>
        <v>0</v>
      </c>
      <c r="R104" s="4">
        <f t="shared" si="2"/>
        <v>0</v>
      </c>
      <c r="S104" s="4">
        <f t="shared" si="2"/>
        <v>0</v>
      </c>
      <c r="T104" s="4">
        <f t="shared" si="2"/>
        <v>0</v>
      </c>
      <c r="U104" s="4">
        <f t="shared" si="2"/>
        <v>0</v>
      </c>
      <c r="V104" s="18">
        <v>0</v>
      </c>
      <c r="W104" s="4">
        <f>SUM(W4:W7)</f>
        <v>0</v>
      </c>
      <c r="X104" s="4">
        <f t="shared" ref="X104:AB104" si="3">SUM(X4:X7)</f>
        <v>0</v>
      </c>
      <c r="Y104" s="4">
        <f t="shared" si="3"/>
        <v>0</v>
      </c>
      <c r="Z104" s="4">
        <f t="shared" si="3"/>
        <v>0</v>
      </c>
      <c r="AA104" s="4">
        <f t="shared" si="3"/>
        <v>0</v>
      </c>
      <c r="AB104" s="4">
        <f t="shared" si="3"/>
        <v>0</v>
      </c>
      <c r="AC104" s="18">
        <v>0</v>
      </c>
      <c r="AE104" s="30"/>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25">
      <c r="A105" s="13">
        <v>1.0416666666666666E-2</v>
      </c>
      <c r="B105" s="4">
        <f t="shared" ref="B105:G168" si="4">SUM(B5:B8)</f>
        <v>0</v>
      </c>
      <c r="C105" s="4">
        <f t="shared" si="4"/>
        <v>0</v>
      </c>
      <c r="D105" s="4">
        <f t="shared" si="4"/>
        <v>0</v>
      </c>
      <c r="E105" s="4">
        <f t="shared" si="4"/>
        <v>0</v>
      </c>
      <c r="F105" s="4">
        <f t="shared" si="4"/>
        <v>0</v>
      </c>
      <c r="G105" s="4">
        <f t="shared" si="4"/>
        <v>0</v>
      </c>
      <c r="H105" s="13">
        <v>1.0416666666666666E-2</v>
      </c>
      <c r="I105" s="4">
        <f t="shared" ref="I105:N120" si="5">SUM(I5:I8)</f>
        <v>0</v>
      </c>
      <c r="J105" s="4">
        <f t="shared" si="5"/>
        <v>0</v>
      </c>
      <c r="K105" s="4">
        <f t="shared" si="5"/>
        <v>0</v>
      </c>
      <c r="L105" s="4">
        <f t="shared" si="5"/>
        <v>0</v>
      </c>
      <c r="M105" s="4">
        <f t="shared" si="5"/>
        <v>0</v>
      </c>
      <c r="N105" s="4">
        <f t="shared" si="5"/>
        <v>0</v>
      </c>
      <c r="O105" s="13">
        <v>1.0416666666666666E-2</v>
      </c>
      <c r="P105" s="4">
        <f t="shared" ref="P105:U120" si="6">SUM(P5:P8)</f>
        <v>0</v>
      </c>
      <c r="Q105" s="4">
        <f t="shared" si="6"/>
        <v>0</v>
      </c>
      <c r="R105" s="4">
        <f t="shared" si="6"/>
        <v>0</v>
      </c>
      <c r="S105" s="4">
        <f t="shared" si="6"/>
        <v>0</v>
      </c>
      <c r="T105" s="4">
        <f t="shared" si="6"/>
        <v>0</v>
      </c>
      <c r="U105" s="4">
        <f t="shared" si="6"/>
        <v>0</v>
      </c>
      <c r="V105" s="13">
        <v>1.0416666666666666E-2</v>
      </c>
      <c r="W105" s="4">
        <f t="shared" ref="W105:AB120" si="7">SUM(W5:W8)</f>
        <v>0</v>
      </c>
      <c r="X105" s="4">
        <f t="shared" si="7"/>
        <v>0</v>
      </c>
      <c r="Y105" s="4">
        <f t="shared" si="7"/>
        <v>0</v>
      </c>
      <c r="Z105" s="4">
        <f t="shared" si="7"/>
        <v>0</v>
      </c>
      <c r="AA105" s="4">
        <f t="shared" si="7"/>
        <v>0</v>
      </c>
      <c r="AB105" s="4">
        <f t="shared" si="7"/>
        <v>0</v>
      </c>
      <c r="AC105" s="13">
        <v>1.0416666666666666E-2</v>
      </c>
      <c r="AE105" s="30"/>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25">
      <c r="A106" s="20">
        <v>2.0833333333333301E-2</v>
      </c>
      <c r="B106" s="4">
        <f t="shared" si="4"/>
        <v>0</v>
      </c>
      <c r="C106" s="4">
        <f t="shared" si="4"/>
        <v>0</v>
      </c>
      <c r="D106" s="4">
        <f t="shared" si="4"/>
        <v>0</v>
      </c>
      <c r="E106" s="4">
        <f t="shared" si="4"/>
        <v>0</v>
      </c>
      <c r="F106" s="4">
        <f t="shared" si="4"/>
        <v>0</v>
      </c>
      <c r="G106" s="4">
        <f t="shared" si="4"/>
        <v>0</v>
      </c>
      <c r="H106" s="20">
        <v>2.0833333333333301E-2</v>
      </c>
      <c r="I106" s="4">
        <f t="shared" si="5"/>
        <v>0</v>
      </c>
      <c r="J106" s="4">
        <f t="shared" si="5"/>
        <v>0</v>
      </c>
      <c r="K106" s="4">
        <f t="shared" si="5"/>
        <v>0</v>
      </c>
      <c r="L106" s="4">
        <f t="shared" si="5"/>
        <v>0</v>
      </c>
      <c r="M106" s="4">
        <f t="shared" si="5"/>
        <v>0</v>
      </c>
      <c r="N106" s="4">
        <f t="shared" si="5"/>
        <v>0</v>
      </c>
      <c r="O106" s="20">
        <v>2.0833333333333301E-2</v>
      </c>
      <c r="P106" s="4">
        <f t="shared" si="6"/>
        <v>0</v>
      </c>
      <c r="Q106" s="4">
        <f t="shared" si="6"/>
        <v>0</v>
      </c>
      <c r="R106" s="4">
        <f t="shared" si="6"/>
        <v>0</v>
      </c>
      <c r="S106" s="4">
        <f t="shared" si="6"/>
        <v>0</v>
      </c>
      <c r="T106" s="4">
        <f t="shared" si="6"/>
        <v>0</v>
      </c>
      <c r="U106" s="4">
        <f t="shared" si="6"/>
        <v>0</v>
      </c>
      <c r="V106" s="20">
        <v>2.0833333333333301E-2</v>
      </c>
      <c r="W106" s="4">
        <f t="shared" si="7"/>
        <v>0</v>
      </c>
      <c r="X106" s="4">
        <f t="shared" si="7"/>
        <v>0</v>
      </c>
      <c r="Y106" s="4">
        <f t="shared" si="7"/>
        <v>0</v>
      </c>
      <c r="Z106" s="4">
        <f t="shared" si="7"/>
        <v>0</v>
      </c>
      <c r="AA106" s="4">
        <f t="shared" si="7"/>
        <v>0</v>
      </c>
      <c r="AB106" s="4">
        <f t="shared" si="7"/>
        <v>0</v>
      </c>
      <c r="AC106" s="20">
        <v>2.0833333333333301E-2</v>
      </c>
      <c r="AE106" s="30"/>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25">
      <c r="A107" s="13">
        <v>3.125E-2</v>
      </c>
      <c r="B107" s="4">
        <f t="shared" si="4"/>
        <v>0</v>
      </c>
      <c r="C107" s="4">
        <f t="shared" si="4"/>
        <v>0</v>
      </c>
      <c r="D107" s="4">
        <f t="shared" si="4"/>
        <v>0</v>
      </c>
      <c r="E107" s="4">
        <f t="shared" si="4"/>
        <v>0</v>
      </c>
      <c r="F107" s="4">
        <f t="shared" si="4"/>
        <v>0</v>
      </c>
      <c r="G107" s="4">
        <f t="shared" si="4"/>
        <v>0</v>
      </c>
      <c r="H107" s="13">
        <v>3.125E-2</v>
      </c>
      <c r="I107" s="4">
        <f t="shared" si="5"/>
        <v>0</v>
      </c>
      <c r="J107" s="4">
        <f t="shared" si="5"/>
        <v>0</v>
      </c>
      <c r="K107" s="4">
        <f t="shared" si="5"/>
        <v>0</v>
      </c>
      <c r="L107" s="4">
        <f t="shared" si="5"/>
        <v>0</v>
      </c>
      <c r="M107" s="4">
        <f t="shared" si="5"/>
        <v>0</v>
      </c>
      <c r="N107" s="4">
        <f t="shared" si="5"/>
        <v>0</v>
      </c>
      <c r="O107" s="13">
        <v>3.125E-2</v>
      </c>
      <c r="P107" s="4">
        <f t="shared" si="6"/>
        <v>0</v>
      </c>
      <c r="Q107" s="4">
        <f t="shared" si="6"/>
        <v>0</v>
      </c>
      <c r="R107" s="4">
        <f t="shared" si="6"/>
        <v>0</v>
      </c>
      <c r="S107" s="4">
        <f t="shared" si="6"/>
        <v>0</v>
      </c>
      <c r="T107" s="4">
        <f t="shared" si="6"/>
        <v>0</v>
      </c>
      <c r="U107" s="4">
        <f t="shared" si="6"/>
        <v>0</v>
      </c>
      <c r="V107" s="13">
        <v>3.125E-2</v>
      </c>
      <c r="W107" s="4">
        <f t="shared" si="7"/>
        <v>0</v>
      </c>
      <c r="X107" s="4">
        <f t="shared" si="7"/>
        <v>0</v>
      </c>
      <c r="Y107" s="4">
        <f t="shared" si="7"/>
        <v>0</v>
      </c>
      <c r="Z107" s="4">
        <f t="shared" si="7"/>
        <v>0</v>
      </c>
      <c r="AA107" s="4">
        <f t="shared" si="7"/>
        <v>0</v>
      </c>
      <c r="AB107" s="4">
        <f t="shared" si="7"/>
        <v>0</v>
      </c>
      <c r="AC107" s="13">
        <v>3.125E-2</v>
      </c>
      <c r="AE107" s="30"/>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25">
      <c r="A108" s="18">
        <v>4.1666666666666699E-2</v>
      </c>
      <c r="B108" s="4">
        <f t="shared" si="4"/>
        <v>0</v>
      </c>
      <c r="C108" s="4">
        <f t="shared" si="4"/>
        <v>0</v>
      </c>
      <c r="D108" s="4">
        <f t="shared" si="4"/>
        <v>0</v>
      </c>
      <c r="E108" s="4">
        <f t="shared" si="4"/>
        <v>0</v>
      </c>
      <c r="F108" s="4">
        <f t="shared" si="4"/>
        <v>0</v>
      </c>
      <c r="G108" s="4">
        <f t="shared" si="4"/>
        <v>0</v>
      </c>
      <c r="H108" s="18">
        <v>4.1666666666666699E-2</v>
      </c>
      <c r="I108" s="4">
        <f t="shared" si="5"/>
        <v>0</v>
      </c>
      <c r="J108" s="4">
        <f t="shared" si="5"/>
        <v>0</v>
      </c>
      <c r="K108" s="4">
        <f t="shared" si="5"/>
        <v>0</v>
      </c>
      <c r="L108" s="4">
        <f t="shared" si="5"/>
        <v>0</v>
      </c>
      <c r="M108" s="4">
        <f t="shared" si="5"/>
        <v>0</v>
      </c>
      <c r="N108" s="4">
        <f t="shared" si="5"/>
        <v>0</v>
      </c>
      <c r="O108" s="18">
        <v>4.1666666666666699E-2</v>
      </c>
      <c r="P108" s="4">
        <f t="shared" si="6"/>
        <v>0</v>
      </c>
      <c r="Q108" s="4">
        <f t="shared" si="6"/>
        <v>0</v>
      </c>
      <c r="R108" s="4">
        <f t="shared" si="6"/>
        <v>0</v>
      </c>
      <c r="S108" s="4">
        <f t="shared" si="6"/>
        <v>0</v>
      </c>
      <c r="T108" s="4">
        <f t="shared" si="6"/>
        <v>0</v>
      </c>
      <c r="U108" s="4">
        <f t="shared" si="6"/>
        <v>0</v>
      </c>
      <c r="V108" s="18">
        <v>4.1666666666666699E-2</v>
      </c>
      <c r="W108" s="4">
        <f t="shared" si="7"/>
        <v>0</v>
      </c>
      <c r="X108" s="4">
        <f t="shared" si="7"/>
        <v>0</v>
      </c>
      <c r="Y108" s="4">
        <f t="shared" si="7"/>
        <v>0</v>
      </c>
      <c r="Z108" s="4">
        <f t="shared" si="7"/>
        <v>0</v>
      </c>
      <c r="AA108" s="4">
        <f t="shared" si="7"/>
        <v>0</v>
      </c>
      <c r="AB108" s="4">
        <f t="shared" si="7"/>
        <v>0</v>
      </c>
      <c r="AC108" s="18">
        <v>4.1666666666666699E-2</v>
      </c>
      <c r="AE108" s="30"/>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25">
      <c r="A109" s="13">
        <v>5.2083333333333301E-2</v>
      </c>
      <c r="B109" s="4">
        <f t="shared" si="4"/>
        <v>0</v>
      </c>
      <c r="C109" s="4">
        <f t="shared" si="4"/>
        <v>0</v>
      </c>
      <c r="D109" s="4">
        <f t="shared" si="4"/>
        <v>0</v>
      </c>
      <c r="E109" s="4">
        <f t="shared" si="4"/>
        <v>0</v>
      </c>
      <c r="F109" s="4">
        <f t="shared" si="4"/>
        <v>0</v>
      </c>
      <c r="G109" s="4">
        <f t="shared" si="4"/>
        <v>0</v>
      </c>
      <c r="H109" s="13">
        <v>5.2083333333333301E-2</v>
      </c>
      <c r="I109" s="4">
        <f t="shared" si="5"/>
        <v>0</v>
      </c>
      <c r="J109" s="4">
        <f t="shared" si="5"/>
        <v>0</v>
      </c>
      <c r="K109" s="4">
        <f t="shared" si="5"/>
        <v>0</v>
      </c>
      <c r="L109" s="4">
        <f t="shared" si="5"/>
        <v>0</v>
      </c>
      <c r="M109" s="4">
        <f t="shared" si="5"/>
        <v>0</v>
      </c>
      <c r="N109" s="4">
        <f t="shared" si="5"/>
        <v>0</v>
      </c>
      <c r="O109" s="13">
        <v>5.2083333333333301E-2</v>
      </c>
      <c r="P109" s="4">
        <f t="shared" si="6"/>
        <v>0</v>
      </c>
      <c r="Q109" s="4">
        <f t="shared" si="6"/>
        <v>0</v>
      </c>
      <c r="R109" s="4">
        <f t="shared" si="6"/>
        <v>0</v>
      </c>
      <c r="S109" s="4">
        <f t="shared" si="6"/>
        <v>0</v>
      </c>
      <c r="T109" s="4">
        <f t="shared" si="6"/>
        <v>0</v>
      </c>
      <c r="U109" s="4">
        <f t="shared" si="6"/>
        <v>0</v>
      </c>
      <c r="V109" s="13">
        <v>5.2083333333333301E-2</v>
      </c>
      <c r="W109" s="4">
        <f t="shared" si="7"/>
        <v>0</v>
      </c>
      <c r="X109" s="4">
        <f t="shared" si="7"/>
        <v>0</v>
      </c>
      <c r="Y109" s="4">
        <f t="shared" si="7"/>
        <v>0</v>
      </c>
      <c r="Z109" s="4">
        <f t="shared" si="7"/>
        <v>0</v>
      </c>
      <c r="AA109" s="4">
        <f t="shared" si="7"/>
        <v>0</v>
      </c>
      <c r="AB109" s="4">
        <f t="shared" si="7"/>
        <v>0</v>
      </c>
      <c r="AC109" s="13">
        <v>5.2083333333333301E-2</v>
      </c>
      <c r="AE109" s="30"/>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25">
      <c r="A110" s="20">
        <v>6.25E-2</v>
      </c>
      <c r="B110" s="4">
        <f t="shared" si="4"/>
        <v>0</v>
      </c>
      <c r="C110" s="4">
        <f t="shared" si="4"/>
        <v>0</v>
      </c>
      <c r="D110" s="4">
        <f t="shared" si="4"/>
        <v>0</v>
      </c>
      <c r="E110" s="4">
        <f t="shared" si="4"/>
        <v>0</v>
      </c>
      <c r="F110" s="4">
        <f t="shared" si="4"/>
        <v>0</v>
      </c>
      <c r="G110" s="4">
        <f t="shared" si="4"/>
        <v>0</v>
      </c>
      <c r="H110" s="20">
        <v>6.25E-2</v>
      </c>
      <c r="I110" s="4">
        <f t="shared" si="5"/>
        <v>0</v>
      </c>
      <c r="J110" s="4">
        <f t="shared" si="5"/>
        <v>0</v>
      </c>
      <c r="K110" s="4">
        <f t="shared" si="5"/>
        <v>0</v>
      </c>
      <c r="L110" s="4">
        <f t="shared" si="5"/>
        <v>0</v>
      </c>
      <c r="M110" s="4">
        <f t="shared" si="5"/>
        <v>0</v>
      </c>
      <c r="N110" s="4">
        <f t="shared" si="5"/>
        <v>0</v>
      </c>
      <c r="O110" s="20">
        <v>6.25E-2</v>
      </c>
      <c r="P110" s="4">
        <f t="shared" si="6"/>
        <v>0</v>
      </c>
      <c r="Q110" s="4">
        <f t="shared" si="6"/>
        <v>0</v>
      </c>
      <c r="R110" s="4">
        <f t="shared" si="6"/>
        <v>0</v>
      </c>
      <c r="S110" s="4">
        <f t="shared" si="6"/>
        <v>0</v>
      </c>
      <c r="T110" s="4">
        <f t="shared" si="6"/>
        <v>0</v>
      </c>
      <c r="U110" s="4">
        <f t="shared" si="6"/>
        <v>0</v>
      </c>
      <c r="V110" s="20">
        <v>6.25E-2</v>
      </c>
      <c r="W110" s="4">
        <f t="shared" si="7"/>
        <v>0</v>
      </c>
      <c r="X110" s="4">
        <f t="shared" si="7"/>
        <v>0</v>
      </c>
      <c r="Y110" s="4">
        <f t="shared" si="7"/>
        <v>0</v>
      </c>
      <c r="Z110" s="4">
        <f t="shared" si="7"/>
        <v>0</v>
      </c>
      <c r="AA110" s="4">
        <f t="shared" si="7"/>
        <v>0</v>
      </c>
      <c r="AB110" s="4">
        <f t="shared" si="7"/>
        <v>0</v>
      </c>
      <c r="AC110" s="20">
        <v>6.25E-2</v>
      </c>
      <c r="AE110" s="30"/>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25">
      <c r="A111" s="13">
        <v>7.2916666666666699E-2</v>
      </c>
      <c r="B111" s="4">
        <f t="shared" si="4"/>
        <v>0</v>
      </c>
      <c r="C111" s="4">
        <f t="shared" si="4"/>
        <v>0</v>
      </c>
      <c r="D111" s="4">
        <f t="shared" si="4"/>
        <v>0</v>
      </c>
      <c r="E111" s="4">
        <f t="shared" si="4"/>
        <v>0</v>
      </c>
      <c r="F111" s="4">
        <f t="shared" si="4"/>
        <v>0</v>
      </c>
      <c r="G111" s="4">
        <f t="shared" si="4"/>
        <v>0</v>
      </c>
      <c r="H111" s="13">
        <v>7.2916666666666699E-2</v>
      </c>
      <c r="I111" s="4">
        <f t="shared" si="5"/>
        <v>0</v>
      </c>
      <c r="J111" s="4">
        <f t="shared" si="5"/>
        <v>0</v>
      </c>
      <c r="K111" s="4">
        <f t="shared" si="5"/>
        <v>0</v>
      </c>
      <c r="L111" s="4">
        <f t="shared" si="5"/>
        <v>0</v>
      </c>
      <c r="M111" s="4">
        <f t="shared" si="5"/>
        <v>0</v>
      </c>
      <c r="N111" s="4">
        <f t="shared" si="5"/>
        <v>0</v>
      </c>
      <c r="O111" s="13">
        <v>7.2916666666666699E-2</v>
      </c>
      <c r="P111" s="4">
        <f t="shared" si="6"/>
        <v>0</v>
      </c>
      <c r="Q111" s="4">
        <f t="shared" si="6"/>
        <v>0</v>
      </c>
      <c r="R111" s="4">
        <f t="shared" si="6"/>
        <v>0</v>
      </c>
      <c r="S111" s="4">
        <f t="shared" si="6"/>
        <v>0</v>
      </c>
      <c r="T111" s="4">
        <f t="shared" si="6"/>
        <v>0</v>
      </c>
      <c r="U111" s="4">
        <f t="shared" si="6"/>
        <v>0</v>
      </c>
      <c r="V111" s="13">
        <v>7.2916666666666699E-2</v>
      </c>
      <c r="W111" s="4">
        <f t="shared" si="7"/>
        <v>0</v>
      </c>
      <c r="X111" s="4">
        <f t="shared" si="7"/>
        <v>0</v>
      </c>
      <c r="Y111" s="4">
        <f t="shared" si="7"/>
        <v>0</v>
      </c>
      <c r="Z111" s="4">
        <f t="shared" si="7"/>
        <v>0</v>
      </c>
      <c r="AA111" s="4">
        <f t="shared" si="7"/>
        <v>0</v>
      </c>
      <c r="AB111" s="4">
        <f t="shared" si="7"/>
        <v>0</v>
      </c>
      <c r="AC111" s="13">
        <v>7.2916666666666699E-2</v>
      </c>
      <c r="AE111" s="30"/>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25">
      <c r="A112" s="18">
        <v>8.3333333333333301E-2</v>
      </c>
      <c r="B112" s="4">
        <f t="shared" si="4"/>
        <v>0</v>
      </c>
      <c r="C112" s="4">
        <f t="shared" si="4"/>
        <v>0</v>
      </c>
      <c r="D112" s="4">
        <f t="shared" si="4"/>
        <v>0</v>
      </c>
      <c r="E112" s="4">
        <f t="shared" si="4"/>
        <v>0</v>
      </c>
      <c r="F112" s="4">
        <f t="shared" si="4"/>
        <v>0</v>
      </c>
      <c r="G112" s="4">
        <f t="shared" si="4"/>
        <v>0</v>
      </c>
      <c r="H112" s="18">
        <v>8.3333333333333301E-2</v>
      </c>
      <c r="I112" s="4">
        <f t="shared" si="5"/>
        <v>0</v>
      </c>
      <c r="J112" s="4">
        <f t="shared" si="5"/>
        <v>0</v>
      </c>
      <c r="K112" s="4">
        <f t="shared" si="5"/>
        <v>0</v>
      </c>
      <c r="L112" s="4">
        <f t="shared" si="5"/>
        <v>0</v>
      </c>
      <c r="M112" s="4">
        <f t="shared" si="5"/>
        <v>0</v>
      </c>
      <c r="N112" s="4">
        <f t="shared" si="5"/>
        <v>0</v>
      </c>
      <c r="O112" s="18">
        <v>8.3333333333333301E-2</v>
      </c>
      <c r="P112" s="4">
        <f t="shared" si="6"/>
        <v>0</v>
      </c>
      <c r="Q112" s="4">
        <f t="shared" si="6"/>
        <v>0</v>
      </c>
      <c r="R112" s="4">
        <f t="shared" si="6"/>
        <v>0</v>
      </c>
      <c r="S112" s="4">
        <f t="shared" si="6"/>
        <v>0</v>
      </c>
      <c r="T112" s="4">
        <f t="shared" si="6"/>
        <v>0</v>
      </c>
      <c r="U112" s="4">
        <f t="shared" si="6"/>
        <v>0</v>
      </c>
      <c r="V112" s="18">
        <v>8.3333333333333301E-2</v>
      </c>
      <c r="W112" s="4">
        <f t="shared" si="7"/>
        <v>0</v>
      </c>
      <c r="X112" s="4">
        <f t="shared" si="7"/>
        <v>0</v>
      </c>
      <c r="Y112" s="4">
        <f t="shared" si="7"/>
        <v>0</v>
      </c>
      <c r="Z112" s="4">
        <f t="shared" si="7"/>
        <v>0</v>
      </c>
      <c r="AA112" s="4">
        <f t="shared" si="7"/>
        <v>0</v>
      </c>
      <c r="AB112" s="4">
        <f t="shared" si="7"/>
        <v>0</v>
      </c>
      <c r="AC112" s="18">
        <v>8.3333333333333301E-2</v>
      </c>
      <c r="AE112" s="30"/>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25">
      <c r="A113" s="13">
        <v>9.375E-2</v>
      </c>
      <c r="B113" s="4">
        <f t="shared" si="4"/>
        <v>0</v>
      </c>
      <c r="C113" s="4">
        <f t="shared" si="4"/>
        <v>0</v>
      </c>
      <c r="D113" s="4">
        <f t="shared" si="4"/>
        <v>0</v>
      </c>
      <c r="E113" s="4">
        <f t="shared" si="4"/>
        <v>0</v>
      </c>
      <c r="F113" s="4">
        <f t="shared" si="4"/>
        <v>0</v>
      </c>
      <c r="G113" s="4">
        <f t="shared" si="4"/>
        <v>0</v>
      </c>
      <c r="H113" s="13">
        <v>9.375E-2</v>
      </c>
      <c r="I113" s="4">
        <f t="shared" si="5"/>
        <v>0</v>
      </c>
      <c r="J113" s="4">
        <f t="shared" si="5"/>
        <v>0</v>
      </c>
      <c r="K113" s="4">
        <f t="shared" si="5"/>
        <v>0</v>
      </c>
      <c r="L113" s="4">
        <f t="shared" si="5"/>
        <v>0</v>
      </c>
      <c r="M113" s="4">
        <f t="shared" si="5"/>
        <v>0</v>
      </c>
      <c r="N113" s="4">
        <f t="shared" si="5"/>
        <v>0</v>
      </c>
      <c r="O113" s="13">
        <v>9.375E-2</v>
      </c>
      <c r="P113" s="4">
        <f t="shared" si="6"/>
        <v>0</v>
      </c>
      <c r="Q113" s="4">
        <f t="shared" si="6"/>
        <v>0</v>
      </c>
      <c r="R113" s="4">
        <f t="shared" si="6"/>
        <v>0</v>
      </c>
      <c r="S113" s="4">
        <f t="shared" si="6"/>
        <v>0</v>
      </c>
      <c r="T113" s="4">
        <f t="shared" si="6"/>
        <v>0</v>
      </c>
      <c r="U113" s="4">
        <f t="shared" si="6"/>
        <v>0</v>
      </c>
      <c r="V113" s="13">
        <v>9.375E-2</v>
      </c>
      <c r="W113" s="4">
        <f t="shared" si="7"/>
        <v>0</v>
      </c>
      <c r="X113" s="4">
        <f t="shared" si="7"/>
        <v>0</v>
      </c>
      <c r="Y113" s="4">
        <f t="shared" si="7"/>
        <v>0</v>
      </c>
      <c r="Z113" s="4">
        <f t="shared" si="7"/>
        <v>0</v>
      </c>
      <c r="AA113" s="4">
        <f t="shared" si="7"/>
        <v>0</v>
      </c>
      <c r="AB113" s="4">
        <f t="shared" si="7"/>
        <v>0</v>
      </c>
      <c r="AC113" s="13">
        <v>9.375E-2</v>
      </c>
      <c r="AE113" s="30"/>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25">
      <c r="A114" s="20">
        <v>0.104166666666667</v>
      </c>
      <c r="B114" s="4">
        <f t="shared" si="4"/>
        <v>0</v>
      </c>
      <c r="C114" s="4">
        <f t="shared" si="4"/>
        <v>0</v>
      </c>
      <c r="D114" s="4">
        <f t="shared" si="4"/>
        <v>0</v>
      </c>
      <c r="E114" s="4">
        <f t="shared" si="4"/>
        <v>0</v>
      </c>
      <c r="F114" s="4">
        <f t="shared" si="4"/>
        <v>0</v>
      </c>
      <c r="G114" s="4">
        <f t="shared" si="4"/>
        <v>0</v>
      </c>
      <c r="H114" s="20">
        <v>0.104166666666667</v>
      </c>
      <c r="I114" s="4">
        <f t="shared" si="5"/>
        <v>0</v>
      </c>
      <c r="J114" s="4">
        <f t="shared" si="5"/>
        <v>0</v>
      </c>
      <c r="K114" s="4">
        <f t="shared" si="5"/>
        <v>0</v>
      </c>
      <c r="L114" s="4">
        <f t="shared" si="5"/>
        <v>0</v>
      </c>
      <c r="M114" s="4">
        <f t="shared" si="5"/>
        <v>0</v>
      </c>
      <c r="N114" s="4">
        <f t="shared" si="5"/>
        <v>0</v>
      </c>
      <c r="O114" s="20">
        <v>0.104166666666667</v>
      </c>
      <c r="P114" s="4">
        <f t="shared" si="6"/>
        <v>0</v>
      </c>
      <c r="Q114" s="4">
        <f t="shared" si="6"/>
        <v>0</v>
      </c>
      <c r="R114" s="4">
        <f t="shared" si="6"/>
        <v>0</v>
      </c>
      <c r="S114" s="4">
        <f t="shared" si="6"/>
        <v>0</v>
      </c>
      <c r="T114" s="4">
        <f t="shared" si="6"/>
        <v>0</v>
      </c>
      <c r="U114" s="4">
        <f t="shared" si="6"/>
        <v>0</v>
      </c>
      <c r="V114" s="20">
        <v>0.104166666666667</v>
      </c>
      <c r="W114" s="4">
        <f t="shared" si="7"/>
        <v>0</v>
      </c>
      <c r="X114" s="4">
        <f t="shared" si="7"/>
        <v>0</v>
      </c>
      <c r="Y114" s="4">
        <f t="shared" si="7"/>
        <v>0</v>
      </c>
      <c r="Z114" s="4">
        <f t="shared" si="7"/>
        <v>0</v>
      </c>
      <c r="AA114" s="4">
        <f t="shared" si="7"/>
        <v>0</v>
      </c>
      <c r="AB114" s="4">
        <f t="shared" si="7"/>
        <v>0</v>
      </c>
      <c r="AC114" s="20">
        <v>0.104166666666667</v>
      </c>
      <c r="AE114" s="30"/>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25">
      <c r="A115" s="13">
        <v>0.114583333333333</v>
      </c>
      <c r="B115" s="4">
        <f t="shared" si="4"/>
        <v>0</v>
      </c>
      <c r="C115" s="4">
        <f t="shared" si="4"/>
        <v>0</v>
      </c>
      <c r="D115" s="4">
        <f t="shared" si="4"/>
        <v>0</v>
      </c>
      <c r="E115" s="4">
        <f t="shared" si="4"/>
        <v>0</v>
      </c>
      <c r="F115" s="4">
        <f t="shared" si="4"/>
        <v>0</v>
      </c>
      <c r="G115" s="4">
        <f t="shared" si="4"/>
        <v>0</v>
      </c>
      <c r="H115" s="13">
        <v>0.114583333333333</v>
      </c>
      <c r="I115" s="4">
        <f t="shared" si="5"/>
        <v>0</v>
      </c>
      <c r="J115" s="4">
        <f t="shared" si="5"/>
        <v>0</v>
      </c>
      <c r="K115" s="4">
        <f t="shared" si="5"/>
        <v>0</v>
      </c>
      <c r="L115" s="4">
        <f t="shared" si="5"/>
        <v>0</v>
      </c>
      <c r="M115" s="4">
        <f t="shared" si="5"/>
        <v>0</v>
      </c>
      <c r="N115" s="4">
        <f t="shared" si="5"/>
        <v>0</v>
      </c>
      <c r="O115" s="13">
        <v>0.114583333333333</v>
      </c>
      <c r="P115" s="4">
        <f t="shared" si="6"/>
        <v>0</v>
      </c>
      <c r="Q115" s="4">
        <f t="shared" si="6"/>
        <v>0</v>
      </c>
      <c r="R115" s="4">
        <f t="shared" si="6"/>
        <v>0</v>
      </c>
      <c r="S115" s="4">
        <f t="shared" si="6"/>
        <v>0</v>
      </c>
      <c r="T115" s="4">
        <f t="shared" si="6"/>
        <v>0</v>
      </c>
      <c r="U115" s="4">
        <f t="shared" si="6"/>
        <v>0</v>
      </c>
      <c r="V115" s="13">
        <v>0.114583333333333</v>
      </c>
      <c r="W115" s="4">
        <f t="shared" si="7"/>
        <v>0</v>
      </c>
      <c r="X115" s="4">
        <f t="shared" si="7"/>
        <v>0</v>
      </c>
      <c r="Y115" s="4">
        <f t="shared" si="7"/>
        <v>0</v>
      </c>
      <c r="Z115" s="4">
        <f t="shared" si="7"/>
        <v>0</v>
      </c>
      <c r="AA115" s="4">
        <f t="shared" si="7"/>
        <v>0</v>
      </c>
      <c r="AB115" s="4">
        <f t="shared" si="7"/>
        <v>0</v>
      </c>
      <c r="AC115" s="13">
        <v>0.114583333333333</v>
      </c>
      <c r="AE115" s="30"/>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25">
      <c r="A116" s="18">
        <v>0.125</v>
      </c>
      <c r="B116" s="4">
        <f t="shared" si="4"/>
        <v>0</v>
      </c>
      <c r="C116" s="4">
        <f t="shared" si="4"/>
        <v>0</v>
      </c>
      <c r="D116" s="4">
        <f t="shared" si="4"/>
        <v>0</v>
      </c>
      <c r="E116" s="4">
        <f t="shared" si="4"/>
        <v>0</v>
      </c>
      <c r="F116" s="4">
        <f t="shared" si="4"/>
        <v>0</v>
      </c>
      <c r="G116" s="4">
        <f t="shared" si="4"/>
        <v>0</v>
      </c>
      <c r="H116" s="18">
        <v>0.125</v>
      </c>
      <c r="I116" s="4">
        <f t="shared" si="5"/>
        <v>0</v>
      </c>
      <c r="J116" s="4">
        <f t="shared" si="5"/>
        <v>0</v>
      </c>
      <c r="K116" s="4">
        <f t="shared" si="5"/>
        <v>0</v>
      </c>
      <c r="L116" s="4">
        <f t="shared" si="5"/>
        <v>0</v>
      </c>
      <c r="M116" s="4">
        <f t="shared" si="5"/>
        <v>0</v>
      </c>
      <c r="N116" s="4">
        <f t="shared" si="5"/>
        <v>0</v>
      </c>
      <c r="O116" s="18">
        <v>0.125</v>
      </c>
      <c r="P116" s="4">
        <f t="shared" si="6"/>
        <v>0</v>
      </c>
      <c r="Q116" s="4">
        <f t="shared" si="6"/>
        <v>0</v>
      </c>
      <c r="R116" s="4">
        <f t="shared" si="6"/>
        <v>0</v>
      </c>
      <c r="S116" s="4">
        <f t="shared" si="6"/>
        <v>0</v>
      </c>
      <c r="T116" s="4">
        <f t="shared" si="6"/>
        <v>0</v>
      </c>
      <c r="U116" s="4">
        <f t="shared" si="6"/>
        <v>0</v>
      </c>
      <c r="V116" s="18">
        <v>0.125</v>
      </c>
      <c r="W116" s="4">
        <f t="shared" si="7"/>
        <v>0</v>
      </c>
      <c r="X116" s="4">
        <f t="shared" si="7"/>
        <v>0</v>
      </c>
      <c r="Y116" s="4">
        <f t="shared" si="7"/>
        <v>0</v>
      </c>
      <c r="Z116" s="4">
        <f t="shared" si="7"/>
        <v>0</v>
      </c>
      <c r="AA116" s="4">
        <f t="shared" si="7"/>
        <v>0</v>
      </c>
      <c r="AB116" s="4">
        <f t="shared" si="7"/>
        <v>0</v>
      </c>
      <c r="AC116" s="18">
        <v>0.125</v>
      </c>
      <c r="AE116" s="30"/>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25">
      <c r="A117" s="13">
        <v>0.13541666666666699</v>
      </c>
      <c r="B117" s="4">
        <f t="shared" si="4"/>
        <v>0</v>
      </c>
      <c r="C117" s="4">
        <f t="shared" si="4"/>
        <v>0</v>
      </c>
      <c r="D117" s="4">
        <f t="shared" si="4"/>
        <v>0</v>
      </c>
      <c r="E117" s="4">
        <f t="shared" si="4"/>
        <v>0</v>
      </c>
      <c r="F117" s="4">
        <f t="shared" si="4"/>
        <v>0</v>
      </c>
      <c r="G117" s="4">
        <f t="shared" si="4"/>
        <v>0</v>
      </c>
      <c r="H117" s="13">
        <v>0.13541666666666699</v>
      </c>
      <c r="I117" s="4">
        <f t="shared" si="5"/>
        <v>0</v>
      </c>
      <c r="J117" s="4">
        <f t="shared" si="5"/>
        <v>0</v>
      </c>
      <c r="K117" s="4">
        <f t="shared" si="5"/>
        <v>0</v>
      </c>
      <c r="L117" s="4">
        <f t="shared" si="5"/>
        <v>0</v>
      </c>
      <c r="M117" s="4">
        <f t="shared" si="5"/>
        <v>0</v>
      </c>
      <c r="N117" s="4">
        <f t="shared" si="5"/>
        <v>0</v>
      </c>
      <c r="O117" s="13">
        <v>0.13541666666666699</v>
      </c>
      <c r="P117" s="4">
        <f t="shared" si="6"/>
        <v>0</v>
      </c>
      <c r="Q117" s="4">
        <f t="shared" si="6"/>
        <v>0</v>
      </c>
      <c r="R117" s="4">
        <f t="shared" si="6"/>
        <v>0</v>
      </c>
      <c r="S117" s="4">
        <f t="shared" si="6"/>
        <v>0</v>
      </c>
      <c r="T117" s="4">
        <f t="shared" si="6"/>
        <v>0</v>
      </c>
      <c r="U117" s="4">
        <f t="shared" si="6"/>
        <v>0</v>
      </c>
      <c r="V117" s="13">
        <v>0.13541666666666699</v>
      </c>
      <c r="W117" s="4">
        <f t="shared" si="7"/>
        <v>0</v>
      </c>
      <c r="X117" s="4">
        <f t="shared" si="7"/>
        <v>0</v>
      </c>
      <c r="Y117" s="4">
        <f t="shared" si="7"/>
        <v>0</v>
      </c>
      <c r="Z117" s="4">
        <f t="shared" si="7"/>
        <v>0</v>
      </c>
      <c r="AA117" s="4">
        <f t="shared" si="7"/>
        <v>0</v>
      </c>
      <c r="AB117" s="4">
        <f t="shared" si="7"/>
        <v>0</v>
      </c>
      <c r="AC117" s="13">
        <v>0.13541666666666699</v>
      </c>
      <c r="AE117" s="30"/>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25">
      <c r="A118" s="20">
        <v>0.14583333333333301</v>
      </c>
      <c r="B118" s="4">
        <f t="shared" si="4"/>
        <v>0</v>
      </c>
      <c r="C118" s="4">
        <f t="shared" si="4"/>
        <v>0</v>
      </c>
      <c r="D118" s="4">
        <f t="shared" si="4"/>
        <v>0</v>
      </c>
      <c r="E118" s="4">
        <f t="shared" si="4"/>
        <v>0</v>
      </c>
      <c r="F118" s="4">
        <f t="shared" si="4"/>
        <v>0</v>
      </c>
      <c r="G118" s="4">
        <f t="shared" si="4"/>
        <v>0</v>
      </c>
      <c r="H118" s="20">
        <v>0.14583333333333301</v>
      </c>
      <c r="I118" s="4">
        <f t="shared" si="5"/>
        <v>0</v>
      </c>
      <c r="J118" s="4">
        <f t="shared" si="5"/>
        <v>0</v>
      </c>
      <c r="K118" s="4">
        <f t="shared" si="5"/>
        <v>0</v>
      </c>
      <c r="L118" s="4">
        <f t="shared" si="5"/>
        <v>0</v>
      </c>
      <c r="M118" s="4">
        <f t="shared" si="5"/>
        <v>0</v>
      </c>
      <c r="N118" s="4">
        <f t="shared" si="5"/>
        <v>0</v>
      </c>
      <c r="O118" s="20">
        <v>0.14583333333333301</v>
      </c>
      <c r="P118" s="4">
        <f t="shared" si="6"/>
        <v>0</v>
      </c>
      <c r="Q118" s="4">
        <f t="shared" si="6"/>
        <v>0</v>
      </c>
      <c r="R118" s="4">
        <f t="shared" si="6"/>
        <v>0</v>
      </c>
      <c r="S118" s="4">
        <f t="shared" si="6"/>
        <v>0</v>
      </c>
      <c r="T118" s="4">
        <f t="shared" si="6"/>
        <v>0</v>
      </c>
      <c r="U118" s="4">
        <f t="shared" si="6"/>
        <v>0</v>
      </c>
      <c r="V118" s="20">
        <v>0.14583333333333301</v>
      </c>
      <c r="W118" s="4">
        <f t="shared" si="7"/>
        <v>0</v>
      </c>
      <c r="X118" s="4">
        <f t="shared" si="7"/>
        <v>0</v>
      </c>
      <c r="Y118" s="4">
        <f t="shared" si="7"/>
        <v>0</v>
      </c>
      <c r="Z118" s="4">
        <f t="shared" si="7"/>
        <v>0</v>
      </c>
      <c r="AA118" s="4">
        <f t="shared" si="7"/>
        <v>0</v>
      </c>
      <c r="AB118" s="4">
        <f t="shared" si="7"/>
        <v>0</v>
      </c>
      <c r="AC118" s="20">
        <v>0.14583333333333301</v>
      </c>
      <c r="AE118" s="30"/>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25">
      <c r="A119" s="13">
        <v>0.15625</v>
      </c>
      <c r="B119" s="4">
        <f t="shared" si="4"/>
        <v>0</v>
      </c>
      <c r="C119" s="4">
        <f t="shared" si="4"/>
        <v>0</v>
      </c>
      <c r="D119" s="4">
        <f t="shared" si="4"/>
        <v>0</v>
      </c>
      <c r="E119" s="4">
        <f t="shared" si="4"/>
        <v>0</v>
      </c>
      <c r="F119" s="4">
        <f t="shared" si="4"/>
        <v>0</v>
      </c>
      <c r="G119" s="4">
        <f t="shared" si="4"/>
        <v>0</v>
      </c>
      <c r="H119" s="13">
        <v>0.15625</v>
      </c>
      <c r="I119" s="4">
        <f t="shared" si="5"/>
        <v>0</v>
      </c>
      <c r="J119" s="4">
        <f t="shared" si="5"/>
        <v>0</v>
      </c>
      <c r="K119" s="4">
        <f t="shared" si="5"/>
        <v>0</v>
      </c>
      <c r="L119" s="4">
        <f t="shared" si="5"/>
        <v>0</v>
      </c>
      <c r="M119" s="4">
        <f t="shared" si="5"/>
        <v>0</v>
      </c>
      <c r="N119" s="4">
        <f t="shared" si="5"/>
        <v>0</v>
      </c>
      <c r="O119" s="13">
        <v>0.15625</v>
      </c>
      <c r="P119" s="4">
        <f t="shared" si="6"/>
        <v>0</v>
      </c>
      <c r="Q119" s="4">
        <f t="shared" si="6"/>
        <v>0</v>
      </c>
      <c r="R119" s="4">
        <f t="shared" si="6"/>
        <v>0</v>
      </c>
      <c r="S119" s="4">
        <f t="shared" si="6"/>
        <v>0</v>
      </c>
      <c r="T119" s="4">
        <f t="shared" si="6"/>
        <v>0</v>
      </c>
      <c r="U119" s="4">
        <f t="shared" si="6"/>
        <v>0</v>
      </c>
      <c r="V119" s="13">
        <v>0.15625</v>
      </c>
      <c r="W119" s="4">
        <f t="shared" si="7"/>
        <v>0</v>
      </c>
      <c r="X119" s="4">
        <f t="shared" si="7"/>
        <v>0</v>
      </c>
      <c r="Y119" s="4">
        <f t="shared" si="7"/>
        <v>0</v>
      </c>
      <c r="Z119" s="4">
        <f t="shared" si="7"/>
        <v>0</v>
      </c>
      <c r="AA119" s="4">
        <f t="shared" si="7"/>
        <v>0</v>
      </c>
      <c r="AB119" s="4">
        <f t="shared" si="7"/>
        <v>0</v>
      </c>
      <c r="AC119" s="13">
        <v>0.15625</v>
      </c>
      <c r="AE119" s="30"/>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25">
      <c r="A120" s="18">
        <v>0.16666666666666699</v>
      </c>
      <c r="B120" s="4">
        <f t="shared" si="4"/>
        <v>0</v>
      </c>
      <c r="C120" s="4">
        <f t="shared" si="4"/>
        <v>0</v>
      </c>
      <c r="D120" s="4">
        <f t="shared" si="4"/>
        <v>0</v>
      </c>
      <c r="E120" s="4">
        <f t="shared" si="4"/>
        <v>0</v>
      </c>
      <c r="F120" s="4">
        <f t="shared" si="4"/>
        <v>0</v>
      </c>
      <c r="G120" s="4">
        <f t="shared" si="4"/>
        <v>0</v>
      </c>
      <c r="H120" s="18">
        <v>0.16666666666666699</v>
      </c>
      <c r="I120" s="4">
        <f t="shared" si="5"/>
        <v>0</v>
      </c>
      <c r="J120" s="4">
        <f t="shared" si="5"/>
        <v>0</v>
      </c>
      <c r="K120" s="4">
        <f t="shared" si="5"/>
        <v>0</v>
      </c>
      <c r="L120" s="4">
        <f t="shared" si="5"/>
        <v>0</v>
      </c>
      <c r="M120" s="4">
        <f t="shared" si="5"/>
        <v>0</v>
      </c>
      <c r="N120" s="4">
        <f t="shared" si="5"/>
        <v>0</v>
      </c>
      <c r="O120" s="18">
        <v>0.16666666666666699</v>
      </c>
      <c r="P120" s="4">
        <f t="shared" si="6"/>
        <v>0</v>
      </c>
      <c r="Q120" s="4">
        <f t="shared" si="6"/>
        <v>0</v>
      </c>
      <c r="R120" s="4">
        <f t="shared" si="6"/>
        <v>0</v>
      </c>
      <c r="S120" s="4">
        <f t="shared" si="6"/>
        <v>0</v>
      </c>
      <c r="T120" s="4">
        <f t="shared" si="6"/>
        <v>0</v>
      </c>
      <c r="U120" s="4">
        <f t="shared" si="6"/>
        <v>0</v>
      </c>
      <c r="V120" s="18">
        <v>0.16666666666666699</v>
      </c>
      <c r="W120" s="4">
        <f t="shared" si="7"/>
        <v>0</v>
      </c>
      <c r="X120" s="4">
        <f t="shared" si="7"/>
        <v>0</v>
      </c>
      <c r="Y120" s="4">
        <f t="shared" si="7"/>
        <v>0</v>
      </c>
      <c r="Z120" s="4">
        <f t="shared" si="7"/>
        <v>0</v>
      </c>
      <c r="AA120" s="4">
        <f t="shared" si="7"/>
        <v>0</v>
      </c>
      <c r="AB120" s="4">
        <f t="shared" si="7"/>
        <v>0</v>
      </c>
      <c r="AC120" s="18">
        <v>0.16666666666666699</v>
      </c>
      <c r="AE120" s="30"/>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25">
      <c r="A121" s="13">
        <v>0.17708333333333301</v>
      </c>
      <c r="B121" s="4">
        <f t="shared" si="4"/>
        <v>0</v>
      </c>
      <c r="C121" s="4">
        <f t="shared" si="4"/>
        <v>0</v>
      </c>
      <c r="D121" s="4">
        <f t="shared" si="4"/>
        <v>0</v>
      </c>
      <c r="E121" s="4">
        <f t="shared" si="4"/>
        <v>0</v>
      </c>
      <c r="F121" s="4">
        <f t="shared" si="4"/>
        <v>0</v>
      </c>
      <c r="G121" s="4">
        <f t="shared" si="4"/>
        <v>0</v>
      </c>
      <c r="H121" s="13">
        <v>0.17708333333333301</v>
      </c>
      <c r="I121" s="4">
        <f t="shared" ref="I121:N136" si="8">SUM(I21:I24)</f>
        <v>0</v>
      </c>
      <c r="J121" s="4">
        <f t="shared" si="8"/>
        <v>0</v>
      </c>
      <c r="K121" s="4">
        <f t="shared" si="8"/>
        <v>0</v>
      </c>
      <c r="L121" s="4">
        <f t="shared" si="8"/>
        <v>0</v>
      </c>
      <c r="M121" s="4">
        <f t="shared" si="8"/>
        <v>0</v>
      </c>
      <c r="N121" s="4">
        <f t="shared" si="8"/>
        <v>0</v>
      </c>
      <c r="O121" s="13">
        <v>0.17708333333333301</v>
      </c>
      <c r="P121" s="4">
        <f t="shared" ref="P121:U136" si="9">SUM(P21:P24)</f>
        <v>0</v>
      </c>
      <c r="Q121" s="4">
        <f t="shared" si="9"/>
        <v>0</v>
      </c>
      <c r="R121" s="4">
        <f t="shared" si="9"/>
        <v>0</v>
      </c>
      <c r="S121" s="4">
        <f t="shared" si="9"/>
        <v>0</v>
      </c>
      <c r="T121" s="4">
        <f t="shared" si="9"/>
        <v>0</v>
      </c>
      <c r="U121" s="4">
        <f t="shared" si="9"/>
        <v>0</v>
      </c>
      <c r="V121" s="13">
        <v>0.17708333333333301</v>
      </c>
      <c r="W121" s="4">
        <f t="shared" ref="W121:AB136" si="10">SUM(W21:W24)</f>
        <v>0</v>
      </c>
      <c r="X121" s="4">
        <f t="shared" si="10"/>
        <v>0</v>
      </c>
      <c r="Y121" s="4">
        <f t="shared" si="10"/>
        <v>0</v>
      </c>
      <c r="Z121" s="4">
        <f t="shared" si="10"/>
        <v>0</v>
      </c>
      <c r="AA121" s="4">
        <f t="shared" si="10"/>
        <v>0</v>
      </c>
      <c r="AB121" s="4">
        <f t="shared" si="10"/>
        <v>0</v>
      </c>
      <c r="AC121" s="13">
        <v>0.17708333333333301</v>
      </c>
      <c r="AE121" s="30"/>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25">
      <c r="A122" s="20">
        <v>0.1875</v>
      </c>
      <c r="B122" s="4">
        <f t="shared" si="4"/>
        <v>0</v>
      </c>
      <c r="C122" s="4">
        <f t="shared" si="4"/>
        <v>0</v>
      </c>
      <c r="D122" s="4">
        <f t="shared" si="4"/>
        <v>0</v>
      </c>
      <c r="E122" s="4">
        <f t="shared" si="4"/>
        <v>0</v>
      </c>
      <c r="F122" s="4">
        <f t="shared" si="4"/>
        <v>0</v>
      </c>
      <c r="G122" s="4">
        <f t="shared" si="4"/>
        <v>0</v>
      </c>
      <c r="H122" s="20">
        <v>0.1875</v>
      </c>
      <c r="I122" s="4">
        <f t="shared" si="8"/>
        <v>0</v>
      </c>
      <c r="J122" s="4">
        <f t="shared" si="8"/>
        <v>0</v>
      </c>
      <c r="K122" s="4">
        <f t="shared" si="8"/>
        <v>0</v>
      </c>
      <c r="L122" s="4">
        <f t="shared" si="8"/>
        <v>0</v>
      </c>
      <c r="M122" s="4">
        <f t="shared" si="8"/>
        <v>0</v>
      </c>
      <c r="N122" s="4">
        <f t="shared" si="8"/>
        <v>0</v>
      </c>
      <c r="O122" s="20">
        <v>0.1875</v>
      </c>
      <c r="P122" s="4">
        <f t="shared" si="9"/>
        <v>0</v>
      </c>
      <c r="Q122" s="4">
        <f t="shared" si="9"/>
        <v>0</v>
      </c>
      <c r="R122" s="4">
        <f t="shared" si="9"/>
        <v>0</v>
      </c>
      <c r="S122" s="4">
        <f t="shared" si="9"/>
        <v>0</v>
      </c>
      <c r="T122" s="4">
        <f t="shared" si="9"/>
        <v>0</v>
      </c>
      <c r="U122" s="4">
        <f t="shared" si="9"/>
        <v>0</v>
      </c>
      <c r="V122" s="20">
        <v>0.1875</v>
      </c>
      <c r="W122" s="4">
        <f t="shared" si="10"/>
        <v>0</v>
      </c>
      <c r="X122" s="4">
        <f t="shared" si="10"/>
        <v>0</v>
      </c>
      <c r="Y122" s="4">
        <f t="shared" si="10"/>
        <v>0</v>
      </c>
      <c r="Z122" s="4">
        <f t="shared" si="10"/>
        <v>0</v>
      </c>
      <c r="AA122" s="4">
        <f t="shared" si="10"/>
        <v>0</v>
      </c>
      <c r="AB122" s="4">
        <f t="shared" si="10"/>
        <v>0</v>
      </c>
      <c r="AC122" s="20">
        <v>0.1875</v>
      </c>
      <c r="AE122" s="30"/>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25">
      <c r="A123" s="13">
        <v>0.19791666666666699</v>
      </c>
      <c r="B123" s="4">
        <f t="shared" si="4"/>
        <v>0</v>
      </c>
      <c r="C123" s="4">
        <f t="shared" si="4"/>
        <v>0</v>
      </c>
      <c r="D123" s="4">
        <f t="shared" si="4"/>
        <v>0</v>
      </c>
      <c r="E123" s="4">
        <f t="shared" si="4"/>
        <v>0</v>
      </c>
      <c r="F123" s="4">
        <f t="shared" si="4"/>
        <v>0</v>
      </c>
      <c r="G123" s="4">
        <f t="shared" si="4"/>
        <v>0</v>
      </c>
      <c r="H123" s="13">
        <v>0.19791666666666699</v>
      </c>
      <c r="I123" s="4">
        <f t="shared" si="8"/>
        <v>0</v>
      </c>
      <c r="J123" s="4">
        <f t="shared" si="8"/>
        <v>0</v>
      </c>
      <c r="K123" s="4">
        <f t="shared" si="8"/>
        <v>0</v>
      </c>
      <c r="L123" s="4">
        <f t="shared" si="8"/>
        <v>0</v>
      </c>
      <c r="M123" s="4">
        <f t="shared" si="8"/>
        <v>0</v>
      </c>
      <c r="N123" s="4">
        <f t="shared" si="8"/>
        <v>0</v>
      </c>
      <c r="O123" s="13">
        <v>0.19791666666666699</v>
      </c>
      <c r="P123" s="4">
        <f t="shared" si="9"/>
        <v>0</v>
      </c>
      <c r="Q123" s="4">
        <f t="shared" si="9"/>
        <v>0</v>
      </c>
      <c r="R123" s="4">
        <f t="shared" si="9"/>
        <v>0</v>
      </c>
      <c r="S123" s="4">
        <f t="shared" si="9"/>
        <v>0</v>
      </c>
      <c r="T123" s="4">
        <f t="shared" si="9"/>
        <v>0</v>
      </c>
      <c r="U123" s="4">
        <f t="shared" si="9"/>
        <v>0</v>
      </c>
      <c r="V123" s="13">
        <v>0.19791666666666699</v>
      </c>
      <c r="W123" s="4">
        <f t="shared" si="10"/>
        <v>0</v>
      </c>
      <c r="X123" s="4">
        <f t="shared" si="10"/>
        <v>0</v>
      </c>
      <c r="Y123" s="4">
        <f t="shared" si="10"/>
        <v>0</v>
      </c>
      <c r="Z123" s="4">
        <f t="shared" si="10"/>
        <v>0</v>
      </c>
      <c r="AA123" s="4">
        <f t="shared" si="10"/>
        <v>0</v>
      </c>
      <c r="AB123" s="4">
        <f t="shared" si="10"/>
        <v>0</v>
      </c>
      <c r="AC123" s="13">
        <v>0.19791666666666699</v>
      </c>
      <c r="AE123" s="30"/>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25">
      <c r="A124" s="18">
        <v>0.20833333333333301</v>
      </c>
      <c r="B124" s="4">
        <f t="shared" si="4"/>
        <v>0</v>
      </c>
      <c r="C124" s="4">
        <f t="shared" si="4"/>
        <v>0</v>
      </c>
      <c r="D124" s="4">
        <f t="shared" si="4"/>
        <v>0</v>
      </c>
      <c r="E124" s="4">
        <f t="shared" si="4"/>
        <v>0</v>
      </c>
      <c r="F124" s="4">
        <f t="shared" si="4"/>
        <v>0</v>
      </c>
      <c r="G124" s="4">
        <f t="shared" si="4"/>
        <v>0</v>
      </c>
      <c r="H124" s="18">
        <v>0.20833333333333301</v>
      </c>
      <c r="I124" s="4">
        <f t="shared" si="8"/>
        <v>0</v>
      </c>
      <c r="J124" s="4">
        <f t="shared" si="8"/>
        <v>0</v>
      </c>
      <c r="K124" s="4">
        <f t="shared" si="8"/>
        <v>0</v>
      </c>
      <c r="L124" s="4">
        <f t="shared" si="8"/>
        <v>0</v>
      </c>
      <c r="M124" s="4">
        <f t="shared" si="8"/>
        <v>0</v>
      </c>
      <c r="N124" s="4">
        <f t="shared" si="8"/>
        <v>0</v>
      </c>
      <c r="O124" s="18">
        <v>0.20833333333333301</v>
      </c>
      <c r="P124" s="4">
        <f t="shared" si="9"/>
        <v>0</v>
      </c>
      <c r="Q124" s="4">
        <f t="shared" si="9"/>
        <v>0</v>
      </c>
      <c r="R124" s="4">
        <f t="shared" si="9"/>
        <v>0</v>
      </c>
      <c r="S124" s="4">
        <f t="shared" si="9"/>
        <v>0</v>
      </c>
      <c r="T124" s="4">
        <f t="shared" si="9"/>
        <v>0</v>
      </c>
      <c r="U124" s="4">
        <f t="shared" si="9"/>
        <v>0</v>
      </c>
      <c r="V124" s="18">
        <v>0.20833333333333301</v>
      </c>
      <c r="W124" s="4">
        <f t="shared" si="10"/>
        <v>0</v>
      </c>
      <c r="X124" s="4">
        <f t="shared" si="10"/>
        <v>0</v>
      </c>
      <c r="Y124" s="4">
        <f t="shared" si="10"/>
        <v>0</v>
      </c>
      <c r="Z124" s="4">
        <f t="shared" si="10"/>
        <v>0</v>
      </c>
      <c r="AA124" s="4">
        <f t="shared" si="10"/>
        <v>0</v>
      </c>
      <c r="AB124" s="4">
        <f t="shared" si="10"/>
        <v>0</v>
      </c>
      <c r="AC124" s="18">
        <v>0.20833333333333301</v>
      </c>
      <c r="AE124" s="30"/>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25">
      <c r="A125" s="13">
        <v>0.21875</v>
      </c>
      <c r="B125" s="4">
        <f t="shared" si="4"/>
        <v>0</v>
      </c>
      <c r="C125" s="4">
        <f t="shared" si="4"/>
        <v>0</v>
      </c>
      <c r="D125" s="4">
        <f t="shared" si="4"/>
        <v>0</v>
      </c>
      <c r="E125" s="4">
        <f t="shared" si="4"/>
        <v>0</v>
      </c>
      <c r="F125" s="4">
        <f>SUM(F25:F28)</f>
        <v>0</v>
      </c>
      <c r="G125" s="4">
        <f t="shared" si="4"/>
        <v>0</v>
      </c>
      <c r="H125" s="13">
        <v>0.21875</v>
      </c>
      <c r="I125" s="4">
        <f t="shared" si="8"/>
        <v>0</v>
      </c>
      <c r="J125" s="4">
        <f t="shared" si="8"/>
        <v>0</v>
      </c>
      <c r="K125" s="4">
        <f t="shared" si="8"/>
        <v>0</v>
      </c>
      <c r="L125" s="4">
        <f t="shared" si="8"/>
        <v>0</v>
      </c>
      <c r="M125" s="4">
        <f t="shared" si="8"/>
        <v>0</v>
      </c>
      <c r="N125" s="4">
        <f t="shared" si="8"/>
        <v>0</v>
      </c>
      <c r="O125" s="13">
        <v>0.21875</v>
      </c>
      <c r="P125" s="4">
        <f t="shared" si="9"/>
        <v>0</v>
      </c>
      <c r="Q125" s="4">
        <f t="shared" si="9"/>
        <v>0</v>
      </c>
      <c r="R125" s="4">
        <f t="shared" si="9"/>
        <v>0</v>
      </c>
      <c r="S125" s="4">
        <f t="shared" si="9"/>
        <v>0</v>
      </c>
      <c r="T125" s="4">
        <f t="shared" si="9"/>
        <v>0</v>
      </c>
      <c r="U125" s="4">
        <f t="shared" si="9"/>
        <v>0</v>
      </c>
      <c r="V125" s="13">
        <v>0.21875</v>
      </c>
      <c r="W125" s="4">
        <f t="shared" si="10"/>
        <v>0</v>
      </c>
      <c r="X125" s="4">
        <f t="shared" si="10"/>
        <v>0</v>
      </c>
      <c r="Y125" s="4">
        <f t="shared" si="10"/>
        <v>0</v>
      </c>
      <c r="Z125" s="4">
        <f t="shared" si="10"/>
        <v>0</v>
      </c>
      <c r="AA125" s="4">
        <f t="shared" si="10"/>
        <v>0</v>
      </c>
      <c r="AB125" s="4">
        <f t="shared" si="10"/>
        <v>0</v>
      </c>
      <c r="AC125" s="13">
        <v>0.21875</v>
      </c>
      <c r="AE125" s="30"/>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25">
      <c r="A126" s="20">
        <v>0.22916666666666699</v>
      </c>
      <c r="B126" s="4">
        <f t="shared" si="4"/>
        <v>0</v>
      </c>
      <c r="C126" s="4">
        <f t="shared" si="4"/>
        <v>0</v>
      </c>
      <c r="D126" s="4">
        <f t="shared" si="4"/>
        <v>0</v>
      </c>
      <c r="E126" s="4">
        <f t="shared" si="4"/>
        <v>0</v>
      </c>
      <c r="F126" s="4">
        <f t="shared" si="4"/>
        <v>0</v>
      </c>
      <c r="G126" s="4">
        <f t="shared" si="4"/>
        <v>0</v>
      </c>
      <c r="H126" s="20">
        <v>0.22916666666666699</v>
      </c>
      <c r="I126" s="4">
        <f t="shared" si="8"/>
        <v>0</v>
      </c>
      <c r="J126" s="4">
        <f t="shared" si="8"/>
        <v>0</v>
      </c>
      <c r="K126" s="4">
        <f t="shared" si="8"/>
        <v>0</v>
      </c>
      <c r="L126" s="4">
        <f t="shared" si="8"/>
        <v>0</v>
      </c>
      <c r="M126" s="4">
        <f t="shared" si="8"/>
        <v>0</v>
      </c>
      <c r="N126" s="4">
        <f t="shared" si="8"/>
        <v>0</v>
      </c>
      <c r="O126" s="20">
        <v>0.22916666666666699</v>
      </c>
      <c r="P126" s="4">
        <f t="shared" si="9"/>
        <v>0</v>
      </c>
      <c r="Q126" s="4">
        <f t="shared" si="9"/>
        <v>0</v>
      </c>
      <c r="R126" s="4">
        <f t="shared" si="9"/>
        <v>0</v>
      </c>
      <c r="S126" s="4">
        <f t="shared" si="9"/>
        <v>0</v>
      </c>
      <c r="T126" s="4">
        <f t="shared" si="9"/>
        <v>0</v>
      </c>
      <c r="U126" s="4">
        <f t="shared" si="9"/>
        <v>0</v>
      </c>
      <c r="V126" s="20">
        <v>0.22916666666666699</v>
      </c>
      <c r="W126" s="4">
        <f t="shared" si="10"/>
        <v>0</v>
      </c>
      <c r="X126" s="4">
        <f t="shared" si="10"/>
        <v>0</v>
      </c>
      <c r="Y126" s="4">
        <f t="shared" si="10"/>
        <v>0</v>
      </c>
      <c r="Z126" s="4">
        <f t="shared" si="10"/>
        <v>0</v>
      </c>
      <c r="AA126" s="4">
        <f t="shared" si="10"/>
        <v>0</v>
      </c>
      <c r="AB126" s="4">
        <f t="shared" si="10"/>
        <v>0</v>
      </c>
      <c r="AC126" s="20">
        <v>0.22916666666666699</v>
      </c>
      <c r="AE126" s="30"/>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25">
      <c r="A127" s="13">
        <v>0.23958333333333301</v>
      </c>
      <c r="B127" s="4">
        <f t="shared" si="4"/>
        <v>0</v>
      </c>
      <c r="C127" s="4">
        <f t="shared" si="4"/>
        <v>0</v>
      </c>
      <c r="D127" s="4">
        <f t="shared" si="4"/>
        <v>0</v>
      </c>
      <c r="E127" s="4">
        <f t="shared" si="4"/>
        <v>0</v>
      </c>
      <c r="F127" s="4">
        <f t="shared" si="4"/>
        <v>0</v>
      </c>
      <c r="G127" s="4">
        <f t="shared" si="4"/>
        <v>0</v>
      </c>
      <c r="H127" s="13">
        <v>0.23958333333333301</v>
      </c>
      <c r="I127" s="4">
        <f t="shared" si="8"/>
        <v>0</v>
      </c>
      <c r="J127" s="4">
        <f t="shared" si="8"/>
        <v>0</v>
      </c>
      <c r="K127" s="4">
        <f t="shared" si="8"/>
        <v>0</v>
      </c>
      <c r="L127" s="4">
        <f t="shared" si="8"/>
        <v>0</v>
      </c>
      <c r="M127" s="4">
        <f t="shared" si="8"/>
        <v>0</v>
      </c>
      <c r="N127" s="4">
        <f t="shared" si="8"/>
        <v>0</v>
      </c>
      <c r="O127" s="13">
        <v>0.23958333333333301</v>
      </c>
      <c r="P127" s="4">
        <f t="shared" si="9"/>
        <v>0</v>
      </c>
      <c r="Q127" s="4">
        <f t="shared" si="9"/>
        <v>0</v>
      </c>
      <c r="R127" s="4">
        <f t="shared" si="9"/>
        <v>0</v>
      </c>
      <c r="S127" s="4">
        <f t="shared" si="9"/>
        <v>0</v>
      </c>
      <c r="T127" s="4">
        <f t="shared" si="9"/>
        <v>0</v>
      </c>
      <c r="U127" s="4">
        <f t="shared" si="9"/>
        <v>0</v>
      </c>
      <c r="V127" s="13">
        <v>0.23958333333333301</v>
      </c>
      <c r="W127" s="4">
        <f t="shared" si="10"/>
        <v>0</v>
      </c>
      <c r="X127" s="4">
        <f t="shared" si="10"/>
        <v>0</v>
      </c>
      <c r="Y127" s="4">
        <f t="shared" si="10"/>
        <v>0</v>
      </c>
      <c r="Z127" s="4">
        <f t="shared" si="10"/>
        <v>0</v>
      </c>
      <c r="AA127" s="4">
        <f t="shared" si="10"/>
        <v>0</v>
      </c>
      <c r="AB127" s="4">
        <f t="shared" si="10"/>
        <v>0</v>
      </c>
      <c r="AC127" s="13">
        <v>0.23958333333333301</v>
      </c>
      <c r="AE127" s="30"/>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25">
      <c r="A128" s="18">
        <v>0.25</v>
      </c>
      <c r="B128" s="4">
        <f t="shared" si="4"/>
        <v>0</v>
      </c>
      <c r="C128" s="4">
        <f t="shared" si="4"/>
        <v>0</v>
      </c>
      <c r="D128" s="4">
        <f t="shared" si="4"/>
        <v>0</v>
      </c>
      <c r="E128" s="4">
        <f t="shared" si="4"/>
        <v>0</v>
      </c>
      <c r="F128" s="4">
        <f t="shared" si="4"/>
        <v>0</v>
      </c>
      <c r="G128" s="4">
        <f t="shared" si="4"/>
        <v>0</v>
      </c>
      <c r="H128" s="18">
        <v>0.25</v>
      </c>
      <c r="I128" s="4">
        <f t="shared" si="8"/>
        <v>0</v>
      </c>
      <c r="J128" s="4">
        <f t="shared" si="8"/>
        <v>0</v>
      </c>
      <c r="K128" s="4">
        <f t="shared" si="8"/>
        <v>0</v>
      </c>
      <c r="L128" s="4">
        <f t="shared" si="8"/>
        <v>0</v>
      </c>
      <c r="M128" s="4">
        <f t="shared" si="8"/>
        <v>0</v>
      </c>
      <c r="N128" s="4">
        <f t="shared" si="8"/>
        <v>0</v>
      </c>
      <c r="O128" s="18">
        <v>0.25</v>
      </c>
      <c r="P128" s="4">
        <f t="shared" si="9"/>
        <v>0</v>
      </c>
      <c r="Q128" s="4">
        <f t="shared" si="9"/>
        <v>0</v>
      </c>
      <c r="R128" s="4">
        <f t="shared" si="9"/>
        <v>0</v>
      </c>
      <c r="S128" s="4">
        <f t="shared" si="9"/>
        <v>0</v>
      </c>
      <c r="T128" s="4">
        <f t="shared" si="9"/>
        <v>0</v>
      </c>
      <c r="U128" s="4">
        <f t="shared" si="9"/>
        <v>0</v>
      </c>
      <c r="V128" s="18">
        <v>0.25</v>
      </c>
      <c r="W128" s="4">
        <f t="shared" si="10"/>
        <v>0</v>
      </c>
      <c r="X128" s="4">
        <f t="shared" si="10"/>
        <v>0</v>
      </c>
      <c r="Y128" s="4">
        <f t="shared" si="10"/>
        <v>0</v>
      </c>
      <c r="Z128" s="4">
        <f t="shared" si="10"/>
        <v>0</v>
      </c>
      <c r="AA128" s="4">
        <f t="shared" si="10"/>
        <v>0</v>
      </c>
      <c r="AB128" s="4">
        <f t="shared" si="10"/>
        <v>0</v>
      </c>
      <c r="AC128" s="18">
        <v>0.25</v>
      </c>
      <c r="AE128" s="30"/>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25">
      <c r="A129" s="13">
        <v>0.26041666666666702</v>
      </c>
      <c r="B129" s="4">
        <f t="shared" si="4"/>
        <v>0</v>
      </c>
      <c r="C129" s="4">
        <f t="shared" si="4"/>
        <v>175</v>
      </c>
      <c r="D129" s="4">
        <f t="shared" si="4"/>
        <v>157</v>
      </c>
      <c r="E129" s="4">
        <f t="shared" si="4"/>
        <v>0</v>
      </c>
      <c r="F129" s="4">
        <f t="shared" si="4"/>
        <v>0</v>
      </c>
      <c r="G129" s="4">
        <f t="shared" si="4"/>
        <v>332</v>
      </c>
      <c r="H129" s="13">
        <v>0.26041666666666702</v>
      </c>
      <c r="I129" s="4">
        <f t="shared" si="8"/>
        <v>0</v>
      </c>
      <c r="J129" s="4">
        <f t="shared" si="8"/>
        <v>0</v>
      </c>
      <c r="K129" s="4">
        <f t="shared" si="8"/>
        <v>0</v>
      </c>
      <c r="L129" s="4">
        <f t="shared" si="8"/>
        <v>0</v>
      </c>
      <c r="M129" s="4">
        <f t="shared" si="8"/>
        <v>0</v>
      </c>
      <c r="N129" s="4">
        <f t="shared" si="8"/>
        <v>0</v>
      </c>
      <c r="O129" s="13">
        <v>0.26041666666666702</v>
      </c>
      <c r="P129" s="4">
        <f t="shared" si="9"/>
        <v>67</v>
      </c>
      <c r="Q129" s="4">
        <f t="shared" si="9"/>
        <v>56</v>
      </c>
      <c r="R129" s="4">
        <f t="shared" si="9"/>
        <v>0</v>
      </c>
      <c r="S129" s="4">
        <f t="shared" si="9"/>
        <v>0</v>
      </c>
      <c r="T129" s="4">
        <f t="shared" si="9"/>
        <v>0</v>
      </c>
      <c r="U129" s="4">
        <f t="shared" si="9"/>
        <v>123</v>
      </c>
      <c r="V129" s="13">
        <v>0.26041666666666702</v>
      </c>
      <c r="W129" s="4">
        <f t="shared" si="10"/>
        <v>56</v>
      </c>
      <c r="X129" s="4">
        <f t="shared" si="10"/>
        <v>0</v>
      </c>
      <c r="Y129" s="4">
        <f t="shared" si="10"/>
        <v>8</v>
      </c>
      <c r="Z129" s="4">
        <f t="shared" si="10"/>
        <v>0</v>
      </c>
      <c r="AA129" s="4">
        <f t="shared" si="10"/>
        <v>0</v>
      </c>
      <c r="AB129" s="4">
        <f t="shared" si="10"/>
        <v>64</v>
      </c>
      <c r="AC129" s="13">
        <v>0.26041666666666702</v>
      </c>
      <c r="AE129" s="30"/>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25">
      <c r="A130" s="20">
        <v>0.27083333333333298</v>
      </c>
      <c r="B130" s="4">
        <f t="shared" si="4"/>
        <v>0</v>
      </c>
      <c r="C130" s="4">
        <f t="shared" si="4"/>
        <v>414</v>
      </c>
      <c r="D130" s="4">
        <f t="shared" si="4"/>
        <v>308</v>
      </c>
      <c r="E130" s="4">
        <f t="shared" si="4"/>
        <v>0</v>
      </c>
      <c r="F130" s="4">
        <f t="shared" si="4"/>
        <v>0</v>
      </c>
      <c r="G130" s="4">
        <f t="shared" si="4"/>
        <v>722</v>
      </c>
      <c r="H130" s="20">
        <v>0.27083333333333298</v>
      </c>
      <c r="I130" s="4">
        <f t="shared" si="8"/>
        <v>0</v>
      </c>
      <c r="J130" s="4">
        <f t="shared" si="8"/>
        <v>0</v>
      </c>
      <c r="K130" s="4">
        <f t="shared" si="8"/>
        <v>0</v>
      </c>
      <c r="L130" s="4">
        <f t="shared" si="8"/>
        <v>0</v>
      </c>
      <c r="M130" s="4">
        <f t="shared" si="8"/>
        <v>0</v>
      </c>
      <c r="N130" s="4">
        <f t="shared" si="8"/>
        <v>0</v>
      </c>
      <c r="O130" s="20">
        <v>0.27083333333333298</v>
      </c>
      <c r="P130" s="4">
        <f t="shared" si="9"/>
        <v>146</v>
      </c>
      <c r="Q130" s="4">
        <f t="shared" si="9"/>
        <v>148</v>
      </c>
      <c r="R130" s="4">
        <f t="shared" si="9"/>
        <v>0</v>
      </c>
      <c r="S130" s="4">
        <f t="shared" si="9"/>
        <v>0</v>
      </c>
      <c r="T130" s="4">
        <f t="shared" si="9"/>
        <v>0</v>
      </c>
      <c r="U130" s="4">
        <f t="shared" si="9"/>
        <v>294</v>
      </c>
      <c r="V130" s="20">
        <v>0.27083333333333298</v>
      </c>
      <c r="W130" s="4">
        <f t="shared" si="10"/>
        <v>114</v>
      </c>
      <c r="X130" s="4">
        <f t="shared" si="10"/>
        <v>0</v>
      </c>
      <c r="Y130" s="4">
        <f t="shared" si="10"/>
        <v>16</v>
      </c>
      <c r="Z130" s="4">
        <f t="shared" si="10"/>
        <v>0</v>
      </c>
      <c r="AA130" s="4">
        <f t="shared" si="10"/>
        <v>0</v>
      </c>
      <c r="AB130" s="4">
        <f t="shared" si="10"/>
        <v>130</v>
      </c>
      <c r="AC130" s="20">
        <v>0.27083333333333298</v>
      </c>
      <c r="AE130" s="30"/>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25">
      <c r="A131" s="13">
        <v>0.28125</v>
      </c>
      <c r="B131" s="4">
        <f t="shared" si="4"/>
        <v>0</v>
      </c>
      <c r="C131" s="4">
        <f t="shared" si="4"/>
        <v>649</v>
      </c>
      <c r="D131" s="4">
        <f t="shared" si="4"/>
        <v>470</v>
      </c>
      <c r="E131" s="4">
        <f t="shared" si="4"/>
        <v>0</v>
      </c>
      <c r="F131" s="4">
        <f t="shared" si="4"/>
        <v>0</v>
      </c>
      <c r="G131" s="4">
        <f t="shared" si="4"/>
        <v>1119</v>
      </c>
      <c r="H131" s="13">
        <v>0.28125</v>
      </c>
      <c r="I131" s="4">
        <f t="shared" si="8"/>
        <v>0</v>
      </c>
      <c r="J131" s="4">
        <f t="shared" si="8"/>
        <v>0</v>
      </c>
      <c r="K131" s="4">
        <f t="shared" si="8"/>
        <v>0</v>
      </c>
      <c r="L131" s="4">
        <f t="shared" si="8"/>
        <v>0</v>
      </c>
      <c r="M131" s="4">
        <f t="shared" si="8"/>
        <v>0</v>
      </c>
      <c r="N131" s="4">
        <f t="shared" si="8"/>
        <v>0</v>
      </c>
      <c r="O131" s="13">
        <v>0.28125</v>
      </c>
      <c r="P131" s="4">
        <f t="shared" si="9"/>
        <v>218</v>
      </c>
      <c r="Q131" s="4">
        <f t="shared" si="9"/>
        <v>237</v>
      </c>
      <c r="R131" s="4">
        <f t="shared" si="9"/>
        <v>0</v>
      </c>
      <c r="S131" s="4">
        <f t="shared" si="9"/>
        <v>0</v>
      </c>
      <c r="T131" s="4">
        <f t="shared" si="9"/>
        <v>0</v>
      </c>
      <c r="U131" s="4">
        <f t="shared" si="9"/>
        <v>455</v>
      </c>
      <c r="V131" s="13">
        <v>0.28125</v>
      </c>
      <c r="W131" s="4">
        <f t="shared" si="10"/>
        <v>186</v>
      </c>
      <c r="X131" s="4">
        <f t="shared" si="10"/>
        <v>0</v>
      </c>
      <c r="Y131" s="4">
        <f t="shared" si="10"/>
        <v>26</v>
      </c>
      <c r="Z131" s="4">
        <f t="shared" si="10"/>
        <v>0</v>
      </c>
      <c r="AA131" s="4">
        <f t="shared" si="10"/>
        <v>0</v>
      </c>
      <c r="AB131" s="4">
        <f t="shared" si="10"/>
        <v>212</v>
      </c>
      <c r="AC131" s="13">
        <v>0.28125</v>
      </c>
      <c r="AE131" s="30"/>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25">
      <c r="A132" s="18">
        <v>0.29166666666666702</v>
      </c>
      <c r="B132" s="4">
        <f t="shared" si="4"/>
        <v>0</v>
      </c>
      <c r="C132" s="4">
        <f t="shared" si="4"/>
        <v>877</v>
      </c>
      <c r="D132" s="4">
        <f t="shared" si="4"/>
        <v>613</v>
      </c>
      <c r="E132" s="4">
        <f t="shared" si="4"/>
        <v>0</v>
      </c>
      <c r="F132" s="4">
        <f t="shared" si="4"/>
        <v>0</v>
      </c>
      <c r="G132" s="4">
        <f t="shared" si="4"/>
        <v>1490</v>
      </c>
      <c r="H132" s="18">
        <v>0.29166666666666702</v>
      </c>
      <c r="I132" s="4">
        <f t="shared" si="8"/>
        <v>0</v>
      </c>
      <c r="J132" s="4">
        <f t="shared" si="8"/>
        <v>0</v>
      </c>
      <c r="K132" s="4">
        <f t="shared" si="8"/>
        <v>0</v>
      </c>
      <c r="L132" s="4">
        <f t="shared" si="8"/>
        <v>0</v>
      </c>
      <c r="M132" s="4">
        <f t="shared" si="8"/>
        <v>0</v>
      </c>
      <c r="N132" s="4">
        <f t="shared" si="8"/>
        <v>0</v>
      </c>
      <c r="O132" s="18">
        <v>0.29166666666666702</v>
      </c>
      <c r="P132" s="4">
        <f t="shared" si="9"/>
        <v>282</v>
      </c>
      <c r="Q132" s="4">
        <f t="shared" si="9"/>
        <v>355</v>
      </c>
      <c r="R132" s="4">
        <f t="shared" si="9"/>
        <v>0</v>
      </c>
      <c r="S132" s="4">
        <f t="shared" si="9"/>
        <v>0</v>
      </c>
      <c r="T132" s="4">
        <f t="shared" si="9"/>
        <v>0</v>
      </c>
      <c r="U132" s="4">
        <f t="shared" si="9"/>
        <v>637</v>
      </c>
      <c r="V132" s="18">
        <v>0.29166666666666702</v>
      </c>
      <c r="W132" s="4">
        <f t="shared" si="10"/>
        <v>233</v>
      </c>
      <c r="X132" s="4">
        <f t="shared" si="10"/>
        <v>0</v>
      </c>
      <c r="Y132" s="4">
        <f t="shared" si="10"/>
        <v>35</v>
      </c>
      <c r="Z132" s="4">
        <f t="shared" si="10"/>
        <v>0</v>
      </c>
      <c r="AA132" s="4">
        <f t="shared" si="10"/>
        <v>0</v>
      </c>
      <c r="AB132" s="4">
        <f t="shared" si="10"/>
        <v>268</v>
      </c>
      <c r="AC132" s="18">
        <v>0.29166666666666702</v>
      </c>
      <c r="AE132" s="30"/>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25">
      <c r="A133" s="13">
        <v>0.30208333333333298</v>
      </c>
      <c r="B133" s="4">
        <f t="shared" si="4"/>
        <v>0</v>
      </c>
      <c r="C133" s="4">
        <f t="shared" si="4"/>
        <v>910</v>
      </c>
      <c r="D133" s="4">
        <f t="shared" si="4"/>
        <v>596</v>
      </c>
      <c r="E133" s="4">
        <f t="shared" si="4"/>
        <v>0</v>
      </c>
      <c r="F133" s="4">
        <f t="shared" si="4"/>
        <v>0</v>
      </c>
      <c r="G133" s="4">
        <f t="shared" si="4"/>
        <v>1506</v>
      </c>
      <c r="H133" s="13">
        <v>0.30208333333333298</v>
      </c>
      <c r="I133" s="4">
        <f t="shared" si="8"/>
        <v>0</v>
      </c>
      <c r="J133" s="4">
        <f t="shared" si="8"/>
        <v>0</v>
      </c>
      <c r="K133" s="4">
        <f t="shared" si="8"/>
        <v>0</v>
      </c>
      <c r="L133" s="4">
        <f t="shared" si="8"/>
        <v>0</v>
      </c>
      <c r="M133" s="4">
        <f t="shared" si="8"/>
        <v>0</v>
      </c>
      <c r="N133" s="4">
        <f t="shared" si="8"/>
        <v>0</v>
      </c>
      <c r="O133" s="13">
        <v>0.30208333333333298</v>
      </c>
      <c r="P133" s="4">
        <f t="shared" si="9"/>
        <v>275</v>
      </c>
      <c r="Q133" s="4">
        <f t="shared" si="9"/>
        <v>392</v>
      </c>
      <c r="R133" s="4">
        <f t="shared" si="9"/>
        <v>0</v>
      </c>
      <c r="S133" s="4">
        <f t="shared" si="9"/>
        <v>0</v>
      </c>
      <c r="T133" s="4">
        <f t="shared" si="9"/>
        <v>0</v>
      </c>
      <c r="U133" s="4">
        <f t="shared" si="9"/>
        <v>667</v>
      </c>
      <c r="V133" s="13">
        <v>0.30208333333333298</v>
      </c>
      <c r="W133" s="4">
        <f t="shared" si="10"/>
        <v>219</v>
      </c>
      <c r="X133" s="4">
        <f t="shared" si="10"/>
        <v>0</v>
      </c>
      <c r="Y133" s="4">
        <f t="shared" si="10"/>
        <v>39</v>
      </c>
      <c r="Z133" s="4">
        <f t="shared" si="10"/>
        <v>0</v>
      </c>
      <c r="AA133" s="4">
        <f t="shared" si="10"/>
        <v>0</v>
      </c>
      <c r="AB133" s="4">
        <f t="shared" si="10"/>
        <v>258</v>
      </c>
      <c r="AC133" s="13">
        <v>0.30208333333333298</v>
      </c>
      <c r="AE133" s="30"/>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25">
      <c r="A134" s="20">
        <v>0.3125</v>
      </c>
      <c r="B134" s="4">
        <f t="shared" si="4"/>
        <v>0</v>
      </c>
      <c r="C134" s="4">
        <f t="shared" si="4"/>
        <v>852</v>
      </c>
      <c r="D134" s="4">
        <f t="shared" si="4"/>
        <v>607</v>
      </c>
      <c r="E134" s="4">
        <f t="shared" si="4"/>
        <v>1</v>
      </c>
      <c r="F134" s="4">
        <f t="shared" si="4"/>
        <v>0</v>
      </c>
      <c r="G134" s="4">
        <f t="shared" si="4"/>
        <v>1460</v>
      </c>
      <c r="H134" s="20">
        <v>0.3125</v>
      </c>
      <c r="I134" s="4">
        <f t="shared" si="8"/>
        <v>0</v>
      </c>
      <c r="J134" s="4">
        <f t="shared" si="8"/>
        <v>0</v>
      </c>
      <c r="K134" s="4">
        <f t="shared" si="8"/>
        <v>0</v>
      </c>
      <c r="L134" s="4">
        <f t="shared" si="8"/>
        <v>0</v>
      </c>
      <c r="M134" s="4">
        <f t="shared" si="8"/>
        <v>0</v>
      </c>
      <c r="N134" s="4">
        <f t="shared" si="8"/>
        <v>0</v>
      </c>
      <c r="O134" s="20">
        <v>0.3125</v>
      </c>
      <c r="P134" s="4">
        <f t="shared" si="9"/>
        <v>262</v>
      </c>
      <c r="Q134" s="4">
        <f t="shared" si="9"/>
        <v>424</v>
      </c>
      <c r="R134" s="4">
        <f t="shared" si="9"/>
        <v>0</v>
      </c>
      <c r="S134" s="4">
        <f t="shared" si="9"/>
        <v>0</v>
      </c>
      <c r="T134" s="4">
        <f t="shared" si="9"/>
        <v>0</v>
      </c>
      <c r="U134" s="4">
        <f t="shared" si="9"/>
        <v>686</v>
      </c>
      <c r="V134" s="20">
        <v>0.3125</v>
      </c>
      <c r="W134" s="4">
        <f t="shared" si="10"/>
        <v>199</v>
      </c>
      <c r="X134" s="4">
        <f t="shared" si="10"/>
        <v>0</v>
      </c>
      <c r="Y134" s="4">
        <f t="shared" si="10"/>
        <v>38</v>
      </c>
      <c r="Z134" s="4">
        <f t="shared" si="10"/>
        <v>0</v>
      </c>
      <c r="AA134" s="4">
        <f t="shared" si="10"/>
        <v>0</v>
      </c>
      <c r="AB134" s="4">
        <f t="shared" si="10"/>
        <v>237</v>
      </c>
      <c r="AC134" s="20">
        <v>0.3125</v>
      </c>
      <c r="AE134" s="30"/>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25">
      <c r="A135" s="13">
        <v>0.32291666666666702</v>
      </c>
      <c r="B135" s="4">
        <f t="shared" si="4"/>
        <v>0</v>
      </c>
      <c r="C135" s="4">
        <f t="shared" si="4"/>
        <v>797</v>
      </c>
      <c r="D135" s="4">
        <f t="shared" si="4"/>
        <v>585</v>
      </c>
      <c r="E135" s="4">
        <f t="shared" si="4"/>
        <v>1</v>
      </c>
      <c r="F135" s="4">
        <f t="shared" si="4"/>
        <v>0</v>
      </c>
      <c r="G135" s="4">
        <f t="shared" si="4"/>
        <v>1383</v>
      </c>
      <c r="H135" s="13">
        <v>0.32291666666666702</v>
      </c>
      <c r="I135" s="4">
        <f t="shared" si="8"/>
        <v>0</v>
      </c>
      <c r="J135" s="4">
        <f t="shared" si="8"/>
        <v>0</v>
      </c>
      <c r="K135" s="4">
        <f t="shared" si="8"/>
        <v>0</v>
      </c>
      <c r="L135" s="4">
        <f t="shared" si="8"/>
        <v>0</v>
      </c>
      <c r="M135" s="4">
        <f t="shared" si="8"/>
        <v>0</v>
      </c>
      <c r="N135" s="4">
        <f t="shared" si="8"/>
        <v>0</v>
      </c>
      <c r="O135" s="13">
        <v>0.32291666666666702</v>
      </c>
      <c r="P135" s="4">
        <f t="shared" si="9"/>
        <v>276</v>
      </c>
      <c r="Q135" s="4">
        <f t="shared" si="9"/>
        <v>440</v>
      </c>
      <c r="R135" s="4">
        <f t="shared" si="9"/>
        <v>0</v>
      </c>
      <c r="S135" s="4">
        <f t="shared" si="9"/>
        <v>0</v>
      </c>
      <c r="T135" s="4">
        <f t="shared" si="9"/>
        <v>0</v>
      </c>
      <c r="U135" s="4">
        <f t="shared" si="9"/>
        <v>716</v>
      </c>
      <c r="V135" s="13">
        <v>0.32291666666666702</v>
      </c>
      <c r="W135" s="4">
        <f t="shared" si="10"/>
        <v>162</v>
      </c>
      <c r="X135" s="4">
        <f t="shared" si="10"/>
        <v>0</v>
      </c>
      <c r="Y135" s="4">
        <f t="shared" si="10"/>
        <v>42</v>
      </c>
      <c r="Z135" s="4">
        <f t="shared" si="10"/>
        <v>0</v>
      </c>
      <c r="AA135" s="4">
        <f t="shared" si="10"/>
        <v>0</v>
      </c>
      <c r="AB135" s="4">
        <f t="shared" si="10"/>
        <v>204</v>
      </c>
      <c r="AC135" s="13">
        <v>0.32291666666666702</v>
      </c>
      <c r="AE135" s="30"/>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25">
      <c r="A136" s="18">
        <v>0.33333333333333298</v>
      </c>
      <c r="B136" s="4">
        <f t="shared" si="4"/>
        <v>0</v>
      </c>
      <c r="C136" s="4">
        <f t="shared" si="4"/>
        <v>770</v>
      </c>
      <c r="D136" s="4">
        <f t="shared" si="4"/>
        <v>586</v>
      </c>
      <c r="E136" s="4">
        <f t="shared" si="4"/>
        <v>1</v>
      </c>
      <c r="F136" s="4">
        <f t="shared" si="4"/>
        <v>0</v>
      </c>
      <c r="G136" s="4">
        <f t="shared" si="4"/>
        <v>1357</v>
      </c>
      <c r="H136" s="18">
        <v>0.33333333333333298</v>
      </c>
      <c r="I136" s="4">
        <f t="shared" si="8"/>
        <v>0</v>
      </c>
      <c r="J136" s="4">
        <f t="shared" si="8"/>
        <v>0</v>
      </c>
      <c r="K136" s="4">
        <f t="shared" si="8"/>
        <v>0</v>
      </c>
      <c r="L136" s="4">
        <f t="shared" si="8"/>
        <v>0</v>
      </c>
      <c r="M136" s="4">
        <f t="shared" si="8"/>
        <v>0</v>
      </c>
      <c r="N136" s="4">
        <f t="shared" si="8"/>
        <v>0</v>
      </c>
      <c r="O136" s="18">
        <v>0.33333333333333298</v>
      </c>
      <c r="P136" s="4">
        <f t="shared" si="9"/>
        <v>282</v>
      </c>
      <c r="Q136" s="4">
        <f t="shared" si="9"/>
        <v>444</v>
      </c>
      <c r="R136" s="4">
        <f t="shared" si="9"/>
        <v>0</v>
      </c>
      <c r="S136" s="4">
        <f t="shared" si="9"/>
        <v>0</v>
      </c>
      <c r="T136" s="4">
        <f t="shared" si="9"/>
        <v>0</v>
      </c>
      <c r="U136" s="4">
        <f t="shared" si="9"/>
        <v>726</v>
      </c>
      <c r="V136" s="18">
        <v>0.33333333333333298</v>
      </c>
      <c r="W136" s="4">
        <f t="shared" si="10"/>
        <v>174</v>
      </c>
      <c r="X136" s="4">
        <f t="shared" si="10"/>
        <v>0</v>
      </c>
      <c r="Y136" s="4">
        <f t="shared" si="10"/>
        <v>47</v>
      </c>
      <c r="Z136" s="4">
        <f t="shared" si="10"/>
        <v>0</v>
      </c>
      <c r="AA136" s="4">
        <f t="shared" si="10"/>
        <v>0</v>
      </c>
      <c r="AB136" s="4">
        <f t="shared" si="10"/>
        <v>221</v>
      </c>
      <c r="AC136" s="18">
        <v>0.33333333333333298</v>
      </c>
      <c r="AE136" s="30"/>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25">
      <c r="A137" s="13">
        <v>0.34375</v>
      </c>
      <c r="B137" s="4">
        <f t="shared" si="4"/>
        <v>0</v>
      </c>
      <c r="C137" s="4">
        <f t="shared" si="4"/>
        <v>704</v>
      </c>
      <c r="D137" s="4">
        <f t="shared" si="4"/>
        <v>524</v>
      </c>
      <c r="E137" s="4">
        <f t="shared" si="4"/>
        <v>1</v>
      </c>
      <c r="F137" s="4">
        <f t="shared" si="4"/>
        <v>0</v>
      </c>
      <c r="G137" s="4">
        <f t="shared" si="4"/>
        <v>1229</v>
      </c>
      <c r="H137" s="13">
        <v>0.34375</v>
      </c>
      <c r="I137" s="4">
        <f t="shared" ref="I137:N152" si="11">SUM(I37:I40)</f>
        <v>0</v>
      </c>
      <c r="J137" s="4">
        <f t="shared" si="11"/>
        <v>0</v>
      </c>
      <c r="K137" s="4">
        <f t="shared" si="11"/>
        <v>0</v>
      </c>
      <c r="L137" s="4">
        <f t="shared" si="11"/>
        <v>0</v>
      </c>
      <c r="M137" s="4">
        <f t="shared" si="11"/>
        <v>0</v>
      </c>
      <c r="N137" s="4">
        <f t="shared" si="11"/>
        <v>0</v>
      </c>
      <c r="O137" s="13">
        <v>0.34375</v>
      </c>
      <c r="P137" s="4">
        <f t="shared" ref="P137:U152" si="12">SUM(P37:P40)</f>
        <v>271</v>
      </c>
      <c r="Q137" s="4">
        <f t="shared" si="12"/>
        <v>455</v>
      </c>
      <c r="R137" s="4">
        <f t="shared" si="12"/>
        <v>0</v>
      </c>
      <c r="S137" s="4">
        <f t="shared" si="12"/>
        <v>0</v>
      </c>
      <c r="T137" s="4">
        <f t="shared" si="12"/>
        <v>0</v>
      </c>
      <c r="U137" s="4">
        <f t="shared" si="12"/>
        <v>726</v>
      </c>
      <c r="V137" s="13">
        <v>0.34375</v>
      </c>
      <c r="W137" s="4">
        <f t="shared" ref="W137:AB152" si="13">SUM(W37:W40)</f>
        <v>167</v>
      </c>
      <c r="X137" s="4">
        <f t="shared" si="13"/>
        <v>0</v>
      </c>
      <c r="Y137" s="4">
        <f t="shared" si="13"/>
        <v>47</v>
      </c>
      <c r="Z137" s="4">
        <f t="shared" si="13"/>
        <v>0</v>
      </c>
      <c r="AA137" s="4">
        <f t="shared" si="13"/>
        <v>0</v>
      </c>
      <c r="AB137" s="4">
        <f t="shared" si="13"/>
        <v>214</v>
      </c>
      <c r="AC137" s="13">
        <v>0.34375</v>
      </c>
      <c r="AE137" s="30"/>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25">
      <c r="A138" s="20">
        <v>0.35416666666666702</v>
      </c>
      <c r="B138" s="4">
        <f t="shared" si="4"/>
        <v>0</v>
      </c>
      <c r="C138" s="4">
        <f t="shared" si="4"/>
        <v>662</v>
      </c>
      <c r="D138" s="4">
        <f t="shared" si="4"/>
        <v>451</v>
      </c>
      <c r="E138" s="4">
        <f t="shared" si="4"/>
        <v>0</v>
      </c>
      <c r="F138" s="4">
        <f t="shared" si="4"/>
        <v>0</v>
      </c>
      <c r="G138" s="4">
        <f t="shared" si="4"/>
        <v>1113</v>
      </c>
      <c r="H138" s="20">
        <v>0.35416666666666702</v>
      </c>
      <c r="I138" s="4">
        <f t="shared" si="11"/>
        <v>0</v>
      </c>
      <c r="J138" s="4">
        <f t="shared" si="11"/>
        <v>0</v>
      </c>
      <c r="K138" s="4">
        <f t="shared" si="11"/>
        <v>0</v>
      </c>
      <c r="L138" s="4">
        <f t="shared" si="11"/>
        <v>0</v>
      </c>
      <c r="M138" s="4">
        <f t="shared" si="11"/>
        <v>0</v>
      </c>
      <c r="N138" s="4">
        <f t="shared" si="11"/>
        <v>0</v>
      </c>
      <c r="O138" s="20">
        <v>0.35416666666666702</v>
      </c>
      <c r="P138" s="4">
        <f t="shared" si="12"/>
        <v>260</v>
      </c>
      <c r="Q138" s="4">
        <f t="shared" si="12"/>
        <v>449</v>
      </c>
      <c r="R138" s="4">
        <f t="shared" si="12"/>
        <v>0</v>
      </c>
      <c r="S138" s="4">
        <f t="shared" si="12"/>
        <v>0</v>
      </c>
      <c r="T138" s="4">
        <f t="shared" si="12"/>
        <v>0</v>
      </c>
      <c r="U138" s="4">
        <f t="shared" si="12"/>
        <v>709</v>
      </c>
      <c r="V138" s="20">
        <v>0.35416666666666702</v>
      </c>
      <c r="W138" s="4">
        <f t="shared" si="13"/>
        <v>171</v>
      </c>
      <c r="X138" s="4">
        <f t="shared" si="13"/>
        <v>0</v>
      </c>
      <c r="Y138" s="4">
        <f t="shared" si="13"/>
        <v>53</v>
      </c>
      <c r="Z138" s="4">
        <f t="shared" si="13"/>
        <v>0</v>
      </c>
      <c r="AA138" s="4">
        <f t="shared" si="13"/>
        <v>0</v>
      </c>
      <c r="AB138" s="4">
        <f t="shared" si="13"/>
        <v>224</v>
      </c>
      <c r="AC138" s="20">
        <v>0.35416666666666702</v>
      </c>
      <c r="AE138" s="30"/>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25">
      <c r="A139" s="13">
        <v>0.36458333333333298</v>
      </c>
      <c r="B139" s="4">
        <f t="shared" si="4"/>
        <v>0</v>
      </c>
      <c r="C139" s="4">
        <f t="shared" si="4"/>
        <v>623</v>
      </c>
      <c r="D139" s="4">
        <f t="shared" si="4"/>
        <v>401</v>
      </c>
      <c r="E139" s="4">
        <f t="shared" si="4"/>
        <v>0</v>
      </c>
      <c r="F139" s="4">
        <f t="shared" si="4"/>
        <v>0</v>
      </c>
      <c r="G139" s="4">
        <f t="shared" si="4"/>
        <v>1024</v>
      </c>
      <c r="H139" s="13">
        <v>0.36458333333333298</v>
      </c>
      <c r="I139" s="4">
        <f t="shared" si="11"/>
        <v>0</v>
      </c>
      <c r="J139" s="4">
        <f t="shared" si="11"/>
        <v>0</v>
      </c>
      <c r="K139" s="4">
        <f t="shared" si="11"/>
        <v>0</v>
      </c>
      <c r="L139" s="4">
        <f t="shared" si="11"/>
        <v>0</v>
      </c>
      <c r="M139" s="4">
        <f t="shared" si="11"/>
        <v>0</v>
      </c>
      <c r="N139" s="4">
        <f t="shared" si="11"/>
        <v>0</v>
      </c>
      <c r="O139" s="13">
        <v>0.36458333333333298</v>
      </c>
      <c r="P139" s="4">
        <f t="shared" si="12"/>
        <v>235</v>
      </c>
      <c r="Q139" s="4">
        <f t="shared" si="12"/>
        <v>465</v>
      </c>
      <c r="R139" s="4">
        <f t="shared" si="12"/>
        <v>0</v>
      </c>
      <c r="S139" s="4">
        <f t="shared" si="12"/>
        <v>0</v>
      </c>
      <c r="T139" s="4">
        <f t="shared" si="12"/>
        <v>0</v>
      </c>
      <c r="U139" s="4">
        <f t="shared" si="12"/>
        <v>700</v>
      </c>
      <c r="V139" s="13">
        <v>0.36458333333333298</v>
      </c>
      <c r="W139" s="4">
        <f t="shared" si="13"/>
        <v>187</v>
      </c>
      <c r="X139" s="4">
        <f t="shared" si="13"/>
        <v>0</v>
      </c>
      <c r="Y139" s="4">
        <f t="shared" si="13"/>
        <v>47</v>
      </c>
      <c r="Z139" s="4">
        <f t="shared" si="13"/>
        <v>0</v>
      </c>
      <c r="AA139" s="4">
        <f t="shared" si="13"/>
        <v>0</v>
      </c>
      <c r="AB139" s="4">
        <f t="shared" si="13"/>
        <v>234</v>
      </c>
      <c r="AC139" s="13">
        <v>0.36458333333333298</v>
      </c>
      <c r="AE139" s="30"/>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25">
      <c r="A140" s="18">
        <v>0.375</v>
      </c>
      <c r="B140" s="4">
        <f t="shared" si="4"/>
        <v>0</v>
      </c>
      <c r="C140" s="4">
        <f t="shared" si="4"/>
        <v>559</v>
      </c>
      <c r="D140" s="4">
        <f t="shared" si="4"/>
        <v>353</v>
      </c>
      <c r="E140" s="4">
        <f t="shared" si="4"/>
        <v>0</v>
      </c>
      <c r="F140" s="4">
        <f t="shared" si="4"/>
        <v>0</v>
      </c>
      <c r="G140" s="4">
        <f t="shared" si="4"/>
        <v>912</v>
      </c>
      <c r="H140" s="18">
        <v>0.375</v>
      </c>
      <c r="I140" s="4">
        <f t="shared" si="11"/>
        <v>0</v>
      </c>
      <c r="J140" s="4">
        <f t="shared" si="11"/>
        <v>0</v>
      </c>
      <c r="K140" s="4">
        <f t="shared" si="11"/>
        <v>0</v>
      </c>
      <c r="L140" s="4">
        <f t="shared" si="11"/>
        <v>0</v>
      </c>
      <c r="M140" s="4">
        <f t="shared" si="11"/>
        <v>0</v>
      </c>
      <c r="N140" s="4">
        <f t="shared" si="11"/>
        <v>0</v>
      </c>
      <c r="O140" s="18">
        <v>0.375</v>
      </c>
      <c r="P140" s="4">
        <f t="shared" si="12"/>
        <v>222</v>
      </c>
      <c r="Q140" s="4">
        <f t="shared" si="12"/>
        <v>441</v>
      </c>
      <c r="R140" s="4">
        <f t="shared" si="12"/>
        <v>0</v>
      </c>
      <c r="S140" s="4">
        <f t="shared" si="12"/>
        <v>0</v>
      </c>
      <c r="T140" s="4">
        <f t="shared" si="12"/>
        <v>0</v>
      </c>
      <c r="U140" s="4">
        <f t="shared" si="12"/>
        <v>663</v>
      </c>
      <c r="V140" s="18">
        <v>0.375</v>
      </c>
      <c r="W140" s="4">
        <f t="shared" si="13"/>
        <v>171</v>
      </c>
      <c r="X140" s="4">
        <f t="shared" si="13"/>
        <v>0</v>
      </c>
      <c r="Y140" s="4">
        <f t="shared" si="13"/>
        <v>45</v>
      </c>
      <c r="Z140" s="4">
        <f t="shared" si="13"/>
        <v>0</v>
      </c>
      <c r="AA140" s="4">
        <f t="shared" si="13"/>
        <v>0</v>
      </c>
      <c r="AB140" s="4">
        <f t="shared" si="13"/>
        <v>216</v>
      </c>
      <c r="AC140" s="18">
        <v>0.375</v>
      </c>
      <c r="AE140" s="30"/>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25">
      <c r="A141" s="13">
        <v>0.38541666666666702</v>
      </c>
      <c r="B141" s="4">
        <f t="shared" si="4"/>
        <v>0</v>
      </c>
      <c r="C141" s="4">
        <f t="shared" si="4"/>
        <v>536</v>
      </c>
      <c r="D141" s="4">
        <f t="shared" si="4"/>
        <v>376</v>
      </c>
      <c r="E141" s="4">
        <f t="shared" si="4"/>
        <v>0</v>
      </c>
      <c r="F141" s="4">
        <f t="shared" si="4"/>
        <v>0</v>
      </c>
      <c r="G141" s="4">
        <f t="shared" si="4"/>
        <v>912</v>
      </c>
      <c r="H141" s="13">
        <v>0.38541666666666702</v>
      </c>
      <c r="I141" s="4">
        <f t="shared" si="11"/>
        <v>0</v>
      </c>
      <c r="J141" s="4">
        <f t="shared" si="11"/>
        <v>0</v>
      </c>
      <c r="K141" s="4">
        <f t="shared" si="11"/>
        <v>0</v>
      </c>
      <c r="L141" s="4">
        <f t="shared" si="11"/>
        <v>0</v>
      </c>
      <c r="M141" s="4">
        <f t="shared" si="11"/>
        <v>0</v>
      </c>
      <c r="N141" s="4">
        <f t="shared" si="11"/>
        <v>0</v>
      </c>
      <c r="O141" s="13">
        <v>0.38541666666666702</v>
      </c>
      <c r="P141" s="4">
        <f t="shared" si="12"/>
        <v>222</v>
      </c>
      <c r="Q141" s="4">
        <f t="shared" si="12"/>
        <v>469</v>
      </c>
      <c r="R141" s="4">
        <f t="shared" si="12"/>
        <v>0</v>
      </c>
      <c r="S141" s="4">
        <f t="shared" si="12"/>
        <v>0</v>
      </c>
      <c r="T141" s="4">
        <f t="shared" si="12"/>
        <v>0</v>
      </c>
      <c r="U141" s="4">
        <f t="shared" si="12"/>
        <v>691</v>
      </c>
      <c r="V141" s="13">
        <v>0.38541666666666702</v>
      </c>
      <c r="W141" s="4">
        <f t="shared" si="13"/>
        <v>179</v>
      </c>
      <c r="X141" s="4">
        <f t="shared" si="13"/>
        <v>0</v>
      </c>
      <c r="Y141" s="4">
        <f t="shared" si="13"/>
        <v>41</v>
      </c>
      <c r="Z141" s="4">
        <f t="shared" si="13"/>
        <v>0</v>
      </c>
      <c r="AA141" s="4">
        <f t="shared" si="13"/>
        <v>0</v>
      </c>
      <c r="AB141" s="4">
        <f t="shared" si="13"/>
        <v>220</v>
      </c>
      <c r="AC141" s="13">
        <v>0.38541666666666702</v>
      </c>
      <c r="AE141" s="30"/>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25">
      <c r="A142" s="20">
        <v>0.39583333333333298</v>
      </c>
      <c r="B142" s="4">
        <f t="shared" si="4"/>
        <v>0</v>
      </c>
      <c r="C142" s="4">
        <f t="shared" si="4"/>
        <v>518</v>
      </c>
      <c r="D142" s="4">
        <f t="shared" si="4"/>
        <v>370</v>
      </c>
      <c r="E142" s="4">
        <f t="shared" si="4"/>
        <v>0</v>
      </c>
      <c r="F142" s="4">
        <f t="shared" si="4"/>
        <v>0</v>
      </c>
      <c r="G142" s="4">
        <f t="shared" si="4"/>
        <v>888</v>
      </c>
      <c r="H142" s="20">
        <v>0.39583333333333298</v>
      </c>
      <c r="I142" s="4">
        <f t="shared" si="11"/>
        <v>0</v>
      </c>
      <c r="J142" s="4">
        <f t="shared" si="11"/>
        <v>0</v>
      </c>
      <c r="K142" s="4">
        <f t="shared" si="11"/>
        <v>0</v>
      </c>
      <c r="L142" s="4">
        <f t="shared" si="11"/>
        <v>0</v>
      </c>
      <c r="M142" s="4">
        <f t="shared" si="11"/>
        <v>0</v>
      </c>
      <c r="N142" s="4">
        <f t="shared" si="11"/>
        <v>0</v>
      </c>
      <c r="O142" s="20">
        <v>0.39583333333333298</v>
      </c>
      <c r="P142" s="4">
        <f t="shared" si="12"/>
        <v>211</v>
      </c>
      <c r="Q142" s="4">
        <f t="shared" si="12"/>
        <v>474</v>
      </c>
      <c r="R142" s="4">
        <f t="shared" si="12"/>
        <v>0</v>
      </c>
      <c r="S142" s="4">
        <f t="shared" si="12"/>
        <v>0</v>
      </c>
      <c r="T142" s="4">
        <f t="shared" si="12"/>
        <v>0</v>
      </c>
      <c r="U142" s="4">
        <f t="shared" si="12"/>
        <v>685</v>
      </c>
      <c r="V142" s="20">
        <v>0.39583333333333298</v>
      </c>
      <c r="W142" s="4">
        <f t="shared" si="13"/>
        <v>177</v>
      </c>
      <c r="X142" s="4">
        <f t="shared" si="13"/>
        <v>0</v>
      </c>
      <c r="Y142" s="4">
        <f t="shared" si="13"/>
        <v>38</v>
      </c>
      <c r="Z142" s="4">
        <f t="shared" si="13"/>
        <v>0</v>
      </c>
      <c r="AA142" s="4">
        <f t="shared" si="13"/>
        <v>0</v>
      </c>
      <c r="AB142" s="4">
        <f t="shared" si="13"/>
        <v>215</v>
      </c>
      <c r="AC142" s="20">
        <v>0.39583333333333298</v>
      </c>
      <c r="AE142" s="30"/>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25">
      <c r="A143" s="13">
        <v>0.40625</v>
      </c>
      <c r="B143" s="4">
        <f t="shared" si="4"/>
        <v>0</v>
      </c>
      <c r="C143" s="4">
        <f t="shared" si="4"/>
        <v>497</v>
      </c>
      <c r="D143" s="4">
        <f t="shared" ref="C143:G158" si="14">SUM(D43:D46)</f>
        <v>373</v>
      </c>
      <c r="E143" s="4">
        <f t="shared" si="14"/>
        <v>0</v>
      </c>
      <c r="F143" s="4">
        <f t="shared" si="14"/>
        <v>0</v>
      </c>
      <c r="G143" s="4">
        <f t="shared" si="14"/>
        <v>870</v>
      </c>
      <c r="H143" s="13">
        <v>0.40625</v>
      </c>
      <c r="I143" s="4">
        <f t="shared" si="11"/>
        <v>0</v>
      </c>
      <c r="J143" s="4">
        <f t="shared" si="11"/>
        <v>0</v>
      </c>
      <c r="K143" s="4">
        <f t="shared" si="11"/>
        <v>0</v>
      </c>
      <c r="L143" s="4">
        <f t="shared" si="11"/>
        <v>0</v>
      </c>
      <c r="M143" s="4">
        <f t="shared" si="11"/>
        <v>0</v>
      </c>
      <c r="N143" s="4">
        <f t="shared" si="11"/>
        <v>0</v>
      </c>
      <c r="O143" s="13">
        <v>0.40625</v>
      </c>
      <c r="P143" s="4">
        <f t="shared" si="12"/>
        <v>206</v>
      </c>
      <c r="Q143" s="4">
        <f t="shared" si="12"/>
        <v>457</v>
      </c>
      <c r="R143" s="4">
        <f t="shared" si="12"/>
        <v>0</v>
      </c>
      <c r="S143" s="4">
        <f t="shared" si="12"/>
        <v>0</v>
      </c>
      <c r="T143" s="4">
        <f t="shared" si="12"/>
        <v>0</v>
      </c>
      <c r="U143" s="4">
        <f t="shared" si="12"/>
        <v>663</v>
      </c>
      <c r="V143" s="13">
        <v>0.40625</v>
      </c>
      <c r="W143" s="4">
        <f t="shared" si="13"/>
        <v>155</v>
      </c>
      <c r="X143" s="4">
        <f t="shared" si="13"/>
        <v>0</v>
      </c>
      <c r="Y143" s="4">
        <f t="shared" si="13"/>
        <v>41</v>
      </c>
      <c r="Z143" s="4">
        <f t="shared" si="13"/>
        <v>0</v>
      </c>
      <c r="AA143" s="4">
        <f t="shared" si="13"/>
        <v>0</v>
      </c>
      <c r="AB143" s="4">
        <f t="shared" si="13"/>
        <v>196</v>
      </c>
      <c r="AC143" s="13">
        <v>0.40625</v>
      </c>
      <c r="AE143" s="30"/>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25">
      <c r="A144" s="18">
        <v>0.41666666666666702</v>
      </c>
      <c r="B144" s="4">
        <f t="shared" si="4"/>
        <v>0</v>
      </c>
      <c r="C144" s="4">
        <f t="shared" si="14"/>
        <v>497</v>
      </c>
      <c r="D144" s="4">
        <f t="shared" si="14"/>
        <v>356</v>
      </c>
      <c r="E144" s="4">
        <f t="shared" si="14"/>
        <v>0</v>
      </c>
      <c r="F144" s="4">
        <f t="shared" si="14"/>
        <v>0</v>
      </c>
      <c r="G144" s="4">
        <f t="shared" si="14"/>
        <v>853</v>
      </c>
      <c r="H144" s="18">
        <v>0.41666666666666702</v>
      </c>
      <c r="I144" s="4">
        <f t="shared" si="11"/>
        <v>0</v>
      </c>
      <c r="J144" s="4">
        <f t="shared" si="11"/>
        <v>0</v>
      </c>
      <c r="K144" s="4">
        <f t="shared" si="11"/>
        <v>0</v>
      </c>
      <c r="L144" s="4">
        <f t="shared" si="11"/>
        <v>0</v>
      </c>
      <c r="M144" s="4">
        <f t="shared" si="11"/>
        <v>0</v>
      </c>
      <c r="N144" s="4">
        <f t="shared" si="11"/>
        <v>0</v>
      </c>
      <c r="O144" s="18">
        <v>0.41666666666666702</v>
      </c>
      <c r="P144" s="4">
        <f t="shared" si="12"/>
        <v>201</v>
      </c>
      <c r="Q144" s="4">
        <f t="shared" si="12"/>
        <v>475</v>
      </c>
      <c r="R144" s="4">
        <f t="shared" si="12"/>
        <v>0</v>
      </c>
      <c r="S144" s="4">
        <f t="shared" si="12"/>
        <v>0</v>
      </c>
      <c r="T144" s="4">
        <f t="shared" si="12"/>
        <v>0</v>
      </c>
      <c r="U144" s="4">
        <f t="shared" si="12"/>
        <v>676</v>
      </c>
      <c r="V144" s="18">
        <v>0.41666666666666702</v>
      </c>
      <c r="W144" s="4">
        <f t="shared" si="13"/>
        <v>141</v>
      </c>
      <c r="X144" s="4">
        <f t="shared" si="13"/>
        <v>0</v>
      </c>
      <c r="Y144" s="4">
        <f t="shared" si="13"/>
        <v>46</v>
      </c>
      <c r="Z144" s="4">
        <f t="shared" si="13"/>
        <v>0</v>
      </c>
      <c r="AA144" s="4">
        <f t="shared" si="13"/>
        <v>0</v>
      </c>
      <c r="AB144" s="4">
        <f t="shared" si="13"/>
        <v>187</v>
      </c>
      <c r="AC144" s="18">
        <v>0.41666666666666702</v>
      </c>
      <c r="AE144" s="30"/>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25">
      <c r="A145" s="13">
        <v>0.42708333333333298</v>
      </c>
      <c r="B145" s="4">
        <f t="shared" si="4"/>
        <v>0</v>
      </c>
      <c r="C145" s="4">
        <f t="shared" si="14"/>
        <v>528</v>
      </c>
      <c r="D145" s="4">
        <f t="shared" si="14"/>
        <v>337</v>
      </c>
      <c r="E145" s="4">
        <f t="shared" si="14"/>
        <v>0</v>
      </c>
      <c r="F145" s="4">
        <f t="shared" si="14"/>
        <v>0</v>
      </c>
      <c r="G145" s="4">
        <f t="shared" si="14"/>
        <v>865</v>
      </c>
      <c r="H145" s="13">
        <v>0.42708333333333298</v>
      </c>
      <c r="I145" s="4">
        <f t="shared" si="11"/>
        <v>0</v>
      </c>
      <c r="J145" s="4">
        <f t="shared" si="11"/>
        <v>0</v>
      </c>
      <c r="K145" s="4">
        <f t="shared" si="11"/>
        <v>0</v>
      </c>
      <c r="L145" s="4">
        <f t="shared" si="11"/>
        <v>0</v>
      </c>
      <c r="M145" s="4">
        <f t="shared" si="11"/>
        <v>0</v>
      </c>
      <c r="N145" s="4">
        <f t="shared" si="11"/>
        <v>0</v>
      </c>
      <c r="O145" s="13">
        <v>0.42708333333333298</v>
      </c>
      <c r="P145" s="4">
        <f t="shared" si="12"/>
        <v>179</v>
      </c>
      <c r="Q145" s="4">
        <f t="shared" si="12"/>
        <v>465</v>
      </c>
      <c r="R145" s="4">
        <f t="shared" si="12"/>
        <v>0</v>
      </c>
      <c r="S145" s="4">
        <f t="shared" si="12"/>
        <v>0</v>
      </c>
      <c r="T145" s="4">
        <f t="shared" si="12"/>
        <v>0</v>
      </c>
      <c r="U145" s="4">
        <f t="shared" si="12"/>
        <v>644</v>
      </c>
      <c r="V145" s="13">
        <v>0.42708333333333298</v>
      </c>
      <c r="W145" s="4">
        <f t="shared" si="13"/>
        <v>144</v>
      </c>
      <c r="X145" s="4">
        <f t="shared" si="13"/>
        <v>0</v>
      </c>
      <c r="Y145" s="4">
        <f t="shared" si="13"/>
        <v>45</v>
      </c>
      <c r="Z145" s="4">
        <f t="shared" si="13"/>
        <v>0</v>
      </c>
      <c r="AA145" s="4">
        <f t="shared" si="13"/>
        <v>0</v>
      </c>
      <c r="AB145" s="4">
        <f t="shared" si="13"/>
        <v>189</v>
      </c>
      <c r="AC145" s="13">
        <v>0.42708333333333298</v>
      </c>
      <c r="AE145" s="30"/>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25">
      <c r="A146" s="20">
        <v>0.4375</v>
      </c>
      <c r="B146" s="4">
        <f t="shared" si="4"/>
        <v>0</v>
      </c>
      <c r="C146" s="4">
        <f t="shared" si="14"/>
        <v>533</v>
      </c>
      <c r="D146" s="4">
        <f t="shared" si="14"/>
        <v>339</v>
      </c>
      <c r="E146" s="4">
        <f t="shared" si="14"/>
        <v>0</v>
      </c>
      <c r="F146" s="4">
        <f t="shared" si="14"/>
        <v>0</v>
      </c>
      <c r="G146" s="4">
        <f t="shared" si="14"/>
        <v>872</v>
      </c>
      <c r="H146" s="20">
        <v>0.4375</v>
      </c>
      <c r="I146" s="4">
        <f t="shared" si="11"/>
        <v>0</v>
      </c>
      <c r="J146" s="4">
        <f t="shared" si="11"/>
        <v>0</v>
      </c>
      <c r="K146" s="4">
        <f t="shared" si="11"/>
        <v>0</v>
      </c>
      <c r="L146" s="4">
        <f t="shared" si="11"/>
        <v>0</v>
      </c>
      <c r="M146" s="4">
        <f t="shared" si="11"/>
        <v>0</v>
      </c>
      <c r="N146" s="4">
        <f t="shared" si="11"/>
        <v>0</v>
      </c>
      <c r="O146" s="20">
        <v>0.4375</v>
      </c>
      <c r="P146" s="4">
        <f t="shared" si="12"/>
        <v>185</v>
      </c>
      <c r="Q146" s="4">
        <f t="shared" si="12"/>
        <v>475</v>
      </c>
      <c r="R146" s="4">
        <f t="shared" si="12"/>
        <v>0</v>
      </c>
      <c r="S146" s="4">
        <f t="shared" si="12"/>
        <v>0</v>
      </c>
      <c r="T146" s="4">
        <f t="shared" si="12"/>
        <v>0</v>
      </c>
      <c r="U146" s="4">
        <f t="shared" si="12"/>
        <v>660</v>
      </c>
      <c r="V146" s="20">
        <v>0.4375</v>
      </c>
      <c r="W146" s="4">
        <f t="shared" si="13"/>
        <v>141</v>
      </c>
      <c r="X146" s="4">
        <f t="shared" si="13"/>
        <v>0</v>
      </c>
      <c r="Y146" s="4">
        <f t="shared" si="13"/>
        <v>55</v>
      </c>
      <c r="Z146" s="4">
        <f t="shared" si="13"/>
        <v>0</v>
      </c>
      <c r="AA146" s="4">
        <f t="shared" si="13"/>
        <v>0</v>
      </c>
      <c r="AB146" s="4">
        <f t="shared" si="13"/>
        <v>196</v>
      </c>
      <c r="AC146" s="20">
        <v>0.4375</v>
      </c>
      <c r="AE146" s="30"/>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25">
      <c r="A147" s="13">
        <v>0.44791666666666702</v>
      </c>
      <c r="B147" s="4">
        <f t="shared" si="4"/>
        <v>0</v>
      </c>
      <c r="C147" s="4">
        <f t="shared" si="14"/>
        <v>567</v>
      </c>
      <c r="D147" s="4">
        <f t="shared" si="14"/>
        <v>335</v>
      </c>
      <c r="E147" s="4">
        <f t="shared" si="14"/>
        <v>0</v>
      </c>
      <c r="F147" s="4">
        <f t="shared" si="14"/>
        <v>0</v>
      </c>
      <c r="G147" s="4">
        <f t="shared" si="14"/>
        <v>902</v>
      </c>
      <c r="H147" s="13">
        <v>0.44791666666666702</v>
      </c>
      <c r="I147" s="4">
        <f t="shared" si="11"/>
        <v>0</v>
      </c>
      <c r="J147" s="4">
        <f t="shared" si="11"/>
        <v>0</v>
      </c>
      <c r="K147" s="4">
        <f t="shared" si="11"/>
        <v>0</v>
      </c>
      <c r="L147" s="4">
        <f t="shared" si="11"/>
        <v>0</v>
      </c>
      <c r="M147" s="4">
        <f t="shared" si="11"/>
        <v>0</v>
      </c>
      <c r="N147" s="4">
        <f t="shared" si="11"/>
        <v>0</v>
      </c>
      <c r="O147" s="13">
        <v>0.44791666666666702</v>
      </c>
      <c r="P147" s="4">
        <f t="shared" si="12"/>
        <v>194</v>
      </c>
      <c r="Q147" s="4">
        <f t="shared" si="12"/>
        <v>506</v>
      </c>
      <c r="R147" s="4">
        <f t="shared" si="12"/>
        <v>0</v>
      </c>
      <c r="S147" s="4">
        <f t="shared" si="12"/>
        <v>0</v>
      </c>
      <c r="T147" s="4">
        <f t="shared" si="12"/>
        <v>0</v>
      </c>
      <c r="U147" s="4">
        <f t="shared" si="12"/>
        <v>700</v>
      </c>
      <c r="V147" s="13">
        <v>0.44791666666666702</v>
      </c>
      <c r="W147" s="4">
        <f t="shared" si="13"/>
        <v>145</v>
      </c>
      <c r="X147" s="4">
        <f t="shared" si="13"/>
        <v>0</v>
      </c>
      <c r="Y147" s="4">
        <f t="shared" si="13"/>
        <v>56</v>
      </c>
      <c r="Z147" s="4">
        <f t="shared" si="13"/>
        <v>0</v>
      </c>
      <c r="AA147" s="4">
        <f t="shared" si="13"/>
        <v>0</v>
      </c>
      <c r="AB147" s="4">
        <f t="shared" si="13"/>
        <v>201</v>
      </c>
      <c r="AC147" s="13">
        <v>0.44791666666666702</v>
      </c>
      <c r="AE147" s="30"/>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25">
      <c r="A148" s="18">
        <v>0.45833333333333298</v>
      </c>
      <c r="B148" s="4">
        <f t="shared" si="4"/>
        <v>0</v>
      </c>
      <c r="C148" s="4">
        <f t="shared" si="14"/>
        <v>585</v>
      </c>
      <c r="D148" s="4">
        <f t="shared" si="14"/>
        <v>363</v>
      </c>
      <c r="E148" s="4">
        <f t="shared" si="14"/>
        <v>0</v>
      </c>
      <c r="F148" s="4">
        <f t="shared" si="14"/>
        <v>0</v>
      </c>
      <c r="G148" s="4">
        <f t="shared" si="14"/>
        <v>948</v>
      </c>
      <c r="H148" s="18">
        <v>0.45833333333333298</v>
      </c>
      <c r="I148" s="4">
        <f t="shared" si="11"/>
        <v>0</v>
      </c>
      <c r="J148" s="4">
        <f t="shared" si="11"/>
        <v>0</v>
      </c>
      <c r="K148" s="4">
        <f t="shared" si="11"/>
        <v>0</v>
      </c>
      <c r="L148" s="4">
        <f t="shared" si="11"/>
        <v>0</v>
      </c>
      <c r="M148" s="4">
        <f t="shared" si="11"/>
        <v>0</v>
      </c>
      <c r="N148" s="4">
        <f t="shared" si="11"/>
        <v>0</v>
      </c>
      <c r="O148" s="18">
        <v>0.45833333333333298</v>
      </c>
      <c r="P148" s="4">
        <f t="shared" si="12"/>
        <v>201</v>
      </c>
      <c r="Q148" s="4">
        <f t="shared" si="12"/>
        <v>524</v>
      </c>
      <c r="R148" s="4">
        <f t="shared" si="12"/>
        <v>0</v>
      </c>
      <c r="S148" s="4">
        <f t="shared" si="12"/>
        <v>0</v>
      </c>
      <c r="T148" s="4">
        <f t="shared" si="12"/>
        <v>0</v>
      </c>
      <c r="U148" s="4">
        <f t="shared" si="12"/>
        <v>725</v>
      </c>
      <c r="V148" s="18">
        <v>0.45833333333333298</v>
      </c>
      <c r="W148" s="4">
        <f t="shared" si="13"/>
        <v>164</v>
      </c>
      <c r="X148" s="4">
        <f t="shared" si="13"/>
        <v>0</v>
      </c>
      <c r="Y148" s="4">
        <f t="shared" si="13"/>
        <v>50</v>
      </c>
      <c r="Z148" s="4">
        <f t="shared" si="13"/>
        <v>0</v>
      </c>
      <c r="AA148" s="4">
        <f t="shared" si="13"/>
        <v>0</v>
      </c>
      <c r="AB148" s="4">
        <f t="shared" si="13"/>
        <v>214</v>
      </c>
      <c r="AC148" s="18">
        <v>0.45833333333333298</v>
      </c>
      <c r="AE148" s="30"/>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25">
      <c r="A149" s="13">
        <v>0.46875</v>
      </c>
      <c r="B149" s="4">
        <f t="shared" si="4"/>
        <v>0</v>
      </c>
      <c r="C149" s="4">
        <f t="shared" si="14"/>
        <v>580</v>
      </c>
      <c r="D149" s="4">
        <f t="shared" si="14"/>
        <v>350</v>
      </c>
      <c r="E149" s="4">
        <f t="shared" si="14"/>
        <v>0</v>
      </c>
      <c r="F149" s="4">
        <f t="shared" si="14"/>
        <v>0</v>
      </c>
      <c r="G149" s="4">
        <f t="shared" si="14"/>
        <v>930</v>
      </c>
      <c r="H149" s="13">
        <v>0.46875</v>
      </c>
      <c r="I149" s="4">
        <f t="shared" si="11"/>
        <v>0</v>
      </c>
      <c r="J149" s="4">
        <f t="shared" si="11"/>
        <v>0</v>
      </c>
      <c r="K149" s="4">
        <f t="shared" si="11"/>
        <v>0</v>
      </c>
      <c r="L149" s="4">
        <f t="shared" si="11"/>
        <v>0</v>
      </c>
      <c r="M149" s="4">
        <f t="shared" si="11"/>
        <v>0</v>
      </c>
      <c r="N149" s="4">
        <f t="shared" si="11"/>
        <v>0</v>
      </c>
      <c r="O149" s="13">
        <v>0.46875</v>
      </c>
      <c r="P149" s="4">
        <f t="shared" si="12"/>
        <v>228</v>
      </c>
      <c r="Q149" s="4">
        <f t="shared" si="12"/>
        <v>552</v>
      </c>
      <c r="R149" s="4">
        <f t="shared" si="12"/>
        <v>0</v>
      </c>
      <c r="S149" s="4">
        <f t="shared" si="12"/>
        <v>0</v>
      </c>
      <c r="T149" s="4">
        <f t="shared" si="12"/>
        <v>0</v>
      </c>
      <c r="U149" s="4">
        <f t="shared" si="12"/>
        <v>780</v>
      </c>
      <c r="V149" s="13">
        <v>0.46875</v>
      </c>
      <c r="W149" s="4">
        <f t="shared" si="13"/>
        <v>152</v>
      </c>
      <c r="X149" s="4">
        <f t="shared" si="13"/>
        <v>0</v>
      </c>
      <c r="Y149" s="4">
        <f t="shared" si="13"/>
        <v>56</v>
      </c>
      <c r="Z149" s="4">
        <f t="shared" si="13"/>
        <v>0</v>
      </c>
      <c r="AA149" s="4">
        <f t="shared" si="13"/>
        <v>0</v>
      </c>
      <c r="AB149" s="4">
        <f t="shared" si="13"/>
        <v>208</v>
      </c>
      <c r="AC149" s="13">
        <v>0.46875</v>
      </c>
      <c r="AE149" s="30"/>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25">
      <c r="A150" s="20">
        <v>0.47916666666666702</v>
      </c>
      <c r="B150" s="4">
        <f t="shared" si="4"/>
        <v>0</v>
      </c>
      <c r="C150" s="4">
        <f t="shared" si="14"/>
        <v>596</v>
      </c>
      <c r="D150" s="4">
        <f t="shared" si="14"/>
        <v>348</v>
      </c>
      <c r="E150" s="4">
        <f t="shared" si="14"/>
        <v>0</v>
      </c>
      <c r="F150" s="4">
        <f t="shared" si="14"/>
        <v>0</v>
      </c>
      <c r="G150" s="4">
        <f t="shared" si="14"/>
        <v>944</v>
      </c>
      <c r="H150" s="20">
        <v>0.47916666666666702</v>
      </c>
      <c r="I150" s="4">
        <f t="shared" si="11"/>
        <v>0</v>
      </c>
      <c r="J150" s="4">
        <f t="shared" si="11"/>
        <v>0</v>
      </c>
      <c r="K150" s="4">
        <f t="shared" si="11"/>
        <v>0</v>
      </c>
      <c r="L150" s="4">
        <f t="shared" si="11"/>
        <v>0</v>
      </c>
      <c r="M150" s="4">
        <f t="shared" si="11"/>
        <v>0</v>
      </c>
      <c r="N150" s="4">
        <f t="shared" si="11"/>
        <v>0</v>
      </c>
      <c r="O150" s="20">
        <v>0.47916666666666702</v>
      </c>
      <c r="P150" s="4">
        <f t="shared" si="12"/>
        <v>227</v>
      </c>
      <c r="Q150" s="4">
        <f t="shared" si="12"/>
        <v>569</v>
      </c>
      <c r="R150" s="4">
        <f t="shared" si="12"/>
        <v>0</v>
      </c>
      <c r="S150" s="4">
        <f t="shared" si="12"/>
        <v>0</v>
      </c>
      <c r="T150" s="4">
        <f t="shared" si="12"/>
        <v>0</v>
      </c>
      <c r="U150" s="4">
        <f t="shared" si="12"/>
        <v>796</v>
      </c>
      <c r="V150" s="20">
        <v>0.47916666666666702</v>
      </c>
      <c r="W150" s="4">
        <f t="shared" si="13"/>
        <v>148</v>
      </c>
      <c r="X150" s="4">
        <f t="shared" si="13"/>
        <v>0</v>
      </c>
      <c r="Y150" s="4">
        <f t="shared" si="13"/>
        <v>46</v>
      </c>
      <c r="Z150" s="4">
        <f t="shared" si="13"/>
        <v>0</v>
      </c>
      <c r="AA150" s="4">
        <f t="shared" si="13"/>
        <v>0</v>
      </c>
      <c r="AB150" s="4">
        <f t="shared" si="13"/>
        <v>194</v>
      </c>
      <c r="AC150" s="20">
        <v>0.47916666666666702</v>
      </c>
      <c r="AE150" s="30"/>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25">
      <c r="A151" s="13">
        <v>0.48958333333333298</v>
      </c>
      <c r="B151" s="4">
        <f t="shared" si="4"/>
        <v>0</v>
      </c>
      <c r="C151" s="4">
        <f t="shared" si="14"/>
        <v>593</v>
      </c>
      <c r="D151" s="4">
        <f t="shared" si="14"/>
        <v>343</v>
      </c>
      <c r="E151" s="4">
        <f t="shared" si="14"/>
        <v>0</v>
      </c>
      <c r="F151" s="4">
        <f t="shared" si="14"/>
        <v>0</v>
      </c>
      <c r="G151" s="4">
        <f t="shared" si="14"/>
        <v>936</v>
      </c>
      <c r="H151" s="13">
        <v>0.48958333333333298</v>
      </c>
      <c r="I151" s="4">
        <f t="shared" si="11"/>
        <v>0</v>
      </c>
      <c r="J151" s="4">
        <f t="shared" si="11"/>
        <v>0</v>
      </c>
      <c r="K151" s="4">
        <f t="shared" si="11"/>
        <v>0</v>
      </c>
      <c r="L151" s="4">
        <f t="shared" si="11"/>
        <v>0</v>
      </c>
      <c r="M151" s="4">
        <f t="shared" si="11"/>
        <v>0</v>
      </c>
      <c r="N151" s="4">
        <f t="shared" si="11"/>
        <v>0</v>
      </c>
      <c r="O151" s="13">
        <v>0.48958333333333298</v>
      </c>
      <c r="P151" s="4">
        <f t="shared" si="12"/>
        <v>211</v>
      </c>
      <c r="Q151" s="4">
        <f t="shared" si="12"/>
        <v>605</v>
      </c>
      <c r="R151" s="4">
        <f t="shared" si="12"/>
        <v>0</v>
      </c>
      <c r="S151" s="4">
        <f t="shared" si="12"/>
        <v>0</v>
      </c>
      <c r="T151" s="4">
        <f t="shared" si="12"/>
        <v>0</v>
      </c>
      <c r="U151" s="4">
        <f t="shared" si="12"/>
        <v>816</v>
      </c>
      <c r="V151" s="13">
        <v>0.48958333333333298</v>
      </c>
      <c r="W151" s="4">
        <f t="shared" si="13"/>
        <v>146</v>
      </c>
      <c r="X151" s="4">
        <f t="shared" si="13"/>
        <v>0</v>
      </c>
      <c r="Y151" s="4">
        <f t="shared" si="13"/>
        <v>43</v>
      </c>
      <c r="Z151" s="4">
        <f t="shared" si="13"/>
        <v>0</v>
      </c>
      <c r="AA151" s="4">
        <f t="shared" si="13"/>
        <v>0</v>
      </c>
      <c r="AB151" s="4">
        <f t="shared" si="13"/>
        <v>189</v>
      </c>
      <c r="AC151" s="13">
        <v>0.48958333333333298</v>
      </c>
      <c r="AE151" s="30"/>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25">
      <c r="A152" s="18">
        <v>0.5</v>
      </c>
      <c r="B152" s="4">
        <f t="shared" si="4"/>
        <v>0</v>
      </c>
      <c r="C152" s="4">
        <f t="shared" si="14"/>
        <v>604</v>
      </c>
      <c r="D152" s="4">
        <f t="shared" si="14"/>
        <v>330</v>
      </c>
      <c r="E152" s="4">
        <f t="shared" si="14"/>
        <v>0</v>
      </c>
      <c r="F152" s="4">
        <f t="shared" si="14"/>
        <v>0</v>
      </c>
      <c r="G152" s="4">
        <f t="shared" si="14"/>
        <v>934</v>
      </c>
      <c r="H152" s="18">
        <v>0.5</v>
      </c>
      <c r="I152" s="4">
        <f t="shared" si="11"/>
        <v>0</v>
      </c>
      <c r="J152" s="4">
        <f t="shared" si="11"/>
        <v>0</v>
      </c>
      <c r="K152" s="4">
        <f t="shared" si="11"/>
        <v>0</v>
      </c>
      <c r="L152" s="4">
        <f t="shared" si="11"/>
        <v>0</v>
      </c>
      <c r="M152" s="4">
        <f t="shared" si="11"/>
        <v>0</v>
      </c>
      <c r="N152" s="4">
        <f t="shared" si="11"/>
        <v>0</v>
      </c>
      <c r="O152" s="18">
        <v>0.5</v>
      </c>
      <c r="P152" s="4">
        <f t="shared" si="12"/>
        <v>200</v>
      </c>
      <c r="Q152" s="4">
        <f t="shared" si="12"/>
        <v>618</v>
      </c>
      <c r="R152" s="4">
        <f t="shared" si="12"/>
        <v>0</v>
      </c>
      <c r="S152" s="4">
        <f t="shared" si="12"/>
        <v>0</v>
      </c>
      <c r="T152" s="4">
        <f t="shared" si="12"/>
        <v>0</v>
      </c>
      <c r="U152" s="4">
        <f t="shared" si="12"/>
        <v>818</v>
      </c>
      <c r="V152" s="18">
        <v>0.5</v>
      </c>
      <c r="W152" s="4">
        <f t="shared" si="13"/>
        <v>137</v>
      </c>
      <c r="X152" s="4">
        <f t="shared" si="13"/>
        <v>0</v>
      </c>
      <c r="Y152" s="4">
        <f t="shared" si="13"/>
        <v>44</v>
      </c>
      <c r="Z152" s="4">
        <f t="shared" si="13"/>
        <v>0</v>
      </c>
      <c r="AA152" s="4">
        <f t="shared" si="13"/>
        <v>0</v>
      </c>
      <c r="AB152" s="4">
        <f t="shared" si="13"/>
        <v>181</v>
      </c>
      <c r="AC152" s="18">
        <v>0.5</v>
      </c>
      <c r="AE152" s="30"/>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25">
      <c r="A153" s="13">
        <v>0.51041666666666696</v>
      </c>
      <c r="B153" s="4">
        <f t="shared" si="4"/>
        <v>0</v>
      </c>
      <c r="C153" s="4">
        <f t="shared" si="14"/>
        <v>592</v>
      </c>
      <c r="D153" s="4">
        <f t="shared" si="14"/>
        <v>337</v>
      </c>
      <c r="E153" s="4">
        <f t="shared" si="14"/>
        <v>0</v>
      </c>
      <c r="F153" s="4">
        <f t="shared" si="14"/>
        <v>0</v>
      </c>
      <c r="G153" s="4">
        <f t="shared" si="14"/>
        <v>929</v>
      </c>
      <c r="H153" s="13">
        <v>0.51041666666666696</v>
      </c>
      <c r="I153" s="4">
        <f t="shared" ref="I153:N168" si="15">SUM(I53:I56)</f>
        <v>0</v>
      </c>
      <c r="J153" s="4">
        <f t="shared" si="15"/>
        <v>0</v>
      </c>
      <c r="K153" s="4">
        <f t="shared" si="15"/>
        <v>0</v>
      </c>
      <c r="L153" s="4">
        <f t="shared" si="15"/>
        <v>0</v>
      </c>
      <c r="M153" s="4">
        <f t="shared" si="15"/>
        <v>0</v>
      </c>
      <c r="N153" s="4">
        <f t="shared" si="15"/>
        <v>0</v>
      </c>
      <c r="O153" s="13">
        <v>0.51041666666666696</v>
      </c>
      <c r="P153" s="4">
        <f t="shared" ref="P153:U168" si="16">SUM(P53:P56)</f>
        <v>188</v>
      </c>
      <c r="Q153" s="4">
        <f t="shared" si="16"/>
        <v>641</v>
      </c>
      <c r="R153" s="4">
        <f t="shared" si="16"/>
        <v>0</v>
      </c>
      <c r="S153" s="4">
        <f t="shared" si="16"/>
        <v>0</v>
      </c>
      <c r="T153" s="4">
        <f t="shared" si="16"/>
        <v>0</v>
      </c>
      <c r="U153" s="4">
        <f t="shared" si="16"/>
        <v>829</v>
      </c>
      <c r="V153" s="13">
        <v>0.51041666666666696</v>
      </c>
      <c r="W153" s="4">
        <f t="shared" ref="W153:AB168" si="17">SUM(W53:W56)</f>
        <v>149</v>
      </c>
      <c r="X153" s="4">
        <f t="shared" si="17"/>
        <v>0</v>
      </c>
      <c r="Y153" s="4">
        <f t="shared" si="17"/>
        <v>37</v>
      </c>
      <c r="Z153" s="4">
        <f t="shared" si="17"/>
        <v>0</v>
      </c>
      <c r="AA153" s="4">
        <f t="shared" si="17"/>
        <v>0</v>
      </c>
      <c r="AB153" s="4">
        <f t="shared" si="17"/>
        <v>186</v>
      </c>
      <c r="AC153" s="13">
        <v>0.51041666666666696</v>
      </c>
      <c r="AE153" s="30"/>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25">
      <c r="A154" s="20">
        <v>0.52083333333333304</v>
      </c>
      <c r="B154" s="4">
        <f t="shared" si="4"/>
        <v>0</v>
      </c>
      <c r="C154" s="4">
        <f t="shared" si="14"/>
        <v>575</v>
      </c>
      <c r="D154" s="4">
        <f t="shared" si="14"/>
        <v>333</v>
      </c>
      <c r="E154" s="4">
        <f t="shared" si="14"/>
        <v>0</v>
      </c>
      <c r="F154" s="4">
        <f t="shared" si="14"/>
        <v>0</v>
      </c>
      <c r="G154" s="4">
        <f t="shared" si="14"/>
        <v>908</v>
      </c>
      <c r="H154" s="20">
        <v>0.52083333333333304</v>
      </c>
      <c r="I154" s="4">
        <f t="shared" si="15"/>
        <v>0</v>
      </c>
      <c r="J154" s="4">
        <f t="shared" si="15"/>
        <v>0</v>
      </c>
      <c r="K154" s="4">
        <f t="shared" si="15"/>
        <v>0</v>
      </c>
      <c r="L154" s="4">
        <f t="shared" si="15"/>
        <v>0</v>
      </c>
      <c r="M154" s="4">
        <f t="shared" si="15"/>
        <v>0</v>
      </c>
      <c r="N154" s="4">
        <f t="shared" si="15"/>
        <v>0</v>
      </c>
      <c r="O154" s="20">
        <v>0.52083333333333304</v>
      </c>
      <c r="P154" s="4">
        <f t="shared" si="16"/>
        <v>167</v>
      </c>
      <c r="Q154" s="4">
        <f t="shared" si="16"/>
        <v>634</v>
      </c>
      <c r="R154" s="4">
        <f t="shared" si="16"/>
        <v>0</v>
      </c>
      <c r="S154" s="4">
        <f t="shared" si="16"/>
        <v>0</v>
      </c>
      <c r="T154" s="4">
        <f t="shared" si="16"/>
        <v>0</v>
      </c>
      <c r="U154" s="4">
        <f t="shared" si="16"/>
        <v>801</v>
      </c>
      <c r="V154" s="20">
        <v>0.52083333333333304</v>
      </c>
      <c r="W154" s="4">
        <f t="shared" si="17"/>
        <v>165</v>
      </c>
      <c r="X154" s="4">
        <f t="shared" si="17"/>
        <v>0</v>
      </c>
      <c r="Y154" s="4">
        <f t="shared" si="17"/>
        <v>41</v>
      </c>
      <c r="Z154" s="4">
        <f t="shared" si="17"/>
        <v>0</v>
      </c>
      <c r="AA154" s="4">
        <f t="shared" si="17"/>
        <v>0</v>
      </c>
      <c r="AB154" s="4">
        <f t="shared" si="17"/>
        <v>206</v>
      </c>
      <c r="AC154" s="20">
        <v>0.52083333333333304</v>
      </c>
      <c r="AE154" s="30"/>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25">
      <c r="A155" s="13">
        <v>0.53125</v>
      </c>
      <c r="B155" s="4">
        <f t="shared" si="4"/>
        <v>0</v>
      </c>
      <c r="C155" s="4">
        <f t="shared" si="14"/>
        <v>557</v>
      </c>
      <c r="D155" s="4">
        <f t="shared" si="14"/>
        <v>333</v>
      </c>
      <c r="E155" s="4">
        <f t="shared" si="14"/>
        <v>0</v>
      </c>
      <c r="F155" s="4">
        <f t="shared" si="14"/>
        <v>0</v>
      </c>
      <c r="G155" s="4">
        <f t="shared" si="14"/>
        <v>890</v>
      </c>
      <c r="H155" s="13">
        <v>0.53125</v>
      </c>
      <c r="I155" s="4">
        <f t="shared" si="15"/>
        <v>0</v>
      </c>
      <c r="J155" s="4">
        <f t="shared" si="15"/>
        <v>0</v>
      </c>
      <c r="K155" s="4">
        <f t="shared" si="15"/>
        <v>0</v>
      </c>
      <c r="L155" s="4">
        <f t="shared" si="15"/>
        <v>0</v>
      </c>
      <c r="M155" s="4">
        <f t="shared" si="15"/>
        <v>0</v>
      </c>
      <c r="N155" s="4">
        <f t="shared" si="15"/>
        <v>0</v>
      </c>
      <c r="O155" s="13">
        <v>0.53125</v>
      </c>
      <c r="P155" s="4">
        <f t="shared" si="16"/>
        <v>158</v>
      </c>
      <c r="Q155" s="4">
        <f t="shared" si="16"/>
        <v>617</v>
      </c>
      <c r="R155" s="4">
        <f t="shared" si="16"/>
        <v>0</v>
      </c>
      <c r="S155" s="4">
        <f t="shared" si="16"/>
        <v>0</v>
      </c>
      <c r="T155" s="4">
        <f t="shared" si="16"/>
        <v>0</v>
      </c>
      <c r="U155" s="4">
        <f t="shared" si="16"/>
        <v>775</v>
      </c>
      <c r="V155" s="13">
        <v>0.53125</v>
      </c>
      <c r="W155" s="4">
        <f t="shared" si="17"/>
        <v>171</v>
      </c>
      <c r="X155" s="4">
        <f t="shared" si="17"/>
        <v>0</v>
      </c>
      <c r="Y155" s="4">
        <f t="shared" si="17"/>
        <v>41</v>
      </c>
      <c r="Z155" s="4">
        <f t="shared" si="17"/>
        <v>0</v>
      </c>
      <c r="AA155" s="4">
        <f t="shared" si="17"/>
        <v>0</v>
      </c>
      <c r="AB155" s="4">
        <f t="shared" si="17"/>
        <v>212</v>
      </c>
      <c r="AC155" s="13">
        <v>0.53125</v>
      </c>
      <c r="AE155" s="30"/>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25">
      <c r="A156" s="18">
        <v>0.54166666666666696</v>
      </c>
      <c r="B156" s="4">
        <f t="shared" si="4"/>
        <v>0</v>
      </c>
      <c r="C156" s="4">
        <f t="shared" si="14"/>
        <v>538</v>
      </c>
      <c r="D156" s="4">
        <f t="shared" si="14"/>
        <v>323</v>
      </c>
      <c r="E156" s="4">
        <f t="shared" si="14"/>
        <v>0</v>
      </c>
      <c r="F156" s="4">
        <f t="shared" si="14"/>
        <v>0</v>
      </c>
      <c r="G156" s="4">
        <f t="shared" si="14"/>
        <v>861</v>
      </c>
      <c r="H156" s="18">
        <v>0.54166666666666696</v>
      </c>
      <c r="I156" s="4">
        <f t="shared" si="15"/>
        <v>0</v>
      </c>
      <c r="J156" s="4">
        <f t="shared" si="15"/>
        <v>0</v>
      </c>
      <c r="K156" s="4">
        <f t="shared" si="15"/>
        <v>0</v>
      </c>
      <c r="L156" s="4">
        <f t="shared" si="15"/>
        <v>0</v>
      </c>
      <c r="M156" s="4">
        <f t="shared" si="15"/>
        <v>0</v>
      </c>
      <c r="N156" s="4">
        <f t="shared" si="15"/>
        <v>0</v>
      </c>
      <c r="O156" s="18">
        <v>0.54166666666666696</v>
      </c>
      <c r="P156" s="4">
        <f t="shared" si="16"/>
        <v>150</v>
      </c>
      <c r="Q156" s="4">
        <f t="shared" si="16"/>
        <v>640</v>
      </c>
      <c r="R156" s="4">
        <f t="shared" si="16"/>
        <v>0</v>
      </c>
      <c r="S156" s="4">
        <f t="shared" si="16"/>
        <v>0</v>
      </c>
      <c r="T156" s="4">
        <f t="shared" si="16"/>
        <v>0</v>
      </c>
      <c r="U156" s="4">
        <f t="shared" si="16"/>
        <v>790</v>
      </c>
      <c r="V156" s="18">
        <v>0.54166666666666696</v>
      </c>
      <c r="W156" s="4">
        <f t="shared" si="17"/>
        <v>181</v>
      </c>
      <c r="X156" s="4">
        <f t="shared" si="17"/>
        <v>0</v>
      </c>
      <c r="Y156" s="4">
        <f t="shared" si="17"/>
        <v>43</v>
      </c>
      <c r="Z156" s="4">
        <f t="shared" si="17"/>
        <v>0</v>
      </c>
      <c r="AA156" s="4">
        <f t="shared" si="17"/>
        <v>0</v>
      </c>
      <c r="AB156" s="4">
        <f t="shared" si="17"/>
        <v>224</v>
      </c>
      <c r="AC156" s="18">
        <v>0.54166666666666696</v>
      </c>
      <c r="AE156" s="30"/>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25">
      <c r="A157" s="13">
        <v>0.55208333333333304</v>
      </c>
      <c r="B157" s="4">
        <f t="shared" si="4"/>
        <v>0</v>
      </c>
      <c r="C157" s="4">
        <f t="shared" si="14"/>
        <v>534</v>
      </c>
      <c r="D157" s="4">
        <f t="shared" si="14"/>
        <v>330</v>
      </c>
      <c r="E157" s="4">
        <f t="shared" si="14"/>
        <v>0</v>
      </c>
      <c r="F157" s="4">
        <f t="shared" si="14"/>
        <v>0</v>
      </c>
      <c r="G157" s="4">
        <f t="shared" si="14"/>
        <v>864</v>
      </c>
      <c r="H157" s="13">
        <v>0.55208333333333304</v>
      </c>
      <c r="I157" s="4">
        <f t="shared" si="15"/>
        <v>0</v>
      </c>
      <c r="J157" s="4">
        <f t="shared" si="15"/>
        <v>0</v>
      </c>
      <c r="K157" s="4">
        <f t="shared" si="15"/>
        <v>0</v>
      </c>
      <c r="L157" s="4">
        <f t="shared" si="15"/>
        <v>0</v>
      </c>
      <c r="M157" s="4">
        <f t="shared" si="15"/>
        <v>0</v>
      </c>
      <c r="N157" s="4">
        <f t="shared" si="15"/>
        <v>0</v>
      </c>
      <c r="O157" s="13">
        <v>0.55208333333333304</v>
      </c>
      <c r="P157" s="4">
        <f t="shared" si="16"/>
        <v>152</v>
      </c>
      <c r="Q157" s="4">
        <f t="shared" si="16"/>
        <v>640</v>
      </c>
      <c r="R157" s="4">
        <f t="shared" si="16"/>
        <v>0</v>
      </c>
      <c r="S157" s="4">
        <f t="shared" si="16"/>
        <v>0</v>
      </c>
      <c r="T157" s="4">
        <f t="shared" si="16"/>
        <v>0</v>
      </c>
      <c r="U157" s="4">
        <f t="shared" si="16"/>
        <v>792</v>
      </c>
      <c r="V157" s="13">
        <v>0.55208333333333304</v>
      </c>
      <c r="W157" s="4">
        <f t="shared" si="17"/>
        <v>165</v>
      </c>
      <c r="X157" s="4">
        <f t="shared" si="17"/>
        <v>0</v>
      </c>
      <c r="Y157" s="4">
        <f t="shared" si="17"/>
        <v>45</v>
      </c>
      <c r="Z157" s="4">
        <f t="shared" si="17"/>
        <v>0</v>
      </c>
      <c r="AA157" s="4">
        <f t="shared" si="17"/>
        <v>0</v>
      </c>
      <c r="AB157" s="4">
        <f t="shared" si="17"/>
        <v>210</v>
      </c>
      <c r="AC157" s="13">
        <v>0.55208333333333304</v>
      </c>
      <c r="AE157" s="30"/>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25">
      <c r="A158" s="20">
        <v>0.5625</v>
      </c>
      <c r="B158" s="4">
        <f t="shared" si="4"/>
        <v>0</v>
      </c>
      <c r="C158" s="4">
        <f t="shared" si="14"/>
        <v>541</v>
      </c>
      <c r="D158" s="4">
        <f t="shared" si="14"/>
        <v>321</v>
      </c>
      <c r="E158" s="4">
        <f t="shared" si="14"/>
        <v>1</v>
      </c>
      <c r="F158" s="4">
        <f t="shared" si="14"/>
        <v>0</v>
      </c>
      <c r="G158" s="4">
        <f t="shared" si="14"/>
        <v>863</v>
      </c>
      <c r="H158" s="20">
        <v>0.5625</v>
      </c>
      <c r="I158" s="4">
        <f t="shared" si="15"/>
        <v>0</v>
      </c>
      <c r="J158" s="4">
        <f t="shared" si="15"/>
        <v>0</v>
      </c>
      <c r="K158" s="4">
        <f t="shared" si="15"/>
        <v>0</v>
      </c>
      <c r="L158" s="4">
        <f t="shared" si="15"/>
        <v>0</v>
      </c>
      <c r="M158" s="4">
        <f t="shared" si="15"/>
        <v>0</v>
      </c>
      <c r="N158" s="4">
        <f t="shared" si="15"/>
        <v>0</v>
      </c>
      <c r="O158" s="20">
        <v>0.5625</v>
      </c>
      <c r="P158" s="4">
        <f t="shared" si="16"/>
        <v>166</v>
      </c>
      <c r="Q158" s="4">
        <f t="shared" si="16"/>
        <v>649</v>
      </c>
      <c r="R158" s="4">
        <f t="shared" si="16"/>
        <v>0</v>
      </c>
      <c r="S158" s="4">
        <f t="shared" si="16"/>
        <v>0</v>
      </c>
      <c r="T158" s="4">
        <f t="shared" si="16"/>
        <v>0</v>
      </c>
      <c r="U158" s="4">
        <f t="shared" si="16"/>
        <v>815</v>
      </c>
      <c r="V158" s="20">
        <v>0.5625</v>
      </c>
      <c r="W158" s="4">
        <f t="shared" si="17"/>
        <v>164</v>
      </c>
      <c r="X158" s="4">
        <f t="shared" si="17"/>
        <v>0</v>
      </c>
      <c r="Y158" s="4">
        <f t="shared" si="17"/>
        <v>51</v>
      </c>
      <c r="Z158" s="4">
        <f t="shared" si="17"/>
        <v>0</v>
      </c>
      <c r="AA158" s="4">
        <f t="shared" si="17"/>
        <v>0</v>
      </c>
      <c r="AB158" s="4">
        <f t="shared" si="17"/>
        <v>215</v>
      </c>
      <c r="AC158" s="20">
        <v>0.5625</v>
      </c>
      <c r="AE158" s="30"/>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25">
      <c r="A159" s="13">
        <v>0.57291666666666696</v>
      </c>
      <c r="B159" s="4">
        <f t="shared" si="4"/>
        <v>0</v>
      </c>
      <c r="C159" s="4">
        <f t="shared" ref="C159:G168" si="18">SUM(C59:C62)</f>
        <v>551</v>
      </c>
      <c r="D159" s="4">
        <f t="shared" si="18"/>
        <v>313</v>
      </c>
      <c r="E159" s="4">
        <f t="shared" si="18"/>
        <v>1</v>
      </c>
      <c r="F159" s="4">
        <f t="shared" si="18"/>
        <v>0</v>
      </c>
      <c r="G159" s="4">
        <f t="shared" si="18"/>
        <v>865</v>
      </c>
      <c r="H159" s="13">
        <v>0.57291666666666696</v>
      </c>
      <c r="I159" s="4">
        <f t="shared" si="15"/>
        <v>0</v>
      </c>
      <c r="J159" s="4">
        <f t="shared" si="15"/>
        <v>0</v>
      </c>
      <c r="K159" s="4">
        <f t="shared" si="15"/>
        <v>0</v>
      </c>
      <c r="L159" s="4">
        <f t="shared" si="15"/>
        <v>0</v>
      </c>
      <c r="M159" s="4">
        <f t="shared" si="15"/>
        <v>0</v>
      </c>
      <c r="N159" s="4">
        <f t="shared" si="15"/>
        <v>0</v>
      </c>
      <c r="O159" s="13">
        <v>0.57291666666666696</v>
      </c>
      <c r="P159" s="4">
        <f t="shared" si="16"/>
        <v>181</v>
      </c>
      <c r="Q159" s="4">
        <f t="shared" si="16"/>
        <v>677</v>
      </c>
      <c r="R159" s="4">
        <f t="shared" si="16"/>
        <v>0</v>
      </c>
      <c r="S159" s="4">
        <f t="shared" si="16"/>
        <v>0</v>
      </c>
      <c r="T159" s="4">
        <f t="shared" si="16"/>
        <v>0</v>
      </c>
      <c r="U159" s="4">
        <f t="shared" si="16"/>
        <v>858</v>
      </c>
      <c r="V159" s="13">
        <v>0.57291666666666696</v>
      </c>
      <c r="W159" s="4">
        <f t="shared" si="17"/>
        <v>155</v>
      </c>
      <c r="X159" s="4">
        <f t="shared" si="17"/>
        <v>0</v>
      </c>
      <c r="Y159" s="4">
        <f t="shared" si="17"/>
        <v>49</v>
      </c>
      <c r="Z159" s="4">
        <f t="shared" si="17"/>
        <v>0</v>
      </c>
      <c r="AA159" s="4">
        <f t="shared" si="17"/>
        <v>0</v>
      </c>
      <c r="AB159" s="4">
        <f t="shared" si="17"/>
        <v>204</v>
      </c>
      <c r="AC159" s="13">
        <v>0.57291666666666696</v>
      </c>
      <c r="AE159" s="30"/>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25">
      <c r="A160" s="18">
        <v>0.58333333333333304</v>
      </c>
      <c r="B160" s="4">
        <f t="shared" si="4"/>
        <v>0</v>
      </c>
      <c r="C160" s="4">
        <f t="shared" si="18"/>
        <v>562</v>
      </c>
      <c r="D160" s="4">
        <f t="shared" si="18"/>
        <v>315</v>
      </c>
      <c r="E160" s="4">
        <f t="shared" si="18"/>
        <v>1</v>
      </c>
      <c r="F160" s="4">
        <f t="shared" si="18"/>
        <v>0</v>
      </c>
      <c r="G160" s="4">
        <f t="shared" si="18"/>
        <v>878</v>
      </c>
      <c r="H160" s="18">
        <v>0.58333333333333304</v>
      </c>
      <c r="I160" s="4">
        <f t="shared" si="15"/>
        <v>0</v>
      </c>
      <c r="J160" s="4">
        <f t="shared" si="15"/>
        <v>0</v>
      </c>
      <c r="K160" s="4">
        <f t="shared" si="15"/>
        <v>0</v>
      </c>
      <c r="L160" s="4">
        <f t="shared" si="15"/>
        <v>0</v>
      </c>
      <c r="M160" s="4">
        <f t="shared" si="15"/>
        <v>0</v>
      </c>
      <c r="N160" s="4">
        <f t="shared" si="15"/>
        <v>0</v>
      </c>
      <c r="O160" s="18">
        <v>0.58333333333333304</v>
      </c>
      <c r="P160" s="4">
        <f t="shared" si="16"/>
        <v>195</v>
      </c>
      <c r="Q160" s="4">
        <f t="shared" si="16"/>
        <v>719</v>
      </c>
      <c r="R160" s="4">
        <f t="shared" si="16"/>
        <v>0</v>
      </c>
      <c r="S160" s="4">
        <f t="shared" si="16"/>
        <v>0</v>
      </c>
      <c r="T160" s="4">
        <f t="shared" si="16"/>
        <v>0</v>
      </c>
      <c r="U160" s="4">
        <f t="shared" si="16"/>
        <v>914</v>
      </c>
      <c r="V160" s="18">
        <v>0.58333333333333304</v>
      </c>
      <c r="W160" s="4">
        <f t="shared" si="17"/>
        <v>141</v>
      </c>
      <c r="X160" s="4">
        <f t="shared" si="17"/>
        <v>0</v>
      </c>
      <c r="Y160" s="4">
        <f t="shared" si="17"/>
        <v>48</v>
      </c>
      <c r="Z160" s="4">
        <f t="shared" si="17"/>
        <v>0</v>
      </c>
      <c r="AA160" s="4">
        <f t="shared" si="17"/>
        <v>0</v>
      </c>
      <c r="AB160" s="4">
        <f t="shared" si="17"/>
        <v>189</v>
      </c>
      <c r="AC160" s="18">
        <v>0.58333333333333304</v>
      </c>
      <c r="AE160" s="30"/>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25">
      <c r="A161" s="13">
        <v>0.59375</v>
      </c>
      <c r="B161" s="4">
        <f t="shared" si="4"/>
        <v>0</v>
      </c>
      <c r="C161" s="4">
        <f t="shared" si="18"/>
        <v>578</v>
      </c>
      <c r="D161" s="4">
        <f t="shared" si="18"/>
        <v>312</v>
      </c>
      <c r="E161" s="4">
        <f t="shared" si="18"/>
        <v>1</v>
      </c>
      <c r="F161" s="4">
        <f t="shared" si="18"/>
        <v>0</v>
      </c>
      <c r="G161" s="4">
        <f t="shared" si="18"/>
        <v>891</v>
      </c>
      <c r="H161" s="13">
        <v>0.59375</v>
      </c>
      <c r="I161" s="4">
        <f t="shared" si="15"/>
        <v>0</v>
      </c>
      <c r="J161" s="4">
        <f t="shared" si="15"/>
        <v>0</v>
      </c>
      <c r="K161" s="4">
        <f t="shared" si="15"/>
        <v>0</v>
      </c>
      <c r="L161" s="4">
        <f t="shared" si="15"/>
        <v>0</v>
      </c>
      <c r="M161" s="4">
        <f t="shared" si="15"/>
        <v>0</v>
      </c>
      <c r="N161" s="4">
        <f t="shared" si="15"/>
        <v>0</v>
      </c>
      <c r="O161" s="13">
        <v>0.59375</v>
      </c>
      <c r="P161" s="4">
        <f t="shared" si="16"/>
        <v>213</v>
      </c>
      <c r="Q161" s="4">
        <f t="shared" si="16"/>
        <v>750</v>
      </c>
      <c r="R161" s="4">
        <f t="shared" si="16"/>
        <v>0</v>
      </c>
      <c r="S161" s="4">
        <f t="shared" si="16"/>
        <v>0</v>
      </c>
      <c r="T161" s="4">
        <f t="shared" si="16"/>
        <v>0</v>
      </c>
      <c r="U161" s="4">
        <f t="shared" si="16"/>
        <v>963</v>
      </c>
      <c r="V161" s="13">
        <v>0.59375</v>
      </c>
      <c r="W161" s="4">
        <f t="shared" si="17"/>
        <v>137</v>
      </c>
      <c r="X161" s="4">
        <f t="shared" si="17"/>
        <v>0</v>
      </c>
      <c r="Y161" s="4">
        <f t="shared" si="17"/>
        <v>56</v>
      </c>
      <c r="Z161" s="4">
        <f t="shared" si="17"/>
        <v>0</v>
      </c>
      <c r="AA161" s="4">
        <f t="shared" si="17"/>
        <v>0</v>
      </c>
      <c r="AB161" s="4">
        <f t="shared" si="17"/>
        <v>193</v>
      </c>
      <c r="AC161" s="13">
        <v>0.59375</v>
      </c>
      <c r="AE161" s="30"/>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25">
      <c r="A162" s="20">
        <v>0.60416666666666696</v>
      </c>
      <c r="B162" s="4">
        <f t="shared" si="4"/>
        <v>0</v>
      </c>
      <c r="C162" s="4">
        <f t="shared" si="18"/>
        <v>571</v>
      </c>
      <c r="D162" s="4">
        <f t="shared" si="18"/>
        <v>326</v>
      </c>
      <c r="E162" s="4">
        <f t="shared" si="18"/>
        <v>0</v>
      </c>
      <c r="F162" s="4">
        <f t="shared" si="18"/>
        <v>0</v>
      </c>
      <c r="G162" s="4">
        <f t="shared" si="18"/>
        <v>897</v>
      </c>
      <c r="H162" s="20">
        <v>0.60416666666666696</v>
      </c>
      <c r="I162" s="4">
        <f t="shared" si="15"/>
        <v>0</v>
      </c>
      <c r="J162" s="4">
        <f t="shared" si="15"/>
        <v>0</v>
      </c>
      <c r="K162" s="4">
        <f t="shared" si="15"/>
        <v>0</v>
      </c>
      <c r="L162" s="4">
        <f t="shared" si="15"/>
        <v>0</v>
      </c>
      <c r="M162" s="4">
        <f t="shared" si="15"/>
        <v>0</v>
      </c>
      <c r="N162" s="4">
        <f t="shared" si="15"/>
        <v>0</v>
      </c>
      <c r="O162" s="20">
        <v>0.60416666666666696</v>
      </c>
      <c r="P162" s="4">
        <f t="shared" si="16"/>
        <v>237</v>
      </c>
      <c r="Q162" s="4">
        <f t="shared" si="16"/>
        <v>821</v>
      </c>
      <c r="R162" s="4">
        <f t="shared" si="16"/>
        <v>0</v>
      </c>
      <c r="S162" s="4">
        <f t="shared" si="16"/>
        <v>0</v>
      </c>
      <c r="T162" s="4">
        <f t="shared" si="16"/>
        <v>0</v>
      </c>
      <c r="U162" s="4">
        <f t="shared" si="16"/>
        <v>1058</v>
      </c>
      <c r="V162" s="20">
        <v>0.60416666666666696</v>
      </c>
      <c r="W162" s="4">
        <f t="shared" si="17"/>
        <v>126</v>
      </c>
      <c r="X162" s="4">
        <f t="shared" si="17"/>
        <v>0</v>
      </c>
      <c r="Y162" s="4">
        <f t="shared" si="17"/>
        <v>52</v>
      </c>
      <c r="Z162" s="4">
        <f t="shared" si="17"/>
        <v>0</v>
      </c>
      <c r="AA162" s="4">
        <f t="shared" si="17"/>
        <v>0</v>
      </c>
      <c r="AB162" s="4">
        <f t="shared" si="17"/>
        <v>178</v>
      </c>
      <c r="AC162" s="20">
        <v>0.60416666666666696</v>
      </c>
      <c r="AE162" s="30"/>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25">
      <c r="A163" s="13">
        <v>0.61458333333333304</v>
      </c>
      <c r="B163" s="4">
        <f t="shared" si="4"/>
        <v>0</v>
      </c>
      <c r="C163" s="4">
        <f t="shared" si="18"/>
        <v>568</v>
      </c>
      <c r="D163" s="4">
        <f t="shared" si="18"/>
        <v>347</v>
      </c>
      <c r="E163" s="4">
        <f t="shared" si="18"/>
        <v>0</v>
      </c>
      <c r="F163" s="4">
        <f t="shared" si="18"/>
        <v>0</v>
      </c>
      <c r="G163" s="4">
        <f t="shared" si="18"/>
        <v>915</v>
      </c>
      <c r="H163" s="13">
        <v>0.61458333333333304</v>
      </c>
      <c r="I163" s="4">
        <f t="shared" si="15"/>
        <v>0</v>
      </c>
      <c r="J163" s="4">
        <f t="shared" si="15"/>
        <v>0</v>
      </c>
      <c r="K163" s="4">
        <f t="shared" si="15"/>
        <v>0</v>
      </c>
      <c r="L163" s="4">
        <f t="shared" si="15"/>
        <v>0</v>
      </c>
      <c r="M163" s="4">
        <f t="shared" si="15"/>
        <v>0</v>
      </c>
      <c r="N163" s="4">
        <f t="shared" si="15"/>
        <v>0</v>
      </c>
      <c r="O163" s="13">
        <v>0.61458333333333304</v>
      </c>
      <c r="P163" s="4">
        <f t="shared" si="16"/>
        <v>248</v>
      </c>
      <c r="Q163" s="4">
        <f t="shared" si="16"/>
        <v>861</v>
      </c>
      <c r="R163" s="4">
        <f t="shared" si="16"/>
        <v>0</v>
      </c>
      <c r="S163" s="4">
        <f t="shared" si="16"/>
        <v>0</v>
      </c>
      <c r="T163" s="4">
        <f t="shared" si="16"/>
        <v>0</v>
      </c>
      <c r="U163" s="4">
        <f t="shared" si="16"/>
        <v>1109</v>
      </c>
      <c r="V163" s="13">
        <v>0.61458333333333304</v>
      </c>
      <c r="W163" s="4">
        <f t="shared" si="17"/>
        <v>132</v>
      </c>
      <c r="X163" s="4">
        <f t="shared" si="17"/>
        <v>0</v>
      </c>
      <c r="Y163" s="4">
        <f t="shared" si="17"/>
        <v>57</v>
      </c>
      <c r="Z163" s="4">
        <f t="shared" si="17"/>
        <v>0</v>
      </c>
      <c r="AA163" s="4">
        <f t="shared" si="17"/>
        <v>0</v>
      </c>
      <c r="AB163" s="4">
        <f t="shared" si="17"/>
        <v>189</v>
      </c>
      <c r="AC163" s="13">
        <v>0.61458333333333304</v>
      </c>
      <c r="AE163" s="30"/>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25">
      <c r="A164" s="18">
        <v>0.625</v>
      </c>
      <c r="B164" s="4">
        <f t="shared" si="4"/>
        <v>0</v>
      </c>
      <c r="C164" s="4">
        <f t="shared" si="18"/>
        <v>566</v>
      </c>
      <c r="D164" s="4">
        <f t="shared" si="18"/>
        <v>333</v>
      </c>
      <c r="E164" s="4">
        <f t="shared" si="18"/>
        <v>0</v>
      </c>
      <c r="F164" s="4">
        <f t="shared" si="18"/>
        <v>0</v>
      </c>
      <c r="G164" s="4">
        <f t="shared" si="18"/>
        <v>899</v>
      </c>
      <c r="H164" s="18">
        <v>0.625</v>
      </c>
      <c r="I164" s="4">
        <f t="shared" si="15"/>
        <v>0</v>
      </c>
      <c r="J164" s="4">
        <f t="shared" si="15"/>
        <v>0</v>
      </c>
      <c r="K164" s="4">
        <f t="shared" si="15"/>
        <v>0</v>
      </c>
      <c r="L164" s="4">
        <f t="shared" si="15"/>
        <v>0</v>
      </c>
      <c r="M164" s="4">
        <f t="shared" si="15"/>
        <v>0</v>
      </c>
      <c r="N164" s="4">
        <f t="shared" si="15"/>
        <v>0</v>
      </c>
      <c r="O164" s="18">
        <v>0.625</v>
      </c>
      <c r="P164" s="4">
        <f t="shared" si="16"/>
        <v>265</v>
      </c>
      <c r="Q164" s="4">
        <f t="shared" si="16"/>
        <v>871</v>
      </c>
      <c r="R164" s="4">
        <f t="shared" si="16"/>
        <v>0</v>
      </c>
      <c r="S164" s="4">
        <f t="shared" si="16"/>
        <v>0</v>
      </c>
      <c r="T164" s="4">
        <f t="shared" si="16"/>
        <v>0</v>
      </c>
      <c r="U164" s="4">
        <f t="shared" si="16"/>
        <v>1136</v>
      </c>
      <c r="V164" s="18">
        <v>0.625</v>
      </c>
      <c r="W164" s="4">
        <f t="shared" si="17"/>
        <v>131</v>
      </c>
      <c r="X164" s="4">
        <f t="shared" si="17"/>
        <v>0</v>
      </c>
      <c r="Y164" s="4">
        <f t="shared" si="17"/>
        <v>68</v>
      </c>
      <c r="Z164" s="4">
        <f t="shared" si="17"/>
        <v>0</v>
      </c>
      <c r="AA164" s="4">
        <f t="shared" si="17"/>
        <v>0</v>
      </c>
      <c r="AB164" s="4">
        <f t="shared" si="17"/>
        <v>199</v>
      </c>
      <c r="AC164" s="18">
        <v>0.625</v>
      </c>
      <c r="AE164" s="30"/>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25">
      <c r="A165" s="13">
        <v>0.63541666666666696</v>
      </c>
      <c r="B165" s="4">
        <f t="shared" si="4"/>
        <v>0</v>
      </c>
      <c r="C165" s="4">
        <f t="shared" si="18"/>
        <v>564</v>
      </c>
      <c r="D165" s="4">
        <f t="shared" si="18"/>
        <v>335</v>
      </c>
      <c r="E165" s="4">
        <f t="shared" si="18"/>
        <v>0</v>
      </c>
      <c r="F165" s="4">
        <f t="shared" si="18"/>
        <v>0</v>
      </c>
      <c r="G165" s="4">
        <f t="shared" si="18"/>
        <v>899</v>
      </c>
      <c r="H165" s="13">
        <v>0.63541666666666696</v>
      </c>
      <c r="I165" s="4">
        <f t="shared" si="15"/>
        <v>0</v>
      </c>
      <c r="J165" s="4">
        <f t="shared" si="15"/>
        <v>0</v>
      </c>
      <c r="K165" s="4">
        <f t="shared" si="15"/>
        <v>0</v>
      </c>
      <c r="L165" s="4">
        <f t="shared" si="15"/>
        <v>0</v>
      </c>
      <c r="M165" s="4">
        <f t="shared" si="15"/>
        <v>0</v>
      </c>
      <c r="N165" s="4">
        <f t="shared" si="15"/>
        <v>0</v>
      </c>
      <c r="O165" s="13">
        <v>0.63541666666666696</v>
      </c>
      <c r="P165" s="4">
        <f t="shared" si="16"/>
        <v>274</v>
      </c>
      <c r="Q165" s="4">
        <f t="shared" si="16"/>
        <v>875</v>
      </c>
      <c r="R165" s="4">
        <f t="shared" si="16"/>
        <v>0</v>
      </c>
      <c r="S165" s="4">
        <f t="shared" si="16"/>
        <v>0</v>
      </c>
      <c r="T165" s="4">
        <f t="shared" si="16"/>
        <v>0</v>
      </c>
      <c r="U165" s="4">
        <f t="shared" si="16"/>
        <v>1149</v>
      </c>
      <c r="V165" s="13">
        <v>0.63541666666666696</v>
      </c>
      <c r="W165" s="4">
        <f t="shared" si="17"/>
        <v>149</v>
      </c>
      <c r="X165" s="4">
        <f t="shared" si="17"/>
        <v>0</v>
      </c>
      <c r="Y165" s="4">
        <f t="shared" si="17"/>
        <v>72</v>
      </c>
      <c r="Z165" s="4">
        <f t="shared" si="17"/>
        <v>0</v>
      </c>
      <c r="AA165" s="4">
        <f t="shared" si="17"/>
        <v>0</v>
      </c>
      <c r="AB165" s="4">
        <f t="shared" si="17"/>
        <v>221</v>
      </c>
      <c r="AC165" s="13">
        <v>0.63541666666666696</v>
      </c>
      <c r="AE165" s="30"/>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25">
      <c r="A166" s="20">
        <v>0.64583333333333304</v>
      </c>
      <c r="B166" s="4">
        <f t="shared" si="4"/>
        <v>0</v>
      </c>
      <c r="C166" s="4">
        <f t="shared" si="18"/>
        <v>630</v>
      </c>
      <c r="D166" s="4">
        <f t="shared" si="18"/>
        <v>327</v>
      </c>
      <c r="E166" s="4">
        <f t="shared" si="18"/>
        <v>0</v>
      </c>
      <c r="F166" s="4">
        <f t="shared" si="18"/>
        <v>0</v>
      </c>
      <c r="G166" s="4">
        <f t="shared" si="18"/>
        <v>957</v>
      </c>
      <c r="H166" s="20">
        <v>0.64583333333333304</v>
      </c>
      <c r="I166" s="4">
        <f t="shared" si="15"/>
        <v>0</v>
      </c>
      <c r="J166" s="4">
        <f t="shared" si="15"/>
        <v>0</v>
      </c>
      <c r="K166" s="4">
        <f t="shared" si="15"/>
        <v>0</v>
      </c>
      <c r="L166" s="4">
        <f t="shared" si="15"/>
        <v>0</v>
      </c>
      <c r="M166" s="4">
        <f t="shared" si="15"/>
        <v>0</v>
      </c>
      <c r="N166" s="4">
        <f t="shared" si="15"/>
        <v>0</v>
      </c>
      <c r="O166" s="20">
        <v>0.64583333333333304</v>
      </c>
      <c r="P166" s="4">
        <f t="shared" si="16"/>
        <v>296</v>
      </c>
      <c r="Q166" s="4">
        <f t="shared" si="16"/>
        <v>907</v>
      </c>
      <c r="R166" s="4">
        <f t="shared" si="16"/>
        <v>0</v>
      </c>
      <c r="S166" s="4">
        <f t="shared" si="16"/>
        <v>0</v>
      </c>
      <c r="T166" s="4">
        <f t="shared" si="16"/>
        <v>0</v>
      </c>
      <c r="U166" s="4">
        <f t="shared" si="16"/>
        <v>1203</v>
      </c>
      <c r="V166" s="20">
        <v>0.64583333333333304</v>
      </c>
      <c r="W166" s="4">
        <f t="shared" si="17"/>
        <v>161</v>
      </c>
      <c r="X166" s="4">
        <f t="shared" si="17"/>
        <v>0</v>
      </c>
      <c r="Y166" s="4">
        <f t="shared" si="17"/>
        <v>74</v>
      </c>
      <c r="Z166" s="4">
        <f t="shared" si="17"/>
        <v>0</v>
      </c>
      <c r="AA166" s="4">
        <f t="shared" si="17"/>
        <v>0</v>
      </c>
      <c r="AB166" s="4">
        <f t="shared" si="17"/>
        <v>235</v>
      </c>
      <c r="AC166" s="20">
        <v>0.64583333333333304</v>
      </c>
      <c r="AE166" s="30"/>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25">
      <c r="A167" s="13">
        <v>0.65625</v>
      </c>
      <c r="B167" s="4">
        <f t="shared" si="4"/>
        <v>0</v>
      </c>
      <c r="C167" s="4">
        <f t="shared" si="18"/>
        <v>688</v>
      </c>
      <c r="D167" s="4">
        <f t="shared" si="18"/>
        <v>320</v>
      </c>
      <c r="E167" s="4">
        <f t="shared" si="18"/>
        <v>0</v>
      </c>
      <c r="F167" s="4">
        <f t="shared" si="18"/>
        <v>0</v>
      </c>
      <c r="G167" s="4">
        <f t="shared" si="18"/>
        <v>1008</v>
      </c>
      <c r="H167" s="13">
        <v>0.65625</v>
      </c>
      <c r="I167" s="4">
        <f t="shared" si="15"/>
        <v>0</v>
      </c>
      <c r="J167" s="4">
        <f t="shared" si="15"/>
        <v>0</v>
      </c>
      <c r="K167" s="4">
        <f t="shared" si="15"/>
        <v>0</v>
      </c>
      <c r="L167" s="4">
        <f t="shared" si="15"/>
        <v>0</v>
      </c>
      <c r="M167" s="4">
        <f t="shared" si="15"/>
        <v>0</v>
      </c>
      <c r="N167" s="4">
        <f t="shared" si="15"/>
        <v>0</v>
      </c>
      <c r="O167" s="13">
        <v>0.65625</v>
      </c>
      <c r="P167" s="4">
        <f t="shared" si="16"/>
        <v>298</v>
      </c>
      <c r="Q167" s="4">
        <f t="shared" si="16"/>
        <v>954</v>
      </c>
      <c r="R167" s="4">
        <f t="shared" si="16"/>
        <v>0</v>
      </c>
      <c r="S167" s="4">
        <f t="shared" si="16"/>
        <v>0</v>
      </c>
      <c r="T167" s="4">
        <f t="shared" si="16"/>
        <v>0</v>
      </c>
      <c r="U167" s="4">
        <f t="shared" si="16"/>
        <v>1252</v>
      </c>
      <c r="V167" s="13">
        <v>0.65625</v>
      </c>
      <c r="W167" s="4">
        <f t="shared" si="17"/>
        <v>171</v>
      </c>
      <c r="X167" s="4">
        <f t="shared" si="17"/>
        <v>0</v>
      </c>
      <c r="Y167" s="4">
        <f t="shared" si="17"/>
        <v>81</v>
      </c>
      <c r="Z167" s="4">
        <f t="shared" si="17"/>
        <v>0</v>
      </c>
      <c r="AA167" s="4">
        <f t="shared" si="17"/>
        <v>0</v>
      </c>
      <c r="AB167" s="4">
        <f t="shared" si="17"/>
        <v>252</v>
      </c>
      <c r="AC167" s="13">
        <v>0.65625</v>
      </c>
      <c r="AE167" s="30"/>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25">
      <c r="A168" s="18">
        <v>0.66666666666666696</v>
      </c>
      <c r="B168" s="4">
        <f t="shared" si="4"/>
        <v>0</v>
      </c>
      <c r="C168" s="4">
        <f t="shared" si="18"/>
        <v>681</v>
      </c>
      <c r="D168" s="4">
        <f t="shared" si="18"/>
        <v>350</v>
      </c>
      <c r="E168" s="4">
        <f t="shared" si="18"/>
        <v>0</v>
      </c>
      <c r="F168" s="4">
        <f t="shared" si="18"/>
        <v>0</v>
      </c>
      <c r="G168" s="4">
        <f t="shared" si="18"/>
        <v>1031</v>
      </c>
      <c r="H168" s="18">
        <v>0.66666666666666696</v>
      </c>
      <c r="I168" s="4">
        <f t="shared" si="15"/>
        <v>0</v>
      </c>
      <c r="J168" s="4">
        <f t="shared" si="15"/>
        <v>0</v>
      </c>
      <c r="K168" s="4">
        <f t="shared" si="15"/>
        <v>0</v>
      </c>
      <c r="L168" s="4">
        <f t="shared" si="15"/>
        <v>0</v>
      </c>
      <c r="M168" s="4">
        <f t="shared" si="15"/>
        <v>0</v>
      </c>
      <c r="N168" s="4">
        <f t="shared" si="15"/>
        <v>0</v>
      </c>
      <c r="O168" s="18">
        <v>0.66666666666666696</v>
      </c>
      <c r="P168" s="4">
        <f t="shared" si="16"/>
        <v>309</v>
      </c>
      <c r="Q168" s="4">
        <f t="shared" si="16"/>
        <v>971</v>
      </c>
      <c r="R168" s="4">
        <f t="shared" si="16"/>
        <v>0</v>
      </c>
      <c r="S168" s="4">
        <f t="shared" si="16"/>
        <v>0</v>
      </c>
      <c r="T168" s="4">
        <f t="shared" si="16"/>
        <v>0</v>
      </c>
      <c r="U168" s="4">
        <f t="shared" si="16"/>
        <v>1280</v>
      </c>
      <c r="V168" s="18">
        <v>0.66666666666666696</v>
      </c>
      <c r="W168" s="4">
        <f t="shared" si="17"/>
        <v>179</v>
      </c>
      <c r="X168" s="4">
        <f t="shared" si="17"/>
        <v>0</v>
      </c>
      <c r="Y168" s="4">
        <f t="shared" si="17"/>
        <v>80</v>
      </c>
      <c r="Z168" s="4">
        <f t="shared" si="17"/>
        <v>0</v>
      </c>
      <c r="AA168" s="4">
        <f t="shared" si="17"/>
        <v>0</v>
      </c>
      <c r="AB168" s="4">
        <f t="shared" si="17"/>
        <v>259</v>
      </c>
      <c r="AC168" s="18">
        <v>0.66666666666666696</v>
      </c>
      <c r="AE168" s="30"/>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25">
      <c r="A169" s="13">
        <v>0.67708333333333304</v>
      </c>
      <c r="B169" s="4">
        <f t="shared" ref="B169:G196" si="19">SUM(B69:B72)</f>
        <v>0</v>
      </c>
      <c r="C169" s="4">
        <f t="shared" si="19"/>
        <v>734</v>
      </c>
      <c r="D169" s="4">
        <f t="shared" si="19"/>
        <v>369</v>
      </c>
      <c r="E169" s="4">
        <f t="shared" si="19"/>
        <v>0</v>
      </c>
      <c r="F169" s="4">
        <f t="shared" si="19"/>
        <v>0</v>
      </c>
      <c r="G169" s="4">
        <f t="shared" si="19"/>
        <v>1103</v>
      </c>
      <c r="H169" s="13">
        <v>0.67708333333333304</v>
      </c>
      <c r="I169" s="4">
        <f t="shared" ref="I169:N169" si="20">SUM(I69:I72)</f>
        <v>0</v>
      </c>
      <c r="J169" s="4">
        <f t="shared" si="20"/>
        <v>0</v>
      </c>
      <c r="K169" s="4">
        <f t="shared" si="20"/>
        <v>0</v>
      </c>
      <c r="L169" s="4">
        <f t="shared" si="20"/>
        <v>0</v>
      </c>
      <c r="M169" s="4">
        <f t="shared" si="20"/>
        <v>0</v>
      </c>
      <c r="N169" s="4">
        <f t="shared" si="20"/>
        <v>0</v>
      </c>
      <c r="O169" s="13">
        <v>0.67708333333333304</v>
      </c>
      <c r="P169" s="4">
        <f t="shared" ref="P169:U169" si="21">SUM(P69:P72)</f>
        <v>318</v>
      </c>
      <c r="Q169" s="4">
        <f t="shared" si="21"/>
        <v>1004</v>
      </c>
      <c r="R169" s="4">
        <f t="shared" si="21"/>
        <v>0</v>
      </c>
      <c r="S169" s="4">
        <f t="shared" si="21"/>
        <v>0</v>
      </c>
      <c r="T169" s="4">
        <f t="shared" si="21"/>
        <v>0</v>
      </c>
      <c r="U169" s="4">
        <f t="shared" si="21"/>
        <v>1322</v>
      </c>
      <c r="V169" s="13">
        <v>0.67708333333333304</v>
      </c>
      <c r="W169" s="4">
        <f t="shared" ref="W169:AB169" si="22">SUM(W69:W72)</f>
        <v>163</v>
      </c>
      <c r="X169" s="4">
        <f t="shared" si="22"/>
        <v>0</v>
      </c>
      <c r="Y169" s="4">
        <f t="shared" si="22"/>
        <v>78</v>
      </c>
      <c r="Z169" s="4">
        <f t="shared" si="22"/>
        <v>0</v>
      </c>
      <c r="AA169" s="4">
        <f t="shared" si="22"/>
        <v>0</v>
      </c>
      <c r="AB169" s="4">
        <f t="shared" si="22"/>
        <v>241</v>
      </c>
      <c r="AC169" s="13">
        <v>0.67708333333333304</v>
      </c>
      <c r="AE169" s="30"/>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25">
      <c r="A170" s="20">
        <v>0.6875</v>
      </c>
      <c r="B170" s="4">
        <f t="shared" si="19"/>
        <v>0</v>
      </c>
      <c r="C170" s="4">
        <f t="shared" si="19"/>
        <v>739</v>
      </c>
      <c r="D170" s="4">
        <f t="shared" si="19"/>
        <v>388</v>
      </c>
      <c r="E170" s="4">
        <f t="shared" si="19"/>
        <v>0</v>
      </c>
      <c r="F170" s="4">
        <f t="shared" si="19"/>
        <v>0</v>
      </c>
      <c r="G170" s="4">
        <f t="shared" si="19"/>
        <v>1127</v>
      </c>
      <c r="H170" s="20">
        <v>0.6875</v>
      </c>
      <c r="I170" s="4">
        <f t="shared" ref="I170:N170" si="23">SUM(I70:I73)</f>
        <v>0</v>
      </c>
      <c r="J170" s="4">
        <f t="shared" si="23"/>
        <v>0</v>
      </c>
      <c r="K170" s="4">
        <f t="shared" si="23"/>
        <v>0</v>
      </c>
      <c r="L170" s="4">
        <f t="shared" si="23"/>
        <v>0</v>
      </c>
      <c r="M170" s="4">
        <f t="shared" si="23"/>
        <v>0</v>
      </c>
      <c r="N170" s="4">
        <f t="shared" si="23"/>
        <v>0</v>
      </c>
      <c r="O170" s="20">
        <v>0.6875</v>
      </c>
      <c r="P170" s="4">
        <f t="shared" ref="P170:U170" si="24">SUM(P70:P73)</f>
        <v>314</v>
      </c>
      <c r="Q170" s="4">
        <f t="shared" si="24"/>
        <v>993</v>
      </c>
      <c r="R170" s="4">
        <f t="shared" si="24"/>
        <v>0</v>
      </c>
      <c r="S170" s="4">
        <f t="shared" si="24"/>
        <v>0</v>
      </c>
      <c r="T170" s="4">
        <f t="shared" si="24"/>
        <v>0</v>
      </c>
      <c r="U170" s="4">
        <f t="shared" si="24"/>
        <v>1307</v>
      </c>
      <c r="V170" s="20">
        <v>0.6875</v>
      </c>
      <c r="W170" s="4">
        <f t="shared" ref="W170:AB170" si="25">SUM(W70:W73)</f>
        <v>151</v>
      </c>
      <c r="X170" s="4">
        <f t="shared" si="25"/>
        <v>0</v>
      </c>
      <c r="Y170" s="4">
        <f t="shared" si="25"/>
        <v>80</v>
      </c>
      <c r="Z170" s="4">
        <f t="shared" si="25"/>
        <v>0</v>
      </c>
      <c r="AA170" s="4">
        <f t="shared" si="25"/>
        <v>0</v>
      </c>
      <c r="AB170" s="4">
        <f t="shared" si="25"/>
        <v>231</v>
      </c>
      <c r="AC170" s="20">
        <v>0.6875</v>
      </c>
      <c r="AE170" s="30"/>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25">
      <c r="A171" s="13">
        <v>0.69791666666666696</v>
      </c>
      <c r="B171" s="4">
        <f t="shared" si="19"/>
        <v>0</v>
      </c>
      <c r="C171" s="4">
        <f t="shared" si="19"/>
        <v>730</v>
      </c>
      <c r="D171" s="4">
        <f t="shared" si="19"/>
        <v>386</v>
      </c>
      <c r="E171" s="4">
        <f t="shared" si="19"/>
        <v>0</v>
      </c>
      <c r="F171" s="4">
        <f t="shared" si="19"/>
        <v>0</v>
      </c>
      <c r="G171" s="4">
        <f t="shared" si="19"/>
        <v>1116</v>
      </c>
      <c r="H171" s="13">
        <v>0.69791666666666696</v>
      </c>
      <c r="I171" s="4">
        <f t="shared" ref="I171:N171" si="26">SUM(I71:I74)</f>
        <v>0</v>
      </c>
      <c r="J171" s="4">
        <f t="shared" si="26"/>
        <v>0</v>
      </c>
      <c r="K171" s="4">
        <f t="shared" si="26"/>
        <v>0</v>
      </c>
      <c r="L171" s="4">
        <f t="shared" si="26"/>
        <v>0</v>
      </c>
      <c r="M171" s="4">
        <f t="shared" si="26"/>
        <v>0</v>
      </c>
      <c r="N171" s="4">
        <f t="shared" si="26"/>
        <v>0</v>
      </c>
      <c r="O171" s="13">
        <v>0.69791666666666696</v>
      </c>
      <c r="P171" s="4">
        <f t="shared" ref="P171:U171" si="27">SUM(P71:P74)</f>
        <v>327</v>
      </c>
      <c r="Q171" s="4">
        <f t="shared" si="27"/>
        <v>997</v>
      </c>
      <c r="R171" s="4">
        <f t="shared" si="27"/>
        <v>0</v>
      </c>
      <c r="S171" s="4">
        <f t="shared" si="27"/>
        <v>0</v>
      </c>
      <c r="T171" s="4">
        <f t="shared" si="27"/>
        <v>0</v>
      </c>
      <c r="U171" s="4">
        <f t="shared" si="27"/>
        <v>1324</v>
      </c>
      <c r="V171" s="13">
        <v>0.69791666666666696</v>
      </c>
      <c r="W171" s="4">
        <f t="shared" ref="W171:AB171" si="28">SUM(W71:W74)</f>
        <v>147</v>
      </c>
      <c r="X171" s="4">
        <f t="shared" si="28"/>
        <v>1</v>
      </c>
      <c r="Y171" s="4">
        <f t="shared" si="28"/>
        <v>77</v>
      </c>
      <c r="Z171" s="4">
        <f t="shared" si="28"/>
        <v>0</v>
      </c>
      <c r="AA171" s="4">
        <f t="shared" si="28"/>
        <v>0</v>
      </c>
      <c r="AB171" s="4">
        <f t="shared" si="28"/>
        <v>225</v>
      </c>
      <c r="AC171" s="13">
        <v>0.69791666666666696</v>
      </c>
      <c r="AE171" s="30"/>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25">
      <c r="A172" s="18">
        <v>0.70833333333333304</v>
      </c>
      <c r="B172" s="4">
        <f t="shared" si="19"/>
        <v>0</v>
      </c>
      <c r="C172" s="4">
        <f t="shared" si="19"/>
        <v>751</v>
      </c>
      <c r="D172" s="4">
        <f t="shared" si="19"/>
        <v>390</v>
      </c>
      <c r="E172" s="4">
        <f t="shared" si="19"/>
        <v>0</v>
      </c>
      <c r="F172" s="4">
        <f t="shared" si="19"/>
        <v>0</v>
      </c>
      <c r="G172" s="4">
        <f t="shared" si="19"/>
        <v>1141</v>
      </c>
      <c r="H172" s="18">
        <v>0.70833333333333304</v>
      </c>
      <c r="I172" s="4">
        <f t="shared" ref="I172:N172" si="29">SUM(I72:I75)</f>
        <v>0</v>
      </c>
      <c r="J172" s="4">
        <f t="shared" si="29"/>
        <v>0</v>
      </c>
      <c r="K172" s="4">
        <f t="shared" si="29"/>
        <v>0</v>
      </c>
      <c r="L172" s="4">
        <f t="shared" si="29"/>
        <v>0</v>
      </c>
      <c r="M172" s="4">
        <f t="shared" si="29"/>
        <v>0</v>
      </c>
      <c r="N172" s="4">
        <f t="shared" si="29"/>
        <v>0</v>
      </c>
      <c r="O172" s="18">
        <v>0.70833333333333304</v>
      </c>
      <c r="P172" s="4">
        <f t="shared" ref="P172:U172" si="30">SUM(P72:P75)</f>
        <v>321</v>
      </c>
      <c r="Q172" s="4">
        <f t="shared" si="30"/>
        <v>996</v>
      </c>
      <c r="R172" s="4">
        <f t="shared" si="30"/>
        <v>0</v>
      </c>
      <c r="S172" s="4">
        <f t="shared" si="30"/>
        <v>0</v>
      </c>
      <c r="T172" s="4">
        <f t="shared" si="30"/>
        <v>0</v>
      </c>
      <c r="U172" s="4">
        <f t="shared" si="30"/>
        <v>1317</v>
      </c>
      <c r="V172" s="18">
        <v>0.70833333333333304</v>
      </c>
      <c r="W172" s="4">
        <f t="shared" ref="W172:AB172" si="31">SUM(W72:W75)</f>
        <v>139</v>
      </c>
      <c r="X172" s="4">
        <f t="shared" si="31"/>
        <v>1</v>
      </c>
      <c r="Y172" s="4">
        <f t="shared" si="31"/>
        <v>68</v>
      </c>
      <c r="Z172" s="4">
        <f t="shared" si="31"/>
        <v>0</v>
      </c>
      <c r="AA172" s="4">
        <f t="shared" si="31"/>
        <v>0</v>
      </c>
      <c r="AB172" s="4">
        <f t="shared" si="31"/>
        <v>208</v>
      </c>
      <c r="AC172" s="18">
        <v>0.70833333333333304</v>
      </c>
      <c r="AE172" s="30"/>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25">
      <c r="A173" s="13">
        <v>0.71875</v>
      </c>
      <c r="B173" s="4">
        <f t="shared" si="19"/>
        <v>0</v>
      </c>
      <c r="C173" s="4">
        <f t="shared" si="19"/>
        <v>681</v>
      </c>
      <c r="D173" s="4">
        <f t="shared" si="19"/>
        <v>375</v>
      </c>
      <c r="E173" s="4">
        <f t="shared" si="19"/>
        <v>0</v>
      </c>
      <c r="F173" s="4">
        <f t="shared" si="19"/>
        <v>0</v>
      </c>
      <c r="G173" s="4">
        <f t="shared" si="19"/>
        <v>1056</v>
      </c>
      <c r="H173" s="13">
        <v>0.71875</v>
      </c>
      <c r="I173" s="4">
        <f t="shared" ref="I173:N173" si="32">SUM(I73:I76)</f>
        <v>0</v>
      </c>
      <c r="J173" s="4">
        <f t="shared" si="32"/>
        <v>0</v>
      </c>
      <c r="K173" s="4">
        <f t="shared" si="32"/>
        <v>0</v>
      </c>
      <c r="L173" s="4">
        <f t="shared" si="32"/>
        <v>0</v>
      </c>
      <c r="M173" s="4">
        <f t="shared" si="32"/>
        <v>0</v>
      </c>
      <c r="N173" s="4">
        <f t="shared" si="32"/>
        <v>0</v>
      </c>
      <c r="O173" s="13">
        <v>0.71875</v>
      </c>
      <c r="P173" s="4">
        <f t="shared" ref="P173:U173" si="33">SUM(P73:P76)</f>
        <v>314</v>
      </c>
      <c r="Q173" s="4">
        <f t="shared" si="33"/>
        <v>962</v>
      </c>
      <c r="R173" s="4">
        <f t="shared" si="33"/>
        <v>0</v>
      </c>
      <c r="S173" s="4">
        <f t="shared" si="33"/>
        <v>0</v>
      </c>
      <c r="T173" s="4">
        <f t="shared" si="33"/>
        <v>0</v>
      </c>
      <c r="U173" s="4">
        <f t="shared" si="33"/>
        <v>1276</v>
      </c>
      <c r="V173" s="13">
        <v>0.71875</v>
      </c>
      <c r="W173" s="4">
        <f t="shared" ref="W173:AB173" si="34">SUM(W73:W76)</f>
        <v>138</v>
      </c>
      <c r="X173" s="4">
        <f t="shared" si="34"/>
        <v>1</v>
      </c>
      <c r="Y173" s="4">
        <f t="shared" si="34"/>
        <v>74</v>
      </c>
      <c r="Z173" s="4">
        <f t="shared" si="34"/>
        <v>0</v>
      </c>
      <c r="AA173" s="4">
        <f t="shared" si="34"/>
        <v>0</v>
      </c>
      <c r="AB173" s="4">
        <f t="shared" si="34"/>
        <v>213</v>
      </c>
      <c r="AC173" s="13">
        <v>0.71875</v>
      </c>
      <c r="AE173" s="30"/>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25">
      <c r="A174" s="20">
        <v>0.72916666666666696</v>
      </c>
      <c r="B174" s="4">
        <f t="shared" si="19"/>
        <v>0</v>
      </c>
      <c r="C174" s="4">
        <f t="shared" si="19"/>
        <v>593</v>
      </c>
      <c r="D174" s="4">
        <f t="shared" si="19"/>
        <v>371</v>
      </c>
      <c r="E174" s="4">
        <f t="shared" si="19"/>
        <v>0</v>
      </c>
      <c r="F174" s="4">
        <f t="shared" si="19"/>
        <v>0</v>
      </c>
      <c r="G174" s="4">
        <f t="shared" si="19"/>
        <v>964</v>
      </c>
      <c r="H174" s="20">
        <v>0.72916666666666696</v>
      </c>
      <c r="I174" s="4">
        <f t="shared" ref="I174:N174" si="35">SUM(I74:I77)</f>
        <v>0</v>
      </c>
      <c r="J174" s="4">
        <f t="shared" si="35"/>
        <v>0</v>
      </c>
      <c r="K174" s="4">
        <f t="shared" si="35"/>
        <v>0</v>
      </c>
      <c r="L174" s="4">
        <f t="shared" si="35"/>
        <v>0</v>
      </c>
      <c r="M174" s="4">
        <f t="shared" si="35"/>
        <v>0</v>
      </c>
      <c r="N174" s="4">
        <f t="shared" si="35"/>
        <v>0</v>
      </c>
      <c r="O174" s="20">
        <v>0.72916666666666696</v>
      </c>
      <c r="P174" s="4">
        <f t="shared" ref="P174:U174" si="36">SUM(P74:P77)</f>
        <v>298</v>
      </c>
      <c r="Q174" s="4">
        <f t="shared" si="36"/>
        <v>900</v>
      </c>
      <c r="R174" s="4">
        <f t="shared" si="36"/>
        <v>0</v>
      </c>
      <c r="S174" s="4">
        <f t="shared" si="36"/>
        <v>0</v>
      </c>
      <c r="T174" s="4">
        <f t="shared" si="36"/>
        <v>0</v>
      </c>
      <c r="U174" s="4">
        <f t="shared" si="36"/>
        <v>1198</v>
      </c>
      <c r="V174" s="20">
        <v>0.72916666666666696</v>
      </c>
      <c r="W174" s="4">
        <f t="shared" ref="W174:AB174" si="37">SUM(W74:W77)</f>
        <v>135</v>
      </c>
      <c r="X174" s="4">
        <f t="shared" si="37"/>
        <v>1</v>
      </c>
      <c r="Y174" s="4">
        <f t="shared" si="37"/>
        <v>69</v>
      </c>
      <c r="Z174" s="4">
        <f t="shared" si="37"/>
        <v>0</v>
      </c>
      <c r="AA174" s="4">
        <f t="shared" si="37"/>
        <v>0</v>
      </c>
      <c r="AB174" s="4">
        <f t="shared" si="37"/>
        <v>205</v>
      </c>
      <c r="AC174" s="20">
        <v>0.72916666666666696</v>
      </c>
      <c r="AE174" s="30"/>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25">
      <c r="A175" s="13">
        <v>0.73958333333333304</v>
      </c>
      <c r="B175" s="4">
        <f t="shared" si="19"/>
        <v>0</v>
      </c>
      <c r="C175" s="4">
        <f t="shared" si="19"/>
        <v>530</v>
      </c>
      <c r="D175" s="4">
        <f t="shared" si="19"/>
        <v>349</v>
      </c>
      <c r="E175" s="4">
        <f t="shared" si="19"/>
        <v>0</v>
      </c>
      <c r="F175" s="4">
        <f t="shared" si="19"/>
        <v>0</v>
      </c>
      <c r="G175" s="4">
        <f t="shared" si="19"/>
        <v>879</v>
      </c>
      <c r="H175" s="13">
        <v>0.73958333333333304</v>
      </c>
      <c r="I175" s="4">
        <f t="shared" ref="I175:N175" si="38">SUM(I75:I78)</f>
        <v>0</v>
      </c>
      <c r="J175" s="4">
        <f t="shared" si="38"/>
        <v>0</v>
      </c>
      <c r="K175" s="4">
        <f t="shared" si="38"/>
        <v>0</v>
      </c>
      <c r="L175" s="4">
        <f t="shared" si="38"/>
        <v>0</v>
      </c>
      <c r="M175" s="4">
        <f t="shared" si="38"/>
        <v>0</v>
      </c>
      <c r="N175" s="4">
        <f t="shared" si="38"/>
        <v>0</v>
      </c>
      <c r="O175" s="13">
        <v>0.73958333333333304</v>
      </c>
      <c r="P175" s="4">
        <f t="shared" ref="P175:U175" si="39">SUM(P75:P78)</f>
        <v>273</v>
      </c>
      <c r="Q175" s="4">
        <f t="shared" si="39"/>
        <v>822</v>
      </c>
      <c r="R175" s="4">
        <f t="shared" si="39"/>
        <v>0</v>
      </c>
      <c r="S175" s="4">
        <f t="shared" si="39"/>
        <v>0</v>
      </c>
      <c r="T175" s="4">
        <f t="shared" si="39"/>
        <v>0</v>
      </c>
      <c r="U175" s="4">
        <f t="shared" si="39"/>
        <v>1095</v>
      </c>
      <c r="V175" s="13">
        <v>0.73958333333333304</v>
      </c>
      <c r="W175" s="4">
        <f t="shared" ref="W175:AB175" si="40">SUM(W75:W78)</f>
        <v>127</v>
      </c>
      <c r="X175" s="4">
        <f t="shared" si="40"/>
        <v>0</v>
      </c>
      <c r="Y175" s="4">
        <f t="shared" si="40"/>
        <v>62</v>
      </c>
      <c r="Z175" s="4">
        <f t="shared" si="40"/>
        <v>0</v>
      </c>
      <c r="AA175" s="4">
        <f t="shared" si="40"/>
        <v>0</v>
      </c>
      <c r="AB175" s="4">
        <f t="shared" si="40"/>
        <v>189</v>
      </c>
      <c r="AC175" s="13">
        <v>0.73958333333333304</v>
      </c>
      <c r="AE175" s="30"/>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25">
      <c r="A176" s="18">
        <v>0.75</v>
      </c>
      <c r="B176" s="4">
        <f t="shared" si="19"/>
        <v>0</v>
      </c>
      <c r="C176" s="4">
        <f t="shared" si="19"/>
        <v>511</v>
      </c>
      <c r="D176" s="4">
        <f t="shared" si="19"/>
        <v>321</v>
      </c>
      <c r="E176" s="4">
        <f t="shared" si="19"/>
        <v>0</v>
      </c>
      <c r="F176" s="4">
        <f t="shared" si="19"/>
        <v>0</v>
      </c>
      <c r="G176" s="4">
        <f t="shared" si="19"/>
        <v>832</v>
      </c>
      <c r="H176" s="18">
        <v>0.75</v>
      </c>
      <c r="I176" s="4">
        <f t="shared" ref="I176:N176" si="41">SUM(I76:I79)</f>
        <v>0</v>
      </c>
      <c r="J176" s="4">
        <f t="shared" si="41"/>
        <v>0</v>
      </c>
      <c r="K176" s="4">
        <f t="shared" si="41"/>
        <v>0</v>
      </c>
      <c r="L176" s="4">
        <f t="shared" si="41"/>
        <v>0</v>
      </c>
      <c r="M176" s="4">
        <f t="shared" si="41"/>
        <v>0</v>
      </c>
      <c r="N176" s="4">
        <f t="shared" si="41"/>
        <v>0</v>
      </c>
      <c r="O176" s="18">
        <v>0.75</v>
      </c>
      <c r="P176" s="4">
        <f t="shared" ref="P176:U176" si="42">SUM(P76:P79)</f>
        <v>241</v>
      </c>
      <c r="Q176" s="4">
        <f t="shared" si="42"/>
        <v>739</v>
      </c>
      <c r="R176" s="4">
        <f t="shared" si="42"/>
        <v>0</v>
      </c>
      <c r="S176" s="4">
        <f t="shared" si="42"/>
        <v>0</v>
      </c>
      <c r="T176" s="4">
        <f t="shared" si="42"/>
        <v>0</v>
      </c>
      <c r="U176" s="4">
        <f t="shared" si="42"/>
        <v>980</v>
      </c>
      <c r="V176" s="18">
        <v>0.75</v>
      </c>
      <c r="W176" s="4">
        <f t="shared" ref="W176:AB176" si="43">SUM(W76:W79)</f>
        <v>111</v>
      </c>
      <c r="X176" s="4">
        <f t="shared" si="43"/>
        <v>0</v>
      </c>
      <c r="Y176" s="4">
        <f t="shared" si="43"/>
        <v>55</v>
      </c>
      <c r="Z176" s="4">
        <f t="shared" si="43"/>
        <v>0</v>
      </c>
      <c r="AA176" s="4">
        <f t="shared" si="43"/>
        <v>0</v>
      </c>
      <c r="AB176" s="4">
        <f t="shared" si="43"/>
        <v>166</v>
      </c>
      <c r="AC176" s="18">
        <v>0.75</v>
      </c>
      <c r="AE176" s="30"/>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25">
      <c r="A177" s="13">
        <v>0.76041666666666696</v>
      </c>
      <c r="B177" s="4">
        <f t="shared" si="19"/>
        <v>0</v>
      </c>
      <c r="C177" s="4">
        <f t="shared" si="19"/>
        <v>385</v>
      </c>
      <c r="D177" s="4">
        <f t="shared" si="19"/>
        <v>235</v>
      </c>
      <c r="E177" s="4">
        <f t="shared" si="19"/>
        <v>0</v>
      </c>
      <c r="F177" s="4">
        <f t="shared" si="19"/>
        <v>0</v>
      </c>
      <c r="G177" s="4">
        <f t="shared" si="19"/>
        <v>620</v>
      </c>
      <c r="H177" s="13">
        <v>0.76041666666666696</v>
      </c>
      <c r="I177" s="4">
        <f t="shared" ref="I177:N177" si="44">SUM(I77:I80)</f>
        <v>0</v>
      </c>
      <c r="J177" s="4">
        <f t="shared" si="44"/>
        <v>0</v>
      </c>
      <c r="K177" s="4">
        <f t="shared" si="44"/>
        <v>0</v>
      </c>
      <c r="L177" s="4">
        <f t="shared" si="44"/>
        <v>0</v>
      </c>
      <c r="M177" s="4">
        <f t="shared" si="44"/>
        <v>0</v>
      </c>
      <c r="N177" s="4">
        <f t="shared" si="44"/>
        <v>0</v>
      </c>
      <c r="O177" s="13">
        <v>0.76041666666666696</v>
      </c>
      <c r="P177" s="4">
        <f t="shared" ref="P177:U177" si="45">SUM(P77:P80)</f>
        <v>168</v>
      </c>
      <c r="Q177" s="4">
        <f t="shared" si="45"/>
        <v>532</v>
      </c>
      <c r="R177" s="4">
        <f t="shared" si="45"/>
        <v>0</v>
      </c>
      <c r="S177" s="4">
        <f t="shared" si="45"/>
        <v>0</v>
      </c>
      <c r="T177" s="4">
        <f t="shared" si="45"/>
        <v>0</v>
      </c>
      <c r="U177" s="4">
        <f t="shared" si="45"/>
        <v>700</v>
      </c>
      <c r="V177" s="13">
        <v>0.76041666666666696</v>
      </c>
      <c r="W177" s="4">
        <f t="shared" ref="W177:AB177" si="46">SUM(W77:W80)</f>
        <v>84</v>
      </c>
      <c r="X177" s="4">
        <f t="shared" si="46"/>
        <v>0</v>
      </c>
      <c r="Y177" s="4">
        <f t="shared" si="46"/>
        <v>31</v>
      </c>
      <c r="Z177" s="4">
        <f t="shared" si="46"/>
        <v>0</v>
      </c>
      <c r="AA177" s="4">
        <f t="shared" si="46"/>
        <v>0</v>
      </c>
      <c r="AB177" s="4">
        <f t="shared" si="46"/>
        <v>115</v>
      </c>
      <c r="AC177" s="13">
        <v>0.76041666666666696</v>
      </c>
      <c r="AE177" s="30"/>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25">
      <c r="A178" s="20">
        <v>0.77083333333333304</v>
      </c>
      <c r="B178" s="4">
        <f t="shared" si="19"/>
        <v>0</v>
      </c>
      <c r="C178" s="4">
        <f t="shared" si="19"/>
        <v>277</v>
      </c>
      <c r="D178" s="4">
        <f t="shared" si="19"/>
        <v>144</v>
      </c>
      <c r="E178" s="4">
        <f t="shared" si="19"/>
        <v>0</v>
      </c>
      <c r="F178" s="4">
        <f t="shared" si="19"/>
        <v>0</v>
      </c>
      <c r="G178" s="4">
        <f t="shared" si="19"/>
        <v>421</v>
      </c>
      <c r="H178" s="20">
        <v>0.77083333333333304</v>
      </c>
      <c r="I178" s="4">
        <f t="shared" ref="I178:N178" si="47">SUM(I78:I81)</f>
        <v>0</v>
      </c>
      <c r="J178" s="4">
        <f t="shared" si="47"/>
        <v>0</v>
      </c>
      <c r="K178" s="4">
        <f t="shared" si="47"/>
        <v>0</v>
      </c>
      <c r="L178" s="4">
        <f t="shared" si="47"/>
        <v>0</v>
      </c>
      <c r="M178" s="4">
        <f t="shared" si="47"/>
        <v>0</v>
      </c>
      <c r="N178" s="4">
        <f t="shared" si="47"/>
        <v>0</v>
      </c>
      <c r="O178" s="20">
        <v>0.77083333333333304</v>
      </c>
      <c r="P178" s="4">
        <f t="shared" ref="P178:U178" si="48">SUM(P78:P81)</f>
        <v>100</v>
      </c>
      <c r="Q178" s="4">
        <f t="shared" si="48"/>
        <v>350</v>
      </c>
      <c r="R178" s="4">
        <f t="shared" si="48"/>
        <v>0</v>
      </c>
      <c r="S178" s="4">
        <f t="shared" si="48"/>
        <v>0</v>
      </c>
      <c r="T178" s="4">
        <f t="shared" si="48"/>
        <v>0</v>
      </c>
      <c r="U178" s="4">
        <f t="shared" si="48"/>
        <v>450</v>
      </c>
      <c r="V178" s="20">
        <v>0.77083333333333304</v>
      </c>
      <c r="W178" s="4">
        <f t="shared" ref="W178:AB178" si="49">SUM(W78:W81)</f>
        <v>50</v>
      </c>
      <c r="X178" s="4">
        <f t="shared" si="49"/>
        <v>0</v>
      </c>
      <c r="Y178" s="4">
        <f t="shared" si="49"/>
        <v>16</v>
      </c>
      <c r="Z178" s="4">
        <f t="shared" si="49"/>
        <v>0</v>
      </c>
      <c r="AA178" s="4">
        <f t="shared" si="49"/>
        <v>0</v>
      </c>
      <c r="AB178" s="4">
        <f t="shared" si="49"/>
        <v>66</v>
      </c>
      <c r="AC178" s="20">
        <v>0.77083333333333304</v>
      </c>
      <c r="AE178" s="30"/>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25">
      <c r="A179" s="13">
        <v>0.78125</v>
      </c>
      <c r="B179" s="4">
        <f t="shared" si="19"/>
        <v>0</v>
      </c>
      <c r="C179" s="4">
        <f t="shared" si="19"/>
        <v>151</v>
      </c>
      <c r="D179" s="4">
        <f t="shared" si="19"/>
        <v>78</v>
      </c>
      <c r="E179" s="4">
        <f t="shared" si="19"/>
        <v>0</v>
      </c>
      <c r="F179" s="4">
        <f t="shared" si="19"/>
        <v>0</v>
      </c>
      <c r="G179" s="4">
        <f t="shared" si="19"/>
        <v>229</v>
      </c>
      <c r="H179" s="13">
        <v>0.78125</v>
      </c>
      <c r="I179" s="4">
        <f t="shared" ref="I179:N179" si="50">SUM(I79:I82)</f>
        <v>0</v>
      </c>
      <c r="J179" s="4">
        <f t="shared" si="50"/>
        <v>0</v>
      </c>
      <c r="K179" s="4">
        <f t="shared" si="50"/>
        <v>0</v>
      </c>
      <c r="L179" s="4">
        <f t="shared" si="50"/>
        <v>0</v>
      </c>
      <c r="M179" s="4">
        <f t="shared" si="50"/>
        <v>0</v>
      </c>
      <c r="N179" s="4">
        <f t="shared" si="50"/>
        <v>0</v>
      </c>
      <c r="O179" s="13">
        <v>0.78125</v>
      </c>
      <c r="P179" s="4">
        <f t="shared" ref="P179:U179" si="51">SUM(P79:P82)</f>
        <v>44</v>
      </c>
      <c r="Q179" s="4">
        <f t="shared" si="51"/>
        <v>155</v>
      </c>
      <c r="R179" s="4">
        <f t="shared" si="51"/>
        <v>0</v>
      </c>
      <c r="S179" s="4">
        <f t="shared" si="51"/>
        <v>0</v>
      </c>
      <c r="T179" s="4">
        <f t="shared" si="51"/>
        <v>0</v>
      </c>
      <c r="U179" s="4">
        <f t="shared" si="51"/>
        <v>199</v>
      </c>
      <c r="V179" s="13">
        <v>0.78125</v>
      </c>
      <c r="W179" s="4">
        <f t="shared" ref="W179:AB179" si="52">SUM(W79:W82)</f>
        <v>18</v>
      </c>
      <c r="X179" s="4">
        <f t="shared" si="52"/>
        <v>0</v>
      </c>
      <c r="Y179" s="4">
        <f t="shared" si="52"/>
        <v>7</v>
      </c>
      <c r="Z179" s="4">
        <f t="shared" si="52"/>
        <v>0</v>
      </c>
      <c r="AA179" s="4">
        <f t="shared" si="52"/>
        <v>0</v>
      </c>
      <c r="AB179" s="4">
        <f t="shared" si="52"/>
        <v>25</v>
      </c>
      <c r="AC179" s="13">
        <v>0.78125</v>
      </c>
      <c r="AE179" s="30"/>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25">
      <c r="A180" s="18">
        <v>0.79166666666666696</v>
      </c>
      <c r="B180" s="4">
        <f t="shared" si="19"/>
        <v>0</v>
      </c>
      <c r="C180" s="4">
        <f t="shared" si="19"/>
        <v>0</v>
      </c>
      <c r="D180" s="4">
        <f t="shared" si="19"/>
        <v>0</v>
      </c>
      <c r="E180" s="4">
        <f t="shared" si="19"/>
        <v>0</v>
      </c>
      <c r="F180" s="4">
        <f t="shared" si="19"/>
        <v>0</v>
      </c>
      <c r="G180" s="4">
        <f t="shared" si="19"/>
        <v>0</v>
      </c>
      <c r="H180" s="18">
        <v>0.79166666666666696</v>
      </c>
      <c r="I180" s="4">
        <f t="shared" ref="I180:N180" si="53">SUM(I80:I83)</f>
        <v>0</v>
      </c>
      <c r="J180" s="4">
        <f t="shared" si="53"/>
        <v>0</v>
      </c>
      <c r="K180" s="4">
        <f t="shared" si="53"/>
        <v>0</v>
      </c>
      <c r="L180" s="4">
        <f t="shared" si="53"/>
        <v>0</v>
      </c>
      <c r="M180" s="4">
        <f t="shared" si="53"/>
        <v>0</v>
      </c>
      <c r="N180" s="4">
        <f t="shared" si="53"/>
        <v>0</v>
      </c>
      <c r="O180" s="18">
        <v>0.79166666666666696</v>
      </c>
      <c r="P180" s="4">
        <f t="shared" ref="P180:U180" si="54">SUM(P80:P83)</f>
        <v>0</v>
      </c>
      <c r="Q180" s="4">
        <f t="shared" si="54"/>
        <v>0</v>
      </c>
      <c r="R180" s="4">
        <f t="shared" si="54"/>
        <v>0</v>
      </c>
      <c r="S180" s="4">
        <f t="shared" si="54"/>
        <v>0</v>
      </c>
      <c r="T180" s="4">
        <f t="shared" si="54"/>
        <v>0</v>
      </c>
      <c r="U180" s="4">
        <f t="shared" si="54"/>
        <v>0</v>
      </c>
      <c r="V180" s="18">
        <v>0.79166666666666696</v>
      </c>
      <c r="W180" s="4">
        <f t="shared" ref="W180:AB180" si="55">SUM(W80:W83)</f>
        <v>0</v>
      </c>
      <c r="X180" s="4">
        <f t="shared" si="55"/>
        <v>0</v>
      </c>
      <c r="Y180" s="4">
        <f t="shared" si="55"/>
        <v>0</v>
      </c>
      <c r="Z180" s="4">
        <f t="shared" si="55"/>
        <v>0</v>
      </c>
      <c r="AA180" s="4">
        <f t="shared" si="55"/>
        <v>0</v>
      </c>
      <c r="AB180" s="4">
        <f t="shared" si="55"/>
        <v>0</v>
      </c>
      <c r="AC180" s="18">
        <v>0.79166666666666696</v>
      </c>
      <c r="AE180" s="30"/>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25">
      <c r="A181" s="13">
        <v>0.80208333333333304</v>
      </c>
      <c r="B181" s="4">
        <f t="shared" si="19"/>
        <v>0</v>
      </c>
      <c r="C181" s="4">
        <f t="shared" si="19"/>
        <v>0</v>
      </c>
      <c r="D181" s="4">
        <f t="shared" si="19"/>
        <v>0</v>
      </c>
      <c r="E181" s="4">
        <f t="shared" si="19"/>
        <v>0</v>
      </c>
      <c r="F181" s="4">
        <f t="shared" si="19"/>
        <v>0</v>
      </c>
      <c r="G181" s="4">
        <f t="shared" si="19"/>
        <v>0</v>
      </c>
      <c r="H181" s="13">
        <v>0.80208333333333304</v>
      </c>
      <c r="I181" s="4">
        <f t="shared" ref="I181:N181" si="56">SUM(I81:I84)</f>
        <v>0</v>
      </c>
      <c r="J181" s="4">
        <f t="shared" si="56"/>
        <v>0</v>
      </c>
      <c r="K181" s="4">
        <f t="shared" si="56"/>
        <v>0</v>
      </c>
      <c r="L181" s="4">
        <f t="shared" si="56"/>
        <v>0</v>
      </c>
      <c r="M181" s="4">
        <f t="shared" si="56"/>
        <v>0</v>
      </c>
      <c r="N181" s="4">
        <f t="shared" si="56"/>
        <v>0</v>
      </c>
      <c r="O181" s="13">
        <v>0.80208333333333304</v>
      </c>
      <c r="P181" s="4">
        <f t="shared" ref="P181:U181" si="57">SUM(P81:P84)</f>
        <v>0</v>
      </c>
      <c r="Q181" s="4">
        <f t="shared" si="57"/>
        <v>0</v>
      </c>
      <c r="R181" s="4">
        <f t="shared" si="57"/>
        <v>0</v>
      </c>
      <c r="S181" s="4">
        <f t="shared" si="57"/>
        <v>0</v>
      </c>
      <c r="T181" s="4">
        <f t="shared" si="57"/>
        <v>0</v>
      </c>
      <c r="U181" s="4">
        <f t="shared" si="57"/>
        <v>0</v>
      </c>
      <c r="V181" s="13">
        <v>0.80208333333333304</v>
      </c>
      <c r="W181" s="4">
        <f t="shared" ref="W181:AB181" si="58">SUM(W81:W84)</f>
        <v>0</v>
      </c>
      <c r="X181" s="4">
        <f t="shared" si="58"/>
        <v>0</v>
      </c>
      <c r="Y181" s="4">
        <f t="shared" si="58"/>
        <v>0</v>
      </c>
      <c r="Z181" s="4">
        <f t="shared" si="58"/>
        <v>0</v>
      </c>
      <c r="AA181" s="4">
        <f t="shared" si="58"/>
        <v>0</v>
      </c>
      <c r="AB181" s="4">
        <f t="shared" si="58"/>
        <v>0</v>
      </c>
      <c r="AC181" s="13">
        <v>0.80208333333333304</v>
      </c>
      <c r="AE181" s="30"/>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25">
      <c r="A182" s="20">
        <v>0.8125</v>
      </c>
      <c r="B182" s="4">
        <f t="shared" si="19"/>
        <v>0</v>
      </c>
      <c r="C182" s="4">
        <f t="shared" si="19"/>
        <v>0</v>
      </c>
      <c r="D182" s="4">
        <f t="shared" si="19"/>
        <v>0</v>
      </c>
      <c r="E182" s="4">
        <f t="shared" si="19"/>
        <v>0</v>
      </c>
      <c r="F182" s="4">
        <f t="shared" si="19"/>
        <v>0</v>
      </c>
      <c r="G182" s="4">
        <f t="shared" si="19"/>
        <v>0</v>
      </c>
      <c r="H182" s="20">
        <v>0.8125</v>
      </c>
      <c r="I182" s="4">
        <f t="shared" ref="I182:N182" si="59">SUM(I82:I85)</f>
        <v>0</v>
      </c>
      <c r="J182" s="4">
        <f t="shared" si="59"/>
        <v>0</v>
      </c>
      <c r="K182" s="4">
        <f t="shared" si="59"/>
        <v>0</v>
      </c>
      <c r="L182" s="4">
        <f t="shared" si="59"/>
        <v>0</v>
      </c>
      <c r="M182" s="4">
        <f t="shared" si="59"/>
        <v>0</v>
      </c>
      <c r="N182" s="4">
        <f t="shared" si="59"/>
        <v>0</v>
      </c>
      <c r="O182" s="20">
        <v>0.8125</v>
      </c>
      <c r="P182" s="4">
        <f t="shared" ref="P182:U182" si="60">SUM(P82:P85)</f>
        <v>0</v>
      </c>
      <c r="Q182" s="4">
        <f t="shared" si="60"/>
        <v>0</v>
      </c>
      <c r="R182" s="4">
        <f t="shared" si="60"/>
        <v>0</v>
      </c>
      <c r="S182" s="4">
        <f t="shared" si="60"/>
        <v>0</v>
      </c>
      <c r="T182" s="4">
        <f t="shared" si="60"/>
        <v>0</v>
      </c>
      <c r="U182" s="4">
        <f t="shared" si="60"/>
        <v>0</v>
      </c>
      <c r="V182" s="20">
        <v>0.8125</v>
      </c>
      <c r="W182" s="4">
        <f t="shared" ref="W182:AB182" si="61">SUM(W82:W85)</f>
        <v>0</v>
      </c>
      <c r="X182" s="4">
        <f t="shared" si="61"/>
        <v>0</v>
      </c>
      <c r="Y182" s="4">
        <f t="shared" si="61"/>
        <v>0</v>
      </c>
      <c r="Z182" s="4">
        <f t="shared" si="61"/>
        <v>0</v>
      </c>
      <c r="AA182" s="4">
        <f t="shared" si="61"/>
        <v>0</v>
      </c>
      <c r="AB182" s="4">
        <f t="shared" si="61"/>
        <v>0</v>
      </c>
      <c r="AC182" s="20">
        <v>0.8125</v>
      </c>
      <c r="AE182" s="30"/>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25">
      <c r="A183" s="13">
        <v>0.82291666666666696</v>
      </c>
      <c r="B183" s="4">
        <f t="shared" si="19"/>
        <v>0</v>
      </c>
      <c r="C183" s="4">
        <f t="shared" si="19"/>
        <v>0</v>
      </c>
      <c r="D183" s="4">
        <f t="shared" si="19"/>
        <v>0</v>
      </c>
      <c r="E183" s="4">
        <f t="shared" si="19"/>
        <v>0</v>
      </c>
      <c r="F183" s="4">
        <f t="shared" si="19"/>
        <v>0</v>
      </c>
      <c r="G183" s="4">
        <f t="shared" si="19"/>
        <v>0</v>
      </c>
      <c r="H183" s="13">
        <v>0.82291666666666696</v>
      </c>
      <c r="I183" s="4">
        <f t="shared" ref="I183:N183" si="62">SUM(I83:I86)</f>
        <v>0</v>
      </c>
      <c r="J183" s="4">
        <f t="shared" si="62"/>
        <v>0</v>
      </c>
      <c r="K183" s="4">
        <f t="shared" si="62"/>
        <v>0</v>
      </c>
      <c r="L183" s="4">
        <f t="shared" si="62"/>
        <v>0</v>
      </c>
      <c r="M183" s="4">
        <f t="shared" si="62"/>
        <v>0</v>
      </c>
      <c r="N183" s="4">
        <f t="shared" si="62"/>
        <v>0</v>
      </c>
      <c r="O183" s="13">
        <v>0.82291666666666696</v>
      </c>
      <c r="P183" s="4">
        <f t="shared" ref="P183:U183" si="63">SUM(P83:P86)</f>
        <v>0</v>
      </c>
      <c r="Q183" s="4">
        <f t="shared" si="63"/>
        <v>0</v>
      </c>
      <c r="R183" s="4">
        <f t="shared" si="63"/>
        <v>0</v>
      </c>
      <c r="S183" s="4">
        <f t="shared" si="63"/>
        <v>0</v>
      </c>
      <c r="T183" s="4">
        <f t="shared" si="63"/>
        <v>0</v>
      </c>
      <c r="U183" s="4">
        <f t="shared" si="63"/>
        <v>0</v>
      </c>
      <c r="V183" s="13">
        <v>0.82291666666666696</v>
      </c>
      <c r="W183" s="4">
        <f t="shared" ref="W183:AB183" si="64">SUM(W83:W86)</f>
        <v>0</v>
      </c>
      <c r="X183" s="4">
        <f t="shared" si="64"/>
        <v>0</v>
      </c>
      <c r="Y183" s="4">
        <f t="shared" si="64"/>
        <v>0</v>
      </c>
      <c r="Z183" s="4">
        <f t="shared" si="64"/>
        <v>0</v>
      </c>
      <c r="AA183" s="4">
        <f t="shared" si="64"/>
        <v>0</v>
      </c>
      <c r="AB183" s="4">
        <f t="shared" si="64"/>
        <v>0</v>
      </c>
      <c r="AC183" s="13">
        <v>0.82291666666666696</v>
      </c>
      <c r="AE183" s="30"/>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25">
      <c r="A184" s="18">
        <v>0.83333333333333304</v>
      </c>
      <c r="B184" s="4">
        <f t="shared" si="19"/>
        <v>0</v>
      </c>
      <c r="C184" s="4">
        <f t="shared" si="19"/>
        <v>0</v>
      </c>
      <c r="D184" s="4">
        <f t="shared" si="19"/>
        <v>0</v>
      </c>
      <c r="E184" s="4">
        <f t="shared" si="19"/>
        <v>0</v>
      </c>
      <c r="F184" s="4">
        <f t="shared" si="19"/>
        <v>0</v>
      </c>
      <c r="G184" s="4">
        <f t="shared" si="19"/>
        <v>0</v>
      </c>
      <c r="H184" s="18">
        <v>0.83333333333333304</v>
      </c>
      <c r="I184" s="4">
        <f t="shared" ref="I184:N184" si="65">SUM(I84:I87)</f>
        <v>0</v>
      </c>
      <c r="J184" s="4">
        <f t="shared" si="65"/>
        <v>0</v>
      </c>
      <c r="K184" s="4">
        <f t="shared" si="65"/>
        <v>0</v>
      </c>
      <c r="L184" s="4">
        <f t="shared" si="65"/>
        <v>0</v>
      </c>
      <c r="M184" s="4">
        <f t="shared" si="65"/>
        <v>0</v>
      </c>
      <c r="N184" s="4">
        <f t="shared" si="65"/>
        <v>0</v>
      </c>
      <c r="O184" s="18">
        <v>0.83333333333333304</v>
      </c>
      <c r="P184" s="4">
        <f t="shared" ref="P184:U184" si="66">SUM(P84:P87)</f>
        <v>0</v>
      </c>
      <c r="Q184" s="4">
        <f t="shared" si="66"/>
        <v>0</v>
      </c>
      <c r="R184" s="4">
        <f t="shared" si="66"/>
        <v>0</v>
      </c>
      <c r="S184" s="4">
        <f t="shared" si="66"/>
        <v>0</v>
      </c>
      <c r="T184" s="4">
        <f t="shared" si="66"/>
        <v>0</v>
      </c>
      <c r="U184" s="4">
        <f t="shared" si="66"/>
        <v>0</v>
      </c>
      <c r="V184" s="18">
        <v>0.83333333333333304</v>
      </c>
      <c r="W184" s="4">
        <f t="shared" ref="W184:AB184" si="67">SUM(W84:W87)</f>
        <v>0</v>
      </c>
      <c r="X184" s="4">
        <f t="shared" si="67"/>
        <v>0</v>
      </c>
      <c r="Y184" s="4">
        <f t="shared" si="67"/>
        <v>0</v>
      </c>
      <c r="Z184" s="4">
        <f t="shared" si="67"/>
        <v>0</v>
      </c>
      <c r="AA184" s="4">
        <f t="shared" si="67"/>
        <v>0</v>
      </c>
      <c r="AB184" s="4">
        <f t="shared" si="67"/>
        <v>0</v>
      </c>
      <c r="AC184" s="18">
        <v>0.83333333333333304</v>
      </c>
      <c r="AE184" s="30"/>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25">
      <c r="A185" s="13">
        <v>0.84375</v>
      </c>
      <c r="B185" s="4">
        <f t="shared" si="19"/>
        <v>0</v>
      </c>
      <c r="C185" s="4">
        <f t="shared" si="19"/>
        <v>0</v>
      </c>
      <c r="D185" s="4">
        <f t="shared" si="19"/>
        <v>0</v>
      </c>
      <c r="E185" s="4">
        <f t="shared" si="19"/>
        <v>0</v>
      </c>
      <c r="F185" s="4">
        <f t="shared" si="19"/>
        <v>0</v>
      </c>
      <c r="G185" s="4">
        <f t="shared" si="19"/>
        <v>0</v>
      </c>
      <c r="H185" s="13">
        <v>0.84375</v>
      </c>
      <c r="I185" s="4">
        <f t="shared" ref="I185:N185" si="68">SUM(I85:I88)</f>
        <v>0</v>
      </c>
      <c r="J185" s="4">
        <f t="shared" si="68"/>
        <v>0</v>
      </c>
      <c r="K185" s="4">
        <f t="shared" si="68"/>
        <v>0</v>
      </c>
      <c r="L185" s="4">
        <f t="shared" si="68"/>
        <v>0</v>
      </c>
      <c r="M185" s="4">
        <f t="shared" si="68"/>
        <v>0</v>
      </c>
      <c r="N185" s="4">
        <f t="shared" si="68"/>
        <v>0</v>
      </c>
      <c r="O185" s="13">
        <v>0.84375</v>
      </c>
      <c r="P185" s="4">
        <f t="shared" ref="P185:U185" si="69">SUM(P85:P88)</f>
        <v>0</v>
      </c>
      <c r="Q185" s="4">
        <f t="shared" si="69"/>
        <v>0</v>
      </c>
      <c r="R185" s="4">
        <f t="shared" si="69"/>
        <v>0</v>
      </c>
      <c r="S185" s="4">
        <f t="shared" si="69"/>
        <v>0</v>
      </c>
      <c r="T185" s="4">
        <f t="shared" si="69"/>
        <v>0</v>
      </c>
      <c r="U185" s="4">
        <f t="shared" si="69"/>
        <v>0</v>
      </c>
      <c r="V185" s="13">
        <v>0.84375</v>
      </c>
      <c r="W185" s="4">
        <f t="shared" ref="W185:AB185" si="70">SUM(W85:W88)</f>
        <v>0</v>
      </c>
      <c r="X185" s="4">
        <f t="shared" si="70"/>
        <v>0</v>
      </c>
      <c r="Y185" s="4">
        <f t="shared" si="70"/>
        <v>0</v>
      </c>
      <c r="Z185" s="4">
        <f t="shared" si="70"/>
        <v>0</v>
      </c>
      <c r="AA185" s="4">
        <f t="shared" si="70"/>
        <v>0</v>
      </c>
      <c r="AB185" s="4">
        <f t="shared" si="70"/>
        <v>0</v>
      </c>
      <c r="AC185" s="13">
        <v>0.84375</v>
      </c>
      <c r="AE185" s="30"/>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25">
      <c r="A186" s="20">
        <v>0.85416666666666696</v>
      </c>
      <c r="B186" s="4">
        <f t="shared" si="19"/>
        <v>0</v>
      </c>
      <c r="C186" s="4">
        <f t="shared" si="19"/>
        <v>0</v>
      </c>
      <c r="D186" s="4">
        <f t="shared" si="19"/>
        <v>0</v>
      </c>
      <c r="E186" s="4">
        <f t="shared" si="19"/>
        <v>0</v>
      </c>
      <c r="F186" s="4">
        <f t="shared" si="19"/>
        <v>0</v>
      </c>
      <c r="G186" s="4">
        <f t="shared" si="19"/>
        <v>0</v>
      </c>
      <c r="H186" s="20">
        <v>0.85416666666666696</v>
      </c>
      <c r="I186" s="4">
        <f t="shared" ref="I186:N186" si="71">SUM(I86:I89)</f>
        <v>0</v>
      </c>
      <c r="J186" s="4">
        <f t="shared" si="71"/>
        <v>0</v>
      </c>
      <c r="K186" s="4">
        <f t="shared" si="71"/>
        <v>0</v>
      </c>
      <c r="L186" s="4">
        <f t="shared" si="71"/>
        <v>0</v>
      </c>
      <c r="M186" s="4">
        <f t="shared" si="71"/>
        <v>0</v>
      </c>
      <c r="N186" s="4">
        <f t="shared" si="71"/>
        <v>0</v>
      </c>
      <c r="O186" s="20">
        <v>0.85416666666666696</v>
      </c>
      <c r="P186" s="4">
        <f t="shared" ref="P186:U186" si="72">SUM(P86:P89)</f>
        <v>0</v>
      </c>
      <c r="Q186" s="4">
        <f t="shared" si="72"/>
        <v>0</v>
      </c>
      <c r="R186" s="4">
        <f t="shared" si="72"/>
        <v>0</v>
      </c>
      <c r="S186" s="4">
        <f t="shared" si="72"/>
        <v>0</v>
      </c>
      <c r="T186" s="4">
        <f t="shared" si="72"/>
        <v>0</v>
      </c>
      <c r="U186" s="4">
        <f t="shared" si="72"/>
        <v>0</v>
      </c>
      <c r="V186" s="20">
        <v>0.85416666666666696</v>
      </c>
      <c r="W186" s="4">
        <f t="shared" ref="W186:AB186" si="73">SUM(W86:W89)</f>
        <v>0</v>
      </c>
      <c r="X186" s="4">
        <f t="shared" si="73"/>
        <v>0</v>
      </c>
      <c r="Y186" s="4">
        <f t="shared" si="73"/>
        <v>0</v>
      </c>
      <c r="Z186" s="4">
        <f t="shared" si="73"/>
        <v>0</v>
      </c>
      <c r="AA186" s="4">
        <f t="shared" si="73"/>
        <v>0</v>
      </c>
      <c r="AB186" s="4">
        <f t="shared" si="73"/>
        <v>0</v>
      </c>
      <c r="AC186" s="20">
        <v>0.85416666666666696</v>
      </c>
      <c r="AE186" s="30"/>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25">
      <c r="A187" s="13">
        <v>0.86458333333333304</v>
      </c>
      <c r="B187" s="4">
        <f t="shared" si="19"/>
        <v>0</v>
      </c>
      <c r="C187" s="4">
        <f t="shared" si="19"/>
        <v>0</v>
      </c>
      <c r="D187" s="4">
        <f t="shared" si="19"/>
        <v>0</v>
      </c>
      <c r="E187" s="4">
        <f t="shared" si="19"/>
        <v>0</v>
      </c>
      <c r="F187" s="4">
        <f t="shared" si="19"/>
        <v>0</v>
      </c>
      <c r="G187" s="4">
        <f t="shared" si="19"/>
        <v>0</v>
      </c>
      <c r="H187" s="13">
        <v>0.86458333333333304</v>
      </c>
      <c r="I187" s="4">
        <f t="shared" ref="I187:N187" si="74">SUM(I87:I90)</f>
        <v>0</v>
      </c>
      <c r="J187" s="4">
        <f t="shared" si="74"/>
        <v>0</v>
      </c>
      <c r="K187" s="4">
        <f t="shared" si="74"/>
        <v>0</v>
      </c>
      <c r="L187" s="4">
        <f t="shared" si="74"/>
        <v>0</v>
      </c>
      <c r="M187" s="4">
        <f t="shared" si="74"/>
        <v>0</v>
      </c>
      <c r="N187" s="4">
        <f t="shared" si="74"/>
        <v>0</v>
      </c>
      <c r="O187" s="13">
        <v>0.86458333333333304</v>
      </c>
      <c r="P187" s="4">
        <f t="shared" ref="P187:U187" si="75">SUM(P87:P90)</f>
        <v>0</v>
      </c>
      <c r="Q187" s="4">
        <f t="shared" si="75"/>
        <v>0</v>
      </c>
      <c r="R187" s="4">
        <f t="shared" si="75"/>
        <v>0</v>
      </c>
      <c r="S187" s="4">
        <f t="shared" si="75"/>
        <v>0</v>
      </c>
      <c r="T187" s="4">
        <f t="shared" si="75"/>
        <v>0</v>
      </c>
      <c r="U187" s="4">
        <f t="shared" si="75"/>
        <v>0</v>
      </c>
      <c r="V187" s="13">
        <v>0.86458333333333304</v>
      </c>
      <c r="W187" s="4">
        <f t="shared" ref="W187:AB187" si="76">SUM(W87:W90)</f>
        <v>0</v>
      </c>
      <c r="X187" s="4">
        <f t="shared" si="76"/>
        <v>0</v>
      </c>
      <c r="Y187" s="4">
        <f t="shared" si="76"/>
        <v>0</v>
      </c>
      <c r="Z187" s="4">
        <f t="shared" si="76"/>
        <v>0</v>
      </c>
      <c r="AA187" s="4">
        <f t="shared" si="76"/>
        <v>0</v>
      </c>
      <c r="AB187" s="4">
        <f t="shared" si="76"/>
        <v>0</v>
      </c>
      <c r="AC187" s="13">
        <v>0.86458333333333304</v>
      </c>
      <c r="AE187" s="30"/>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25">
      <c r="A188" s="18">
        <v>0.875</v>
      </c>
      <c r="B188" s="4">
        <f t="shared" si="19"/>
        <v>0</v>
      </c>
      <c r="C188" s="4">
        <f t="shared" si="19"/>
        <v>0</v>
      </c>
      <c r="D188" s="4">
        <f t="shared" si="19"/>
        <v>0</v>
      </c>
      <c r="E188" s="4">
        <f t="shared" si="19"/>
        <v>0</v>
      </c>
      <c r="F188" s="4">
        <f t="shared" si="19"/>
        <v>0</v>
      </c>
      <c r="G188" s="4">
        <f t="shared" si="19"/>
        <v>0</v>
      </c>
      <c r="H188" s="18">
        <v>0.875</v>
      </c>
      <c r="I188" s="4">
        <f t="shared" ref="I188:N188" si="77">SUM(I88:I91)</f>
        <v>0</v>
      </c>
      <c r="J188" s="4">
        <f t="shared" si="77"/>
        <v>0</v>
      </c>
      <c r="K188" s="4">
        <f t="shared" si="77"/>
        <v>0</v>
      </c>
      <c r="L188" s="4">
        <f t="shared" si="77"/>
        <v>0</v>
      </c>
      <c r="M188" s="4">
        <f t="shared" si="77"/>
        <v>0</v>
      </c>
      <c r="N188" s="4">
        <f t="shared" si="77"/>
        <v>0</v>
      </c>
      <c r="O188" s="18">
        <v>0.875</v>
      </c>
      <c r="P188" s="4">
        <f t="shared" ref="P188:U188" si="78">SUM(P88:P91)</f>
        <v>0</v>
      </c>
      <c r="Q188" s="4">
        <f t="shared" si="78"/>
        <v>0</v>
      </c>
      <c r="R188" s="4">
        <f t="shared" si="78"/>
        <v>0</v>
      </c>
      <c r="S188" s="4">
        <f t="shared" si="78"/>
        <v>0</v>
      </c>
      <c r="T188" s="4">
        <f t="shared" si="78"/>
        <v>0</v>
      </c>
      <c r="U188" s="4">
        <f t="shared" si="78"/>
        <v>0</v>
      </c>
      <c r="V188" s="18">
        <v>0.875</v>
      </c>
      <c r="W188" s="4">
        <f t="shared" ref="W188:AB188" si="79">SUM(W88:W91)</f>
        <v>0</v>
      </c>
      <c r="X188" s="4">
        <f t="shared" si="79"/>
        <v>0</v>
      </c>
      <c r="Y188" s="4">
        <f t="shared" si="79"/>
        <v>0</v>
      </c>
      <c r="Z188" s="4">
        <f t="shared" si="79"/>
        <v>0</v>
      </c>
      <c r="AA188" s="4">
        <f t="shared" si="79"/>
        <v>0</v>
      </c>
      <c r="AB188" s="4">
        <f t="shared" si="79"/>
        <v>0</v>
      </c>
      <c r="AC188" s="18">
        <v>0.875</v>
      </c>
      <c r="AE188" s="30"/>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25">
      <c r="A189" s="13">
        <v>0.88541666666666696</v>
      </c>
      <c r="B189" s="4">
        <f t="shared" si="19"/>
        <v>0</v>
      </c>
      <c r="C189" s="4">
        <f t="shared" si="19"/>
        <v>0</v>
      </c>
      <c r="D189" s="4">
        <f t="shared" si="19"/>
        <v>0</v>
      </c>
      <c r="E189" s="4">
        <f t="shared" si="19"/>
        <v>0</v>
      </c>
      <c r="F189" s="4">
        <f t="shared" si="19"/>
        <v>0</v>
      </c>
      <c r="G189" s="4">
        <f t="shared" si="19"/>
        <v>0</v>
      </c>
      <c r="H189" s="13">
        <v>0.88541666666666696</v>
      </c>
      <c r="I189" s="4">
        <f t="shared" ref="I189:N189" si="80">SUM(I89:I92)</f>
        <v>0</v>
      </c>
      <c r="J189" s="4">
        <f t="shared" si="80"/>
        <v>0</v>
      </c>
      <c r="K189" s="4">
        <f t="shared" si="80"/>
        <v>0</v>
      </c>
      <c r="L189" s="4">
        <f t="shared" si="80"/>
        <v>0</v>
      </c>
      <c r="M189" s="4">
        <f t="shared" si="80"/>
        <v>0</v>
      </c>
      <c r="N189" s="4">
        <f t="shared" si="80"/>
        <v>0</v>
      </c>
      <c r="O189" s="13">
        <v>0.88541666666666696</v>
      </c>
      <c r="P189" s="4">
        <f t="shared" ref="P189:U189" si="81">SUM(P89:P92)</f>
        <v>0</v>
      </c>
      <c r="Q189" s="4">
        <f t="shared" si="81"/>
        <v>0</v>
      </c>
      <c r="R189" s="4">
        <f t="shared" si="81"/>
        <v>0</v>
      </c>
      <c r="S189" s="4">
        <f t="shared" si="81"/>
        <v>0</v>
      </c>
      <c r="T189" s="4">
        <f t="shared" si="81"/>
        <v>0</v>
      </c>
      <c r="U189" s="4">
        <f t="shared" si="81"/>
        <v>0</v>
      </c>
      <c r="V189" s="13">
        <v>0.88541666666666696</v>
      </c>
      <c r="W189" s="4">
        <f t="shared" ref="W189:AB189" si="82">SUM(W89:W92)</f>
        <v>0</v>
      </c>
      <c r="X189" s="4">
        <f t="shared" si="82"/>
        <v>0</v>
      </c>
      <c r="Y189" s="4">
        <f t="shared" si="82"/>
        <v>0</v>
      </c>
      <c r="Z189" s="4">
        <f t="shared" si="82"/>
        <v>0</v>
      </c>
      <c r="AA189" s="4">
        <f t="shared" si="82"/>
        <v>0</v>
      </c>
      <c r="AB189" s="4">
        <f t="shared" si="82"/>
        <v>0</v>
      </c>
      <c r="AC189" s="13">
        <v>0.88541666666666696</v>
      </c>
      <c r="AE189" s="30"/>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25">
      <c r="A190" s="20">
        <v>0.89583333333333304</v>
      </c>
      <c r="B190" s="4">
        <f t="shared" si="19"/>
        <v>0</v>
      </c>
      <c r="C190" s="4">
        <f t="shared" si="19"/>
        <v>0</v>
      </c>
      <c r="D190" s="4">
        <f t="shared" si="19"/>
        <v>0</v>
      </c>
      <c r="E190" s="4">
        <f t="shared" si="19"/>
        <v>0</v>
      </c>
      <c r="F190" s="4">
        <f t="shared" si="19"/>
        <v>0</v>
      </c>
      <c r="G190" s="4">
        <f t="shared" si="19"/>
        <v>0</v>
      </c>
      <c r="H190" s="20">
        <v>0.89583333333333304</v>
      </c>
      <c r="I190" s="4">
        <f t="shared" ref="I190:N190" si="83">SUM(I90:I93)</f>
        <v>0</v>
      </c>
      <c r="J190" s="4">
        <f t="shared" si="83"/>
        <v>0</v>
      </c>
      <c r="K190" s="4">
        <f t="shared" si="83"/>
        <v>0</v>
      </c>
      <c r="L190" s="4">
        <f t="shared" si="83"/>
        <v>0</v>
      </c>
      <c r="M190" s="4">
        <f t="shared" si="83"/>
        <v>0</v>
      </c>
      <c r="N190" s="4">
        <f t="shared" si="83"/>
        <v>0</v>
      </c>
      <c r="O190" s="20">
        <v>0.89583333333333304</v>
      </c>
      <c r="P190" s="4">
        <f t="shared" ref="P190:U190" si="84">SUM(P90:P93)</f>
        <v>0</v>
      </c>
      <c r="Q190" s="4">
        <f t="shared" si="84"/>
        <v>0</v>
      </c>
      <c r="R190" s="4">
        <f t="shared" si="84"/>
        <v>0</v>
      </c>
      <c r="S190" s="4">
        <f t="shared" si="84"/>
        <v>0</v>
      </c>
      <c r="T190" s="4">
        <f t="shared" si="84"/>
        <v>0</v>
      </c>
      <c r="U190" s="4">
        <f t="shared" si="84"/>
        <v>0</v>
      </c>
      <c r="V190" s="20">
        <v>0.89583333333333304</v>
      </c>
      <c r="W190" s="4">
        <f t="shared" ref="W190:AB190" si="85">SUM(W90:W93)</f>
        <v>0</v>
      </c>
      <c r="X190" s="4">
        <f t="shared" si="85"/>
        <v>0</v>
      </c>
      <c r="Y190" s="4">
        <f t="shared" si="85"/>
        <v>0</v>
      </c>
      <c r="Z190" s="4">
        <f t="shared" si="85"/>
        <v>0</v>
      </c>
      <c r="AA190" s="4">
        <f t="shared" si="85"/>
        <v>0</v>
      </c>
      <c r="AB190" s="4">
        <f t="shared" si="85"/>
        <v>0</v>
      </c>
      <c r="AC190" s="20">
        <v>0.89583333333333304</v>
      </c>
      <c r="AE190" s="30"/>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25">
      <c r="A191" s="13">
        <v>0.90625</v>
      </c>
      <c r="B191" s="4">
        <f t="shared" si="19"/>
        <v>0</v>
      </c>
      <c r="C191" s="4">
        <f t="shared" si="19"/>
        <v>0</v>
      </c>
      <c r="D191" s="4">
        <f t="shared" si="19"/>
        <v>0</v>
      </c>
      <c r="E191" s="4">
        <f t="shared" si="19"/>
        <v>0</v>
      </c>
      <c r="F191" s="4">
        <f t="shared" si="19"/>
        <v>0</v>
      </c>
      <c r="G191" s="4">
        <f t="shared" si="19"/>
        <v>0</v>
      </c>
      <c r="H191" s="13">
        <v>0.90625</v>
      </c>
      <c r="I191" s="4">
        <f t="shared" ref="I191:N191" si="86">SUM(I91:I94)</f>
        <v>0</v>
      </c>
      <c r="J191" s="4">
        <f t="shared" si="86"/>
        <v>0</v>
      </c>
      <c r="K191" s="4">
        <f t="shared" si="86"/>
        <v>0</v>
      </c>
      <c r="L191" s="4">
        <f t="shared" si="86"/>
        <v>0</v>
      </c>
      <c r="M191" s="4">
        <f t="shared" si="86"/>
        <v>0</v>
      </c>
      <c r="N191" s="4">
        <f t="shared" si="86"/>
        <v>0</v>
      </c>
      <c r="O191" s="13">
        <v>0.90625</v>
      </c>
      <c r="P191" s="4">
        <f t="shared" ref="P191:U191" si="87">SUM(P91:P94)</f>
        <v>0</v>
      </c>
      <c r="Q191" s="4">
        <f t="shared" si="87"/>
        <v>0</v>
      </c>
      <c r="R191" s="4">
        <f t="shared" si="87"/>
        <v>0</v>
      </c>
      <c r="S191" s="4">
        <f t="shared" si="87"/>
        <v>0</v>
      </c>
      <c r="T191" s="4">
        <f t="shared" si="87"/>
        <v>0</v>
      </c>
      <c r="U191" s="4">
        <f t="shared" si="87"/>
        <v>0</v>
      </c>
      <c r="V191" s="13">
        <v>0.90625</v>
      </c>
      <c r="W191" s="4">
        <f t="shared" ref="W191:AB191" si="88">SUM(W91:W94)</f>
        <v>0</v>
      </c>
      <c r="X191" s="4">
        <f t="shared" si="88"/>
        <v>0</v>
      </c>
      <c r="Y191" s="4">
        <f t="shared" si="88"/>
        <v>0</v>
      </c>
      <c r="Z191" s="4">
        <f t="shared" si="88"/>
        <v>0</v>
      </c>
      <c r="AA191" s="4">
        <f t="shared" si="88"/>
        <v>0</v>
      </c>
      <c r="AB191" s="4">
        <f t="shared" si="88"/>
        <v>0</v>
      </c>
      <c r="AC191" s="13">
        <v>0.90625</v>
      </c>
      <c r="AE191" s="30"/>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25">
      <c r="A192" s="18">
        <v>0.91666666666666696</v>
      </c>
      <c r="B192" s="4">
        <f t="shared" si="19"/>
        <v>0</v>
      </c>
      <c r="C192" s="4">
        <f t="shared" si="19"/>
        <v>0</v>
      </c>
      <c r="D192" s="4">
        <f t="shared" si="19"/>
        <v>0</v>
      </c>
      <c r="E192" s="4">
        <f t="shared" si="19"/>
        <v>0</v>
      </c>
      <c r="F192" s="4">
        <f t="shared" si="19"/>
        <v>0</v>
      </c>
      <c r="G192" s="4">
        <f t="shared" si="19"/>
        <v>0</v>
      </c>
      <c r="H192" s="18">
        <v>0.91666666666666696</v>
      </c>
      <c r="I192" s="4">
        <f t="shared" ref="I192:N192" si="89">SUM(I92:I95)</f>
        <v>0</v>
      </c>
      <c r="J192" s="4">
        <f t="shared" si="89"/>
        <v>0</v>
      </c>
      <c r="K192" s="4">
        <f t="shared" si="89"/>
        <v>0</v>
      </c>
      <c r="L192" s="4">
        <f t="shared" si="89"/>
        <v>0</v>
      </c>
      <c r="M192" s="4">
        <f t="shared" si="89"/>
        <v>0</v>
      </c>
      <c r="N192" s="4">
        <f t="shared" si="89"/>
        <v>0</v>
      </c>
      <c r="O192" s="18">
        <v>0.91666666666666696</v>
      </c>
      <c r="P192" s="4">
        <f t="shared" ref="P192:U192" si="90">SUM(P92:P95)</f>
        <v>0</v>
      </c>
      <c r="Q192" s="4">
        <f t="shared" si="90"/>
        <v>0</v>
      </c>
      <c r="R192" s="4">
        <f t="shared" si="90"/>
        <v>0</v>
      </c>
      <c r="S192" s="4">
        <f t="shared" si="90"/>
        <v>0</v>
      </c>
      <c r="T192" s="4">
        <f t="shared" si="90"/>
        <v>0</v>
      </c>
      <c r="U192" s="4">
        <f t="shared" si="90"/>
        <v>0</v>
      </c>
      <c r="V192" s="18">
        <v>0.91666666666666696</v>
      </c>
      <c r="W192" s="4">
        <f t="shared" ref="W192:AB192" si="91">SUM(W92:W95)</f>
        <v>0</v>
      </c>
      <c r="X192" s="4">
        <f t="shared" si="91"/>
        <v>0</v>
      </c>
      <c r="Y192" s="4">
        <f t="shared" si="91"/>
        <v>0</v>
      </c>
      <c r="Z192" s="4">
        <f t="shared" si="91"/>
        <v>0</v>
      </c>
      <c r="AA192" s="4">
        <f t="shared" si="91"/>
        <v>0</v>
      </c>
      <c r="AB192" s="4">
        <f t="shared" si="91"/>
        <v>0</v>
      </c>
      <c r="AC192" s="18">
        <v>0.91666666666666696</v>
      </c>
      <c r="AE192" s="30"/>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25">
      <c r="A193" s="13">
        <v>0.92708333333333304</v>
      </c>
      <c r="B193" s="4">
        <f t="shared" si="19"/>
        <v>0</v>
      </c>
      <c r="C193" s="4">
        <f t="shared" si="19"/>
        <v>0</v>
      </c>
      <c r="D193" s="4">
        <f t="shared" si="19"/>
        <v>0</v>
      </c>
      <c r="E193" s="4">
        <f t="shared" si="19"/>
        <v>0</v>
      </c>
      <c r="F193" s="4">
        <f t="shared" si="19"/>
        <v>0</v>
      </c>
      <c r="G193" s="4">
        <f t="shared" si="19"/>
        <v>0</v>
      </c>
      <c r="H193" s="13">
        <v>0.92708333333333304</v>
      </c>
      <c r="I193" s="4">
        <f t="shared" ref="I193:N193" si="92">SUM(I93:I96)</f>
        <v>0</v>
      </c>
      <c r="J193" s="4">
        <f t="shared" si="92"/>
        <v>0</v>
      </c>
      <c r="K193" s="4">
        <f t="shared" si="92"/>
        <v>0</v>
      </c>
      <c r="L193" s="4">
        <f t="shared" si="92"/>
        <v>0</v>
      </c>
      <c r="M193" s="4">
        <f t="shared" si="92"/>
        <v>0</v>
      </c>
      <c r="N193" s="4">
        <f t="shared" si="92"/>
        <v>0</v>
      </c>
      <c r="O193" s="13">
        <v>0.92708333333333304</v>
      </c>
      <c r="P193" s="4">
        <f t="shared" ref="P193:U193" si="93">SUM(P93:P96)</f>
        <v>0</v>
      </c>
      <c r="Q193" s="4">
        <f t="shared" si="93"/>
        <v>0</v>
      </c>
      <c r="R193" s="4">
        <f t="shared" si="93"/>
        <v>0</v>
      </c>
      <c r="S193" s="4">
        <f t="shared" si="93"/>
        <v>0</v>
      </c>
      <c r="T193" s="4">
        <f t="shared" si="93"/>
        <v>0</v>
      </c>
      <c r="U193" s="4">
        <f t="shared" si="93"/>
        <v>0</v>
      </c>
      <c r="V193" s="13">
        <v>0.92708333333333304</v>
      </c>
      <c r="W193" s="4">
        <f t="shared" ref="W193:AB193" si="94">SUM(W93:W96)</f>
        <v>0</v>
      </c>
      <c r="X193" s="4">
        <f t="shared" si="94"/>
        <v>0</v>
      </c>
      <c r="Y193" s="4">
        <f t="shared" si="94"/>
        <v>0</v>
      </c>
      <c r="Z193" s="4">
        <f t="shared" si="94"/>
        <v>0</v>
      </c>
      <c r="AA193" s="4">
        <f t="shared" si="94"/>
        <v>0</v>
      </c>
      <c r="AB193" s="4">
        <f t="shared" si="94"/>
        <v>0</v>
      </c>
      <c r="AC193" s="13">
        <v>0.92708333333333304</v>
      </c>
      <c r="AE193" s="30"/>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25">
      <c r="A194" s="20">
        <v>0.9375</v>
      </c>
      <c r="B194" s="4">
        <f t="shared" si="19"/>
        <v>0</v>
      </c>
      <c r="C194" s="4">
        <f t="shared" si="19"/>
        <v>0</v>
      </c>
      <c r="D194" s="4">
        <f t="shared" si="19"/>
        <v>0</v>
      </c>
      <c r="E194" s="4">
        <f t="shared" si="19"/>
        <v>0</v>
      </c>
      <c r="F194" s="4">
        <f t="shared" si="19"/>
        <v>0</v>
      </c>
      <c r="G194" s="4">
        <f t="shared" si="19"/>
        <v>0</v>
      </c>
      <c r="H194" s="20">
        <v>0.9375</v>
      </c>
      <c r="I194" s="4">
        <f t="shared" ref="I194:N194" si="95">SUM(I94:I97)</f>
        <v>0</v>
      </c>
      <c r="J194" s="4">
        <f t="shared" si="95"/>
        <v>0</v>
      </c>
      <c r="K194" s="4">
        <f t="shared" si="95"/>
        <v>0</v>
      </c>
      <c r="L194" s="4">
        <f t="shared" si="95"/>
        <v>0</v>
      </c>
      <c r="M194" s="4">
        <f t="shared" si="95"/>
        <v>0</v>
      </c>
      <c r="N194" s="4">
        <f t="shared" si="95"/>
        <v>0</v>
      </c>
      <c r="O194" s="20">
        <v>0.9375</v>
      </c>
      <c r="P194" s="4">
        <f t="shared" ref="P194:U194" si="96">SUM(P94:P97)</f>
        <v>0</v>
      </c>
      <c r="Q194" s="4">
        <f t="shared" si="96"/>
        <v>0</v>
      </c>
      <c r="R194" s="4">
        <f t="shared" si="96"/>
        <v>0</v>
      </c>
      <c r="S194" s="4">
        <f t="shared" si="96"/>
        <v>0</v>
      </c>
      <c r="T194" s="4">
        <f t="shared" si="96"/>
        <v>0</v>
      </c>
      <c r="U194" s="4">
        <f t="shared" si="96"/>
        <v>0</v>
      </c>
      <c r="V194" s="20">
        <v>0.9375</v>
      </c>
      <c r="W194" s="4">
        <f t="shared" ref="W194:AB194" si="97">SUM(W94:W97)</f>
        <v>0</v>
      </c>
      <c r="X194" s="4">
        <f t="shared" si="97"/>
        <v>0</v>
      </c>
      <c r="Y194" s="4">
        <f t="shared" si="97"/>
        <v>0</v>
      </c>
      <c r="Z194" s="4">
        <f t="shared" si="97"/>
        <v>0</v>
      </c>
      <c r="AA194" s="4">
        <f t="shared" si="97"/>
        <v>0</v>
      </c>
      <c r="AB194" s="4">
        <f t="shared" si="97"/>
        <v>0</v>
      </c>
      <c r="AC194" s="20">
        <v>0.9375</v>
      </c>
      <c r="AE194" s="30"/>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25">
      <c r="A195" s="13">
        <v>0.94791666666666696</v>
      </c>
      <c r="B195" s="4">
        <f t="shared" si="19"/>
        <v>0</v>
      </c>
      <c r="C195" s="4">
        <f t="shared" si="19"/>
        <v>0</v>
      </c>
      <c r="D195" s="4">
        <f t="shared" si="19"/>
        <v>0</v>
      </c>
      <c r="E195" s="4">
        <f t="shared" si="19"/>
        <v>0</v>
      </c>
      <c r="F195" s="4">
        <f t="shared" si="19"/>
        <v>0</v>
      </c>
      <c r="G195" s="4">
        <f t="shared" si="19"/>
        <v>0</v>
      </c>
      <c r="H195" s="13">
        <v>0.94791666666666696</v>
      </c>
      <c r="I195" s="4">
        <f t="shared" ref="I195:N195" si="98">SUM(I95:I98)</f>
        <v>0</v>
      </c>
      <c r="J195" s="4">
        <f t="shared" si="98"/>
        <v>0</v>
      </c>
      <c r="K195" s="4">
        <f t="shared" si="98"/>
        <v>0</v>
      </c>
      <c r="L195" s="4">
        <f t="shared" si="98"/>
        <v>0</v>
      </c>
      <c r="M195" s="4">
        <f t="shared" si="98"/>
        <v>0</v>
      </c>
      <c r="N195" s="4">
        <f t="shared" si="98"/>
        <v>0</v>
      </c>
      <c r="O195" s="13">
        <v>0.94791666666666696</v>
      </c>
      <c r="P195" s="4">
        <f t="shared" ref="P195:U195" si="99">SUM(P95:P98)</f>
        <v>0</v>
      </c>
      <c r="Q195" s="4">
        <f t="shared" si="99"/>
        <v>0</v>
      </c>
      <c r="R195" s="4">
        <f t="shared" si="99"/>
        <v>0</v>
      </c>
      <c r="S195" s="4">
        <f t="shared" si="99"/>
        <v>0</v>
      </c>
      <c r="T195" s="4">
        <f t="shared" si="99"/>
        <v>0</v>
      </c>
      <c r="U195" s="4">
        <f t="shared" si="99"/>
        <v>0</v>
      </c>
      <c r="V195" s="13">
        <v>0.94791666666666696</v>
      </c>
      <c r="W195" s="4">
        <f t="shared" ref="W195:AB195" si="100">SUM(W95:W98)</f>
        <v>0</v>
      </c>
      <c r="X195" s="4">
        <f t="shared" si="100"/>
        <v>0</v>
      </c>
      <c r="Y195" s="4">
        <f t="shared" si="100"/>
        <v>0</v>
      </c>
      <c r="Z195" s="4">
        <f t="shared" si="100"/>
        <v>0</v>
      </c>
      <c r="AA195" s="4">
        <f t="shared" si="100"/>
        <v>0</v>
      </c>
      <c r="AB195" s="4">
        <f t="shared" si="100"/>
        <v>0</v>
      </c>
      <c r="AC195" s="13">
        <v>0.94791666666666696</v>
      </c>
      <c r="AE195" s="30"/>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25">
      <c r="A196" s="18">
        <v>0.95833333333333304</v>
      </c>
      <c r="B196" s="4">
        <f t="shared" si="19"/>
        <v>0</v>
      </c>
      <c r="C196" s="4">
        <f t="shared" si="19"/>
        <v>0</v>
      </c>
      <c r="D196" s="4">
        <f t="shared" si="19"/>
        <v>0</v>
      </c>
      <c r="E196" s="4">
        <f t="shared" si="19"/>
        <v>0</v>
      </c>
      <c r="F196" s="4">
        <f t="shared" si="19"/>
        <v>0</v>
      </c>
      <c r="G196" s="4">
        <f t="shared" si="19"/>
        <v>0</v>
      </c>
      <c r="H196" s="18">
        <v>0.95833333333333304</v>
      </c>
      <c r="I196" s="4">
        <f t="shared" ref="I196:N196" si="101">SUM(I96:I99)</f>
        <v>0</v>
      </c>
      <c r="J196" s="4">
        <f t="shared" si="101"/>
        <v>0</v>
      </c>
      <c r="K196" s="4">
        <f t="shared" si="101"/>
        <v>0</v>
      </c>
      <c r="L196" s="4">
        <f t="shared" si="101"/>
        <v>0</v>
      </c>
      <c r="M196" s="4">
        <f t="shared" si="101"/>
        <v>0</v>
      </c>
      <c r="N196" s="4">
        <f t="shared" si="101"/>
        <v>0</v>
      </c>
      <c r="O196" s="18">
        <v>0.95833333333333304</v>
      </c>
      <c r="P196" s="4">
        <f t="shared" ref="P196:U196" si="102">SUM(P96:P99)</f>
        <v>0</v>
      </c>
      <c r="Q196" s="4">
        <f t="shared" si="102"/>
        <v>0</v>
      </c>
      <c r="R196" s="4">
        <f t="shared" si="102"/>
        <v>0</v>
      </c>
      <c r="S196" s="4">
        <f t="shared" si="102"/>
        <v>0</v>
      </c>
      <c r="T196" s="4">
        <f t="shared" si="102"/>
        <v>0</v>
      </c>
      <c r="U196" s="4">
        <f t="shared" si="102"/>
        <v>0</v>
      </c>
      <c r="V196" s="18">
        <v>0.95833333333333304</v>
      </c>
      <c r="W196" s="4">
        <f t="shared" ref="W196:AB196" si="103">SUM(W96:W99)</f>
        <v>0</v>
      </c>
      <c r="X196" s="4">
        <f t="shared" si="103"/>
        <v>0</v>
      </c>
      <c r="Y196" s="4">
        <f t="shared" si="103"/>
        <v>0</v>
      </c>
      <c r="Z196" s="4">
        <f t="shared" si="103"/>
        <v>0</v>
      </c>
      <c r="AA196" s="4">
        <f t="shared" si="103"/>
        <v>0</v>
      </c>
      <c r="AB196" s="4">
        <f t="shared" si="103"/>
        <v>0</v>
      </c>
      <c r="AC196" s="18">
        <v>0.95833333333333304</v>
      </c>
      <c r="AE196" s="30"/>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25">
      <c r="A197" s="13">
        <v>0.96875</v>
      </c>
      <c r="B197" s="4">
        <f>SUM(B97:B99,B4)</f>
        <v>0</v>
      </c>
      <c r="C197" s="4">
        <f t="shared" ref="C197:G197" si="104">SUM(C97:C99,C4)</f>
        <v>0</v>
      </c>
      <c r="D197" s="4">
        <f t="shared" si="104"/>
        <v>0</v>
      </c>
      <c r="E197" s="4">
        <f t="shared" si="104"/>
        <v>0</v>
      </c>
      <c r="F197" s="4">
        <f t="shared" si="104"/>
        <v>0</v>
      </c>
      <c r="G197" s="4">
        <f t="shared" si="104"/>
        <v>0</v>
      </c>
      <c r="H197" s="13">
        <v>0.96875</v>
      </c>
      <c r="I197" s="4">
        <f>SUM(I97:I99,I4)</f>
        <v>0</v>
      </c>
      <c r="J197" s="4">
        <f t="shared" ref="J197:N197" si="105">SUM(J97:J99,J4)</f>
        <v>0</v>
      </c>
      <c r="K197" s="4">
        <f t="shared" si="105"/>
        <v>0</v>
      </c>
      <c r="L197" s="4">
        <f t="shared" si="105"/>
        <v>0</v>
      </c>
      <c r="M197" s="4">
        <f t="shared" si="105"/>
        <v>0</v>
      </c>
      <c r="N197" s="4">
        <f t="shared" si="105"/>
        <v>0</v>
      </c>
      <c r="O197" s="13">
        <v>0.96875</v>
      </c>
      <c r="P197" s="4">
        <f>SUM(P97:P99,P4)</f>
        <v>0</v>
      </c>
      <c r="Q197" s="4">
        <f t="shared" ref="Q197:U197" si="106">SUM(Q97:Q99,Q4)</f>
        <v>0</v>
      </c>
      <c r="R197" s="4">
        <f t="shared" si="106"/>
        <v>0</v>
      </c>
      <c r="S197" s="4">
        <f t="shared" si="106"/>
        <v>0</v>
      </c>
      <c r="T197" s="4">
        <f t="shared" si="106"/>
        <v>0</v>
      </c>
      <c r="U197" s="4">
        <f t="shared" si="106"/>
        <v>0</v>
      </c>
      <c r="V197" s="13">
        <v>0.96875</v>
      </c>
      <c r="W197" s="4">
        <f>SUM(W97:W99,W4)</f>
        <v>0</v>
      </c>
      <c r="X197" s="4">
        <f t="shared" ref="X197:AB197" si="107">SUM(X97:X99,X4)</f>
        <v>0</v>
      </c>
      <c r="Y197" s="4">
        <f t="shared" si="107"/>
        <v>0</v>
      </c>
      <c r="Z197" s="4">
        <f t="shared" si="107"/>
        <v>0</v>
      </c>
      <c r="AA197" s="4">
        <f t="shared" si="107"/>
        <v>0</v>
      </c>
      <c r="AB197" s="4">
        <f t="shared" si="107"/>
        <v>0</v>
      </c>
      <c r="AC197" s="13">
        <v>0.96875</v>
      </c>
      <c r="AE197" s="30"/>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25">
      <c r="A198" s="20">
        <v>0.97916666666666696</v>
      </c>
      <c r="B198" s="4">
        <f>SUM(B98:B99,B5:B6)</f>
        <v>0</v>
      </c>
      <c r="C198" s="4">
        <f t="shared" ref="C198:G198" si="108">SUM(C98:C99,C5:C6)</f>
        <v>0</v>
      </c>
      <c r="D198" s="4">
        <f t="shared" si="108"/>
        <v>0</v>
      </c>
      <c r="E198" s="4">
        <f t="shared" si="108"/>
        <v>0</v>
      </c>
      <c r="F198" s="4">
        <f t="shared" si="108"/>
        <v>0</v>
      </c>
      <c r="G198" s="4">
        <f t="shared" si="108"/>
        <v>0</v>
      </c>
      <c r="H198" s="20">
        <v>0.97916666666666696</v>
      </c>
      <c r="I198" s="4">
        <f>SUM(I98:I99,I5:I6)</f>
        <v>0</v>
      </c>
      <c r="J198" s="4">
        <f t="shared" ref="J198:N198" si="109">SUM(J98:J99,J5:J6)</f>
        <v>0</v>
      </c>
      <c r="K198" s="4">
        <f t="shared" si="109"/>
        <v>0</v>
      </c>
      <c r="L198" s="4">
        <f t="shared" si="109"/>
        <v>0</v>
      </c>
      <c r="M198" s="4">
        <f t="shared" si="109"/>
        <v>0</v>
      </c>
      <c r="N198" s="4">
        <f t="shared" si="109"/>
        <v>0</v>
      </c>
      <c r="O198" s="20">
        <v>0.97916666666666696</v>
      </c>
      <c r="P198" s="4">
        <f>SUM(P98:P99,P5:P6)</f>
        <v>0</v>
      </c>
      <c r="Q198" s="4">
        <f t="shared" ref="Q198:U198" si="110">SUM(Q98:Q99,Q5:Q6)</f>
        <v>0</v>
      </c>
      <c r="R198" s="4">
        <f t="shared" si="110"/>
        <v>0</v>
      </c>
      <c r="S198" s="4">
        <f t="shared" si="110"/>
        <v>0</v>
      </c>
      <c r="T198" s="4">
        <f t="shared" si="110"/>
        <v>0</v>
      </c>
      <c r="U198" s="4">
        <f t="shared" si="110"/>
        <v>0</v>
      </c>
      <c r="V198" s="20">
        <v>0.97916666666666696</v>
      </c>
      <c r="W198" s="4">
        <f>SUM(W98:W99,W5:W6)</f>
        <v>0</v>
      </c>
      <c r="X198" s="4">
        <f t="shared" ref="X198:AB198" si="111">SUM(X98:X99,X5:X6)</f>
        <v>0</v>
      </c>
      <c r="Y198" s="4">
        <f t="shared" si="111"/>
        <v>0</v>
      </c>
      <c r="Z198" s="4">
        <f t="shared" si="111"/>
        <v>0</v>
      </c>
      <c r="AA198" s="4">
        <f t="shared" si="111"/>
        <v>0</v>
      </c>
      <c r="AB198" s="4">
        <f t="shared" si="111"/>
        <v>0</v>
      </c>
      <c r="AC198" s="20">
        <v>0.97916666666666696</v>
      </c>
      <c r="AE198" s="30"/>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25">
      <c r="A199" s="13">
        <v>0.98958333333333304</v>
      </c>
      <c r="B199" s="4">
        <f>SUM(B99,B5:B7)</f>
        <v>0</v>
      </c>
      <c r="C199" s="4">
        <f t="shared" ref="C199:G199" si="112">SUM(C99,C5:C7)</f>
        <v>0</v>
      </c>
      <c r="D199" s="4">
        <f t="shared" si="112"/>
        <v>0</v>
      </c>
      <c r="E199" s="4">
        <f t="shared" si="112"/>
        <v>0</v>
      </c>
      <c r="F199" s="4">
        <f t="shared" si="112"/>
        <v>0</v>
      </c>
      <c r="G199" s="4">
        <f t="shared" si="112"/>
        <v>0</v>
      </c>
      <c r="H199" s="13">
        <v>0.98958333333333304</v>
      </c>
      <c r="I199" s="4">
        <f>SUM(I99,I5:I7)</f>
        <v>0</v>
      </c>
      <c r="J199" s="4">
        <f t="shared" ref="J199:N199" si="113">SUM(J99,J5:J7)</f>
        <v>0</v>
      </c>
      <c r="K199" s="4">
        <f t="shared" si="113"/>
        <v>0</v>
      </c>
      <c r="L199" s="4">
        <f t="shared" si="113"/>
        <v>0</v>
      </c>
      <c r="M199" s="4">
        <f t="shared" si="113"/>
        <v>0</v>
      </c>
      <c r="N199" s="4">
        <f t="shared" si="113"/>
        <v>0</v>
      </c>
      <c r="O199" s="13">
        <v>0.98958333333333304</v>
      </c>
      <c r="P199" s="4">
        <f>SUM(P99,P5:P7)</f>
        <v>0</v>
      </c>
      <c r="Q199" s="4">
        <f t="shared" ref="Q199:U199" si="114">SUM(Q99,Q5:Q7)</f>
        <v>0</v>
      </c>
      <c r="R199" s="4">
        <f t="shared" si="114"/>
        <v>0</v>
      </c>
      <c r="S199" s="4">
        <f t="shared" si="114"/>
        <v>0</v>
      </c>
      <c r="T199" s="4">
        <f t="shared" si="114"/>
        <v>0</v>
      </c>
      <c r="U199" s="4">
        <f t="shared" si="114"/>
        <v>0</v>
      </c>
      <c r="V199" s="13">
        <v>0.98958333333333304</v>
      </c>
      <c r="W199" s="4">
        <f>SUM(W99,W5:W7)</f>
        <v>0</v>
      </c>
      <c r="X199" s="4">
        <f t="shared" ref="X199:AB199" si="115">SUM(X99,X5:X7)</f>
        <v>0</v>
      </c>
      <c r="Y199" s="4">
        <f t="shared" si="115"/>
        <v>0</v>
      </c>
      <c r="Z199" s="4">
        <f t="shared" si="115"/>
        <v>0</v>
      </c>
      <c r="AA199" s="4">
        <f t="shared" si="115"/>
        <v>0</v>
      </c>
      <c r="AB199" s="4">
        <f t="shared" si="115"/>
        <v>0</v>
      </c>
      <c r="AC199" s="13">
        <v>0.98958333333333304</v>
      </c>
      <c r="AE199" s="30"/>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1" spans="1:55"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row>
    <row r="202" spans="1:55" x14ac:dyDescent="0.25">
      <c r="A202" s="24"/>
      <c r="B202" s="248"/>
      <c r="C202" s="248"/>
      <c r="D202" s="248"/>
      <c r="E202" s="248"/>
      <c r="F202" s="248"/>
      <c r="G202" s="248"/>
      <c r="H202" s="24"/>
      <c r="I202" s="248"/>
      <c r="J202" s="248"/>
      <c r="K202" s="248"/>
      <c r="L202" s="248"/>
      <c r="M202" s="248"/>
      <c r="N202" s="248"/>
      <c r="O202" s="24"/>
      <c r="P202" s="248"/>
      <c r="Q202" s="248"/>
      <c r="R202" s="248"/>
      <c r="S202" s="248"/>
      <c r="T202" s="248"/>
      <c r="U202" s="248"/>
      <c r="V202" s="24"/>
      <c r="W202" s="248"/>
      <c r="X202" s="248"/>
      <c r="Y202" s="248"/>
      <c r="Z202" s="248"/>
      <c r="AA202" s="248"/>
      <c r="AB202" s="248"/>
      <c r="AC202" s="28"/>
      <c r="AD202" s="28"/>
      <c r="AE202" s="28"/>
    </row>
    <row r="203" spans="1:55" x14ac:dyDescent="0.25">
      <c r="A203" s="24"/>
      <c r="B203" s="248"/>
      <c r="C203" s="248"/>
      <c r="D203" s="248"/>
      <c r="E203" s="248"/>
      <c r="F203" s="248"/>
      <c r="G203" s="248"/>
      <c r="H203" s="24"/>
      <c r="I203" s="248"/>
      <c r="J203" s="248"/>
      <c r="K203" s="248"/>
      <c r="L203" s="248"/>
      <c r="M203" s="248"/>
      <c r="N203" s="248"/>
      <c r="O203" s="24"/>
      <c r="P203" s="248"/>
      <c r="Q203" s="248"/>
      <c r="R203" s="248"/>
      <c r="S203" s="248"/>
      <c r="T203" s="248"/>
      <c r="U203" s="248"/>
      <c r="V203" s="24"/>
      <c r="W203" s="248"/>
      <c r="X203" s="248"/>
      <c r="Y203" s="248"/>
      <c r="Z203" s="248"/>
      <c r="AA203" s="248"/>
      <c r="AB203" s="248"/>
      <c r="AC203" s="28"/>
      <c r="AD203" s="28"/>
      <c r="AE203" s="28"/>
    </row>
    <row r="204" spans="1:55"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row>
    <row r="205" spans="1:55" x14ac:dyDescent="0.25">
      <c r="A205" s="24"/>
      <c r="B205" s="28"/>
      <c r="C205" s="28"/>
      <c r="D205" s="28"/>
      <c r="E205" s="28"/>
      <c r="F205" s="28"/>
      <c r="G205" s="28"/>
      <c r="H205" s="24"/>
      <c r="I205" s="28"/>
      <c r="J205" s="28"/>
      <c r="K205" s="28"/>
      <c r="L205" s="28"/>
      <c r="M205" s="28"/>
      <c r="N205" s="28"/>
      <c r="O205" s="24"/>
      <c r="P205" s="28"/>
      <c r="Q205" s="28"/>
      <c r="R205" s="28"/>
      <c r="S205" s="28"/>
      <c r="T205" s="28"/>
      <c r="U205" s="28"/>
      <c r="V205" s="24"/>
      <c r="W205" s="28"/>
      <c r="X205" s="28"/>
      <c r="Y205" s="28"/>
      <c r="Z205" s="28"/>
      <c r="AA205" s="28"/>
      <c r="AB205" s="28"/>
      <c r="AC205" s="28"/>
      <c r="AD205" s="28"/>
      <c r="AE205" s="28"/>
    </row>
    <row r="206" spans="1:55" x14ac:dyDescent="0.25">
      <c r="A206" s="30"/>
      <c r="B206" s="28"/>
      <c r="C206" s="28"/>
      <c r="D206" s="28"/>
      <c r="E206" s="28"/>
      <c r="F206" s="28"/>
      <c r="G206" s="28"/>
      <c r="H206" s="30"/>
      <c r="I206" s="28"/>
      <c r="J206" s="28"/>
      <c r="K206" s="28"/>
      <c r="L206" s="28"/>
      <c r="M206" s="28"/>
      <c r="N206" s="28"/>
      <c r="O206" s="30"/>
      <c r="P206" s="28"/>
      <c r="Q206" s="28"/>
      <c r="R206" s="28"/>
      <c r="S206" s="28"/>
      <c r="T206" s="28"/>
      <c r="U206" s="28"/>
      <c r="V206" s="30"/>
      <c r="W206" s="28"/>
      <c r="X206" s="28"/>
      <c r="Y206" s="28"/>
      <c r="Z206" s="28"/>
      <c r="AA206" s="28"/>
      <c r="AB206" s="28"/>
      <c r="AC206" s="28"/>
      <c r="AD206" s="28"/>
      <c r="AE206" s="28"/>
    </row>
    <row r="207" spans="1:55" x14ac:dyDescent="0.25">
      <c r="A207" s="30"/>
      <c r="B207" s="28"/>
      <c r="C207" s="28"/>
      <c r="D207" s="28"/>
      <c r="E207" s="28"/>
      <c r="F207" s="28"/>
      <c r="G207" s="28"/>
      <c r="H207" s="30"/>
      <c r="I207" s="28"/>
      <c r="J207" s="28"/>
      <c r="K207" s="28"/>
      <c r="L207" s="28"/>
      <c r="M207" s="28"/>
      <c r="N207" s="28"/>
      <c r="O207" s="30"/>
      <c r="P207" s="28"/>
      <c r="Q207" s="28"/>
      <c r="R207" s="28"/>
      <c r="S207" s="28"/>
      <c r="T207" s="28"/>
      <c r="U207" s="28"/>
      <c r="V207" s="30"/>
      <c r="W207" s="28"/>
      <c r="X207" s="28"/>
      <c r="Y207" s="28"/>
      <c r="Z207" s="28"/>
      <c r="AA207" s="28"/>
      <c r="AB207" s="28"/>
      <c r="AC207" s="28"/>
      <c r="AD207" s="28"/>
      <c r="AE207" s="28"/>
    </row>
    <row r="208" spans="1:55" x14ac:dyDescent="0.25">
      <c r="A208" s="30"/>
      <c r="B208" s="28"/>
      <c r="C208" s="28"/>
      <c r="D208" s="28"/>
      <c r="E208" s="28"/>
      <c r="F208" s="28"/>
      <c r="G208" s="28"/>
      <c r="H208" s="30"/>
      <c r="I208" s="28"/>
      <c r="J208" s="28"/>
      <c r="K208" s="28"/>
      <c r="L208" s="28"/>
      <c r="M208" s="28"/>
      <c r="N208" s="28"/>
      <c r="O208" s="30"/>
      <c r="P208" s="28"/>
      <c r="Q208" s="28"/>
      <c r="R208" s="28"/>
      <c r="S208" s="28"/>
      <c r="T208" s="28"/>
      <c r="U208" s="28"/>
      <c r="V208" s="30"/>
      <c r="W208" s="28"/>
      <c r="X208" s="28"/>
      <c r="Y208" s="28"/>
      <c r="Z208" s="28"/>
      <c r="AA208" s="28"/>
      <c r="AB208" s="28"/>
      <c r="AC208" s="28"/>
      <c r="AD208" s="28"/>
      <c r="AE208" s="28"/>
    </row>
    <row r="209" spans="1:31" x14ac:dyDescent="0.25">
      <c r="A209" s="30"/>
      <c r="B209" s="28"/>
      <c r="C209" s="28"/>
      <c r="D209" s="28"/>
      <c r="E209" s="28"/>
      <c r="F209" s="28"/>
      <c r="G209" s="28"/>
      <c r="H209" s="30"/>
      <c r="I209" s="28"/>
      <c r="J209" s="28"/>
      <c r="K209" s="28"/>
      <c r="L209" s="28"/>
      <c r="M209" s="28"/>
      <c r="N209" s="28"/>
      <c r="O209" s="30"/>
      <c r="P209" s="28"/>
      <c r="Q209" s="28"/>
      <c r="R209" s="28"/>
      <c r="S209" s="28"/>
      <c r="T209" s="28"/>
      <c r="U209" s="28"/>
      <c r="V209" s="30"/>
      <c r="W209" s="28"/>
      <c r="X209" s="28"/>
      <c r="Y209" s="28"/>
      <c r="Z209" s="28"/>
      <c r="AA209" s="28"/>
      <c r="AB209" s="28"/>
      <c r="AC209" s="28"/>
      <c r="AD209" s="28"/>
      <c r="AE209" s="28"/>
    </row>
    <row r="210" spans="1:31" x14ac:dyDescent="0.25">
      <c r="A210" s="30"/>
      <c r="B210" s="28"/>
      <c r="C210" s="28"/>
      <c r="D210" s="28"/>
      <c r="E210" s="28"/>
      <c r="F210" s="28"/>
      <c r="G210" s="28"/>
      <c r="H210" s="30"/>
      <c r="I210" s="28"/>
      <c r="J210" s="28"/>
      <c r="K210" s="28"/>
      <c r="L210" s="28"/>
      <c r="M210" s="28"/>
      <c r="N210" s="28"/>
      <c r="O210" s="30"/>
      <c r="P210" s="28"/>
      <c r="Q210" s="28"/>
      <c r="R210" s="28"/>
      <c r="S210" s="28"/>
      <c r="T210" s="28"/>
      <c r="U210" s="28"/>
      <c r="V210" s="30"/>
      <c r="W210" s="28"/>
      <c r="X210" s="28"/>
      <c r="Y210" s="28"/>
      <c r="Z210" s="28"/>
      <c r="AA210" s="28"/>
      <c r="AB210" s="28"/>
      <c r="AC210" s="28"/>
      <c r="AD210" s="28"/>
      <c r="AE210" s="28"/>
    </row>
    <row r="211" spans="1:31" x14ac:dyDescent="0.25">
      <c r="A211" s="30"/>
      <c r="B211" s="28"/>
      <c r="C211" s="28"/>
      <c r="D211" s="28"/>
      <c r="E211" s="28"/>
      <c r="F211" s="28"/>
      <c r="G211" s="28"/>
      <c r="H211" s="30"/>
      <c r="I211" s="28"/>
      <c r="J211" s="28"/>
      <c r="K211" s="28"/>
      <c r="L211" s="28"/>
      <c r="M211" s="28"/>
      <c r="N211" s="28"/>
      <c r="O211" s="30"/>
      <c r="P211" s="28"/>
      <c r="Q211" s="28"/>
      <c r="R211" s="28"/>
      <c r="S211" s="28"/>
      <c r="T211" s="28"/>
      <c r="U211" s="28"/>
      <c r="V211" s="30"/>
      <c r="W211" s="28"/>
      <c r="X211" s="28"/>
      <c r="Y211" s="28"/>
      <c r="Z211" s="28"/>
      <c r="AA211" s="28"/>
      <c r="AB211" s="28"/>
      <c r="AC211" s="28"/>
      <c r="AD211" s="28"/>
      <c r="AE211" s="28"/>
    </row>
    <row r="212" spans="1:31" x14ac:dyDescent="0.25">
      <c r="A212" s="30"/>
      <c r="B212" s="28"/>
      <c r="C212" s="28"/>
      <c r="D212" s="28"/>
      <c r="E212" s="28"/>
      <c r="F212" s="28"/>
      <c r="G212" s="28"/>
      <c r="H212" s="30"/>
      <c r="I212" s="28"/>
      <c r="J212" s="28"/>
      <c r="K212" s="28"/>
      <c r="L212" s="28"/>
      <c r="M212" s="28"/>
      <c r="N212" s="28"/>
      <c r="O212" s="30"/>
      <c r="P212" s="28"/>
      <c r="Q212" s="28"/>
      <c r="R212" s="28"/>
      <c r="S212" s="28"/>
      <c r="T212" s="28"/>
      <c r="U212" s="28"/>
      <c r="V212" s="30"/>
      <c r="W212" s="28"/>
      <c r="X212" s="28"/>
      <c r="Y212" s="28"/>
      <c r="Z212" s="28"/>
      <c r="AA212" s="28"/>
      <c r="AB212" s="28"/>
      <c r="AC212" s="28"/>
      <c r="AD212" s="28"/>
      <c r="AE212" s="28"/>
    </row>
    <row r="213" spans="1:31" x14ac:dyDescent="0.25">
      <c r="A213" s="30"/>
      <c r="B213" s="28"/>
      <c r="C213" s="28"/>
      <c r="D213" s="28"/>
      <c r="E213" s="28"/>
      <c r="F213" s="28"/>
      <c r="G213" s="28"/>
      <c r="H213" s="30"/>
      <c r="I213" s="28"/>
      <c r="J213" s="28"/>
      <c r="K213" s="28"/>
      <c r="L213" s="28"/>
      <c r="M213" s="28"/>
      <c r="N213" s="28"/>
      <c r="O213" s="30"/>
      <c r="P213" s="28"/>
      <c r="Q213" s="28"/>
      <c r="R213" s="28"/>
      <c r="S213" s="28"/>
      <c r="T213" s="28"/>
      <c r="U213" s="28"/>
      <c r="V213" s="30"/>
      <c r="W213" s="28"/>
      <c r="X213" s="28"/>
      <c r="Y213" s="28"/>
      <c r="Z213" s="28"/>
      <c r="AA213" s="28"/>
      <c r="AB213" s="28"/>
      <c r="AC213" s="28"/>
      <c r="AD213" s="28"/>
      <c r="AE213" s="28"/>
    </row>
    <row r="214" spans="1:31" x14ac:dyDescent="0.25">
      <c r="A214" s="30"/>
      <c r="B214" s="28"/>
      <c r="C214" s="28"/>
      <c r="D214" s="28"/>
      <c r="E214" s="28"/>
      <c r="F214" s="28"/>
      <c r="G214" s="28"/>
      <c r="H214" s="30"/>
      <c r="I214" s="28"/>
      <c r="J214" s="28"/>
      <c r="K214" s="28"/>
      <c r="L214" s="28"/>
      <c r="M214" s="28"/>
      <c r="N214" s="28"/>
      <c r="O214" s="30"/>
      <c r="P214" s="28"/>
      <c r="Q214" s="28"/>
      <c r="R214" s="28"/>
      <c r="S214" s="28"/>
      <c r="T214" s="28"/>
      <c r="U214" s="28"/>
      <c r="V214" s="30"/>
      <c r="W214" s="28"/>
      <c r="X214" s="28"/>
      <c r="Y214" s="28"/>
      <c r="Z214" s="28"/>
      <c r="AA214" s="28"/>
      <c r="AB214" s="28"/>
      <c r="AC214" s="28"/>
      <c r="AD214" s="28"/>
      <c r="AE214" s="28"/>
    </row>
    <row r="215" spans="1:31" x14ac:dyDescent="0.25">
      <c r="A215" s="30"/>
      <c r="B215" s="28"/>
      <c r="C215" s="28"/>
      <c r="D215" s="28"/>
      <c r="E215" s="28"/>
      <c r="F215" s="28"/>
      <c r="G215" s="28"/>
      <c r="H215" s="30"/>
      <c r="I215" s="28"/>
      <c r="J215" s="28"/>
      <c r="K215" s="28"/>
      <c r="L215" s="28"/>
      <c r="M215" s="28"/>
      <c r="N215" s="28"/>
      <c r="O215" s="30"/>
      <c r="P215" s="28"/>
      <c r="Q215" s="28"/>
      <c r="R215" s="28"/>
      <c r="S215" s="28"/>
      <c r="T215" s="28"/>
      <c r="U215" s="28"/>
      <c r="V215" s="30"/>
      <c r="W215" s="28"/>
      <c r="X215" s="28"/>
      <c r="Y215" s="28"/>
      <c r="Z215" s="28"/>
      <c r="AA215" s="28"/>
      <c r="AB215" s="28"/>
      <c r="AC215" s="28"/>
      <c r="AD215" s="28"/>
      <c r="AE215" s="28"/>
    </row>
    <row r="216" spans="1:31" x14ac:dyDescent="0.25">
      <c r="A216" s="30"/>
      <c r="B216" s="28"/>
      <c r="C216" s="28"/>
      <c r="D216" s="28"/>
      <c r="E216" s="28"/>
      <c r="F216" s="28"/>
      <c r="G216" s="28"/>
      <c r="H216" s="30"/>
      <c r="I216" s="28"/>
      <c r="J216" s="28"/>
      <c r="K216" s="28"/>
      <c r="L216" s="28"/>
      <c r="M216" s="28"/>
      <c r="N216" s="28"/>
      <c r="O216" s="30"/>
      <c r="P216" s="28"/>
      <c r="Q216" s="28"/>
      <c r="R216" s="28"/>
      <c r="S216" s="28"/>
      <c r="T216" s="28"/>
      <c r="U216" s="28"/>
      <c r="V216" s="30"/>
      <c r="W216" s="28"/>
      <c r="X216" s="28"/>
      <c r="Y216" s="28"/>
      <c r="Z216" s="28"/>
      <c r="AA216" s="28"/>
      <c r="AB216" s="28"/>
      <c r="AC216" s="28"/>
      <c r="AD216" s="28"/>
      <c r="AE216" s="28"/>
    </row>
    <row r="217" spans="1:31" x14ac:dyDescent="0.25">
      <c r="A217" s="30"/>
      <c r="B217" s="28"/>
      <c r="C217" s="28"/>
      <c r="D217" s="28"/>
      <c r="E217" s="28"/>
      <c r="F217" s="28"/>
      <c r="G217" s="28"/>
      <c r="H217" s="30"/>
      <c r="I217" s="28"/>
      <c r="J217" s="28"/>
      <c r="K217" s="28"/>
      <c r="L217" s="28"/>
      <c r="M217" s="28"/>
      <c r="N217" s="28"/>
      <c r="O217" s="30"/>
      <c r="P217" s="28"/>
      <c r="Q217" s="28"/>
      <c r="R217" s="28"/>
      <c r="S217" s="28"/>
      <c r="T217" s="28"/>
      <c r="U217" s="28"/>
      <c r="V217" s="30"/>
      <c r="W217" s="28"/>
      <c r="X217" s="28"/>
      <c r="Y217" s="28"/>
      <c r="Z217" s="28"/>
      <c r="AA217" s="28"/>
      <c r="AB217" s="28"/>
      <c r="AC217" s="28"/>
      <c r="AD217" s="28"/>
      <c r="AE217" s="28"/>
    </row>
    <row r="218" spans="1:31" x14ac:dyDescent="0.25">
      <c r="A218" s="30"/>
      <c r="B218" s="28"/>
      <c r="C218" s="28"/>
      <c r="D218" s="28"/>
      <c r="E218" s="28"/>
      <c r="F218" s="28"/>
      <c r="G218" s="28"/>
      <c r="H218" s="30"/>
      <c r="I218" s="28"/>
      <c r="J218" s="28"/>
      <c r="K218" s="28"/>
      <c r="L218" s="28"/>
      <c r="M218" s="28"/>
      <c r="N218" s="28"/>
      <c r="O218" s="30"/>
      <c r="P218" s="28"/>
      <c r="Q218" s="28"/>
      <c r="R218" s="28"/>
      <c r="S218" s="28"/>
      <c r="T218" s="28"/>
      <c r="U218" s="28"/>
      <c r="V218" s="30"/>
      <c r="W218" s="28"/>
      <c r="X218" s="28"/>
      <c r="Y218" s="28"/>
      <c r="Z218" s="28"/>
      <c r="AA218" s="28"/>
      <c r="AB218" s="28"/>
      <c r="AC218" s="28"/>
      <c r="AD218" s="28"/>
      <c r="AE218" s="28"/>
    </row>
    <row r="219" spans="1:31" x14ac:dyDescent="0.25">
      <c r="A219" s="30"/>
      <c r="B219" s="28"/>
      <c r="C219" s="28"/>
      <c r="D219" s="28"/>
      <c r="E219" s="28"/>
      <c r="F219" s="28"/>
      <c r="G219" s="28"/>
      <c r="H219" s="30"/>
      <c r="I219" s="28"/>
      <c r="J219" s="28"/>
      <c r="K219" s="28"/>
      <c r="L219" s="28"/>
      <c r="M219" s="28"/>
      <c r="N219" s="28"/>
      <c r="O219" s="30"/>
      <c r="P219" s="28"/>
      <c r="Q219" s="28"/>
      <c r="R219" s="28"/>
      <c r="S219" s="28"/>
      <c r="T219" s="28"/>
      <c r="U219" s="28"/>
      <c r="V219" s="30"/>
      <c r="W219" s="28"/>
      <c r="X219" s="28"/>
      <c r="Y219" s="28"/>
      <c r="Z219" s="28"/>
      <c r="AA219" s="28"/>
      <c r="AB219" s="28"/>
      <c r="AC219" s="28"/>
      <c r="AD219" s="28"/>
      <c r="AE219" s="28"/>
    </row>
    <row r="220" spans="1:31" x14ac:dyDescent="0.25">
      <c r="A220" s="30"/>
      <c r="B220" s="28"/>
      <c r="C220" s="28"/>
      <c r="D220" s="28"/>
      <c r="E220" s="28"/>
      <c r="F220" s="28"/>
      <c r="G220" s="28"/>
      <c r="H220" s="30"/>
      <c r="I220" s="28"/>
      <c r="J220" s="28"/>
      <c r="K220" s="28"/>
      <c r="L220" s="28"/>
      <c r="M220" s="28"/>
      <c r="N220" s="28"/>
      <c r="O220" s="30"/>
      <c r="P220" s="28"/>
      <c r="Q220" s="28"/>
      <c r="R220" s="28"/>
      <c r="S220" s="28"/>
      <c r="T220" s="28"/>
      <c r="U220" s="28"/>
      <c r="V220" s="30"/>
      <c r="W220" s="28"/>
      <c r="X220" s="28"/>
      <c r="Y220" s="28"/>
      <c r="Z220" s="28"/>
      <c r="AA220" s="28"/>
      <c r="AB220" s="28"/>
      <c r="AC220" s="28"/>
      <c r="AD220" s="28"/>
      <c r="AE220" s="28"/>
    </row>
    <row r="221" spans="1:31" x14ac:dyDescent="0.25">
      <c r="A221" s="30"/>
      <c r="B221" s="28"/>
      <c r="C221" s="28"/>
      <c r="D221" s="28"/>
      <c r="E221" s="28"/>
      <c r="F221" s="28"/>
      <c r="G221" s="28"/>
      <c r="H221" s="30"/>
      <c r="I221" s="28"/>
      <c r="J221" s="28"/>
      <c r="K221" s="28"/>
      <c r="L221" s="28"/>
      <c r="M221" s="28"/>
      <c r="N221" s="28"/>
      <c r="O221" s="30"/>
      <c r="P221" s="28"/>
      <c r="Q221" s="28"/>
      <c r="R221" s="28"/>
      <c r="S221" s="28"/>
      <c r="T221" s="28"/>
      <c r="U221" s="28"/>
      <c r="V221" s="30"/>
      <c r="W221" s="28"/>
      <c r="X221" s="28"/>
      <c r="Y221" s="28"/>
      <c r="Z221" s="28"/>
      <c r="AA221" s="28"/>
      <c r="AB221" s="28"/>
      <c r="AC221" s="28"/>
      <c r="AD221" s="28"/>
      <c r="AE221" s="28"/>
    </row>
    <row r="222" spans="1:31" x14ac:dyDescent="0.25">
      <c r="A222" s="30"/>
      <c r="B222" s="28"/>
      <c r="C222" s="28"/>
      <c r="D222" s="28"/>
      <c r="E222" s="28"/>
      <c r="F222" s="28"/>
      <c r="G222" s="28"/>
      <c r="H222" s="30"/>
      <c r="I222" s="28"/>
      <c r="J222" s="28"/>
      <c r="K222" s="28"/>
      <c r="L222" s="28"/>
      <c r="M222" s="28"/>
      <c r="N222" s="28"/>
      <c r="O222" s="30"/>
      <c r="P222" s="28"/>
      <c r="Q222" s="28"/>
      <c r="R222" s="28"/>
      <c r="S222" s="28"/>
      <c r="T222" s="28"/>
      <c r="U222" s="28"/>
      <c r="V222" s="30"/>
      <c r="W222" s="28"/>
      <c r="X222" s="28"/>
      <c r="Y222" s="28"/>
      <c r="Z222" s="28"/>
      <c r="AA222" s="28"/>
      <c r="AB222" s="28"/>
      <c r="AC222" s="28"/>
      <c r="AD222" s="28"/>
      <c r="AE222" s="28"/>
    </row>
    <row r="223" spans="1:31" x14ac:dyDescent="0.25">
      <c r="A223" s="30"/>
      <c r="B223" s="28"/>
      <c r="C223" s="28"/>
      <c r="D223" s="28"/>
      <c r="E223" s="28"/>
      <c r="F223" s="28"/>
      <c r="G223" s="28"/>
      <c r="H223" s="30"/>
      <c r="I223" s="28"/>
      <c r="J223" s="28"/>
      <c r="K223" s="28"/>
      <c r="L223" s="28"/>
      <c r="M223" s="28"/>
      <c r="N223" s="28"/>
      <c r="O223" s="30"/>
      <c r="P223" s="28"/>
      <c r="Q223" s="28"/>
      <c r="R223" s="28"/>
      <c r="S223" s="28"/>
      <c r="T223" s="28"/>
      <c r="U223" s="28"/>
      <c r="V223" s="30"/>
      <c r="W223" s="28"/>
      <c r="X223" s="28"/>
      <c r="Y223" s="28"/>
      <c r="Z223" s="28"/>
      <c r="AA223" s="28"/>
      <c r="AB223" s="28"/>
      <c r="AC223" s="28"/>
      <c r="AD223" s="28"/>
      <c r="AE223" s="28"/>
    </row>
    <row r="224" spans="1:31" x14ac:dyDescent="0.25">
      <c r="A224" s="30"/>
      <c r="B224" s="28"/>
      <c r="C224" s="28"/>
      <c r="D224" s="28"/>
      <c r="E224" s="28"/>
      <c r="F224" s="28"/>
      <c r="G224" s="28"/>
      <c r="H224" s="30"/>
      <c r="I224" s="28"/>
      <c r="J224" s="28"/>
      <c r="K224" s="28"/>
      <c r="L224" s="28"/>
      <c r="M224" s="28"/>
      <c r="N224" s="28"/>
      <c r="O224" s="30"/>
      <c r="P224" s="28"/>
      <c r="Q224" s="28"/>
      <c r="R224" s="28"/>
      <c r="S224" s="28"/>
      <c r="T224" s="28"/>
      <c r="U224" s="28"/>
      <c r="V224" s="30"/>
      <c r="W224" s="28"/>
      <c r="X224" s="28"/>
      <c r="Y224" s="28"/>
      <c r="Z224" s="28"/>
      <c r="AA224" s="28"/>
      <c r="AB224" s="28"/>
      <c r="AC224" s="28"/>
      <c r="AD224" s="28"/>
      <c r="AE224" s="28"/>
    </row>
    <row r="225" spans="1:31" x14ac:dyDescent="0.25">
      <c r="A225" s="30"/>
      <c r="B225" s="28"/>
      <c r="C225" s="28"/>
      <c r="D225" s="28"/>
      <c r="E225" s="28"/>
      <c r="F225" s="28"/>
      <c r="G225" s="28"/>
      <c r="H225" s="30"/>
      <c r="I225" s="28"/>
      <c r="J225" s="28"/>
      <c r="K225" s="28"/>
      <c r="L225" s="28"/>
      <c r="M225" s="28"/>
      <c r="N225" s="28"/>
      <c r="O225" s="30"/>
      <c r="P225" s="28"/>
      <c r="Q225" s="28"/>
      <c r="R225" s="28"/>
      <c r="S225" s="28"/>
      <c r="T225" s="28"/>
      <c r="U225" s="28"/>
      <c r="V225" s="30"/>
      <c r="W225" s="28"/>
      <c r="X225" s="28"/>
      <c r="Y225" s="28"/>
      <c r="Z225" s="28"/>
      <c r="AA225" s="28"/>
      <c r="AB225" s="28"/>
      <c r="AC225" s="28"/>
      <c r="AD225" s="28"/>
      <c r="AE225" s="28"/>
    </row>
    <row r="226" spans="1:31" x14ac:dyDescent="0.25">
      <c r="A226" s="30"/>
      <c r="B226" s="28"/>
      <c r="C226" s="28"/>
      <c r="D226" s="28"/>
      <c r="E226" s="28"/>
      <c r="F226" s="28"/>
      <c r="G226" s="28"/>
      <c r="H226" s="30"/>
      <c r="I226" s="28"/>
      <c r="J226" s="28"/>
      <c r="K226" s="28"/>
      <c r="L226" s="28"/>
      <c r="M226" s="28"/>
      <c r="N226" s="28"/>
      <c r="O226" s="30"/>
      <c r="P226" s="28"/>
      <c r="Q226" s="28"/>
      <c r="R226" s="28"/>
      <c r="S226" s="28"/>
      <c r="T226" s="28"/>
      <c r="U226" s="28"/>
      <c r="V226" s="30"/>
      <c r="W226" s="28"/>
      <c r="X226" s="28"/>
      <c r="Y226" s="28"/>
      <c r="Z226" s="28"/>
      <c r="AA226" s="28"/>
      <c r="AB226" s="28"/>
      <c r="AC226" s="28"/>
      <c r="AD226" s="28"/>
      <c r="AE226" s="28"/>
    </row>
    <row r="227" spans="1:31" x14ac:dyDescent="0.25">
      <c r="A227" s="30"/>
      <c r="B227" s="28"/>
      <c r="C227" s="28"/>
      <c r="D227" s="28"/>
      <c r="E227" s="28"/>
      <c r="F227" s="28"/>
      <c r="G227" s="28"/>
      <c r="H227" s="30"/>
      <c r="I227" s="28"/>
      <c r="J227" s="28"/>
      <c r="K227" s="28"/>
      <c r="L227" s="28"/>
      <c r="M227" s="28"/>
      <c r="N227" s="28"/>
      <c r="O227" s="30"/>
      <c r="P227" s="28"/>
      <c r="Q227" s="28"/>
      <c r="R227" s="28"/>
      <c r="S227" s="28"/>
      <c r="T227" s="28"/>
      <c r="U227" s="28"/>
      <c r="V227" s="30"/>
      <c r="W227" s="28"/>
      <c r="X227" s="28"/>
      <c r="Y227" s="28"/>
      <c r="Z227" s="28"/>
      <c r="AA227" s="28"/>
      <c r="AB227" s="28"/>
      <c r="AC227" s="28"/>
      <c r="AD227" s="28"/>
      <c r="AE227" s="28"/>
    </row>
    <row r="228" spans="1:31" x14ac:dyDescent="0.25">
      <c r="A228" s="30"/>
      <c r="B228" s="28"/>
      <c r="C228" s="28"/>
      <c r="D228" s="28"/>
      <c r="E228" s="28"/>
      <c r="F228" s="28"/>
      <c r="G228" s="28"/>
      <c r="H228" s="30"/>
      <c r="I228" s="28"/>
      <c r="J228" s="28"/>
      <c r="K228" s="28"/>
      <c r="L228" s="28"/>
      <c r="M228" s="28"/>
      <c r="N228" s="28"/>
      <c r="O228" s="30"/>
      <c r="P228" s="28"/>
      <c r="Q228" s="28"/>
      <c r="R228" s="28"/>
      <c r="S228" s="28"/>
      <c r="T228" s="28"/>
      <c r="U228" s="28"/>
      <c r="V228" s="30"/>
      <c r="W228" s="28"/>
      <c r="X228" s="28"/>
      <c r="Y228" s="28"/>
      <c r="Z228" s="28"/>
      <c r="AA228" s="28"/>
      <c r="AB228" s="28"/>
      <c r="AC228" s="28"/>
      <c r="AD228" s="28"/>
      <c r="AE228" s="28"/>
    </row>
    <row r="229" spans="1:31" x14ac:dyDescent="0.25">
      <c r="A229" s="30"/>
      <c r="B229" s="28"/>
      <c r="C229" s="28"/>
      <c r="D229" s="28"/>
      <c r="E229" s="28"/>
      <c r="F229" s="28"/>
      <c r="G229" s="28"/>
      <c r="H229" s="30"/>
      <c r="I229" s="28"/>
      <c r="J229" s="28"/>
      <c r="K229" s="28"/>
      <c r="L229" s="28"/>
      <c r="M229" s="28"/>
      <c r="N229" s="28"/>
      <c r="O229" s="30"/>
      <c r="P229" s="28"/>
      <c r="Q229" s="28"/>
      <c r="R229" s="28"/>
      <c r="S229" s="28"/>
      <c r="T229" s="28"/>
      <c r="U229" s="28"/>
      <c r="V229" s="30"/>
      <c r="W229" s="28"/>
      <c r="X229" s="28"/>
      <c r="Y229" s="28"/>
      <c r="Z229" s="28"/>
      <c r="AA229" s="28"/>
      <c r="AB229" s="28"/>
      <c r="AC229" s="28"/>
      <c r="AD229" s="28"/>
      <c r="AE229" s="28"/>
    </row>
    <row r="230" spans="1:31" x14ac:dyDescent="0.25">
      <c r="A230" s="30"/>
      <c r="B230" s="28"/>
      <c r="C230" s="28"/>
      <c r="D230" s="28"/>
      <c r="E230" s="28"/>
      <c r="F230" s="28"/>
      <c r="G230" s="28"/>
      <c r="H230" s="30"/>
      <c r="I230" s="28"/>
      <c r="J230" s="28"/>
      <c r="K230" s="28"/>
      <c r="L230" s="28"/>
      <c r="M230" s="28"/>
      <c r="N230" s="28"/>
      <c r="O230" s="30"/>
      <c r="P230" s="28"/>
      <c r="Q230" s="28"/>
      <c r="R230" s="28"/>
      <c r="S230" s="28"/>
      <c r="T230" s="28"/>
      <c r="U230" s="28"/>
      <c r="V230" s="30"/>
      <c r="W230" s="28"/>
      <c r="X230" s="28"/>
      <c r="Y230" s="28"/>
      <c r="Z230" s="28"/>
      <c r="AA230" s="28"/>
      <c r="AB230" s="28"/>
      <c r="AC230" s="28"/>
      <c r="AD230" s="28"/>
      <c r="AE230" s="28"/>
    </row>
    <row r="231" spans="1:31" x14ac:dyDescent="0.25">
      <c r="A231" s="30"/>
      <c r="B231" s="28"/>
      <c r="C231" s="28"/>
      <c r="D231" s="28"/>
      <c r="E231" s="28"/>
      <c r="F231" s="28"/>
      <c r="G231" s="28"/>
      <c r="H231" s="30"/>
      <c r="I231" s="28"/>
      <c r="J231" s="28"/>
      <c r="K231" s="28"/>
      <c r="L231" s="28"/>
      <c r="M231" s="28"/>
      <c r="N231" s="28"/>
      <c r="O231" s="30"/>
      <c r="P231" s="28"/>
      <c r="Q231" s="28"/>
      <c r="R231" s="28"/>
      <c r="S231" s="28"/>
      <c r="T231" s="28"/>
      <c r="U231" s="28"/>
      <c r="V231" s="30"/>
      <c r="W231" s="28"/>
      <c r="X231" s="28"/>
      <c r="Y231" s="28"/>
      <c r="Z231" s="28"/>
      <c r="AA231" s="28"/>
      <c r="AB231" s="28"/>
      <c r="AC231" s="28"/>
      <c r="AD231" s="28"/>
      <c r="AE231" s="28"/>
    </row>
    <row r="232" spans="1:31" x14ac:dyDescent="0.25">
      <c r="A232" s="30"/>
      <c r="B232" s="28"/>
      <c r="C232" s="28"/>
      <c r="D232" s="28"/>
      <c r="E232" s="28"/>
      <c r="F232" s="28"/>
      <c r="G232" s="28"/>
      <c r="H232" s="30"/>
      <c r="I232" s="28"/>
      <c r="J232" s="28"/>
      <c r="K232" s="28"/>
      <c r="L232" s="28"/>
      <c r="M232" s="28"/>
      <c r="N232" s="28"/>
      <c r="O232" s="30"/>
      <c r="P232" s="28"/>
      <c r="Q232" s="28"/>
      <c r="R232" s="28"/>
      <c r="S232" s="28"/>
      <c r="T232" s="28"/>
      <c r="U232" s="28"/>
      <c r="V232" s="30"/>
      <c r="W232" s="28"/>
      <c r="X232" s="28"/>
      <c r="Y232" s="28"/>
      <c r="Z232" s="28"/>
      <c r="AA232" s="28"/>
      <c r="AB232" s="28"/>
      <c r="AC232" s="28"/>
      <c r="AD232" s="28"/>
      <c r="AE232" s="28"/>
    </row>
    <row r="233" spans="1:31" x14ac:dyDescent="0.25">
      <c r="A233" s="30"/>
      <c r="B233" s="28"/>
      <c r="C233" s="28"/>
      <c r="D233" s="28"/>
      <c r="E233" s="28"/>
      <c r="F233" s="28"/>
      <c r="G233" s="28"/>
      <c r="H233" s="30"/>
      <c r="I233" s="28"/>
      <c r="J233" s="28"/>
      <c r="K233" s="28"/>
      <c r="L233" s="28"/>
      <c r="M233" s="28"/>
      <c r="N233" s="28"/>
      <c r="O233" s="30"/>
      <c r="P233" s="28"/>
      <c r="Q233" s="28"/>
      <c r="R233" s="28"/>
      <c r="S233" s="28"/>
      <c r="T233" s="28"/>
      <c r="U233" s="28"/>
      <c r="V233" s="30"/>
      <c r="W233" s="28"/>
      <c r="X233" s="28"/>
      <c r="Y233" s="28"/>
      <c r="Z233" s="28"/>
      <c r="AA233" s="28"/>
      <c r="AB233" s="28"/>
      <c r="AC233" s="28"/>
      <c r="AD233" s="28"/>
      <c r="AE233" s="28"/>
    </row>
    <row r="234" spans="1:31" x14ac:dyDescent="0.25">
      <c r="A234" s="30"/>
      <c r="B234" s="28"/>
      <c r="C234" s="28"/>
      <c r="D234" s="28"/>
      <c r="E234" s="28"/>
      <c r="F234" s="28"/>
      <c r="G234" s="28"/>
      <c r="H234" s="30"/>
      <c r="I234" s="28"/>
      <c r="J234" s="28"/>
      <c r="K234" s="28"/>
      <c r="L234" s="28"/>
      <c r="M234" s="28"/>
      <c r="N234" s="28"/>
      <c r="O234" s="30"/>
      <c r="P234" s="28"/>
      <c r="Q234" s="28"/>
      <c r="R234" s="28"/>
      <c r="S234" s="28"/>
      <c r="T234" s="28"/>
      <c r="U234" s="28"/>
      <c r="V234" s="30"/>
      <c r="W234" s="28"/>
      <c r="X234" s="28"/>
      <c r="Y234" s="28"/>
      <c r="Z234" s="28"/>
      <c r="AA234" s="28"/>
      <c r="AB234" s="28"/>
      <c r="AC234" s="28"/>
      <c r="AD234" s="28"/>
      <c r="AE234" s="28"/>
    </row>
    <row r="235" spans="1:31" x14ac:dyDescent="0.25">
      <c r="A235" s="30"/>
      <c r="B235" s="28"/>
      <c r="C235" s="28"/>
      <c r="D235" s="28"/>
      <c r="E235" s="28"/>
      <c r="F235" s="28"/>
      <c r="G235" s="28"/>
      <c r="H235" s="30"/>
      <c r="I235" s="28"/>
      <c r="J235" s="28"/>
      <c r="K235" s="28"/>
      <c r="L235" s="28"/>
      <c r="M235" s="28"/>
      <c r="N235" s="28"/>
      <c r="O235" s="30"/>
      <c r="P235" s="28"/>
      <c r="Q235" s="28"/>
      <c r="R235" s="28"/>
      <c r="S235" s="28"/>
      <c r="T235" s="28"/>
      <c r="U235" s="28"/>
      <c r="V235" s="30"/>
      <c r="W235" s="28"/>
      <c r="X235" s="28"/>
      <c r="Y235" s="28"/>
      <c r="Z235" s="28"/>
      <c r="AA235" s="28"/>
      <c r="AB235" s="28"/>
      <c r="AC235" s="28"/>
      <c r="AD235" s="28"/>
      <c r="AE235" s="28"/>
    </row>
    <row r="236" spans="1:31" x14ac:dyDescent="0.25">
      <c r="A236" s="30"/>
      <c r="B236" s="28"/>
      <c r="C236" s="28"/>
      <c r="D236" s="28"/>
      <c r="E236" s="28"/>
      <c r="F236" s="28"/>
      <c r="G236" s="28"/>
      <c r="H236" s="30"/>
      <c r="I236" s="28"/>
      <c r="J236" s="28"/>
      <c r="K236" s="28"/>
      <c r="L236" s="28"/>
      <c r="M236" s="28"/>
      <c r="N236" s="28"/>
      <c r="O236" s="30"/>
      <c r="P236" s="28"/>
      <c r="Q236" s="28"/>
      <c r="R236" s="28"/>
      <c r="S236" s="28"/>
      <c r="T236" s="28"/>
      <c r="U236" s="28"/>
      <c r="V236" s="30"/>
      <c r="W236" s="28"/>
      <c r="X236" s="28"/>
      <c r="Y236" s="28"/>
      <c r="Z236" s="28"/>
      <c r="AA236" s="28"/>
      <c r="AB236" s="28"/>
      <c r="AC236" s="28"/>
      <c r="AD236" s="28"/>
      <c r="AE236" s="28"/>
    </row>
    <row r="237" spans="1:31" x14ac:dyDescent="0.25">
      <c r="A237" s="30"/>
      <c r="B237" s="28"/>
      <c r="C237" s="28"/>
      <c r="D237" s="28"/>
      <c r="E237" s="28"/>
      <c r="F237" s="28"/>
      <c r="G237" s="28"/>
      <c r="H237" s="30"/>
      <c r="I237" s="28"/>
      <c r="J237" s="28"/>
      <c r="K237" s="28"/>
      <c r="L237" s="28"/>
      <c r="M237" s="28"/>
      <c r="N237" s="28"/>
      <c r="O237" s="30"/>
      <c r="P237" s="28"/>
      <c r="Q237" s="28"/>
      <c r="R237" s="28"/>
      <c r="S237" s="28"/>
      <c r="T237" s="28"/>
      <c r="U237" s="28"/>
      <c r="V237" s="30"/>
      <c r="W237" s="28"/>
      <c r="X237" s="28"/>
      <c r="Y237" s="28"/>
      <c r="Z237" s="28"/>
      <c r="AA237" s="28"/>
      <c r="AB237" s="28"/>
      <c r="AC237" s="28"/>
      <c r="AD237" s="28"/>
      <c r="AE237" s="28"/>
    </row>
    <row r="238" spans="1:31" x14ac:dyDescent="0.25">
      <c r="A238" s="30"/>
      <c r="B238" s="28"/>
      <c r="C238" s="28"/>
      <c r="D238" s="28"/>
      <c r="E238" s="28"/>
      <c r="F238" s="28"/>
      <c r="G238" s="28"/>
      <c r="H238" s="30"/>
      <c r="I238" s="28"/>
      <c r="J238" s="28"/>
      <c r="K238" s="28"/>
      <c r="L238" s="28"/>
      <c r="M238" s="28"/>
      <c r="N238" s="28"/>
      <c r="O238" s="30"/>
      <c r="P238" s="28"/>
      <c r="Q238" s="28"/>
      <c r="R238" s="28"/>
      <c r="S238" s="28"/>
      <c r="T238" s="28"/>
      <c r="U238" s="28"/>
      <c r="V238" s="30"/>
      <c r="W238" s="28"/>
      <c r="X238" s="28"/>
      <c r="Y238" s="28"/>
      <c r="Z238" s="28"/>
      <c r="AA238" s="28"/>
      <c r="AB238" s="28"/>
      <c r="AC238" s="28"/>
      <c r="AD238" s="28"/>
      <c r="AE238" s="28"/>
    </row>
    <row r="239" spans="1:31" x14ac:dyDescent="0.25">
      <c r="A239" s="30"/>
      <c r="B239" s="28"/>
      <c r="C239" s="28"/>
      <c r="D239" s="28"/>
      <c r="E239" s="28"/>
      <c r="F239" s="28"/>
      <c r="G239" s="28"/>
      <c r="H239" s="30"/>
      <c r="I239" s="28"/>
      <c r="J239" s="28"/>
      <c r="K239" s="28"/>
      <c r="L239" s="28"/>
      <c r="M239" s="28"/>
      <c r="N239" s="28"/>
      <c r="O239" s="30"/>
      <c r="P239" s="28"/>
      <c r="Q239" s="28"/>
      <c r="R239" s="28"/>
      <c r="S239" s="28"/>
      <c r="T239" s="28"/>
      <c r="U239" s="28"/>
      <c r="V239" s="30"/>
      <c r="W239" s="28"/>
      <c r="X239" s="28"/>
      <c r="Y239" s="28"/>
      <c r="Z239" s="28"/>
      <c r="AA239" s="28"/>
      <c r="AB239" s="28"/>
      <c r="AC239" s="28"/>
      <c r="AD239" s="28"/>
      <c r="AE239" s="28"/>
    </row>
    <row r="240" spans="1:31" x14ac:dyDescent="0.25">
      <c r="A240" s="30"/>
      <c r="B240" s="28"/>
      <c r="C240" s="28"/>
      <c r="D240" s="28"/>
      <c r="E240" s="28"/>
      <c r="F240" s="28"/>
      <c r="G240" s="28"/>
      <c r="H240" s="30"/>
      <c r="I240" s="28"/>
      <c r="J240" s="28"/>
      <c r="K240" s="28"/>
      <c r="L240" s="28"/>
      <c r="M240" s="28"/>
      <c r="N240" s="28"/>
      <c r="O240" s="30"/>
      <c r="P240" s="28"/>
      <c r="Q240" s="28"/>
      <c r="R240" s="28"/>
      <c r="S240" s="28"/>
      <c r="T240" s="28"/>
      <c r="U240" s="28"/>
      <c r="V240" s="30"/>
      <c r="W240" s="28"/>
      <c r="X240" s="28"/>
      <c r="Y240" s="28"/>
      <c r="Z240" s="28"/>
      <c r="AA240" s="28"/>
      <c r="AB240" s="28"/>
      <c r="AC240" s="28"/>
      <c r="AD240" s="28"/>
      <c r="AE240" s="28"/>
    </row>
    <row r="241" spans="1:31" x14ac:dyDescent="0.25">
      <c r="A241" s="30"/>
      <c r="B241" s="28"/>
      <c r="C241" s="28"/>
      <c r="D241" s="28"/>
      <c r="E241" s="28"/>
      <c r="F241" s="28"/>
      <c r="G241" s="28"/>
      <c r="H241" s="30"/>
      <c r="I241" s="28"/>
      <c r="J241" s="28"/>
      <c r="K241" s="28"/>
      <c r="L241" s="28"/>
      <c r="M241" s="28"/>
      <c r="N241" s="28"/>
      <c r="O241" s="30"/>
      <c r="P241" s="28"/>
      <c r="Q241" s="28"/>
      <c r="R241" s="28"/>
      <c r="S241" s="28"/>
      <c r="T241" s="28"/>
      <c r="U241" s="28"/>
      <c r="V241" s="30"/>
      <c r="W241" s="28"/>
      <c r="X241" s="28"/>
      <c r="Y241" s="28"/>
      <c r="Z241" s="28"/>
      <c r="AA241" s="28"/>
      <c r="AB241" s="28"/>
      <c r="AC241" s="28"/>
      <c r="AD241" s="28"/>
      <c r="AE241" s="28"/>
    </row>
    <row r="242" spans="1:31" x14ac:dyDescent="0.25">
      <c r="A242" s="30"/>
      <c r="B242" s="28"/>
      <c r="C242" s="28"/>
      <c r="D242" s="28"/>
      <c r="E242" s="28"/>
      <c r="F242" s="28"/>
      <c r="G242" s="28"/>
      <c r="H242" s="30"/>
      <c r="I242" s="28"/>
      <c r="J242" s="28"/>
      <c r="K242" s="28"/>
      <c r="L242" s="28"/>
      <c r="M242" s="28"/>
      <c r="N242" s="28"/>
      <c r="O242" s="30"/>
      <c r="P242" s="28"/>
      <c r="Q242" s="28"/>
      <c r="R242" s="28"/>
      <c r="S242" s="28"/>
      <c r="T242" s="28"/>
      <c r="U242" s="28"/>
      <c r="V242" s="30"/>
      <c r="W242" s="28"/>
      <c r="X242" s="28"/>
      <c r="Y242" s="28"/>
      <c r="Z242" s="28"/>
      <c r="AA242" s="28"/>
      <c r="AB242" s="28"/>
      <c r="AC242" s="28"/>
      <c r="AD242" s="28"/>
      <c r="AE242" s="28"/>
    </row>
    <row r="243" spans="1:31" x14ac:dyDescent="0.25">
      <c r="A243" s="30"/>
      <c r="B243" s="28"/>
      <c r="C243" s="28"/>
      <c r="D243" s="28"/>
      <c r="E243" s="28"/>
      <c r="F243" s="28"/>
      <c r="G243" s="28"/>
      <c r="H243" s="30"/>
      <c r="I243" s="28"/>
      <c r="J243" s="28"/>
      <c r="K243" s="28"/>
      <c r="L243" s="28"/>
      <c r="M243" s="28"/>
      <c r="N243" s="28"/>
      <c r="O243" s="30"/>
      <c r="P243" s="28"/>
      <c r="Q243" s="28"/>
      <c r="R243" s="28"/>
      <c r="S243" s="28"/>
      <c r="T243" s="28"/>
      <c r="U243" s="28"/>
      <c r="V243" s="30"/>
      <c r="W243" s="28"/>
      <c r="X243" s="28"/>
      <c r="Y243" s="28"/>
      <c r="Z243" s="28"/>
      <c r="AA243" s="28"/>
      <c r="AB243" s="28"/>
      <c r="AC243" s="28"/>
      <c r="AD243" s="28"/>
      <c r="AE243" s="28"/>
    </row>
    <row r="244" spans="1:31" x14ac:dyDescent="0.25">
      <c r="A244" s="30"/>
      <c r="B244" s="28"/>
      <c r="C244" s="28"/>
      <c r="D244" s="28"/>
      <c r="E244" s="28"/>
      <c r="F244" s="28"/>
      <c r="G244" s="28"/>
      <c r="H244" s="30"/>
      <c r="I244" s="28"/>
      <c r="J244" s="28"/>
      <c r="K244" s="28"/>
      <c r="L244" s="28"/>
      <c r="M244" s="28"/>
      <c r="N244" s="28"/>
      <c r="O244" s="30"/>
      <c r="P244" s="28"/>
      <c r="Q244" s="28"/>
      <c r="R244" s="28"/>
      <c r="S244" s="28"/>
      <c r="T244" s="28"/>
      <c r="U244" s="28"/>
      <c r="V244" s="30"/>
      <c r="W244" s="28"/>
      <c r="X244" s="28"/>
      <c r="Y244" s="28"/>
      <c r="Z244" s="28"/>
      <c r="AA244" s="28"/>
      <c r="AB244" s="28"/>
      <c r="AC244" s="28"/>
      <c r="AD244" s="28"/>
      <c r="AE244" s="28"/>
    </row>
    <row r="245" spans="1:31" x14ac:dyDescent="0.25">
      <c r="A245" s="30"/>
      <c r="B245" s="28"/>
      <c r="C245" s="28"/>
      <c r="D245" s="28"/>
      <c r="E245" s="28"/>
      <c r="F245" s="28"/>
      <c r="G245" s="28"/>
      <c r="H245" s="30"/>
      <c r="I245" s="28"/>
      <c r="J245" s="28"/>
      <c r="K245" s="28"/>
      <c r="L245" s="28"/>
      <c r="M245" s="28"/>
      <c r="N245" s="28"/>
      <c r="O245" s="30"/>
      <c r="P245" s="28"/>
      <c r="Q245" s="28"/>
      <c r="R245" s="28"/>
      <c r="S245" s="28"/>
      <c r="T245" s="28"/>
      <c r="U245" s="28"/>
      <c r="V245" s="30"/>
      <c r="W245" s="28"/>
      <c r="X245" s="28"/>
      <c r="Y245" s="28"/>
      <c r="Z245" s="28"/>
      <c r="AA245" s="28"/>
      <c r="AB245" s="28"/>
      <c r="AC245" s="28"/>
      <c r="AD245" s="28"/>
      <c r="AE245" s="28"/>
    </row>
    <row r="246" spans="1:31" x14ac:dyDescent="0.25">
      <c r="A246" s="30"/>
      <c r="B246" s="28"/>
      <c r="C246" s="28"/>
      <c r="D246" s="28"/>
      <c r="E246" s="28"/>
      <c r="F246" s="28"/>
      <c r="G246" s="28"/>
      <c r="H246" s="30"/>
      <c r="I246" s="28"/>
      <c r="J246" s="28"/>
      <c r="K246" s="28"/>
      <c r="L246" s="28"/>
      <c r="M246" s="28"/>
      <c r="N246" s="28"/>
      <c r="O246" s="30"/>
      <c r="P246" s="28"/>
      <c r="Q246" s="28"/>
      <c r="R246" s="28"/>
      <c r="S246" s="28"/>
      <c r="T246" s="28"/>
      <c r="U246" s="28"/>
      <c r="V246" s="30"/>
      <c r="W246" s="28"/>
      <c r="X246" s="28"/>
      <c r="Y246" s="28"/>
      <c r="Z246" s="28"/>
      <c r="AA246" s="28"/>
      <c r="AB246" s="28"/>
      <c r="AC246" s="28"/>
      <c r="AD246" s="28"/>
      <c r="AE246" s="28"/>
    </row>
    <row r="247" spans="1:31" x14ac:dyDescent="0.25">
      <c r="A247" s="30"/>
      <c r="B247" s="28"/>
      <c r="C247" s="28"/>
      <c r="D247" s="28"/>
      <c r="E247" s="28"/>
      <c r="F247" s="28"/>
      <c r="G247" s="28"/>
      <c r="H247" s="30"/>
      <c r="I247" s="28"/>
      <c r="J247" s="28"/>
      <c r="K247" s="28"/>
      <c r="L247" s="28"/>
      <c r="M247" s="28"/>
      <c r="N247" s="28"/>
      <c r="O247" s="30"/>
      <c r="P247" s="28"/>
      <c r="Q247" s="28"/>
      <c r="R247" s="28"/>
      <c r="S247" s="28"/>
      <c r="T247" s="28"/>
      <c r="U247" s="28"/>
      <c r="V247" s="30"/>
      <c r="W247" s="28"/>
      <c r="X247" s="28"/>
      <c r="Y247" s="28"/>
      <c r="Z247" s="28"/>
      <c r="AA247" s="28"/>
      <c r="AB247" s="28"/>
      <c r="AC247" s="28"/>
      <c r="AD247" s="28"/>
      <c r="AE247" s="28"/>
    </row>
    <row r="248" spans="1:31" x14ac:dyDescent="0.25">
      <c r="A248" s="30"/>
      <c r="B248" s="28"/>
      <c r="C248" s="28"/>
      <c r="D248" s="28"/>
      <c r="E248" s="28"/>
      <c r="F248" s="28"/>
      <c r="G248" s="28"/>
      <c r="H248" s="30"/>
      <c r="I248" s="28"/>
      <c r="J248" s="28"/>
      <c r="K248" s="28"/>
      <c r="L248" s="28"/>
      <c r="M248" s="28"/>
      <c r="N248" s="28"/>
      <c r="O248" s="30"/>
      <c r="P248" s="28"/>
      <c r="Q248" s="28"/>
      <c r="R248" s="28"/>
      <c r="S248" s="28"/>
      <c r="T248" s="28"/>
      <c r="U248" s="28"/>
      <c r="V248" s="30"/>
      <c r="W248" s="28"/>
      <c r="X248" s="28"/>
      <c r="Y248" s="28"/>
      <c r="Z248" s="28"/>
      <c r="AA248" s="28"/>
      <c r="AB248" s="28"/>
      <c r="AC248" s="28"/>
      <c r="AD248" s="28"/>
      <c r="AE248" s="28"/>
    </row>
    <row r="249" spans="1:31" x14ac:dyDescent="0.25">
      <c r="A249" s="30"/>
      <c r="B249" s="28"/>
      <c r="C249" s="28"/>
      <c r="D249" s="28"/>
      <c r="E249" s="28"/>
      <c r="F249" s="28"/>
      <c r="G249" s="28"/>
      <c r="H249" s="30"/>
      <c r="I249" s="28"/>
      <c r="J249" s="28"/>
      <c r="K249" s="28"/>
      <c r="L249" s="28"/>
      <c r="M249" s="28"/>
      <c r="N249" s="28"/>
      <c r="O249" s="30"/>
      <c r="P249" s="28"/>
      <c r="Q249" s="28"/>
      <c r="R249" s="28"/>
      <c r="S249" s="28"/>
      <c r="T249" s="28"/>
      <c r="U249" s="28"/>
      <c r="V249" s="30"/>
      <c r="W249" s="28"/>
      <c r="X249" s="28"/>
      <c r="Y249" s="28"/>
      <c r="Z249" s="28"/>
      <c r="AA249" s="28"/>
      <c r="AB249" s="28"/>
      <c r="AC249" s="28"/>
      <c r="AD249" s="28"/>
      <c r="AE249" s="28"/>
    </row>
    <row r="250" spans="1:31" x14ac:dyDescent="0.25">
      <c r="A250" s="30"/>
      <c r="B250" s="28"/>
      <c r="C250" s="28"/>
      <c r="D250" s="28"/>
      <c r="E250" s="28"/>
      <c r="F250" s="28"/>
      <c r="G250" s="28"/>
      <c r="H250" s="30"/>
      <c r="I250" s="28"/>
      <c r="J250" s="28"/>
      <c r="K250" s="28"/>
      <c r="L250" s="28"/>
      <c r="M250" s="28"/>
      <c r="N250" s="28"/>
      <c r="O250" s="30"/>
      <c r="P250" s="28"/>
      <c r="Q250" s="28"/>
      <c r="R250" s="28"/>
      <c r="S250" s="28"/>
      <c r="T250" s="28"/>
      <c r="U250" s="28"/>
      <c r="V250" s="30"/>
      <c r="W250" s="28"/>
      <c r="X250" s="28"/>
      <c r="Y250" s="28"/>
      <c r="Z250" s="28"/>
      <c r="AA250" s="28"/>
      <c r="AB250" s="28"/>
      <c r="AC250" s="28"/>
      <c r="AD250" s="28"/>
      <c r="AE250" s="28"/>
    </row>
    <row r="251" spans="1:31" x14ac:dyDescent="0.25">
      <c r="A251" s="30"/>
      <c r="B251" s="28"/>
      <c r="C251" s="28"/>
      <c r="D251" s="28"/>
      <c r="E251" s="28"/>
      <c r="F251" s="28"/>
      <c r="G251" s="28"/>
      <c r="H251" s="30"/>
      <c r="I251" s="28"/>
      <c r="J251" s="28"/>
      <c r="K251" s="28"/>
      <c r="L251" s="28"/>
      <c r="M251" s="28"/>
      <c r="N251" s="28"/>
      <c r="O251" s="30"/>
      <c r="P251" s="28"/>
      <c r="Q251" s="28"/>
      <c r="R251" s="28"/>
      <c r="S251" s="28"/>
      <c r="T251" s="28"/>
      <c r="U251" s="28"/>
      <c r="V251" s="30"/>
      <c r="W251" s="28"/>
      <c r="X251" s="28"/>
      <c r="Y251" s="28"/>
      <c r="Z251" s="28"/>
      <c r="AA251" s="28"/>
      <c r="AB251" s="28"/>
      <c r="AC251" s="28"/>
      <c r="AD251" s="28"/>
      <c r="AE251" s="28"/>
    </row>
    <row r="252" spans="1:31" x14ac:dyDescent="0.25">
      <c r="A252" s="30"/>
      <c r="B252" s="28"/>
      <c r="C252" s="28"/>
      <c r="D252" s="28"/>
      <c r="E252" s="28"/>
      <c r="F252" s="28"/>
      <c r="G252" s="28"/>
      <c r="H252" s="30"/>
      <c r="I252" s="28"/>
      <c r="J252" s="28"/>
      <c r="K252" s="28"/>
      <c r="L252" s="28"/>
      <c r="M252" s="28"/>
      <c r="N252" s="28"/>
      <c r="O252" s="30"/>
      <c r="P252" s="28"/>
      <c r="Q252" s="28"/>
      <c r="R252" s="28"/>
      <c r="S252" s="28"/>
      <c r="T252" s="28"/>
      <c r="U252" s="28"/>
      <c r="V252" s="30"/>
      <c r="W252" s="28"/>
      <c r="X252" s="28"/>
      <c r="Y252" s="28"/>
      <c r="Z252" s="28"/>
      <c r="AA252" s="28"/>
      <c r="AB252" s="28"/>
      <c r="AC252" s="28"/>
      <c r="AD252" s="28"/>
      <c r="AE252" s="28"/>
    </row>
    <row r="253" spans="1:31" x14ac:dyDescent="0.25">
      <c r="A253" s="30"/>
      <c r="B253" s="28"/>
      <c r="C253" s="28"/>
      <c r="D253" s="28"/>
      <c r="E253" s="28"/>
      <c r="F253" s="28"/>
      <c r="G253" s="28"/>
      <c r="H253" s="30"/>
      <c r="I253" s="28"/>
      <c r="J253" s="28"/>
      <c r="K253" s="28"/>
      <c r="L253" s="28"/>
      <c r="M253" s="28"/>
      <c r="N253" s="28"/>
      <c r="O253" s="30"/>
      <c r="P253" s="28"/>
      <c r="Q253" s="28"/>
      <c r="R253" s="28"/>
      <c r="S253" s="28"/>
      <c r="T253" s="28"/>
      <c r="U253" s="28"/>
      <c r="V253" s="30"/>
      <c r="W253" s="28"/>
      <c r="X253" s="28"/>
      <c r="Y253" s="28"/>
      <c r="Z253" s="28"/>
      <c r="AA253" s="28"/>
      <c r="AB253" s="28"/>
      <c r="AC253" s="28"/>
      <c r="AD253" s="28"/>
      <c r="AE253" s="28"/>
    </row>
    <row r="254" spans="1:31" x14ac:dyDescent="0.25">
      <c r="A254" s="30"/>
      <c r="B254" s="28"/>
      <c r="C254" s="28"/>
      <c r="D254" s="28"/>
      <c r="E254" s="28"/>
      <c r="F254" s="28"/>
      <c r="G254" s="28"/>
      <c r="H254" s="30"/>
      <c r="I254" s="28"/>
      <c r="J254" s="28"/>
      <c r="K254" s="28"/>
      <c r="L254" s="28"/>
      <c r="M254" s="28"/>
      <c r="N254" s="28"/>
      <c r="O254" s="30"/>
      <c r="P254" s="28"/>
      <c r="Q254" s="28"/>
      <c r="R254" s="28"/>
      <c r="S254" s="28"/>
      <c r="T254" s="28"/>
      <c r="U254" s="28"/>
      <c r="V254" s="30"/>
      <c r="W254" s="28"/>
      <c r="X254" s="28"/>
      <c r="Y254" s="28"/>
      <c r="Z254" s="28"/>
      <c r="AA254" s="28"/>
      <c r="AB254" s="28"/>
      <c r="AC254" s="28"/>
      <c r="AD254" s="28"/>
      <c r="AE254" s="28"/>
    </row>
    <row r="255" spans="1:31" x14ac:dyDescent="0.25">
      <c r="A255" s="30"/>
      <c r="B255" s="28"/>
      <c r="C255" s="28"/>
      <c r="D255" s="28"/>
      <c r="E255" s="28"/>
      <c r="F255" s="28"/>
      <c r="G255" s="28"/>
      <c r="H255" s="30"/>
      <c r="I255" s="28"/>
      <c r="J255" s="28"/>
      <c r="K255" s="28"/>
      <c r="L255" s="28"/>
      <c r="M255" s="28"/>
      <c r="N255" s="28"/>
      <c r="O255" s="30"/>
      <c r="P255" s="28"/>
      <c r="Q255" s="28"/>
      <c r="R255" s="28"/>
      <c r="S255" s="28"/>
      <c r="T255" s="28"/>
      <c r="U255" s="28"/>
      <c r="V255" s="30"/>
      <c r="W255" s="28"/>
      <c r="X255" s="28"/>
      <c r="Y255" s="28"/>
      <c r="Z255" s="28"/>
      <c r="AA255" s="28"/>
      <c r="AB255" s="28"/>
      <c r="AC255" s="28"/>
      <c r="AD255" s="28"/>
      <c r="AE255" s="28"/>
    </row>
    <row r="256" spans="1:31" x14ac:dyDescent="0.25">
      <c r="A256" s="30"/>
      <c r="B256" s="28"/>
      <c r="C256" s="28"/>
      <c r="D256" s="28"/>
      <c r="E256" s="28"/>
      <c r="F256" s="28"/>
      <c r="G256" s="28"/>
      <c r="H256" s="30"/>
      <c r="I256" s="28"/>
      <c r="J256" s="28"/>
      <c r="K256" s="28"/>
      <c r="L256" s="28"/>
      <c r="M256" s="28"/>
      <c r="N256" s="28"/>
      <c r="O256" s="30"/>
      <c r="P256" s="28"/>
      <c r="Q256" s="28"/>
      <c r="R256" s="28"/>
      <c r="S256" s="28"/>
      <c r="T256" s="28"/>
      <c r="U256" s="28"/>
      <c r="V256" s="30"/>
      <c r="W256" s="28"/>
      <c r="X256" s="28"/>
      <c r="Y256" s="28"/>
      <c r="Z256" s="28"/>
      <c r="AA256" s="28"/>
      <c r="AB256" s="28"/>
      <c r="AC256" s="28"/>
      <c r="AD256" s="28"/>
      <c r="AE256" s="28"/>
    </row>
    <row r="257" spans="1:31" x14ac:dyDescent="0.25">
      <c r="A257" s="30"/>
      <c r="B257" s="28"/>
      <c r="C257" s="28"/>
      <c r="D257" s="28"/>
      <c r="E257" s="28"/>
      <c r="F257" s="28"/>
      <c r="G257" s="28"/>
      <c r="H257" s="30"/>
      <c r="I257" s="28"/>
      <c r="J257" s="28"/>
      <c r="K257" s="28"/>
      <c r="L257" s="28"/>
      <c r="M257" s="28"/>
      <c r="N257" s="28"/>
      <c r="O257" s="30"/>
      <c r="P257" s="28"/>
      <c r="Q257" s="28"/>
      <c r="R257" s="28"/>
      <c r="S257" s="28"/>
      <c r="T257" s="28"/>
      <c r="U257" s="28"/>
      <c r="V257" s="30"/>
      <c r="W257" s="28"/>
      <c r="X257" s="28"/>
      <c r="Y257" s="28"/>
      <c r="Z257" s="28"/>
      <c r="AA257" s="28"/>
      <c r="AB257" s="28"/>
      <c r="AC257" s="28"/>
      <c r="AD257" s="28"/>
      <c r="AE257" s="28"/>
    </row>
    <row r="258" spans="1:31" x14ac:dyDescent="0.25">
      <c r="A258" s="30"/>
      <c r="B258" s="28"/>
      <c r="C258" s="28"/>
      <c r="D258" s="28"/>
      <c r="E258" s="28"/>
      <c r="F258" s="28"/>
      <c r="G258" s="28"/>
      <c r="H258" s="30"/>
      <c r="I258" s="28"/>
      <c r="J258" s="28"/>
      <c r="K258" s="28"/>
      <c r="L258" s="28"/>
      <c r="M258" s="28"/>
      <c r="N258" s="28"/>
      <c r="O258" s="30"/>
      <c r="P258" s="28"/>
      <c r="Q258" s="28"/>
      <c r="R258" s="28"/>
      <c r="S258" s="28"/>
      <c r="T258" s="28"/>
      <c r="U258" s="28"/>
      <c r="V258" s="30"/>
      <c r="W258" s="28"/>
      <c r="X258" s="28"/>
      <c r="Y258" s="28"/>
      <c r="Z258" s="28"/>
      <c r="AA258" s="28"/>
      <c r="AB258" s="28"/>
      <c r="AC258" s="28"/>
      <c r="AD258" s="28"/>
      <c r="AE258" s="28"/>
    </row>
    <row r="259" spans="1:31" x14ac:dyDescent="0.25">
      <c r="A259" s="30"/>
      <c r="B259" s="28"/>
      <c r="C259" s="28"/>
      <c r="D259" s="28"/>
      <c r="E259" s="28"/>
      <c r="F259" s="28"/>
      <c r="G259" s="28"/>
      <c r="H259" s="30"/>
      <c r="I259" s="28"/>
      <c r="J259" s="28"/>
      <c r="K259" s="28"/>
      <c r="L259" s="28"/>
      <c r="M259" s="28"/>
      <c r="N259" s="28"/>
      <c r="O259" s="30"/>
      <c r="P259" s="28"/>
      <c r="Q259" s="28"/>
      <c r="R259" s="28"/>
      <c r="S259" s="28"/>
      <c r="T259" s="28"/>
      <c r="U259" s="28"/>
      <c r="V259" s="30"/>
      <c r="W259" s="28"/>
      <c r="X259" s="28"/>
      <c r="Y259" s="28"/>
      <c r="Z259" s="28"/>
      <c r="AA259" s="28"/>
      <c r="AB259" s="28"/>
      <c r="AC259" s="28"/>
      <c r="AD259" s="28"/>
      <c r="AE259" s="28"/>
    </row>
    <row r="260" spans="1:31" x14ac:dyDescent="0.25">
      <c r="A260" s="30"/>
      <c r="B260" s="28"/>
      <c r="C260" s="28"/>
      <c r="D260" s="28"/>
      <c r="E260" s="28"/>
      <c r="F260" s="28"/>
      <c r="G260" s="28"/>
      <c r="H260" s="30"/>
      <c r="I260" s="28"/>
      <c r="J260" s="28"/>
      <c r="K260" s="28"/>
      <c r="L260" s="28"/>
      <c r="M260" s="28"/>
      <c r="N260" s="28"/>
      <c r="O260" s="30"/>
      <c r="P260" s="28"/>
      <c r="Q260" s="28"/>
      <c r="R260" s="28"/>
      <c r="S260" s="28"/>
      <c r="T260" s="28"/>
      <c r="U260" s="28"/>
      <c r="V260" s="30"/>
      <c r="W260" s="28"/>
      <c r="X260" s="28"/>
      <c r="Y260" s="28"/>
      <c r="Z260" s="28"/>
      <c r="AA260" s="28"/>
      <c r="AB260" s="28"/>
      <c r="AC260" s="28"/>
      <c r="AD260" s="28"/>
      <c r="AE260" s="28"/>
    </row>
    <row r="261" spans="1:31" x14ac:dyDescent="0.25">
      <c r="A261" s="30"/>
      <c r="B261" s="28"/>
      <c r="C261" s="28"/>
      <c r="D261" s="28"/>
      <c r="E261" s="28"/>
      <c r="F261" s="28"/>
      <c r="G261" s="28"/>
      <c r="H261" s="30"/>
      <c r="I261" s="28"/>
      <c r="J261" s="28"/>
      <c r="K261" s="28"/>
      <c r="L261" s="28"/>
      <c r="M261" s="28"/>
      <c r="N261" s="28"/>
      <c r="O261" s="30"/>
      <c r="P261" s="28"/>
      <c r="Q261" s="28"/>
      <c r="R261" s="28"/>
      <c r="S261" s="28"/>
      <c r="T261" s="28"/>
      <c r="U261" s="28"/>
      <c r="V261" s="30"/>
      <c r="W261" s="28"/>
      <c r="X261" s="28"/>
      <c r="Y261" s="28"/>
      <c r="Z261" s="28"/>
      <c r="AA261" s="28"/>
      <c r="AB261" s="28"/>
      <c r="AC261" s="28"/>
      <c r="AD261" s="28"/>
      <c r="AE261" s="28"/>
    </row>
    <row r="262" spans="1:31" x14ac:dyDescent="0.25">
      <c r="A262" s="30"/>
      <c r="B262" s="28"/>
      <c r="C262" s="28"/>
      <c r="D262" s="28"/>
      <c r="E262" s="28"/>
      <c r="F262" s="28"/>
      <c r="G262" s="28"/>
      <c r="H262" s="30"/>
      <c r="I262" s="28"/>
      <c r="J262" s="28"/>
      <c r="K262" s="28"/>
      <c r="L262" s="28"/>
      <c r="M262" s="28"/>
      <c r="N262" s="28"/>
      <c r="O262" s="30"/>
      <c r="P262" s="28"/>
      <c r="Q262" s="28"/>
      <c r="R262" s="28"/>
      <c r="S262" s="28"/>
      <c r="T262" s="28"/>
      <c r="U262" s="28"/>
      <c r="V262" s="30"/>
      <c r="W262" s="28"/>
      <c r="X262" s="28"/>
      <c r="Y262" s="28"/>
      <c r="Z262" s="28"/>
      <c r="AA262" s="28"/>
      <c r="AB262" s="28"/>
      <c r="AC262" s="28"/>
      <c r="AD262" s="28"/>
      <c r="AE262" s="28"/>
    </row>
    <row r="263" spans="1:31" x14ac:dyDescent="0.25">
      <c r="A263" s="30"/>
      <c r="B263" s="28"/>
      <c r="C263" s="28"/>
      <c r="D263" s="28"/>
      <c r="E263" s="28"/>
      <c r="F263" s="28"/>
      <c r="G263" s="28"/>
      <c r="H263" s="30"/>
      <c r="I263" s="28"/>
      <c r="J263" s="28"/>
      <c r="K263" s="28"/>
      <c r="L263" s="28"/>
      <c r="M263" s="28"/>
      <c r="N263" s="28"/>
      <c r="O263" s="30"/>
      <c r="P263" s="28"/>
      <c r="Q263" s="28"/>
      <c r="R263" s="28"/>
      <c r="S263" s="28"/>
      <c r="T263" s="28"/>
      <c r="U263" s="28"/>
      <c r="V263" s="30"/>
      <c r="W263" s="28"/>
      <c r="X263" s="28"/>
      <c r="Y263" s="28"/>
      <c r="Z263" s="28"/>
      <c r="AA263" s="28"/>
      <c r="AB263" s="28"/>
      <c r="AC263" s="28"/>
      <c r="AD263" s="28"/>
      <c r="AE263" s="28"/>
    </row>
    <row r="264" spans="1:31" x14ac:dyDescent="0.25">
      <c r="A264" s="30"/>
      <c r="B264" s="28"/>
      <c r="C264" s="28"/>
      <c r="D264" s="28"/>
      <c r="E264" s="28"/>
      <c r="F264" s="28"/>
      <c r="G264" s="28"/>
      <c r="H264" s="30"/>
      <c r="I264" s="28"/>
      <c r="J264" s="28"/>
      <c r="K264" s="28"/>
      <c r="L264" s="28"/>
      <c r="M264" s="28"/>
      <c r="N264" s="28"/>
      <c r="O264" s="30"/>
      <c r="P264" s="28"/>
      <c r="Q264" s="28"/>
      <c r="R264" s="28"/>
      <c r="S264" s="28"/>
      <c r="T264" s="28"/>
      <c r="U264" s="28"/>
      <c r="V264" s="30"/>
      <c r="W264" s="28"/>
      <c r="X264" s="28"/>
      <c r="Y264" s="28"/>
      <c r="Z264" s="28"/>
      <c r="AA264" s="28"/>
      <c r="AB264" s="28"/>
      <c r="AC264" s="28"/>
      <c r="AD264" s="28"/>
      <c r="AE264" s="28"/>
    </row>
    <row r="265" spans="1:31" x14ac:dyDescent="0.25">
      <c r="A265" s="30"/>
      <c r="B265" s="28"/>
      <c r="C265" s="28"/>
      <c r="D265" s="28"/>
      <c r="E265" s="28"/>
      <c r="F265" s="28"/>
      <c r="G265" s="28"/>
      <c r="H265" s="30"/>
      <c r="I265" s="28"/>
      <c r="J265" s="28"/>
      <c r="K265" s="28"/>
      <c r="L265" s="28"/>
      <c r="M265" s="28"/>
      <c r="N265" s="28"/>
      <c r="O265" s="30"/>
      <c r="P265" s="28"/>
      <c r="Q265" s="28"/>
      <c r="R265" s="28"/>
      <c r="S265" s="28"/>
      <c r="T265" s="28"/>
      <c r="U265" s="28"/>
      <c r="V265" s="30"/>
      <c r="W265" s="28"/>
      <c r="X265" s="28"/>
      <c r="Y265" s="28"/>
      <c r="Z265" s="28"/>
      <c r="AA265" s="28"/>
      <c r="AB265" s="28"/>
      <c r="AC265" s="28"/>
      <c r="AD265" s="28"/>
      <c r="AE265" s="28"/>
    </row>
    <row r="266" spans="1:31" x14ac:dyDescent="0.25">
      <c r="A266" s="30"/>
      <c r="B266" s="28"/>
      <c r="C266" s="28"/>
      <c r="D266" s="28"/>
      <c r="E266" s="28"/>
      <c r="F266" s="28"/>
      <c r="G266" s="28"/>
      <c r="H266" s="30"/>
      <c r="I266" s="28"/>
      <c r="J266" s="28"/>
      <c r="K266" s="28"/>
      <c r="L266" s="28"/>
      <c r="M266" s="28"/>
      <c r="N266" s="28"/>
      <c r="O266" s="30"/>
      <c r="P266" s="28"/>
      <c r="Q266" s="28"/>
      <c r="R266" s="28"/>
      <c r="S266" s="28"/>
      <c r="T266" s="28"/>
      <c r="U266" s="28"/>
      <c r="V266" s="30"/>
      <c r="W266" s="28"/>
      <c r="X266" s="28"/>
      <c r="Y266" s="28"/>
      <c r="Z266" s="28"/>
      <c r="AA266" s="28"/>
      <c r="AB266" s="28"/>
      <c r="AC266" s="28"/>
      <c r="AD266" s="28"/>
      <c r="AE266" s="28"/>
    </row>
    <row r="267" spans="1:31" x14ac:dyDescent="0.25">
      <c r="A267" s="30"/>
      <c r="B267" s="28"/>
      <c r="C267" s="28"/>
      <c r="D267" s="28"/>
      <c r="E267" s="28"/>
      <c r="F267" s="28"/>
      <c r="G267" s="28"/>
      <c r="H267" s="30"/>
      <c r="I267" s="28"/>
      <c r="J267" s="28"/>
      <c r="K267" s="28"/>
      <c r="L267" s="28"/>
      <c r="M267" s="28"/>
      <c r="N267" s="28"/>
      <c r="O267" s="30"/>
      <c r="P267" s="28"/>
      <c r="Q267" s="28"/>
      <c r="R267" s="28"/>
      <c r="S267" s="28"/>
      <c r="T267" s="28"/>
      <c r="U267" s="28"/>
      <c r="V267" s="30"/>
      <c r="W267" s="28"/>
      <c r="X267" s="28"/>
      <c r="Y267" s="28"/>
      <c r="Z267" s="28"/>
      <c r="AA267" s="28"/>
      <c r="AB267" s="28"/>
      <c r="AC267" s="28"/>
      <c r="AD267" s="28"/>
      <c r="AE267" s="28"/>
    </row>
    <row r="268" spans="1:31" x14ac:dyDescent="0.25">
      <c r="A268" s="30"/>
      <c r="B268" s="28"/>
      <c r="C268" s="28"/>
      <c r="D268" s="28"/>
      <c r="E268" s="28"/>
      <c r="F268" s="28"/>
      <c r="G268" s="28"/>
      <c r="H268" s="30"/>
      <c r="I268" s="28"/>
      <c r="J268" s="28"/>
      <c r="K268" s="28"/>
      <c r="L268" s="28"/>
      <c r="M268" s="28"/>
      <c r="N268" s="28"/>
      <c r="O268" s="30"/>
      <c r="P268" s="28"/>
      <c r="Q268" s="28"/>
      <c r="R268" s="28"/>
      <c r="S268" s="28"/>
      <c r="T268" s="28"/>
      <c r="U268" s="28"/>
      <c r="V268" s="30"/>
      <c r="W268" s="28"/>
      <c r="X268" s="28"/>
      <c r="Y268" s="28"/>
      <c r="Z268" s="28"/>
      <c r="AA268" s="28"/>
      <c r="AB268" s="28"/>
      <c r="AC268" s="28"/>
      <c r="AD268" s="28"/>
      <c r="AE268" s="28"/>
    </row>
    <row r="269" spans="1:31" x14ac:dyDescent="0.25">
      <c r="A269" s="30"/>
      <c r="B269" s="28"/>
      <c r="C269" s="28"/>
      <c r="D269" s="28"/>
      <c r="E269" s="28"/>
      <c r="F269" s="28"/>
      <c r="G269" s="28"/>
      <c r="H269" s="30"/>
      <c r="I269" s="28"/>
      <c r="J269" s="28"/>
      <c r="K269" s="28"/>
      <c r="L269" s="28"/>
      <c r="M269" s="28"/>
      <c r="N269" s="28"/>
      <c r="O269" s="30"/>
      <c r="P269" s="28"/>
      <c r="Q269" s="28"/>
      <c r="R269" s="28"/>
      <c r="S269" s="28"/>
      <c r="T269" s="28"/>
      <c r="U269" s="28"/>
      <c r="V269" s="30"/>
      <c r="W269" s="28"/>
      <c r="X269" s="28"/>
      <c r="Y269" s="28"/>
      <c r="Z269" s="28"/>
      <c r="AA269" s="28"/>
      <c r="AB269" s="28"/>
      <c r="AC269" s="28"/>
      <c r="AD269" s="28"/>
      <c r="AE269" s="28"/>
    </row>
    <row r="270" spans="1:31" x14ac:dyDescent="0.25">
      <c r="A270" s="30"/>
      <c r="B270" s="28"/>
      <c r="C270" s="28"/>
      <c r="D270" s="28"/>
      <c r="E270" s="28"/>
      <c r="F270" s="28"/>
      <c r="G270" s="28"/>
      <c r="H270" s="30"/>
      <c r="I270" s="28"/>
      <c r="J270" s="28"/>
      <c r="K270" s="28"/>
      <c r="L270" s="28"/>
      <c r="M270" s="28"/>
      <c r="N270" s="28"/>
      <c r="O270" s="30"/>
      <c r="P270" s="28"/>
      <c r="Q270" s="28"/>
      <c r="R270" s="28"/>
      <c r="S270" s="28"/>
      <c r="T270" s="28"/>
      <c r="U270" s="28"/>
      <c r="V270" s="30"/>
      <c r="W270" s="28"/>
      <c r="X270" s="28"/>
      <c r="Y270" s="28"/>
      <c r="Z270" s="28"/>
      <c r="AA270" s="28"/>
      <c r="AB270" s="28"/>
      <c r="AC270" s="28"/>
      <c r="AD270" s="28"/>
      <c r="AE270" s="28"/>
    </row>
    <row r="271" spans="1:31" x14ac:dyDescent="0.25">
      <c r="A271" s="30"/>
      <c r="B271" s="28"/>
      <c r="C271" s="28"/>
      <c r="D271" s="28"/>
      <c r="E271" s="28"/>
      <c r="F271" s="28"/>
      <c r="G271" s="28"/>
      <c r="H271" s="30"/>
      <c r="I271" s="28"/>
      <c r="J271" s="28"/>
      <c r="K271" s="28"/>
      <c r="L271" s="28"/>
      <c r="M271" s="28"/>
      <c r="N271" s="28"/>
      <c r="O271" s="30"/>
      <c r="P271" s="28"/>
      <c r="Q271" s="28"/>
      <c r="R271" s="28"/>
      <c r="S271" s="28"/>
      <c r="T271" s="28"/>
      <c r="U271" s="28"/>
      <c r="V271" s="30"/>
      <c r="W271" s="28"/>
      <c r="X271" s="28"/>
      <c r="Y271" s="28"/>
      <c r="Z271" s="28"/>
      <c r="AA271" s="28"/>
      <c r="AB271" s="28"/>
      <c r="AC271" s="28"/>
      <c r="AD271" s="28"/>
      <c r="AE271" s="28"/>
    </row>
    <row r="272" spans="1:31" x14ac:dyDescent="0.25">
      <c r="A272" s="30"/>
      <c r="B272" s="28"/>
      <c r="C272" s="28"/>
      <c r="D272" s="28"/>
      <c r="E272" s="28"/>
      <c r="F272" s="28"/>
      <c r="G272" s="28"/>
      <c r="H272" s="30"/>
      <c r="I272" s="28"/>
      <c r="J272" s="28"/>
      <c r="K272" s="28"/>
      <c r="L272" s="28"/>
      <c r="M272" s="28"/>
      <c r="N272" s="28"/>
      <c r="O272" s="30"/>
      <c r="P272" s="28"/>
      <c r="Q272" s="28"/>
      <c r="R272" s="28"/>
      <c r="S272" s="28"/>
      <c r="T272" s="28"/>
      <c r="U272" s="28"/>
      <c r="V272" s="30"/>
      <c r="W272" s="28"/>
      <c r="X272" s="28"/>
      <c r="Y272" s="28"/>
      <c r="Z272" s="28"/>
      <c r="AA272" s="28"/>
      <c r="AB272" s="28"/>
      <c r="AC272" s="28"/>
      <c r="AD272" s="28"/>
      <c r="AE272" s="28"/>
    </row>
    <row r="273" spans="1:31" x14ac:dyDescent="0.25">
      <c r="A273" s="30"/>
      <c r="B273" s="28"/>
      <c r="C273" s="28"/>
      <c r="D273" s="28"/>
      <c r="E273" s="28"/>
      <c r="F273" s="28"/>
      <c r="G273" s="28"/>
      <c r="H273" s="30"/>
      <c r="I273" s="28"/>
      <c r="J273" s="28"/>
      <c r="K273" s="28"/>
      <c r="L273" s="28"/>
      <c r="M273" s="28"/>
      <c r="N273" s="28"/>
      <c r="O273" s="30"/>
      <c r="P273" s="28"/>
      <c r="Q273" s="28"/>
      <c r="R273" s="28"/>
      <c r="S273" s="28"/>
      <c r="T273" s="28"/>
      <c r="U273" s="28"/>
      <c r="V273" s="30"/>
      <c r="W273" s="28"/>
      <c r="X273" s="28"/>
      <c r="Y273" s="28"/>
      <c r="Z273" s="28"/>
      <c r="AA273" s="28"/>
      <c r="AB273" s="28"/>
      <c r="AC273" s="28"/>
      <c r="AD273" s="28"/>
      <c r="AE273" s="28"/>
    </row>
    <row r="274" spans="1:31" x14ac:dyDescent="0.25">
      <c r="A274" s="30"/>
      <c r="B274" s="28"/>
      <c r="C274" s="28"/>
      <c r="D274" s="28"/>
      <c r="E274" s="28"/>
      <c r="F274" s="28"/>
      <c r="G274" s="28"/>
      <c r="H274" s="30"/>
      <c r="I274" s="28"/>
      <c r="J274" s="28"/>
      <c r="K274" s="28"/>
      <c r="L274" s="28"/>
      <c r="M274" s="28"/>
      <c r="N274" s="28"/>
      <c r="O274" s="30"/>
      <c r="P274" s="28"/>
      <c r="Q274" s="28"/>
      <c r="R274" s="28"/>
      <c r="S274" s="28"/>
      <c r="T274" s="28"/>
      <c r="U274" s="28"/>
      <c r="V274" s="30"/>
      <c r="W274" s="28"/>
      <c r="X274" s="28"/>
      <c r="Y274" s="28"/>
      <c r="Z274" s="28"/>
      <c r="AA274" s="28"/>
      <c r="AB274" s="28"/>
      <c r="AC274" s="28"/>
      <c r="AD274" s="28"/>
      <c r="AE274" s="28"/>
    </row>
    <row r="275" spans="1:31" x14ac:dyDescent="0.25">
      <c r="A275" s="30"/>
      <c r="B275" s="28"/>
      <c r="C275" s="28"/>
      <c r="D275" s="28"/>
      <c r="E275" s="28"/>
      <c r="F275" s="28"/>
      <c r="G275" s="28"/>
      <c r="H275" s="30"/>
      <c r="I275" s="28"/>
      <c r="J275" s="28"/>
      <c r="K275" s="28"/>
      <c r="L275" s="28"/>
      <c r="M275" s="28"/>
      <c r="N275" s="28"/>
      <c r="O275" s="30"/>
      <c r="P275" s="28"/>
      <c r="Q275" s="28"/>
      <c r="R275" s="28"/>
      <c r="S275" s="28"/>
      <c r="T275" s="28"/>
      <c r="U275" s="28"/>
      <c r="V275" s="30"/>
      <c r="W275" s="28"/>
      <c r="X275" s="28"/>
      <c r="Y275" s="28"/>
      <c r="Z275" s="28"/>
      <c r="AA275" s="28"/>
      <c r="AB275" s="28"/>
      <c r="AC275" s="28"/>
      <c r="AD275" s="28"/>
      <c r="AE275" s="28"/>
    </row>
    <row r="276" spans="1:31" x14ac:dyDescent="0.25">
      <c r="A276" s="30"/>
      <c r="B276" s="28"/>
      <c r="C276" s="28"/>
      <c r="D276" s="28"/>
      <c r="E276" s="28"/>
      <c r="F276" s="28"/>
      <c r="G276" s="28"/>
      <c r="H276" s="30"/>
      <c r="I276" s="28"/>
      <c r="J276" s="28"/>
      <c r="K276" s="28"/>
      <c r="L276" s="28"/>
      <c r="M276" s="28"/>
      <c r="N276" s="28"/>
      <c r="O276" s="30"/>
      <c r="P276" s="28"/>
      <c r="Q276" s="28"/>
      <c r="R276" s="28"/>
      <c r="S276" s="28"/>
      <c r="T276" s="28"/>
      <c r="U276" s="28"/>
      <c r="V276" s="30"/>
      <c r="W276" s="28"/>
      <c r="X276" s="28"/>
      <c r="Y276" s="28"/>
      <c r="Z276" s="28"/>
      <c r="AA276" s="28"/>
      <c r="AB276" s="28"/>
      <c r="AC276" s="28"/>
      <c r="AD276" s="28"/>
      <c r="AE276" s="28"/>
    </row>
    <row r="277" spans="1:31" x14ac:dyDescent="0.25">
      <c r="A277" s="30"/>
      <c r="B277" s="28"/>
      <c r="C277" s="28"/>
      <c r="D277" s="28"/>
      <c r="E277" s="28"/>
      <c r="F277" s="28"/>
      <c r="G277" s="28"/>
      <c r="H277" s="30"/>
      <c r="I277" s="28"/>
      <c r="J277" s="28"/>
      <c r="K277" s="28"/>
      <c r="L277" s="28"/>
      <c r="M277" s="28"/>
      <c r="N277" s="28"/>
      <c r="O277" s="30"/>
      <c r="P277" s="28"/>
      <c r="Q277" s="28"/>
      <c r="R277" s="28"/>
      <c r="S277" s="28"/>
      <c r="T277" s="28"/>
      <c r="U277" s="28"/>
      <c r="V277" s="30"/>
      <c r="W277" s="28"/>
      <c r="X277" s="28"/>
      <c r="Y277" s="28"/>
      <c r="Z277" s="28"/>
      <c r="AA277" s="28"/>
      <c r="AB277" s="28"/>
      <c r="AC277" s="28"/>
      <c r="AD277" s="28"/>
      <c r="AE277" s="28"/>
    </row>
    <row r="278" spans="1:31" x14ac:dyDescent="0.25">
      <c r="A278" s="30"/>
      <c r="B278" s="28"/>
      <c r="C278" s="28"/>
      <c r="D278" s="28"/>
      <c r="E278" s="28"/>
      <c r="F278" s="28"/>
      <c r="G278" s="28"/>
      <c r="H278" s="30"/>
      <c r="I278" s="28"/>
      <c r="J278" s="28"/>
      <c r="K278" s="28"/>
      <c r="L278" s="28"/>
      <c r="M278" s="28"/>
      <c r="N278" s="28"/>
      <c r="O278" s="30"/>
      <c r="P278" s="28"/>
      <c r="Q278" s="28"/>
      <c r="R278" s="28"/>
      <c r="S278" s="28"/>
      <c r="T278" s="28"/>
      <c r="U278" s="28"/>
      <c r="V278" s="30"/>
      <c r="W278" s="28"/>
      <c r="X278" s="28"/>
      <c r="Y278" s="28"/>
      <c r="Z278" s="28"/>
      <c r="AA278" s="28"/>
      <c r="AB278" s="28"/>
      <c r="AC278" s="28"/>
      <c r="AD278" s="28"/>
      <c r="AE278" s="28"/>
    </row>
    <row r="279" spans="1:31" x14ac:dyDescent="0.25">
      <c r="A279" s="30"/>
      <c r="B279" s="28"/>
      <c r="C279" s="28"/>
      <c r="D279" s="28"/>
      <c r="E279" s="28"/>
      <c r="F279" s="28"/>
      <c r="G279" s="28"/>
      <c r="H279" s="30"/>
      <c r="I279" s="28"/>
      <c r="J279" s="28"/>
      <c r="K279" s="28"/>
      <c r="L279" s="28"/>
      <c r="M279" s="28"/>
      <c r="N279" s="28"/>
      <c r="O279" s="30"/>
      <c r="P279" s="28"/>
      <c r="Q279" s="28"/>
      <c r="R279" s="28"/>
      <c r="S279" s="28"/>
      <c r="T279" s="28"/>
      <c r="U279" s="28"/>
      <c r="V279" s="30"/>
      <c r="W279" s="28"/>
      <c r="X279" s="28"/>
      <c r="Y279" s="28"/>
      <c r="Z279" s="28"/>
      <c r="AA279" s="28"/>
      <c r="AB279" s="28"/>
      <c r="AC279" s="28"/>
      <c r="AD279" s="28"/>
      <c r="AE279" s="28"/>
    </row>
    <row r="280" spans="1:31" x14ac:dyDescent="0.25">
      <c r="A280" s="30"/>
      <c r="B280" s="28"/>
      <c r="C280" s="28"/>
      <c r="D280" s="28"/>
      <c r="E280" s="28"/>
      <c r="F280" s="28"/>
      <c r="G280" s="28"/>
      <c r="H280" s="30"/>
      <c r="I280" s="28"/>
      <c r="J280" s="28"/>
      <c r="K280" s="28"/>
      <c r="L280" s="28"/>
      <c r="M280" s="28"/>
      <c r="N280" s="28"/>
      <c r="O280" s="30"/>
      <c r="P280" s="28"/>
      <c r="Q280" s="28"/>
      <c r="R280" s="28"/>
      <c r="S280" s="28"/>
      <c r="T280" s="28"/>
      <c r="U280" s="28"/>
      <c r="V280" s="30"/>
      <c r="W280" s="28"/>
      <c r="X280" s="28"/>
      <c r="Y280" s="28"/>
      <c r="Z280" s="28"/>
      <c r="AA280" s="28"/>
      <c r="AB280" s="28"/>
      <c r="AC280" s="28"/>
      <c r="AD280" s="28"/>
      <c r="AE280" s="28"/>
    </row>
    <row r="281" spans="1:31" x14ac:dyDescent="0.25">
      <c r="A281" s="30"/>
      <c r="B281" s="28"/>
      <c r="C281" s="28"/>
      <c r="D281" s="28"/>
      <c r="E281" s="28"/>
      <c r="F281" s="28"/>
      <c r="G281" s="28"/>
      <c r="H281" s="30"/>
      <c r="I281" s="28"/>
      <c r="J281" s="28"/>
      <c r="K281" s="28"/>
      <c r="L281" s="28"/>
      <c r="M281" s="28"/>
      <c r="N281" s="28"/>
      <c r="O281" s="30"/>
      <c r="P281" s="28"/>
      <c r="Q281" s="28"/>
      <c r="R281" s="28"/>
      <c r="S281" s="28"/>
      <c r="T281" s="28"/>
      <c r="U281" s="28"/>
      <c r="V281" s="30"/>
      <c r="W281" s="28"/>
      <c r="X281" s="28"/>
      <c r="Y281" s="28"/>
      <c r="Z281" s="28"/>
      <c r="AA281" s="28"/>
      <c r="AB281" s="28"/>
      <c r="AC281" s="28"/>
      <c r="AD281" s="28"/>
      <c r="AE281" s="28"/>
    </row>
    <row r="282" spans="1:31" x14ac:dyDescent="0.25">
      <c r="A282" s="30"/>
      <c r="B282" s="28"/>
      <c r="C282" s="28"/>
      <c r="D282" s="28"/>
      <c r="E282" s="28"/>
      <c r="F282" s="28"/>
      <c r="G282" s="28"/>
      <c r="H282" s="30"/>
      <c r="I282" s="28"/>
      <c r="J282" s="28"/>
      <c r="K282" s="28"/>
      <c r="L282" s="28"/>
      <c r="M282" s="28"/>
      <c r="N282" s="28"/>
      <c r="O282" s="30"/>
      <c r="P282" s="28"/>
      <c r="Q282" s="28"/>
      <c r="R282" s="28"/>
      <c r="S282" s="28"/>
      <c r="T282" s="28"/>
      <c r="U282" s="28"/>
      <c r="V282" s="30"/>
      <c r="W282" s="28"/>
      <c r="X282" s="28"/>
      <c r="Y282" s="28"/>
      <c r="Z282" s="28"/>
      <c r="AA282" s="28"/>
      <c r="AB282" s="28"/>
      <c r="AC282" s="28"/>
      <c r="AD282" s="28"/>
      <c r="AE282" s="28"/>
    </row>
    <row r="283" spans="1:31" x14ac:dyDescent="0.25">
      <c r="A283" s="30"/>
      <c r="B283" s="28"/>
      <c r="C283" s="28"/>
      <c r="D283" s="28"/>
      <c r="E283" s="28"/>
      <c r="F283" s="28"/>
      <c r="G283" s="28"/>
      <c r="H283" s="30"/>
      <c r="I283" s="28"/>
      <c r="J283" s="28"/>
      <c r="K283" s="28"/>
      <c r="L283" s="28"/>
      <c r="M283" s="28"/>
      <c r="N283" s="28"/>
      <c r="O283" s="30"/>
      <c r="P283" s="28"/>
      <c r="Q283" s="28"/>
      <c r="R283" s="28"/>
      <c r="S283" s="28"/>
      <c r="T283" s="28"/>
      <c r="U283" s="28"/>
      <c r="V283" s="30"/>
      <c r="W283" s="28"/>
      <c r="X283" s="28"/>
      <c r="Y283" s="28"/>
      <c r="Z283" s="28"/>
      <c r="AA283" s="28"/>
      <c r="AB283" s="28"/>
      <c r="AC283" s="28"/>
      <c r="AD283" s="28"/>
      <c r="AE283" s="28"/>
    </row>
    <row r="284" spans="1:31" x14ac:dyDescent="0.25">
      <c r="A284" s="30"/>
      <c r="B284" s="28"/>
      <c r="C284" s="28"/>
      <c r="D284" s="28"/>
      <c r="E284" s="28"/>
      <c r="F284" s="28"/>
      <c r="G284" s="28"/>
      <c r="H284" s="30"/>
      <c r="I284" s="28"/>
      <c r="J284" s="28"/>
      <c r="K284" s="28"/>
      <c r="L284" s="28"/>
      <c r="M284" s="28"/>
      <c r="N284" s="28"/>
      <c r="O284" s="30"/>
      <c r="P284" s="28"/>
      <c r="Q284" s="28"/>
      <c r="R284" s="28"/>
      <c r="S284" s="28"/>
      <c r="T284" s="28"/>
      <c r="U284" s="28"/>
      <c r="V284" s="30"/>
      <c r="W284" s="28"/>
      <c r="X284" s="28"/>
      <c r="Y284" s="28"/>
      <c r="Z284" s="28"/>
      <c r="AA284" s="28"/>
      <c r="AB284" s="28"/>
      <c r="AC284" s="28"/>
      <c r="AD284" s="28"/>
      <c r="AE284" s="28"/>
    </row>
    <row r="285" spans="1:31" x14ac:dyDescent="0.25">
      <c r="A285" s="30"/>
      <c r="B285" s="28"/>
      <c r="C285" s="28"/>
      <c r="D285" s="28"/>
      <c r="E285" s="28"/>
      <c r="F285" s="28"/>
      <c r="G285" s="28"/>
      <c r="H285" s="30"/>
      <c r="I285" s="28"/>
      <c r="J285" s="28"/>
      <c r="K285" s="28"/>
      <c r="L285" s="28"/>
      <c r="M285" s="28"/>
      <c r="N285" s="28"/>
      <c r="O285" s="30"/>
      <c r="P285" s="28"/>
      <c r="Q285" s="28"/>
      <c r="R285" s="28"/>
      <c r="S285" s="28"/>
      <c r="T285" s="28"/>
      <c r="U285" s="28"/>
      <c r="V285" s="30"/>
      <c r="W285" s="28"/>
      <c r="X285" s="28"/>
      <c r="Y285" s="28"/>
      <c r="Z285" s="28"/>
      <c r="AA285" s="28"/>
      <c r="AB285" s="28"/>
      <c r="AC285" s="28"/>
      <c r="AD285" s="28"/>
      <c r="AE285" s="28"/>
    </row>
    <row r="286" spans="1:31" x14ac:dyDescent="0.25">
      <c r="A286" s="30"/>
      <c r="B286" s="28"/>
      <c r="C286" s="28"/>
      <c r="D286" s="28"/>
      <c r="E286" s="28"/>
      <c r="F286" s="28"/>
      <c r="G286" s="28"/>
      <c r="H286" s="30"/>
      <c r="I286" s="28"/>
      <c r="J286" s="28"/>
      <c r="K286" s="28"/>
      <c r="L286" s="28"/>
      <c r="M286" s="28"/>
      <c r="N286" s="28"/>
      <c r="O286" s="30"/>
      <c r="P286" s="28"/>
      <c r="Q286" s="28"/>
      <c r="R286" s="28"/>
      <c r="S286" s="28"/>
      <c r="T286" s="28"/>
      <c r="U286" s="28"/>
      <c r="V286" s="30"/>
      <c r="W286" s="28"/>
      <c r="X286" s="28"/>
      <c r="Y286" s="28"/>
      <c r="Z286" s="28"/>
      <c r="AA286" s="28"/>
      <c r="AB286" s="28"/>
      <c r="AC286" s="28"/>
      <c r="AD286" s="28"/>
      <c r="AE286" s="28"/>
    </row>
    <row r="287" spans="1:31" x14ac:dyDescent="0.25">
      <c r="A287" s="30"/>
      <c r="B287" s="28"/>
      <c r="C287" s="28"/>
      <c r="D287" s="28"/>
      <c r="E287" s="28"/>
      <c r="F287" s="28"/>
      <c r="G287" s="28"/>
      <c r="H287" s="30"/>
      <c r="I287" s="28"/>
      <c r="J287" s="28"/>
      <c r="K287" s="28"/>
      <c r="L287" s="28"/>
      <c r="M287" s="28"/>
      <c r="N287" s="28"/>
      <c r="O287" s="30"/>
      <c r="P287" s="28"/>
      <c r="Q287" s="28"/>
      <c r="R287" s="28"/>
      <c r="S287" s="28"/>
      <c r="T287" s="28"/>
      <c r="U287" s="28"/>
      <c r="V287" s="30"/>
      <c r="W287" s="28"/>
      <c r="X287" s="28"/>
      <c r="Y287" s="28"/>
      <c r="Z287" s="28"/>
      <c r="AA287" s="28"/>
      <c r="AB287" s="28"/>
      <c r="AC287" s="28"/>
      <c r="AD287" s="28"/>
      <c r="AE287" s="28"/>
    </row>
    <row r="288" spans="1:31" x14ac:dyDescent="0.25">
      <c r="A288" s="30"/>
      <c r="B288" s="28"/>
      <c r="C288" s="28"/>
      <c r="D288" s="28"/>
      <c r="E288" s="28"/>
      <c r="F288" s="28"/>
      <c r="G288" s="28"/>
      <c r="H288" s="30"/>
      <c r="I288" s="28"/>
      <c r="J288" s="28"/>
      <c r="K288" s="28"/>
      <c r="L288" s="28"/>
      <c r="M288" s="28"/>
      <c r="N288" s="28"/>
      <c r="O288" s="30"/>
      <c r="P288" s="28"/>
      <c r="Q288" s="28"/>
      <c r="R288" s="28"/>
      <c r="S288" s="28"/>
      <c r="T288" s="28"/>
      <c r="U288" s="28"/>
      <c r="V288" s="30"/>
      <c r="W288" s="28"/>
      <c r="X288" s="28"/>
      <c r="Y288" s="28"/>
      <c r="Z288" s="28"/>
      <c r="AA288" s="28"/>
      <c r="AB288" s="28"/>
      <c r="AC288" s="28"/>
      <c r="AD288" s="28"/>
      <c r="AE288" s="28"/>
    </row>
    <row r="289" spans="1:31" x14ac:dyDescent="0.25">
      <c r="A289" s="30"/>
      <c r="B289" s="28"/>
      <c r="C289" s="28"/>
      <c r="D289" s="28"/>
      <c r="E289" s="28"/>
      <c r="F289" s="28"/>
      <c r="G289" s="28"/>
      <c r="H289" s="30"/>
      <c r="I289" s="28"/>
      <c r="J289" s="28"/>
      <c r="K289" s="28"/>
      <c r="L289" s="28"/>
      <c r="M289" s="28"/>
      <c r="N289" s="28"/>
      <c r="O289" s="30"/>
      <c r="P289" s="28"/>
      <c r="Q289" s="28"/>
      <c r="R289" s="28"/>
      <c r="S289" s="28"/>
      <c r="T289" s="28"/>
      <c r="U289" s="28"/>
      <c r="V289" s="30"/>
      <c r="W289" s="28"/>
      <c r="X289" s="28"/>
      <c r="Y289" s="28"/>
      <c r="Z289" s="28"/>
      <c r="AA289" s="28"/>
      <c r="AB289" s="28"/>
      <c r="AC289" s="28"/>
      <c r="AD289" s="28"/>
      <c r="AE289" s="28"/>
    </row>
    <row r="290" spans="1:31" x14ac:dyDescent="0.25">
      <c r="A290" s="30"/>
      <c r="B290" s="28"/>
      <c r="C290" s="28"/>
      <c r="D290" s="28"/>
      <c r="E290" s="28"/>
      <c r="F290" s="28"/>
      <c r="G290" s="28"/>
      <c r="H290" s="30"/>
      <c r="I290" s="28"/>
      <c r="J290" s="28"/>
      <c r="K290" s="28"/>
      <c r="L290" s="28"/>
      <c r="M290" s="28"/>
      <c r="N290" s="28"/>
      <c r="O290" s="30"/>
      <c r="P290" s="28"/>
      <c r="Q290" s="28"/>
      <c r="R290" s="28"/>
      <c r="S290" s="28"/>
      <c r="T290" s="28"/>
      <c r="U290" s="28"/>
      <c r="V290" s="30"/>
      <c r="W290" s="28"/>
      <c r="X290" s="28"/>
      <c r="Y290" s="28"/>
      <c r="Z290" s="28"/>
      <c r="AA290" s="28"/>
      <c r="AB290" s="28"/>
      <c r="AC290" s="28"/>
      <c r="AD290" s="28"/>
      <c r="AE290" s="28"/>
    </row>
    <row r="291" spans="1:31" x14ac:dyDescent="0.25">
      <c r="A291" s="30"/>
      <c r="B291" s="28"/>
      <c r="C291" s="28"/>
      <c r="D291" s="28"/>
      <c r="E291" s="28"/>
      <c r="F291" s="28"/>
      <c r="G291" s="28"/>
      <c r="H291" s="30"/>
      <c r="I291" s="28"/>
      <c r="J291" s="28"/>
      <c r="K291" s="28"/>
      <c r="L291" s="28"/>
      <c r="M291" s="28"/>
      <c r="N291" s="28"/>
      <c r="O291" s="30"/>
      <c r="P291" s="28"/>
      <c r="Q291" s="28"/>
      <c r="R291" s="28"/>
      <c r="S291" s="28"/>
      <c r="T291" s="28"/>
      <c r="U291" s="28"/>
      <c r="V291" s="30"/>
      <c r="W291" s="28"/>
      <c r="X291" s="28"/>
      <c r="Y291" s="28"/>
      <c r="Z291" s="28"/>
      <c r="AA291" s="28"/>
      <c r="AB291" s="28"/>
      <c r="AC291" s="28"/>
      <c r="AD291" s="28"/>
      <c r="AE291" s="28"/>
    </row>
    <row r="292" spans="1:31" x14ac:dyDescent="0.25">
      <c r="A292" s="30"/>
      <c r="B292" s="28"/>
      <c r="C292" s="28"/>
      <c r="D292" s="28"/>
      <c r="E292" s="28"/>
      <c r="F292" s="28"/>
      <c r="G292" s="28"/>
      <c r="H292" s="30"/>
      <c r="I292" s="28"/>
      <c r="J292" s="28"/>
      <c r="K292" s="28"/>
      <c r="L292" s="28"/>
      <c r="M292" s="28"/>
      <c r="N292" s="28"/>
      <c r="O292" s="30"/>
      <c r="P292" s="28"/>
      <c r="Q292" s="28"/>
      <c r="R292" s="28"/>
      <c r="S292" s="28"/>
      <c r="T292" s="28"/>
      <c r="U292" s="28"/>
      <c r="V292" s="30"/>
      <c r="W292" s="28"/>
      <c r="X292" s="28"/>
      <c r="Y292" s="28"/>
      <c r="Z292" s="28"/>
      <c r="AA292" s="28"/>
      <c r="AB292" s="28"/>
      <c r="AC292" s="28"/>
      <c r="AD292" s="28"/>
      <c r="AE292" s="28"/>
    </row>
    <row r="293" spans="1:31" x14ac:dyDescent="0.25">
      <c r="A293" s="30"/>
      <c r="B293" s="28"/>
      <c r="C293" s="28"/>
      <c r="D293" s="28"/>
      <c r="E293" s="28"/>
      <c r="F293" s="28"/>
      <c r="G293" s="28"/>
      <c r="H293" s="30"/>
      <c r="I293" s="28"/>
      <c r="J293" s="28"/>
      <c r="K293" s="28"/>
      <c r="L293" s="28"/>
      <c r="M293" s="28"/>
      <c r="N293" s="28"/>
      <c r="O293" s="30"/>
      <c r="P293" s="28"/>
      <c r="Q293" s="28"/>
      <c r="R293" s="28"/>
      <c r="S293" s="28"/>
      <c r="T293" s="28"/>
      <c r="U293" s="28"/>
      <c r="V293" s="30"/>
      <c r="W293" s="28"/>
      <c r="X293" s="28"/>
      <c r="Y293" s="28"/>
      <c r="Z293" s="28"/>
      <c r="AA293" s="28"/>
      <c r="AB293" s="28"/>
      <c r="AC293" s="28"/>
      <c r="AD293" s="28"/>
      <c r="AE293" s="28"/>
    </row>
    <row r="294" spans="1:31" x14ac:dyDescent="0.25">
      <c r="A294" s="30"/>
      <c r="B294" s="28"/>
      <c r="C294" s="28"/>
      <c r="D294" s="28"/>
      <c r="E294" s="28"/>
      <c r="F294" s="28"/>
      <c r="G294" s="28"/>
      <c r="H294" s="30"/>
      <c r="I294" s="28"/>
      <c r="J294" s="28"/>
      <c r="K294" s="28"/>
      <c r="L294" s="28"/>
      <c r="M294" s="28"/>
      <c r="N294" s="28"/>
      <c r="O294" s="30"/>
      <c r="P294" s="28"/>
      <c r="Q294" s="28"/>
      <c r="R294" s="28"/>
      <c r="S294" s="28"/>
      <c r="T294" s="28"/>
      <c r="U294" s="28"/>
      <c r="V294" s="30"/>
      <c r="W294" s="28"/>
      <c r="X294" s="28"/>
      <c r="Y294" s="28"/>
      <c r="Z294" s="28"/>
      <c r="AA294" s="28"/>
      <c r="AB294" s="28"/>
      <c r="AC294" s="28"/>
      <c r="AD294" s="28"/>
      <c r="AE294" s="28"/>
    </row>
    <row r="295" spans="1:31" x14ac:dyDescent="0.25">
      <c r="A295" s="30"/>
      <c r="B295" s="28"/>
      <c r="C295" s="28"/>
      <c r="D295" s="28"/>
      <c r="E295" s="28"/>
      <c r="F295" s="28"/>
      <c r="G295" s="28"/>
      <c r="H295" s="30"/>
      <c r="I295" s="28"/>
      <c r="J295" s="28"/>
      <c r="K295" s="28"/>
      <c r="L295" s="28"/>
      <c r="M295" s="28"/>
      <c r="N295" s="28"/>
      <c r="O295" s="30"/>
      <c r="P295" s="28"/>
      <c r="Q295" s="28"/>
      <c r="R295" s="28"/>
      <c r="S295" s="28"/>
      <c r="T295" s="28"/>
      <c r="U295" s="28"/>
      <c r="V295" s="30"/>
      <c r="W295" s="28"/>
      <c r="X295" s="28"/>
      <c r="Y295" s="28"/>
      <c r="Z295" s="28"/>
      <c r="AA295" s="28"/>
      <c r="AB295" s="28"/>
      <c r="AC295" s="28"/>
      <c r="AD295" s="28"/>
      <c r="AE295" s="28"/>
    </row>
    <row r="296" spans="1:31" x14ac:dyDescent="0.25">
      <c r="A296" s="30"/>
      <c r="B296" s="28"/>
      <c r="C296" s="28"/>
      <c r="D296" s="28"/>
      <c r="E296" s="28"/>
      <c r="F296" s="28"/>
      <c r="G296" s="28"/>
      <c r="H296" s="30"/>
      <c r="I296" s="28"/>
      <c r="J296" s="28"/>
      <c r="K296" s="28"/>
      <c r="L296" s="28"/>
      <c r="M296" s="28"/>
      <c r="N296" s="28"/>
      <c r="O296" s="30"/>
      <c r="P296" s="28"/>
      <c r="Q296" s="28"/>
      <c r="R296" s="28"/>
      <c r="S296" s="28"/>
      <c r="T296" s="28"/>
      <c r="U296" s="28"/>
      <c r="V296" s="30"/>
      <c r="W296" s="28"/>
      <c r="X296" s="28"/>
      <c r="Y296" s="28"/>
      <c r="Z296" s="28"/>
      <c r="AA296" s="28"/>
      <c r="AB296" s="28"/>
      <c r="AC296" s="28"/>
      <c r="AD296" s="28"/>
      <c r="AE296" s="28"/>
    </row>
    <row r="297" spans="1:31" x14ac:dyDescent="0.25">
      <c r="A297" s="30"/>
      <c r="B297" s="28"/>
      <c r="C297" s="28"/>
      <c r="D297" s="28"/>
      <c r="E297" s="28"/>
      <c r="F297" s="28"/>
      <c r="G297" s="28"/>
      <c r="H297" s="30"/>
      <c r="I297" s="28"/>
      <c r="J297" s="28"/>
      <c r="K297" s="28"/>
      <c r="L297" s="28"/>
      <c r="M297" s="28"/>
      <c r="N297" s="28"/>
      <c r="O297" s="30"/>
      <c r="P297" s="28"/>
      <c r="Q297" s="28"/>
      <c r="R297" s="28"/>
      <c r="S297" s="28"/>
      <c r="T297" s="28"/>
      <c r="U297" s="28"/>
      <c r="V297" s="30"/>
      <c r="W297" s="28"/>
      <c r="X297" s="28"/>
      <c r="Y297" s="28"/>
      <c r="Z297" s="28"/>
      <c r="AA297" s="28"/>
      <c r="AB297" s="28"/>
      <c r="AC297" s="28"/>
      <c r="AD297" s="28"/>
      <c r="AE297" s="28"/>
    </row>
    <row r="298" spans="1:31" x14ac:dyDescent="0.25">
      <c r="A298" s="30"/>
      <c r="B298" s="28"/>
      <c r="C298" s="28"/>
      <c r="D298" s="28"/>
      <c r="E298" s="28"/>
      <c r="F298" s="28"/>
      <c r="G298" s="28"/>
      <c r="H298" s="30"/>
      <c r="I298" s="28"/>
      <c r="J298" s="28"/>
      <c r="K298" s="28"/>
      <c r="L298" s="28"/>
      <c r="M298" s="28"/>
      <c r="N298" s="28"/>
      <c r="O298" s="30"/>
      <c r="P298" s="28"/>
      <c r="Q298" s="28"/>
      <c r="R298" s="28"/>
      <c r="S298" s="28"/>
      <c r="T298" s="28"/>
      <c r="U298" s="28"/>
      <c r="V298" s="30"/>
      <c r="W298" s="28"/>
      <c r="X298" s="28"/>
      <c r="Y298" s="28"/>
      <c r="Z298" s="28"/>
      <c r="AA298" s="28"/>
      <c r="AB298" s="28"/>
      <c r="AC298" s="28"/>
      <c r="AD298" s="28"/>
      <c r="AE298" s="28"/>
    </row>
    <row r="299" spans="1:31" x14ac:dyDescent="0.25">
      <c r="A299" s="30"/>
      <c r="B299" s="28"/>
      <c r="C299" s="28"/>
      <c r="D299" s="28"/>
      <c r="E299" s="28"/>
      <c r="F299" s="28"/>
      <c r="G299" s="28"/>
      <c r="H299" s="30"/>
      <c r="I299" s="28"/>
      <c r="J299" s="28"/>
      <c r="K299" s="28"/>
      <c r="L299" s="28"/>
      <c r="M299" s="28"/>
      <c r="N299" s="28"/>
      <c r="O299" s="30"/>
      <c r="P299" s="28"/>
      <c r="Q299" s="28"/>
      <c r="R299" s="28"/>
      <c r="S299" s="28"/>
      <c r="T299" s="28"/>
      <c r="U299" s="28"/>
      <c r="V299" s="30"/>
      <c r="W299" s="28"/>
      <c r="X299" s="28"/>
      <c r="Y299" s="28"/>
      <c r="Z299" s="28"/>
      <c r="AA299" s="28"/>
      <c r="AB299" s="28"/>
      <c r="AC299" s="28"/>
      <c r="AD299" s="28"/>
      <c r="AE299" s="28"/>
    </row>
    <row r="300" spans="1:31" x14ac:dyDescent="0.25">
      <c r="A300" s="30"/>
      <c r="B300" s="28"/>
      <c r="C300" s="28"/>
      <c r="D300" s="28"/>
      <c r="E300" s="28"/>
      <c r="F300" s="28"/>
      <c r="G300" s="28"/>
      <c r="H300" s="30"/>
      <c r="I300" s="28"/>
      <c r="J300" s="28"/>
      <c r="K300" s="28"/>
      <c r="L300" s="28"/>
      <c r="M300" s="28"/>
      <c r="N300" s="28"/>
      <c r="O300" s="30"/>
      <c r="P300" s="28"/>
      <c r="Q300" s="28"/>
      <c r="R300" s="28"/>
      <c r="S300" s="28"/>
      <c r="T300" s="28"/>
      <c r="U300" s="28"/>
      <c r="V300" s="30"/>
      <c r="W300" s="28"/>
      <c r="X300" s="28"/>
      <c r="Y300" s="28"/>
      <c r="Z300" s="28"/>
      <c r="AA300" s="28"/>
      <c r="AB300" s="28"/>
      <c r="AC300" s="28"/>
      <c r="AD300" s="28"/>
      <c r="AE300" s="28"/>
    </row>
    <row r="301" spans="1:31" x14ac:dyDescent="0.25">
      <c r="A301" s="30"/>
      <c r="B301" s="28"/>
      <c r="C301" s="28"/>
      <c r="D301" s="28"/>
      <c r="E301" s="28"/>
      <c r="F301" s="28"/>
      <c r="G301" s="28"/>
      <c r="H301" s="30"/>
      <c r="I301" s="28"/>
      <c r="J301" s="28"/>
      <c r="K301" s="28"/>
      <c r="L301" s="28"/>
      <c r="M301" s="28"/>
      <c r="N301" s="28"/>
      <c r="O301" s="30"/>
      <c r="P301" s="28"/>
      <c r="Q301" s="28"/>
      <c r="R301" s="28"/>
      <c r="S301" s="28"/>
      <c r="T301" s="28"/>
      <c r="U301" s="28"/>
      <c r="V301" s="30"/>
      <c r="W301" s="28"/>
      <c r="X301" s="28"/>
      <c r="Y301" s="28"/>
      <c r="Z301" s="28"/>
      <c r="AA301" s="28"/>
      <c r="AB301" s="28"/>
      <c r="AC301" s="28"/>
      <c r="AD301" s="28"/>
      <c r="AE301" s="28"/>
    </row>
    <row r="302" spans="1:3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row>
    <row r="303" spans="1:3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row>
    <row r="304" spans="1:3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row>
    <row r="305" spans="1:3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row>
    <row r="306" spans="1:3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row>
    <row r="307" spans="1:3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row>
    <row r="308" spans="1:3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row>
    <row r="309" spans="1:3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row>
    <row r="310" spans="1:3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row>
    <row r="311" spans="1:3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row>
    <row r="312" spans="1:3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row>
    <row r="313" spans="1:3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row>
    <row r="314" spans="1:3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row>
    <row r="315" spans="1:3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row>
    <row r="316" spans="1:3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row>
    <row r="317" spans="1:3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row>
    <row r="318" spans="1:3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row>
    <row r="319" spans="1:3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row>
    <row r="320" spans="1:3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row>
    <row r="321" spans="1:3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row>
    <row r="322" spans="1:3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row>
    <row r="323" spans="1:3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row>
    <row r="324" spans="1:3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row>
    <row r="325" spans="1:3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row>
    <row r="328" spans="1:3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row>
    <row r="331" spans="1:3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row>
    <row r="334" spans="1:3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2:A3"/>
    <mergeCell ref="B2:G2"/>
    <mergeCell ref="H2:H3"/>
    <mergeCell ref="I2:N2"/>
    <mergeCell ref="O2:O3"/>
    <mergeCell ref="AX101:BC101"/>
    <mergeCell ref="B1:G1"/>
    <mergeCell ref="I1:N1"/>
    <mergeCell ref="P1:U1"/>
    <mergeCell ref="W1:AB1"/>
    <mergeCell ref="P2:U2"/>
    <mergeCell ref="V2:V3"/>
    <mergeCell ref="W2:AB2"/>
    <mergeCell ref="AF101:AK101"/>
    <mergeCell ref="AL101:AQ101"/>
    <mergeCell ref="AR101:AW101"/>
    <mergeCell ref="AE102:AE103"/>
    <mergeCell ref="AF102:AK102"/>
    <mergeCell ref="AL102:AQ102"/>
    <mergeCell ref="AR102:AW102"/>
    <mergeCell ref="AX102:BC102"/>
  </mergeCells>
  <conditionalFormatting sqref="B104:G199 I104:N199 P104:U199 W104:AB199">
    <cfRule type="expression" dxfId="321"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topLeftCell="A37"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17" width="5.77734375" style="61" customWidth="1"/>
    <col min="18" max="18" width="7" style="61" bestFit="1" customWidth="1"/>
    <col min="19"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Yes</v>
      </c>
      <c r="AC1" s="800" t="s">
        <v>42</v>
      </c>
    </row>
    <row r="2" spans="1:29" ht="8.25" customHeight="1" x14ac:dyDescent="0.25">
      <c r="AC2" s="800"/>
    </row>
    <row r="3" spans="1:29" x14ac:dyDescent="0.25">
      <c r="A3" s="61" t="s">
        <v>28</v>
      </c>
      <c r="B3" s="801" t="str">
        <f>'Input &amp; Findings'!$F$26 &amp; " &amp; " &amp; 'Input &amp; Findings'!$F$38</f>
        <v>Princeton Glendale Rd, SR-747 &amp; Butler County Veterans Hwy EB, SR-129</v>
      </c>
      <c r="C3" s="801"/>
      <c r="D3" s="801"/>
      <c r="E3" s="801"/>
      <c r="F3" s="801"/>
      <c r="G3" s="62"/>
      <c r="H3" s="62"/>
      <c r="R3" s="63"/>
      <c r="AC3" s="800"/>
    </row>
    <row r="4" spans="1:29" ht="9" customHeight="1" x14ac:dyDescent="0.25">
      <c r="AC4" s="800"/>
    </row>
    <row r="5" spans="1:29" x14ac:dyDescent="0.25">
      <c r="A5" s="61" t="s">
        <v>43</v>
      </c>
      <c r="B5" s="802" t="str">
        <f>'Input &amp; Findings'!$C$3</f>
        <v>Liberty Township</v>
      </c>
      <c r="C5" s="796"/>
      <c r="D5" s="796"/>
      <c r="E5" s="796"/>
      <c r="F5" s="796"/>
      <c r="G5" s="64"/>
      <c r="H5" s="64"/>
      <c r="I5" s="65" t="s">
        <v>44</v>
      </c>
      <c r="J5" s="795" t="str">
        <f>'Input &amp; Findings'!$C$6</f>
        <v>Butler</v>
      </c>
      <c r="K5" s="796"/>
      <c r="L5" s="796"/>
      <c r="AC5" s="800"/>
    </row>
    <row r="6" spans="1:29" x14ac:dyDescent="0.25">
      <c r="AC6" s="800"/>
    </row>
    <row r="7" spans="1:29" ht="27" customHeight="1" x14ac:dyDescent="0.25">
      <c r="A7" s="808" t="s">
        <v>45</v>
      </c>
      <c r="B7" s="792" t="s">
        <v>46</v>
      </c>
      <c r="C7" s="811" t="s">
        <v>47</v>
      </c>
      <c r="D7" s="812"/>
      <c r="E7" s="812"/>
      <c r="F7" s="813"/>
      <c r="G7" s="792" t="s">
        <v>85</v>
      </c>
      <c r="H7" s="792" t="s">
        <v>83</v>
      </c>
      <c r="I7" s="792" t="s">
        <v>84</v>
      </c>
      <c r="J7" s="792" t="s">
        <v>48</v>
      </c>
      <c r="K7" s="803" t="s">
        <v>49</v>
      </c>
      <c r="L7" s="792" t="s">
        <v>50</v>
      </c>
      <c r="M7" s="792" t="s">
        <v>51</v>
      </c>
      <c r="N7" s="804" t="str">
        <f>IF($J$1="Yes","ADJUSTED MINOR STREET VOLUMES","NOT ADJUSTED MINOR STREET VOLUMES")</f>
        <v>ADJUSTED MINOR STREET VOLUMES</v>
      </c>
      <c r="O7" s="66"/>
      <c r="P7" s="63"/>
      <c r="Q7" s="63"/>
      <c r="S7" s="63"/>
      <c r="T7" s="63"/>
      <c r="U7" s="63"/>
      <c r="V7" s="63"/>
      <c r="W7" s="63"/>
      <c r="X7" s="63"/>
      <c r="Y7" s="63"/>
      <c r="Z7" s="63"/>
      <c r="AC7" s="800"/>
    </row>
    <row r="8" spans="1:29" x14ac:dyDescent="0.25">
      <c r="A8" s="809"/>
      <c r="B8" s="793"/>
      <c r="C8" s="67" t="s">
        <v>52</v>
      </c>
      <c r="D8" s="68" t="str">
        <f>'Input &amp; Findings'!$G$39</f>
        <v>E-Bound</v>
      </c>
      <c r="E8" s="68"/>
      <c r="F8" s="69"/>
      <c r="G8" s="793"/>
      <c r="H8" s="793"/>
      <c r="I8" s="793"/>
      <c r="J8" s="793"/>
      <c r="K8" s="793"/>
      <c r="L8" s="793"/>
      <c r="M8" s="793"/>
      <c r="N8" s="805"/>
      <c r="O8" s="66"/>
      <c r="P8" s="63"/>
      <c r="Q8" s="63"/>
      <c r="R8" s="63"/>
      <c r="S8" s="63"/>
      <c r="T8" s="63"/>
      <c r="U8" s="63"/>
      <c r="V8" s="63"/>
      <c r="W8" s="63"/>
      <c r="X8" s="63"/>
      <c r="Y8" s="63"/>
      <c r="Z8" s="63"/>
      <c r="AC8" s="800"/>
    </row>
    <row r="9" spans="1:29" x14ac:dyDescent="0.25">
      <c r="A9" s="809"/>
      <c r="B9" s="793"/>
      <c r="C9" s="66" t="s">
        <v>53</v>
      </c>
      <c r="D9" s="244">
        <f>'Input &amp; Findings'!F39</f>
        <v>2</v>
      </c>
      <c r="E9" s="70"/>
      <c r="F9" s="71"/>
      <c r="G9" s="793"/>
      <c r="H9" s="793"/>
      <c r="I9" s="793"/>
      <c r="J9" s="793"/>
      <c r="K9" s="793"/>
      <c r="L9" s="793"/>
      <c r="M9" s="793"/>
      <c r="N9" s="805"/>
      <c r="O9" s="66"/>
      <c r="P9" s="63"/>
      <c r="Q9" s="63"/>
      <c r="R9" s="63"/>
      <c r="S9" s="63"/>
      <c r="T9" s="63"/>
      <c r="U9" s="63"/>
      <c r="V9" s="63"/>
      <c r="W9" s="63"/>
      <c r="X9" s="63"/>
      <c r="Y9" s="63"/>
      <c r="Z9" s="63"/>
      <c r="AC9" s="800"/>
    </row>
    <row r="10" spans="1:29" x14ac:dyDescent="0.25">
      <c r="A10" s="809"/>
      <c r="B10" s="793"/>
      <c r="C10" s="72" t="s">
        <v>54</v>
      </c>
      <c r="D10" s="795" t="str">
        <f>'Input &amp; Findings'!$F$38</f>
        <v>Butler County Veterans Hwy EB, SR-129</v>
      </c>
      <c r="E10" s="796"/>
      <c r="F10" s="797"/>
      <c r="G10" s="793"/>
      <c r="H10" s="793"/>
      <c r="I10" s="793"/>
      <c r="J10" s="793"/>
      <c r="K10" s="793"/>
      <c r="L10" s="793"/>
      <c r="M10" s="793"/>
      <c r="N10" s="805"/>
      <c r="O10" s="72"/>
      <c r="P10" s="73"/>
      <c r="Q10" s="73"/>
      <c r="R10" s="73"/>
      <c r="S10" s="73"/>
      <c r="T10" s="73"/>
      <c r="U10" s="73"/>
      <c r="V10" s="73"/>
      <c r="W10" s="73"/>
      <c r="X10" s="73"/>
      <c r="Y10" s="73"/>
      <c r="Z10" s="73"/>
      <c r="AC10" s="800"/>
    </row>
    <row r="11" spans="1:29" ht="27" customHeight="1" x14ac:dyDescent="0.25">
      <c r="A11" s="810"/>
      <c r="B11" s="794"/>
      <c r="C11" s="74" t="s">
        <v>55</v>
      </c>
      <c r="D11" s="74" t="s">
        <v>56</v>
      </c>
      <c r="E11" s="74" t="s">
        <v>57</v>
      </c>
      <c r="F11" s="74" t="s">
        <v>58</v>
      </c>
      <c r="G11" s="794"/>
      <c r="H11" s="794"/>
      <c r="I11" s="794"/>
      <c r="J11" s="794"/>
      <c r="K11" s="794"/>
      <c r="L11" s="794"/>
      <c r="M11" s="794"/>
      <c r="N11" s="806"/>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800"/>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800"/>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1'!$G13/'Input &amp; Findings'!$G$31</f>
        <v>0</v>
      </c>
      <c r="J13" s="48">
        <f>IF('RTF 1'!$D$9=1,'Lookup Tables'!$J40,IF('RTF 1'!$D$9=2,'Lookup Tables'!$K40,IF('RTF 1'!$D$9=3,'Lookup Tables'!$L40,IF('RTF 1'!$D$9=4,'Lookup Tables'!$M40,'Lookup Tables'!$N40))))</f>
        <v>20</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D13</f>
        <v>0</v>
      </c>
      <c r="Q13" s="78">
        <f>E13</f>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800"/>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1'!$G14/'Input &amp; Findings'!$G$31</f>
        <v>0</v>
      </c>
      <c r="J14" s="48">
        <f>IF('RTF 1'!$D$9=1,'Lookup Tables'!$J41,IF('RTF 1'!$D$9=2,'Lookup Tables'!$K41,IF('RTF 1'!$D$9=3,'Lookup Tables'!$L41,IF('RTF 1'!$D$9=4,'Lookup Tables'!$M41,'Lookup Tables'!$N41))))</f>
        <v>20</v>
      </c>
      <c r="K14" s="79" t="str">
        <f t="shared" ref="K14:K77" si="0">IF((C14+D14+E14)=0," ",IF((C14+D14+E14)&lt;2400,VLOOKUP(ROUNDDOWN(I14+H14,-2),$A$113:$C$136,3,FALSE),100))</f>
        <v xml:space="preserve"> </v>
      </c>
      <c r="L14" s="79" t="str">
        <f t="shared" ref="L14:L77" si="1">IF((C14+D14+E14)=0," ",(J14-K14))</f>
        <v xml:space="preserve"> </v>
      </c>
      <c r="M14" s="78">
        <f t="shared" ref="M14:M77" si="2">IF(E14=0,0,IF($J$1="Yes",((1-(L14/100))*E14),E14))</f>
        <v>0</v>
      </c>
      <c r="N14" s="78">
        <f t="shared" ref="N14:N77" si="3">IF(E14=0,F14,(M14+D14+C14))</f>
        <v>0</v>
      </c>
      <c r="O14" s="78">
        <f t="shared" ref="O14:O77" si="4">C14</f>
        <v>0</v>
      </c>
      <c r="P14" s="78">
        <f t="shared" ref="P14:P77" si="5">D14</f>
        <v>0</v>
      </c>
      <c r="Q14" s="78">
        <f t="shared" ref="Q14:Q77" si="6">E14</f>
        <v>0</v>
      </c>
      <c r="R14" s="78" t="str">
        <f t="shared" ref="R14:R77" si="7">IF(F14=0," ",F14)</f>
        <v xml:space="preserve"> </v>
      </c>
      <c r="S14" s="78" t="str">
        <f t="shared" ref="S14:S77" si="8">IF((C14+D14+E14)=0," ",(0.7*R14))</f>
        <v xml:space="preserve"> </v>
      </c>
      <c r="T14" s="78" t="str">
        <f t="shared" ref="T14:T77" si="9">IF((C14+D14+E14)=0," ",(0.35*R14))</f>
        <v xml:space="preserve"> </v>
      </c>
      <c r="U14" s="78" t="str">
        <f t="shared" ref="U14:U77" si="10">IF((C14+D14+E14)=0," ",(3*P14))</f>
        <v xml:space="preserve"> </v>
      </c>
      <c r="V14" s="78" t="str">
        <f t="shared" ref="V14:V77" si="11">IF((C14+D14+E14)=0," ",(P14/3))</f>
        <v xml:space="preserve"> </v>
      </c>
      <c r="W14" s="78" t="str">
        <f t="shared" ref="W14:W77" si="12">IF((D14+C14+E14)=0," ",(P14+O14))</f>
        <v xml:space="preserve"> </v>
      </c>
      <c r="X14" s="78" t="str">
        <f t="shared" ref="X14:X77" si="13">IF((C14+D14+E14)=0," ",(P14+Q14))</f>
        <v xml:space="preserve"> </v>
      </c>
      <c r="Y14" s="78" t="str">
        <f t="shared" ref="Y14:Y77" si="14">IF((C14+D14+E14)=0," ",(3*Q14))</f>
        <v xml:space="preserve"> </v>
      </c>
      <c r="Z14" s="78" t="str">
        <f t="shared" ref="Z14:Z77" si="15">IF((C14+D14+E14)=0," ",(3*O14))</f>
        <v xml:space="preserve"> </v>
      </c>
      <c r="AA14" s="78" t="str">
        <f t="shared" ref="AA14:AA77" si="16">IF((C14+D14+E14)=0," ",(P14/2))</f>
        <v xml:space="preserve"> </v>
      </c>
      <c r="AB14" s="78" t="str">
        <f t="shared" ref="AB14:AB77" si="17">IF((C14+D14+E14)=0," ",(P14/4))</f>
        <v xml:space="preserve"> </v>
      </c>
      <c r="AC14" s="800"/>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8">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1'!$G15/'Input &amp; Findings'!$G$31</f>
        <v>0</v>
      </c>
      <c r="J15" s="48">
        <f>IF('RTF 1'!$D$9=1,'Lookup Tables'!$J42,IF('RTF 1'!$D$9=2,'Lookup Tables'!$K42,IF('RTF 1'!$D$9=3,'Lookup Tables'!$L42,IF('RTF 1'!$D$9=4,'Lookup Tables'!$M42,'Lookup Tables'!$N42))))</f>
        <v>20</v>
      </c>
      <c r="K15" s="79" t="str">
        <f t="shared" si="0"/>
        <v xml:space="preserve"> </v>
      </c>
      <c r="L15" s="79" t="str">
        <f t="shared" si="1"/>
        <v xml:space="preserve"> </v>
      </c>
      <c r="M15" s="78">
        <f t="shared" si="2"/>
        <v>0</v>
      </c>
      <c r="N15" s="78">
        <f t="shared" si="3"/>
        <v>0</v>
      </c>
      <c r="O15" s="78">
        <f t="shared" si="4"/>
        <v>0</v>
      </c>
      <c r="P15" s="78">
        <f t="shared" si="5"/>
        <v>0</v>
      </c>
      <c r="Q15" s="78">
        <f t="shared" si="6"/>
        <v>0</v>
      </c>
      <c r="R15" s="78" t="str">
        <f t="shared" si="7"/>
        <v xml:space="preserve"> </v>
      </c>
      <c r="S15" s="78" t="str">
        <f t="shared" si="8"/>
        <v xml:space="preserve"> </v>
      </c>
      <c r="T15" s="78" t="str">
        <f t="shared" si="9"/>
        <v xml:space="preserve"> </v>
      </c>
      <c r="U15" s="78" t="str">
        <f t="shared" si="10"/>
        <v xml:space="preserve"> </v>
      </c>
      <c r="V15" s="78" t="str">
        <f t="shared" si="11"/>
        <v xml:space="preserve"> </v>
      </c>
      <c r="W15" s="78" t="str">
        <f t="shared" si="12"/>
        <v xml:space="preserve"> </v>
      </c>
      <c r="X15" s="78" t="str">
        <f t="shared" si="13"/>
        <v xml:space="preserve"> </v>
      </c>
      <c r="Y15" s="78" t="str">
        <f t="shared" si="14"/>
        <v xml:space="preserve"> </v>
      </c>
      <c r="Z15" s="78" t="str">
        <f t="shared" si="15"/>
        <v xml:space="preserve"> </v>
      </c>
      <c r="AA15" s="78" t="str">
        <f t="shared" si="16"/>
        <v xml:space="preserve"> </v>
      </c>
      <c r="AB15" s="78" t="str">
        <f t="shared" si="17"/>
        <v xml:space="preserve"> </v>
      </c>
      <c r="AC15" s="800"/>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8"/>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1'!$G16/'Input &amp; Findings'!$G$31</f>
        <v>0</v>
      </c>
      <c r="J16" s="48">
        <f>IF('RTF 1'!$D$9=1,'Lookup Tables'!$J43,IF('RTF 1'!$D$9=2,'Lookup Tables'!$K43,IF('RTF 1'!$D$9=3,'Lookup Tables'!$L43,IF('RTF 1'!$D$9=4,'Lookup Tables'!$M43,'Lookup Tables'!$N43))))</f>
        <v>20</v>
      </c>
      <c r="K16" s="79" t="str">
        <f t="shared" si="0"/>
        <v xml:space="preserve"> </v>
      </c>
      <c r="L16" s="79" t="str">
        <f t="shared" si="1"/>
        <v xml:space="preserve"> </v>
      </c>
      <c r="M16" s="78">
        <f t="shared" si="2"/>
        <v>0</v>
      </c>
      <c r="N16" s="78">
        <f t="shared" si="3"/>
        <v>0</v>
      </c>
      <c r="O16" s="78">
        <f t="shared" si="4"/>
        <v>0</v>
      </c>
      <c r="P16" s="78">
        <f t="shared" si="5"/>
        <v>0</v>
      </c>
      <c r="Q16" s="78">
        <f t="shared" si="6"/>
        <v>0</v>
      </c>
      <c r="R16" s="78" t="str">
        <f t="shared" si="7"/>
        <v xml:space="preserve"> </v>
      </c>
      <c r="S16" s="78" t="str">
        <f t="shared" si="8"/>
        <v xml:space="preserve"> </v>
      </c>
      <c r="T16" s="78" t="str">
        <f t="shared" si="9"/>
        <v xml:space="preserve"> </v>
      </c>
      <c r="U16" s="78" t="str">
        <f t="shared" si="10"/>
        <v xml:space="preserve"> </v>
      </c>
      <c r="V16" s="78" t="str">
        <f t="shared" si="11"/>
        <v xml:space="preserve"> </v>
      </c>
      <c r="W16" s="78" t="str">
        <f t="shared" si="12"/>
        <v xml:space="preserve"> </v>
      </c>
      <c r="X16" s="78" t="str">
        <f t="shared" si="13"/>
        <v xml:space="preserve"> </v>
      </c>
      <c r="Y16" s="78" t="str">
        <f t="shared" si="14"/>
        <v xml:space="preserve"> </v>
      </c>
      <c r="Z16" s="78" t="str">
        <f t="shared" si="15"/>
        <v xml:space="preserve"> </v>
      </c>
      <c r="AA16" s="78" t="str">
        <f t="shared" si="16"/>
        <v xml:space="preserve"> </v>
      </c>
      <c r="AB16" s="78" t="str">
        <f t="shared" si="17"/>
        <v xml:space="preserve"> </v>
      </c>
      <c r="AC16" s="800"/>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8"/>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1'!$G17/'Input &amp; Findings'!$G$31</f>
        <v>0</v>
      </c>
      <c r="J17" s="48">
        <f>IF('RTF 1'!$D$9=1,'Lookup Tables'!$J44,IF('RTF 1'!$D$9=2,'Lookup Tables'!$K44,IF('RTF 1'!$D$9=3,'Lookup Tables'!$L44,IF('RTF 1'!$D$9=4,'Lookup Tables'!$M44,'Lookup Tables'!$N44))))</f>
        <v>20</v>
      </c>
      <c r="K17" s="79" t="str">
        <f t="shared" si="0"/>
        <v xml:space="preserve"> </v>
      </c>
      <c r="L17" s="79" t="str">
        <f t="shared" si="1"/>
        <v xml:space="preserve"> </v>
      </c>
      <c r="M17" s="78">
        <f t="shared" si="2"/>
        <v>0</v>
      </c>
      <c r="N17" s="78">
        <f t="shared" si="3"/>
        <v>0</v>
      </c>
      <c r="O17" s="78">
        <f t="shared" si="4"/>
        <v>0</v>
      </c>
      <c r="P17" s="78">
        <f t="shared" si="5"/>
        <v>0</v>
      </c>
      <c r="Q17" s="78">
        <f t="shared" si="6"/>
        <v>0</v>
      </c>
      <c r="R17" s="78" t="str">
        <f t="shared" si="7"/>
        <v xml:space="preserve"> </v>
      </c>
      <c r="S17" s="78" t="str">
        <f t="shared" si="8"/>
        <v xml:space="preserve"> </v>
      </c>
      <c r="T17" s="78" t="str">
        <f t="shared" si="9"/>
        <v xml:space="preserve"> </v>
      </c>
      <c r="U17" s="78" t="str">
        <f t="shared" si="10"/>
        <v xml:space="preserve"> </v>
      </c>
      <c r="V17" s="78" t="str">
        <f t="shared" si="11"/>
        <v xml:space="preserve"> </v>
      </c>
      <c r="W17" s="78" t="str">
        <f t="shared" si="12"/>
        <v xml:space="preserve"> </v>
      </c>
      <c r="X17" s="78" t="str">
        <f t="shared" si="13"/>
        <v xml:space="preserve"> </v>
      </c>
      <c r="Y17" s="78" t="str">
        <f t="shared" si="14"/>
        <v xml:space="preserve"> </v>
      </c>
      <c r="Z17" s="78" t="str">
        <f t="shared" si="15"/>
        <v xml:space="preserve"> </v>
      </c>
      <c r="AA17" s="78" t="str">
        <f t="shared" si="16"/>
        <v xml:space="preserve"> </v>
      </c>
      <c r="AB17" s="78" t="str">
        <f t="shared" si="17"/>
        <v xml:space="preserve"> </v>
      </c>
      <c r="AC17" s="800"/>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8"/>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1'!$G18/'Input &amp; Findings'!$G$31</f>
        <v>0</v>
      </c>
      <c r="J18" s="48">
        <f>IF('RTF 1'!$D$9=1,'Lookup Tables'!$J45,IF('RTF 1'!$D$9=2,'Lookup Tables'!$K45,IF('RTF 1'!$D$9=3,'Lookup Tables'!$L45,IF('RTF 1'!$D$9=4,'Lookup Tables'!$M45,'Lookup Tables'!$N45))))</f>
        <v>20</v>
      </c>
      <c r="K18" s="79" t="str">
        <f t="shared" si="0"/>
        <v xml:space="preserve"> </v>
      </c>
      <c r="L18" s="79" t="str">
        <f t="shared" si="1"/>
        <v xml:space="preserve"> </v>
      </c>
      <c r="M18" s="78">
        <f t="shared" si="2"/>
        <v>0</v>
      </c>
      <c r="N18" s="78">
        <f t="shared" si="3"/>
        <v>0</v>
      </c>
      <c r="O18" s="78">
        <f t="shared" si="4"/>
        <v>0</v>
      </c>
      <c r="P18" s="78">
        <f t="shared" si="5"/>
        <v>0</v>
      </c>
      <c r="Q18" s="78">
        <f t="shared" si="6"/>
        <v>0</v>
      </c>
      <c r="R18" s="78" t="str">
        <f t="shared" si="7"/>
        <v xml:space="preserve"> </v>
      </c>
      <c r="S18" s="78" t="str">
        <f t="shared" si="8"/>
        <v xml:space="preserve"> </v>
      </c>
      <c r="T18" s="78" t="str">
        <f t="shared" si="9"/>
        <v xml:space="preserve"> </v>
      </c>
      <c r="U18" s="78" t="str">
        <f t="shared" si="10"/>
        <v xml:space="preserve"> </v>
      </c>
      <c r="V18" s="78" t="str">
        <f t="shared" si="11"/>
        <v xml:space="preserve"> </v>
      </c>
      <c r="W18" s="78" t="str">
        <f t="shared" si="12"/>
        <v xml:space="preserve"> </v>
      </c>
      <c r="X18" s="78" t="str">
        <f t="shared" si="13"/>
        <v xml:space="preserve"> </v>
      </c>
      <c r="Y18" s="78" t="str">
        <f t="shared" si="14"/>
        <v xml:space="preserve"> </v>
      </c>
      <c r="Z18" s="78" t="str">
        <f t="shared" si="15"/>
        <v xml:space="preserve"> </v>
      </c>
      <c r="AA18" s="78" t="str">
        <f t="shared" si="16"/>
        <v xml:space="preserve"> </v>
      </c>
      <c r="AB18" s="78" t="str">
        <f t="shared" si="17"/>
        <v xml:space="preserve"> </v>
      </c>
      <c r="AC18" s="800"/>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8"/>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1'!$G19/'Input &amp; Findings'!$G$31</f>
        <v>0</v>
      </c>
      <c r="J19" s="48">
        <f>IF('RTF 1'!$D$9=1,'Lookup Tables'!$J46,IF('RTF 1'!$D$9=2,'Lookup Tables'!$K46,IF('RTF 1'!$D$9=3,'Lookup Tables'!$L46,IF('RTF 1'!$D$9=4,'Lookup Tables'!$M46,'Lookup Tables'!$N46))))</f>
        <v>20</v>
      </c>
      <c r="K19" s="79" t="str">
        <f t="shared" si="0"/>
        <v xml:space="preserve"> </v>
      </c>
      <c r="L19" s="79" t="str">
        <f t="shared" si="1"/>
        <v xml:space="preserve"> </v>
      </c>
      <c r="M19" s="78">
        <f t="shared" si="2"/>
        <v>0</v>
      </c>
      <c r="N19" s="78">
        <f t="shared" si="3"/>
        <v>0</v>
      </c>
      <c r="O19" s="78">
        <f t="shared" si="4"/>
        <v>0</v>
      </c>
      <c r="P19" s="78">
        <f t="shared" si="5"/>
        <v>0</v>
      </c>
      <c r="Q19" s="78">
        <f t="shared" si="6"/>
        <v>0</v>
      </c>
      <c r="R19" s="78" t="str">
        <f t="shared" si="7"/>
        <v xml:space="preserve"> </v>
      </c>
      <c r="S19" s="78" t="str">
        <f t="shared" si="8"/>
        <v xml:space="preserve"> </v>
      </c>
      <c r="T19" s="78" t="str">
        <f t="shared" si="9"/>
        <v xml:space="preserve"> </v>
      </c>
      <c r="U19" s="78" t="str">
        <f t="shared" si="10"/>
        <v xml:space="preserve"> </v>
      </c>
      <c r="V19" s="78" t="str">
        <f t="shared" si="11"/>
        <v xml:space="preserve"> </v>
      </c>
      <c r="W19" s="78" t="str">
        <f t="shared" si="12"/>
        <v xml:space="preserve"> </v>
      </c>
      <c r="X19" s="78" t="str">
        <f t="shared" si="13"/>
        <v xml:space="preserve"> </v>
      </c>
      <c r="Y19" s="78" t="str">
        <f t="shared" si="14"/>
        <v xml:space="preserve"> </v>
      </c>
      <c r="Z19" s="78" t="str">
        <f t="shared" si="15"/>
        <v xml:space="preserve"> </v>
      </c>
      <c r="AA19" s="78" t="str">
        <f t="shared" si="16"/>
        <v xml:space="preserve"> </v>
      </c>
      <c r="AB19" s="78" t="str">
        <f t="shared" si="17"/>
        <v xml:space="preserve"> </v>
      </c>
      <c r="AC19" s="800"/>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8"/>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1'!$G20/'Input &amp; Findings'!$G$31</f>
        <v>0</v>
      </c>
      <c r="J20" s="48">
        <f>IF('RTF 1'!$D$9=1,'Lookup Tables'!$J47,IF('RTF 1'!$D$9=2,'Lookup Tables'!$K47,IF('RTF 1'!$D$9=3,'Lookup Tables'!$L47,IF('RTF 1'!$D$9=4,'Lookup Tables'!$M47,'Lookup Tables'!$N47))))</f>
        <v>20</v>
      </c>
      <c r="K20" s="79" t="str">
        <f t="shared" si="0"/>
        <v xml:space="preserve"> </v>
      </c>
      <c r="L20" s="79" t="str">
        <f t="shared" si="1"/>
        <v xml:space="preserve"> </v>
      </c>
      <c r="M20" s="78">
        <f t="shared" si="2"/>
        <v>0</v>
      </c>
      <c r="N20" s="78">
        <f t="shared" si="3"/>
        <v>0</v>
      </c>
      <c r="O20" s="78">
        <f t="shared" si="4"/>
        <v>0</v>
      </c>
      <c r="P20" s="78">
        <f t="shared" si="5"/>
        <v>0</v>
      </c>
      <c r="Q20" s="78">
        <f t="shared" si="6"/>
        <v>0</v>
      </c>
      <c r="R20" s="78" t="str">
        <f t="shared" si="7"/>
        <v xml:space="preserve"> </v>
      </c>
      <c r="S20" s="78" t="str">
        <f t="shared" si="8"/>
        <v xml:space="preserve"> </v>
      </c>
      <c r="T20" s="78" t="str">
        <f t="shared" si="9"/>
        <v xml:space="preserve"> </v>
      </c>
      <c r="U20" s="78" t="str">
        <f t="shared" si="10"/>
        <v xml:space="preserve"> </v>
      </c>
      <c r="V20" s="78" t="str">
        <f t="shared" si="11"/>
        <v xml:space="preserve"> </v>
      </c>
      <c r="W20" s="78" t="str">
        <f t="shared" si="12"/>
        <v xml:space="preserve"> </v>
      </c>
      <c r="X20" s="78" t="str">
        <f t="shared" si="13"/>
        <v xml:space="preserve"> </v>
      </c>
      <c r="Y20" s="78" t="str">
        <f t="shared" si="14"/>
        <v xml:space="preserve"> </v>
      </c>
      <c r="Z20" s="78" t="str">
        <f t="shared" si="15"/>
        <v xml:space="preserve"> </v>
      </c>
      <c r="AA20" s="78" t="str">
        <f t="shared" si="16"/>
        <v xml:space="preserve"> </v>
      </c>
      <c r="AB20" s="78" t="str">
        <f t="shared" si="17"/>
        <v xml:space="preserve"> </v>
      </c>
      <c r="AC20" s="800"/>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8"/>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1'!$G21/'Input &amp; Findings'!$G$31</f>
        <v>0</v>
      </c>
      <c r="J21" s="48">
        <f>IF('RTF 1'!$D$9=1,'Lookup Tables'!$J48,IF('RTF 1'!$D$9=2,'Lookup Tables'!$K48,IF('RTF 1'!$D$9=3,'Lookup Tables'!$L48,IF('RTF 1'!$D$9=4,'Lookup Tables'!$M48,'Lookup Tables'!$N48))))</f>
        <v>20</v>
      </c>
      <c r="K21" s="79" t="str">
        <f t="shared" si="0"/>
        <v xml:space="preserve"> </v>
      </c>
      <c r="L21" s="79" t="str">
        <f t="shared" si="1"/>
        <v xml:space="preserve"> </v>
      </c>
      <c r="M21" s="78">
        <f t="shared" si="2"/>
        <v>0</v>
      </c>
      <c r="N21" s="78">
        <f t="shared" si="3"/>
        <v>0</v>
      </c>
      <c r="O21" s="78">
        <f t="shared" si="4"/>
        <v>0</v>
      </c>
      <c r="P21" s="78">
        <f t="shared" si="5"/>
        <v>0</v>
      </c>
      <c r="Q21" s="78">
        <f t="shared" si="6"/>
        <v>0</v>
      </c>
      <c r="R21" s="78" t="str">
        <f t="shared" si="7"/>
        <v xml:space="preserve"> </v>
      </c>
      <c r="S21" s="78" t="str">
        <f t="shared" si="8"/>
        <v xml:space="preserve"> </v>
      </c>
      <c r="T21" s="78" t="str">
        <f t="shared" si="9"/>
        <v xml:space="preserve"> </v>
      </c>
      <c r="U21" s="78" t="str">
        <f t="shared" si="10"/>
        <v xml:space="preserve"> </v>
      </c>
      <c r="V21" s="78" t="str">
        <f t="shared" si="11"/>
        <v xml:space="preserve"> </v>
      </c>
      <c r="W21" s="78" t="str">
        <f t="shared" si="12"/>
        <v xml:space="preserve"> </v>
      </c>
      <c r="X21" s="78" t="str">
        <f t="shared" si="13"/>
        <v xml:space="preserve"> </v>
      </c>
      <c r="Y21" s="78" t="str">
        <f t="shared" si="14"/>
        <v xml:space="preserve"> </v>
      </c>
      <c r="Z21" s="78" t="str">
        <f t="shared" si="15"/>
        <v xml:space="preserve"> </v>
      </c>
      <c r="AA21" s="78" t="str">
        <f t="shared" si="16"/>
        <v xml:space="preserve"> </v>
      </c>
      <c r="AB21" s="78" t="str">
        <f t="shared" si="17"/>
        <v xml:space="preserve"> </v>
      </c>
      <c r="AC21" s="800"/>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8"/>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1'!$G22/'Input &amp; Findings'!$G$31</f>
        <v>0</v>
      </c>
      <c r="J22" s="48">
        <f>IF('RTF 1'!$D$9=1,'Lookup Tables'!$J49,IF('RTF 1'!$D$9=2,'Lookup Tables'!$K49,IF('RTF 1'!$D$9=3,'Lookup Tables'!$L49,IF('RTF 1'!$D$9=4,'Lookup Tables'!$M49,'Lookup Tables'!$N49))))</f>
        <v>20</v>
      </c>
      <c r="K22" s="79" t="str">
        <f t="shared" si="0"/>
        <v xml:space="preserve"> </v>
      </c>
      <c r="L22" s="79" t="str">
        <f t="shared" si="1"/>
        <v xml:space="preserve"> </v>
      </c>
      <c r="M22" s="78">
        <f t="shared" si="2"/>
        <v>0</v>
      </c>
      <c r="N22" s="78">
        <f t="shared" si="3"/>
        <v>0</v>
      </c>
      <c r="O22" s="78">
        <f t="shared" si="4"/>
        <v>0</v>
      </c>
      <c r="P22" s="78">
        <f t="shared" si="5"/>
        <v>0</v>
      </c>
      <c r="Q22" s="78">
        <f t="shared" si="6"/>
        <v>0</v>
      </c>
      <c r="R22" s="78" t="str">
        <f t="shared" si="7"/>
        <v xml:space="preserve"> </v>
      </c>
      <c r="S22" s="78" t="str">
        <f t="shared" si="8"/>
        <v xml:space="preserve"> </v>
      </c>
      <c r="T22" s="78" t="str">
        <f t="shared" si="9"/>
        <v xml:space="preserve"> </v>
      </c>
      <c r="U22" s="78" t="str">
        <f t="shared" si="10"/>
        <v xml:space="preserve"> </v>
      </c>
      <c r="V22" s="78" t="str">
        <f t="shared" si="11"/>
        <v xml:space="preserve"> </v>
      </c>
      <c r="W22" s="78" t="str">
        <f t="shared" si="12"/>
        <v xml:space="preserve"> </v>
      </c>
      <c r="X22" s="78" t="str">
        <f t="shared" si="13"/>
        <v xml:space="preserve"> </v>
      </c>
      <c r="Y22" s="78" t="str">
        <f t="shared" si="14"/>
        <v xml:space="preserve"> </v>
      </c>
      <c r="Z22" s="78" t="str">
        <f t="shared" si="15"/>
        <v xml:space="preserve"> </v>
      </c>
      <c r="AA22" s="78" t="str">
        <f t="shared" si="16"/>
        <v xml:space="preserve"> </v>
      </c>
      <c r="AB22" s="78" t="str">
        <f t="shared" si="17"/>
        <v xml:space="preserve"> </v>
      </c>
      <c r="AC22" s="800"/>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8"/>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1'!$G23/'Input &amp; Findings'!$G$31</f>
        <v>0</v>
      </c>
      <c r="J23" s="48">
        <f>IF('RTF 1'!$D$9=1,'Lookup Tables'!$J50,IF('RTF 1'!$D$9=2,'Lookup Tables'!$K50,IF('RTF 1'!$D$9=3,'Lookup Tables'!$L50,IF('RTF 1'!$D$9=4,'Lookup Tables'!$M50,'Lookup Tables'!$N50))))</f>
        <v>20</v>
      </c>
      <c r="K23" s="79" t="str">
        <f t="shared" si="0"/>
        <v xml:space="preserve"> </v>
      </c>
      <c r="L23" s="79" t="str">
        <f t="shared" si="1"/>
        <v xml:space="preserve"> </v>
      </c>
      <c r="M23" s="78">
        <f t="shared" si="2"/>
        <v>0</v>
      </c>
      <c r="N23" s="78">
        <f t="shared" si="3"/>
        <v>0</v>
      </c>
      <c r="O23" s="78">
        <f t="shared" si="4"/>
        <v>0</v>
      </c>
      <c r="P23" s="78">
        <f t="shared" si="5"/>
        <v>0</v>
      </c>
      <c r="Q23" s="78">
        <f t="shared" si="6"/>
        <v>0</v>
      </c>
      <c r="R23" s="78" t="str">
        <f t="shared" si="7"/>
        <v xml:space="preserve"> </v>
      </c>
      <c r="S23" s="78" t="str">
        <f t="shared" si="8"/>
        <v xml:space="preserve"> </v>
      </c>
      <c r="T23" s="78" t="str">
        <f t="shared" si="9"/>
        <v xml:space="preserve"> </v>
      </c>
      <c r="U23" s="78" t="str">
        <f t="shared" si="10"/>
        <v xml:space="preserve"> </v>
      </c>
      <c r="V23" s="78" t="str">
        <f t="shared" si="11"/>
        <v xml:space="preserve"> </v>
      </c>
      <c r="W23" s="78" t="str">
        <f t="shared" si="12"/>
        <v xml:space="preserve"> </v>
      </c>
      <c r="X23" s="78" t="str">
        <f t="shared" si="13"/>
        <v xml:space="preserve"> </v>
      </c>
      <c r="Y23" s="78" t="str">
        <f t="shared" si="14"/>
        <v xml:space="preserve"> </v>
      </c>
      <c r="Z23" s="78" t="str">
        <f t="shared" si="15"/>
        <v xml:space="preserve"> </v>
      </c>
      <c r="AA23" s="78" t="str">
        <f t="shared" si="16"/>
        <v xml:space="preserve"> </v>
      </c>
      <c r="AB23" s="78" t="str">
        <f t="shared" si="17"/>
        <v xml:space="preserve"> </v>
      </c>
      <c r="AC23" s="800"/>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8"/>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1'!$G24/'Input &amp; Findings'!$G$31</f>
        <v>0</v>
      </c>
      <c r="J24" s="48">
        <f>IF('RTF 1'!$D$9=1,'Lookup Tables'!$J51,IF('RTF 1'!$D$9=2,'Lookup Tables'!$K51,IF('RTF 1'!$D$9=3,'Lookup Tables'!$L51,IF('RTF 1'!$D$9=4,'Lookup Tables'!$M51,'Lookup Tables'!$N51))))</f>
        <v>20</v>
      </c>
      <c r="K24" s="79" t="str">
        <f t="shared" si="0"/>
        <v xml:space="preserve"> </v>
      </c>
      <c r="L24" s="79" t="str">
        <f t="shared" si="1"/>
        <v xml:space="preserve"> </v>
      </c>
      <c r="M24" s="78">
        <f t="shared" si="2"/>
        <v>0</v>
      </c>
      <c r="N24" s="78">
        <f t="shared" si="3"/>
        <v>0</v>
      </c>
      <c r="O24" s="78">
        <f t="shared" si="4"/>
        <v>0</v>
      </c>
      <c r="P24" s="78">
        <f t="shared" si="5"/>
        <v>0</v>
      </c>
      <c r="Q24" s="78">
        <f t="shared" si="6"/>
        <v>0</v>
      </c>
      <c r="R24" s="78" t="str">
        <f t="shared" si="7"/>
        <v xml:space="preserve"> </v>
      </c>
      <c r="S24" s="78" t="str">
        <f t="shared" si="8"/>
        <v xml:space="preserve"> </v>
      </c>
      <c r="T24" s="78" t="str">
        <f t="shared" si="9"/>
        <v xml:space="preserve"> </v>
      </c>
      <c r="U24" s="78" t="str">
        <f t="shared" si="10"/>
        <v xml:space="preserve"> </v>
      </c>
      <c r="V24" s="78" t="str">
        <f t="shared" si="11"/>
        <v xml:space="preserve"> </v>
      </c>
      <c r="W24" s="78" t="str">
        <f t="shared" si="12"/>
        <v xml:space="preserve"> </v>
      </c>
      <c r="X24" s="78" t="str">
        <f t="shared" si="13"/>
        <v xml:space="preserve"> </v>
      </c>
      <c r="Y24" s="78" t="str">
        <f t="shared" si="14"/>
        <v xml:space="preserve"> </v>
      </c>
      <c r="Z24" s="78" t="str">
        <f t="shared" si="15"/>
        <v xml:space="preserve"> </v>
      </c>
      <c r="AA24" s="78" t="str">
        <f t="shared" si="16"/>
        <v xml:space="preserve"> </v>
      </c>
      <c r="AB24" s="78" t="str">
        <f t="shared" si="17"/>
        <v xml:space="preserve"> </v>
      </c>
      <c r="AC24" s="800"/>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8"/>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1'!$G25/'Input &amp; Findings'!$G$31</f>
        <v>0</v>
      </c>
      <c r="J25" s="48">
        <f>IF('RTF 1'!$D$9=1,'Lookup Tables'!$J52,IF('RTF 1'!$D$9=2,'Lookup Tables'!$K52,IF('RTF 1'!$D$9=3,'Lookup Tables'!$L52,IF('RTF 1'!$D$9=4,'Lookup Tables'!$M52,'Lookup Tables'!$N52))))</f>
        <v>20</v>
      </c>
      <c r="K25" s="79" t="str">
        <f t="shared" si="0"/>
        <v xml:space="preserve"> </v>
      </c>
      <c r="L25" s="79" t="str">
        <f t="shared" si="1"/>
        <v xml:space="preserve"> </v>
      </c>
      <c r="M25" s="78">
        <f t="shared" si="2"/>
        <v>0</v>
      </c>
      <c r="N25" s="78">
        <f t="shared" si="3"/>
        <v>0</v>
      </c>
      <c r="O25" s="78">
        <f t="shared" si="4"/>
        <v>0</v>
      </c>
      <c r="P25" s="78">
        <f t="shared" si="5"/>
        <v>0</v>
      </c>
      <c r="Q25" s="78">
        <f t="shared" si="6"/>
        <v>0</v>
      </c>
      <c r="R25" s="78" t="str">
        <f t="shared" si="7"/>
        <v xml:space="preserve"> </v>
      </c>
      <c r="S25" s="78" t="str">
        <f t="shared" si="8"/>
        <v xml:space="preserve"> </v>
      </c>
      <c r="T25" s="78" t="str">
        <f t="shared" si="9"/>
        <v xml:space="preserve"> </v>
      </c>
      <c r="U25" s="78" t="str">
        <f t="shared" si="10"/>
        <v xml:space="preserve"> </v>
      </c>
      <c r="V25" s="78" t="str">
        <f t="shared" si="11"/>
        <v xml:space="preserve"> </v>
      </c>
      <c r="W25" s="78" t="str">
        <f t="shared" si="12"/>
        <v xml:space="preserve"> </v>
      </c>
      <c r="X25" s="78" t="str">
        <f t="shared" si="13"/>
        <v xml:space="preserve"> </v>
      </c>
      <c r="Y25" s="78" t="str">
        <f t="shared" si="14"/>
        <v xml:space="preserve"> </v>
      </c>
      <c r="Z25" s="78" t="str">
        <f t="shared" si="15"/>
        <v xml:space="preserve"> </v>
      </c>
      <c r="AA25" s="78" t="str">
        <f t="shared" si="16"/>
        <v xml:space="preserve"> </v>
      </c>
      <c r="AB25" s="78" t="str">
        <f t="shared" si="17"/>
        <v xml:space="preserve"> </v>
      </c>
      <c r="AC25" s="800"/>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8"/>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1'!$G26/'Input &amp; Findings'!$G$31</f>
        <v>0</v>
      </c>
      <c r="J26" s="48">
        <f>IF('RTF 1'!$D$9=1,'Lookup Tables'!$J53,IF('RTF 1'!$D$9=2,'Lookup Tables'!$K53,IF('RTF 1'!$D$9=3,'Lookup Tables'!$L53,IF('RTF 1'!$D$9=4,'Lookup Tables'!$M53,'Lookup Tables'!$N53))))</f>
        <v>20</v>
      </c>
      <c r="K26" s="79" t="str">
        <f t="shared" si="0"/>
        <v xml:space="preserve"> </v>
      </c>
      <c r="L26" s="79" t="str">
        <f t="shared" si="1"/>
        <v xml:space="preserve"> </v>
      </c>
      <c r="M26" s="78">
        <f t="shared" si="2"/>
        <v>0</v>
      </c>
      <c r="N26" s="78">
        <f t="shared" si="3"/>
        <v>0</v>
      </c>
      <c r="O26" s="78">
        <f t="shared" si="4"/>
        <v>0</v>
      </c>
      <c r="P26" s="78">
        <f t="shared" si="5"/>
        <v>0</v>
      </c>
      <c r="Q26" s="78">
        <f t="shared" si="6"/>
        <v>0</v>
      </c>
      <c r="R26" s="78" t="str">
        <f t="shared" si="7"/>
        <v xml:space="preserve"> </v>
      </c>
      <c r="S26" s="78" t="str">
        <f t="shared" si="8"/>
        <v xml:space="preserve"> </v>
      </c>
      <c r="T26" s="78" t="str">
        <f t="shared" si="9"/>
        <v xml:space="preserve"> </v>
      </c>
      <c r="U26" s="78" t="str">
        <f t="shared" si="10"/>
        <v xml:space="preserve"> </v>
      </c>
      <c r="V26" s="78" t="str">
        <f t="shared" si="11"/>
        <v xml:space="preserve"> </v>
      </c>
      <c r="W26" s="78" t="str">
        <f t="shared" si="12"/>
        <v xml:space="preserve"> </v>
      </c>
      <c r="X26" s="78" t="str">
        <f t="shared" si="13"/>
        <v xml:space="preserve"> </v>
      </c>
      <c r="Y26" s="78" t="str">
        <f t="shared" si="14"/>
        <v xml:space="preserve"> </v>
      </c>
      <c r="Z26" s="78" t="str">
        <f t="shared" si="15"/>
        <v xml:space="preserve"> </v>
      </c>
      <c r="AA26" s="78" t="str">
        <f t="shared" si="16"/>
        <v xml:space="preserve"> </v>
      </c>
      <c r="AB26" s="78" t="str">
        <f t="shared" si="17"/>
        <v xml:space="preserve"> </v>
      </c>
      <c r="AC26" s="800"/>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8"/>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1'!$G27/'Input &amp; Findings'!$G$31</f>
        <v>0</v>
      </c>
      <c r="J27" s="48">
        <f>IF('RTF 1'!$D$9=1,'Lookup Tables'!$J54,IF('RTF 1'!$D$9=2,'Lookup Tables'!$K54,IF('RTF 1'!$D$9=3,'Lookup Tables'!$L54,IF('RTF 1'!$D$9=4,'Lookup Tables'!$M54,'Lookup Tables'!$N54))))</f>
        <v>20</v>
      </c>
      <c r="K27" s="79" t="str">
        <f t="shared" si="0"/>
        <v xml:space="preserve"> </v>
      </c>
      <c r="L27" s="79" t="str">
        <f t="shared" si="1"/>
        <v xml:space="preserve"> </v>
      </c>
      <c r="M27" s="78">
        <f t="shared" si="2"/>
        <v>0</v>
      </c>
      <c r="N27" s="78">
        <f t="shared" si="3"/>
        <v>0</v>
      </c>
      <c r="O27" s="78">
        <f t="shared" si="4"/>
        <v>0</v>
      </c>
      <c r="P27" s="78">
        <f t="shared" si="5"/>
        <v>0</v>
      </c>
      <c r="Q27" s="78">
        <f t="shared" si="6"/>
        <v>0</v>
      </c>
      <c r="R27" s="78" t="str">
        <f t="shared" si="7"/>
        <v xml:space="preserve"> </v>
      </c>
      <c r="S27" s="78" t="str">
        <f t="shared" si="8"/>
        <v xml:space="preserve"> </v>
      </c>
      <c r="T27" s="78" t="str">
        <f t="shared" si="9"/>
        <v xml:space="preserve"> </v>
      </c>
      <c r="U27" s="78" t="str">
        <f t="shared" si="10"/>
        <v xml:space="preserve"> </v>
      </c>
      <c r="V27" s="78" t="str">
        <f t="shared" si="11"/>
        <v xml:space="preserve"> </v>
      </c>
      <c r="W27" s="78" t="str">
        <f t="shared" si="12"/>
        <v xml:space="preserve"> </v>
      </c>
      <c r="X27" s="78" t="str">
        <f t="shared" si="13"/>
        <v xml:space="preserve"> </v>
      </c>
      <c r="Y27" s="78" t="str">
        <f>IF((C27+D27+E27)=0," ",(3*Q27))</f>
        <v xml:space="preserve"> </v>
      </c>
      <c r="Z27" s="78" t="str">
        <f t="shared" si="15"/>
        <v xml:space="preserve"> </v>
      </c>
      <c r="AA27" s="78" t="str">
        <f t="shared" si="16"/>
        <v xml:space="preserve"> </v>
      </c>
      <c r="AB27" s="78" t="str">
        <f t="shared" si="17"/>
        <v xml:space="preserve"> </v>
      </c>
      <c r="AC27" s="800"/>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8"/>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1'!$G28/'Input &amp; Findings'!$G$31</f>
        <v>0</v>
      </c>
      <c r="J28" s="48">
        <f>IF('RTF 1'!$D$9=1,'Lookup Tables'!$J55,IF('RTF 1'!$D$9=2,'Lookup Tables'!$K55,IF('RTF 1'!$D$9=3,'Lookup Tables'!$L55,IF('RTF 1'!$D$9=4,'Lookup Tables'!$M55,'Lookup Tables'!$N55))))</f>
        <v>20</v>
      </c>
      <c r="K28" s="79" t="str">
        <f t="shared" si="0"/>
        <v xml:space="preserve"> </v>
      </c>
      <c r="L28" s="79" t="str">
        <f t="shared" si="1"/>
        <v xml:space="preserve"> </v>
      </c>
      <c r="M28" s="78">
        <f t="shared" si="2"/>
        <v>0</v>
      </c>
      <c r="N28" s="78">
        <f t="shared" si="3"/>
        <v>0</v>
      </c>
      <c r="O28" s="78">
        <f t="shared" si="4"/>
        <v>0</v>
      </c>
      <c r="P28" s="78">
        <f t="shared" si="5"/>
        <v>0</v>
      </c>
      <c r="Q28" s="78">
        <f t="shared" si="6"/>
        <v>0</v>
      </c>
      <c r="R28" s="78" t="str">
        <f t="shared" si="7"/>
        <v xml:space="preserve"> </v>
      </c>
      <c r="S28" s="78" t="str">
        <f t="shared" si="8"/>
        <v xml:space="preserve"> </v>
      </c>
      <c r="T28" s="78" t="str">
        <f t="shared" si="9"/>
        <v xml:space="preserve"> </v>
      </c>
      <c r="U28" s="78" t="str">
        <f t="shared" si="10"/>
        <v xml:space="preserve"> </v>
      </c>
      <c r="V28" s="78" t="str">
        <f t="shared" si="11"/>
        <v xml:space="preserve"> </v>
      </c>
      <c r="W28" s="78" t="str">
        <f t="shared" si="12"/>
        <v xml:space="preserve"> </v>
      </c>
      <c r="X28" s="78" t="str">
        <f t="shared" si="13"/>
        <v xml:space="preserve"> </v>
      </c>
      <c r="Y28" s="78" t="str">
        <f t="shared" si="14"/>
        <v xml:space="preserve"> </v>
      </c>
      <c r="Z28" s="78" t="str">
        <f t="shared" si="15"/>
        <v xml:space="preserve"> </v>
      </c>
      <c r="AA28" s="78" t="str">
        <f t="shared" si="16"/>
        <v xml:space="preserve"> </v>
      </c>
      <c r="AB28" s="78" t="str">
        <f t="shared" si="17"/>
        <v xml:space="preserve"> </v>
      </c>
      <c r="AC28" s="800"/>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8"/>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1'!$G29/'Input &amp; Findings'!$G$31</f>
        <v>0</v>
      </c>
      <c r="J29" s="48">
        <f>IF('RTF 1'!$D$9=1,'Lookup Tables'!$J56,IF('RTF 1'!$D$9=2,'Lookup Tables'!$K56,IF('RTF 1'!$D$9=3,'Lookup Tables'!$L56,IF('RTF 1'!$D$9=4,'Lookup Tables'!$M56,'Lookup Tables'!$N56))))</f>
        <v>20</v>
      </c>
      <c r="K29" s="79" t="str">
        <f t="shared" si="0"/>
        <v xml:space="preserve"> </v>
      </c>
      <c r="L29" s="79" t="str">
        <f t="shared" si="1"/>
        <v xml:space="preserve"> </v>
      </c>
      <c r="M29" s="78">
        <f t="shared" si="2"/>
        <v>0</v>
      </c>
      <c r="N29" s="78">
        <f t="shared" si="3"/>
        <v>0</v>
      </c>
      <c r="O29" s="78">
        <f t="shared" si="4"/>
        <v>0</v>
      </c>
      <c r="P29" s="78">
        <f t="shared" si="5"/>
        <v>0</v>
      </c>
      <c r="Q29" s="78">
        <f t="shared" si="6"/>
        <v>0</v>
      </c>
      <c r="R29" s="78" t="str">
        <f t="shared" si="7"/>
        <v xml:space="preserve"> </v>
      </c>
      <c r="S29" s="78" t="str">
        <f t="shared" si="8"/>
        <v xml:space="preserve"> </v>
      </c>
      <c r="T29" s="78" t="str">
        <f t="shared" si="9"/>
        <v xml:space="preserve"> </v>
      </c>
      <c r="U29" s="78" t="str">
        <f t="shared" si="10"/>
        <v xml:space="preserve"> </v>
      </c>
      <c r="V29" s="78" t="str">
        <f t="shared" si="11"/>
        <v xml:space="preserve"> </v>
      </c>
      <c r="W29" s="78" t="str">
        <f t="shared" si="12"/>
        <v xml:space="preserve"> </v>
      </c>
      <c r="X29" s="78" t="str">
        <f t="shared" si="13"/>
        <v xml:space="preserve"> </v>
      </c>
      <c r="Y29" s="78" t="str">
        <f t="shared" si="14"/>
        <v xml:space="preserve"> </v>
      </c>
      <c r="Z29" s="78" t="str">
        <f t="shared" si="15"/>
        <v xml:space="preserve"> </v>
      </c>
      <c r="AA29" s="78" t="str">
        <f t="shared" si="16"/>
        <v xml:space="preserve"> </v>
      </c>
      <c r="AB29" s="78" t="str">
        <f t="shared" si="17"/>
        <v xml:space="preserve"> </v>
      </c>
      <c r="AC29" s="800"/>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8"/>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1'!$G30/'Input &amp; Findings'!$G$31</f>
        <v>0</v>
      </c>
      <c r="J30" s="48">
        <f>IF('RTF 1'!$D$9=1,'Lookup Tables'!$J57,IF('RTF 1'!$D$9=2,'Lookup Tables'!$K57,IF('RTF 1'!$D$9=3,'Lookup Tables'!$L57,IF('RTF 1'!$D$9=4,'Lookup Tables'!$M57,'Lookup Tables'!$N57))))</f>
        <v>20</v>
      </c>
      <c r="K30" s="79" t="str">
        <f t="shared" si="0"/>
        <v xml:space="preserve"> </v>
      </c>
      <c r="L30" s="79" t="str">
        <f t="shared" si="1"/>
        <v xml:space="preserve"> </v>
      </c>
      <c r="M30" s="78">
        <f t="shared" si="2"/>
        <v>0</v>
      </c>
      <c r="N30" s="78">
        <f t="shared" si="3"/>
        <v>0</v>
      </c>
      <c r="O30" s="78">
        <f t="shared" si="4"/>
        <v>0</v>
      </c>
      <c r="P30" s="78">
        <f t="shared" si="5"/>
        <v>0</v>
      </c>
      <c r="Q30" s="78">
        <f t="shared" si="6"/>
        <v>0</v>
      </c>
      <c r="R30" s="78" t="str">
        <f t="shared" si="7"/>
        <v xml:space="preserve"> </v>
      </c>
      <c r="S30" s="78" t="str">
        <f t="shared" si="8"/>
        <v xml:space="preserve"> </v>
      </c>
      <c r="T30" s="78" t="str">
        <f t="shared" si="9"/>
        <v xml:space="preserve"> </v>
      </c>
      <c r="U30" s="78" t="str">
        <f t="shared" si="10"/>
        <v xml:space="preserve"> </v>
      </c>
      <c r="V30" s="78" t="str">
        <f t="shared" si="11"/>
        <v xml:space="preserve"> </v>
      </c>
      <c r="W30" s="78" t="str">
        <f t="shared" si="12"/>
        <v xml:space="preserve"> </v>
      </c>
      <c r="X30" s="78" t="str">
        <f t="shared" si="13"/>
        <v xml:space="preserve"> </v>
      </c>
      <c r="Y30" s="78" t="str">
        <f t="shared" si="14"/>
        <v xml:space="preserve"> </v>
      </c>
      <c r="Z30" s="78" t="str">
        <f t="shared" si="15"/>
        <v xml:space="preserve"> </v>
      </c>
      <c r="AA30" s="78" t="str">
        <f t="shared" si="16"/>
        <v xml:space="preserve"> </v>
      </c>
      <c r="AB30" s="78" t="str">
        <f t="shared" si="17"/>
        <v xml:space="preserve"> </v>
      </c>
      <c r="AC30" s="800"/>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8"/>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1'!$G31/'Input &amp; Findings'!$G$31</f>
        <v>0</v>
      </c>
      <c r="J31" s="48">
        <f>IF('RTF 1'!$D$9=1,'Lookup Tables'!$J58,IF('RTF 1'!$D$9=2,'Lookup Tables'!$K58,IF('RTF 1'!$D$9=3,'Lookup Tables'!$L58,IF('RTF 1'!$D$9=4,'Lookup Tables'!$M58,'Lookup Tables'!$N58))))</f>
        <v>20</v>
      </c>
      <c r="K31" s="79" t="str">
        <f t="shared" si="0"/>
        <v xml:space="preserve"> </v>
      </c>
      <c r="L31" s="79" t="str">
        <f t="shared" si="1"/>
        <v xml:space="preserve"> </v>
      </c>
      <c r="M31" s="78">
        <f t="shared" si="2"/>
        <v>0</v>
      </c>
      <c r="N31" s="78">
        <f t="shared" si="3"/>
        <v>0</v>
      </c>
      <c r="O31" s="78">
        <f t="shared" si="4"/>
        <v>0</v>
      </c>
      <c r="P31" s="78">
        <f t="shared" si="5"/>
        <v>0</v>
      </c>
      <c r="Q31" s="78">
        <f t="shared" si="6"/>
        <v>0</v>
      </c>
      <c r="R31" s="78" t="str">
        <f t="shared" si="7"/>
        <v xml:space="preserve"> </v>
      </c>
      <c r="S31" s="78" t="str">
        <f t="shared" si="8"/>
        <v xml:space="preserve"> </v>
      </c>
      <c r="T31" s="78" t="str">
        <f t="shared" si="9"/>
        <v xml:space="preserve"> </v>
      </c>
      <c r="U31" s="78" t="str">
        <f t="shared" si="10"/>
        <v xml:space="preserve"> </v>
      </c>
      <c r="V31" s="78" t="str">
        <f t="shared" si="11"/>
        <v xml:space="preserve"> </v>
      </c>
      <c r="W31" s="78" t="str">
        <f t="shared" si="12"/>
        <v xml:space="preserve"> </v>
      </c>
      <c r="X31" s="78" t="str">
        <f t="shared" si="13"/>
        <v xml:space="preserve"> </v>
      </c>
      <c r="Y31" s="78" t="str">
        <f t="shared" si="14"/>
        <v xml:space="preserve"> </v>
      </c>
      <c r="Z31" s="78" t="str">
        <f t="shared" si="15"/>
        <v xml:space="preserve"> </v>
      </c>
      <c r="AA31" s="78" t="str">
        <f t="shared" si="16"/>
        <v xml:space="preserve"> </v>
      </c>
      <c r="AB31" s="78" t="str">
        <f t="shared" si="17"/>
        <v xml:space="preserve"> </v>
      </c>
      <c r="AC31" s="800"/>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8"/>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1'!$G32/'Input &amp; Findings'!$G$31</f>
        <v>0</v>
      </c>
      <c r="J32" s="48">
        <f>IF('RTF 1'!$D$9=1,'Lookup Tables'!$J59,IF('RTF 1'!$D$9=2,'Lookup Tables'!$K59,IF('RTF 1'!$D$9=3,'Lookup Tables'!$L59,IF('RTF 1'!$D$9=4,'Lookup Tables'!$M59,'Lookup Tables'!$N59))))</f>
        <v>20</v>
      </c>
      <c r="K32" s="79" t="str">
        <f t="shared" si="0"/>
        <v xml:space="preserve"> </v>
      </c>
      <c r="L32" s="79" t="str">
        <f t="shared" si="1"/>
        <v xml:space="preserve"> </v>
      </c>
      <c r="M32" s="78">
        <f t="shared" si="2"/>
        <v>0</v>
      </c>
      <c r="N32" s="78">
        <f t="shared" si="3"/>
        <v>0</v>
      </c>
      <c r="O32" s="78">
        <f t="shared" si="4"/>
        <v>0</v>
      </c>
      <c r="P32" s="78">
        <f t="shared" si="5"/>
        <v>0</v>
      </c>
      <c r="Q32" s="78">
        <f t="shared" si="6"/>
        <v>0</v>
      </c>
      <c r="R32" s="78" t="str">
        <f t="shared" si="7"/>
        <v xml:space="preserve"> </v>
      </c>
      <c r="S32" s="78" t="str">
        <f t="shared" si="8"/>
        <v xml:space="preserve"> </v>
      </c>
      <c r="T32" s="78" t="str">
        <f t="shared" si="9"/>
        <v xml:space="preserve"> </v>
      </c>
      <c r="U32" s="78" t="str">
        <f t="shared" si="10"/>
        <v xml:space="preserve"> </v>
      </c>
      <c r="V32" s="78" t="str">
        <f t="shared" si="11"/>
        <v xml:space="preserve"> </v>
      </c>
      <c r="W32" s="78" t="str">
        <f t="shared" si="12"/>
        <v xml:space="preserve"> </v>
      </c>
      <c r="X32" s="78" t="str">
        <f t="shared" si="13"/>
        <v xml:space="preserve"> </v>
      </c>
      <c r="Y32" s="78" t="str">
        <f t="shared" si="14"/>
        <v xml:space="preserve"> </v>
      </c>
      <c r="Z32" s="78" t="str">
        <f t="shared" si="15"/>
        <v xml:space="preserve"> </v>
      </c>
      <c r="AA32" s="78" t="str">
        <f t="shared" si="16"/>
        <v xml:space="preserve"> </v>
      </c>
      <c r="AB32" s="78" t="str">
        <f t="shared" si="17"/>
        <v xml:space="preserve"> </v>
      </c>
      <c r="AC32" s="800"/>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8"/>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1'!$G33/'Input &amp; Findings'!$G$31</f>
        <v>0</v>
      </c>
      <c r="J33" s="48">
        <f>IF('RTF 1'!$D$9=1,'Lookup Tables'!$J60,IF('RTF 1'!$D$9=2,'Lookup Tables'!$K60,IF('RTF 1'!$D$9=3,'Lookup Tables'!$L60,IF('RTF 1'!$D$9=4,'Lookup Tables'!$M60,'Lookup Tables'!$N60))))</f>
        <v>20</v>
      </c>
      <c r="K33" s="79" t="str">
        <f t="shared" si="0"/>
        <v xml:space="preserve"> </v>
      </c>
      <c r="L33" s="79" t="str">
        <f t="shared" si="1"/>
        <v xml:space="preserve"> </v>
      </c>
      <c r="M33" s="78">
        <f t="shared" si="2"/>
        <v>0</v>
      </c>
      <c r="N33" s="78">
        <f t="shared" si="3"/>
        <v>0</v>
      </c>
      <c r="O33" s="78">
        <f t="shared" si="4"/>
        <v>0</v>
      </c>
      <c r="P33" s="78">
        <f t="shared" si="5"/>
        <v>0</v>
      </c>
      <c r="Q33" s="78">
        <f t="shared" si="6"/>
        <v>0</v>
      </c>
      <c r="R33" s="78" t="str">
        <f t="shared" si="7"/>
        <v xml:space="preserve"> </v>
      </c>
      <c r="S33" s="78" t="str">
        <f t="shared" si="8"/>
        <v xml:space="preserve"> </v>
      </c>
      <c r="T33" s="78" t="str">
        <f t="shared" si="9"/>
        <v xml:space="preserve"> </v>
      </c>
      <c r="U33" s="78" t="str">
        <f t="shared" si="10"/>
        <v xml:space="preserve"> </v>
      </c>
      <c r="V33" s="78" t="str">
        <f t="shared" si="11"/>
        <v xml:space="preserve"> </v>
      </c>
      <c r="W33" s="78" t="str">
        <f t="shared" si="12"/>
        <v xml:space="preserve"> </v>
      </c>
      <c r="X33" s="78" t="str">
        <f t="shared" si="13"/>
        <v xml:space="preserve"> </v>
      </c>
      <c r="Y33" s="78" t="str">
        <f t="shared" si="14"/>
        <v xml:space="preserve"> </v>
      </c>
      <c r="Z33" s="78" t="str">
        <f t="shared" si="15"/>
        <v xml:space="preserve"> </v>
      </c>
      <c r="AA33" s="78" t="str">
        <f t="shared" si="16"/>
        <v xml:space="preserve"> </v>
      </c>
      <c r="AB33" s="78" t="str">
        <f t="shared" si="17"/>
        <v xml:space="preserve"> </v>
      </c>
      <c r="AC33" s="800"/>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8"/>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1'!$G34/'Input &amp; Findings'!$G$31</f>
        <v>0</v>
      </c>
      <c r="J34" s="48">
        <f>IF('RTF 1'!$D$9=1,'Lookup Tables'!$J61,IF('RTF 1'!$D$9=2,'Lookup Tables'!$K61,IF('RTF 1'!$D$9=3,'Lookup Tables'!$L61,IF('RTF 1'!$D$9=4,'Lookup Tables'!$M61,'Lookup Tables'!$N61))))</f>
        <v>20</v>
      </c>
      <c r="K34" s="79" t="str">
        <f t="shared" si="0"/>
        <v xml:space="preserve"> </v>
      </c>
      <c r="L34" s="79" t="str">
        <f t="shared" si="1"/>
        <v xml:space="preserve"> </v>
      </c>
      <c r="M34" s="78">
        <f t="shared" si="2"/>
        <v>0</v>
      </c>
      <c r="N34" s="78">
        <f t="shared" si="3"/>
        <v>0</v>
      </c>
      <c r="O34" s="78">
        <f t="shared" si="4"/>
        <v>0</v>
      </c>
      <c r="P34" s="78">
        <f t="shared" si="5"/>
        <v>0</v>
      </c>
      <c r="Q34" s="78">
        <f t="shared" si="6"/>
        <v>0</v>
      </c>
      <c r="R34" s="78" t="str">
        <f t="shared" si="7"/>
        <v xml:space="preserve"> </v>
      </c>
      <c r="S34" s="78" t="str">
        <f t="shared" si="8"/>
        <v xml:space="preserve"> </v>
      </c>
      <c r="T34" s="78" t="str">
        <f t="shared" si="9"/>
        <v xml:space="preserve"> </v>
      </c>
      <c r="U34" s="78" t="str">
        <f t="shared" si="10"/>
        <v xml:space="preserve"> </v>
      </c>
      <c r="V34" s="78" t="str">
        <f t="shared" si="11"/>
        <v xml:space="preserve"> </v>
      </c>
      <c r="W34" s="78" t="str">
        <f t="shared" si="12"/>
        <v xml:space="preserve"> </v>
      </c>
      <c r="X34" s="78" t="str">
        <f t="shared" si="13"/>
        <v xml:space="preserve"> </v>
      </c>
      <c r="Y34" s="78" t="str">
        <f t="shared" si="14"/>
        <v xml:space="preserve"> </v>
      </c>
      <c r="Z34" s="78" t="str">
        <f t="shared" si="15"/>
        <v xml:space="preserve"> </v>
      </c>
      <c r="AA34" s="78" t="str">
        <f t="shared" si="16"/>
        <v xml:space="preserve"> </v>
      </c>
      <c r="AB34" s="78" t="str">
        <f t="shared" si="17"/>
        <v xml:space="preserve"> </v>
      </c>
      <c r="AC34" s="800"/>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8"/>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1'!$G35/'Input &amp; Findings'!$G$31</f>
        <v>0</v>
      </c>
      <c r="J35" s="48">
        <f>IF('RTF 1'!$D$9=1,'Lookup Tables'!$J62,IF('RTF 1'!$D$9=2,'Lookup Tables'!$K62,IF('RTF 1'!$D$9=3,'Lookup Tables'!$L62,IF('RTF 1'!$D$9=4,'Lookup Tables'!$M62,'Lookup Tables'!$N62))))</f>
        <v>20</v>
      </c>
      <c r="K35" s="79" t="str">
        <f t="shared" si="0"/>
        <v xml:space="preserve"> </v>
      </c>
      <c r="L35" s="79" t="str">
        <f t="shared" si="1"/>
        <v xml:space="preserve"> </v>
      </c>
      <c r="M35" s="78">
        <f t="shared" si="2"/>
        <v>0</v>
      </c>
      <c r="N35" s="78">
        <f t="shared" si="3"/>
        <v>0</v>
      </c>
      <c r="O35" s="78">
        <f t="shared" si="4"/>
        <v>0</v>
      </c>
      <c r="P35" s="78">
        <f t="shared" si="5"/>
        <v>0</v>
      </c>
      <c r="Q35" s="78">
        <f t="shared" si="6"/>
        <v>0</v>
      </c>
      <c r="R35" s="78" t="str">
        <f t="shared" si="7"/>
        <v xml:space="preserve"> </v>
      </c>
      <c r="S35" s="78" t="str">
        <f t="shared" si="8"/>
        <v xml:space="preserve"> </v>
      </c>
      <c r="T35" s="78" t="str">
        <f t="shared" si="9"/>
        <v xml:space="preserve"> </v>
      </c>
      <c r="U35" s="78" t="str">
        <f t="shared" si="10"/>
        <v xml:space="preserve"> </v>
      </c>
      <c r="V35" s="78" t="str">
        <f t="shared" si="11"/>
        <v xml:space="preserve"> </v>
      </c>
      <c r="W35" s="78" t="str">
        <f t="shared" si="12"/>
        <v xml:space="preserve"> </v>
      </c>
      <c r="X35" s="78" t="str">
        <f t="shared" si="13"/>
        <v xml:space="preserve"> </v>
      </c>
      <c r="Y35" s="78" t="str">
        <f t="shared" si="14"/>
        <v xml:space="preserve"> </v>
      </c>
      <c r="Z35" s="78" t="str">
        <f t="shared" si="15"/>
        <v xml:space="preserve"> </v>
      </c>
      <c r="AA35" s="78" t="str">
        <f t="shared" si="16"/>
        <v xml:space="preserve"> </v>
      </c>
      <c r="AB35" s="78" t="str">
        <f t="shared" si="17"/>
        <v xml:space="preserve"> </v>
      </c>
      <c r="AC35" s="800"/>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8"/>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1'!$G36/'Input &amp; Findings'!$G$31</f>
        <v>0</v>
      </c>
      <c r="J36" s="48">
        <f>IF('RTF 1'!$D$9=1,'Lookup Tables'!$J63,IF('RTF 1'!$D$9=2,'Lookup Tables'!$K63,IF('RTF 1'!$D$9=3,'Lookup Tables'!$L63,IF('RTF 1'!$D$9=4,'Lookup Tables'!$M63,'Lookup Tables'!$N63))))</f>
        <v>20</v>
      </c>
      <c r="K36" s="79" t="str">
        <f t="shared" si="0"/>
        <v xml:space="preserve"> </v>
      </c>
      <c r="L36" s="79" t="str">
        <f t="shared" si="1"/>
        <v xml:space="preserve"> </v>
      </c>
      <c r="M36" s="78">
        <f t="shared" si="2"/>
        <v>0</v>
      </c>
      <c r="N36" s="78">
        <f t="shared" si="3"/>
        <v>0</v>
      </c>
      <c r="O36" s="78">
        <f t="shared" si="4"/>
        <v>0</v>
      </c>
      <c r="P36" s="78">
        <f t="shared" si="5"/>
        <v>0</v>
      </c>
      <c r="Q36" s="78">
        <f t="shared" si="6"/>
        <v>0</v>
      </c>
      <c r="R36" s="78" t="str">
        <f t="shared" si="7"/>
        <v xml:space="preserve"> </v>
      </c>
      <c r="S36" s="78" t="str">
        <f t="shared" si="8"/>
        <v xml:space="preserve"> </v>
      </c>
      <c r="T36" s="78" t="str">
        <f t="shared" si="9"/>
        <v xml:space="preserve"> </v>
      </c>
      <c r="U36" s="78" t="str">
        <f t="shared" si="10"/>
        <v xml:space="preserve"> </v>
      </c>
      <c r="V36" s="78" t="str">
        <f t="shared" si="11"/>
        <v xml:space="preserve"> </v>
      </c>
      <c r="W36" s="78" t="str">
        <f t="shared" si="12"/>
        <v xml:space="preserve"> </v>
      </c>
      <c r="X36" s="78" t="str">
        <f t="shared" si="13"/>
        <v xml:space="preserve"> </v>
      </c>
      <c r="Y36" s="78" t="str">
        <f t="shared" si="14"/>
        <v xml:space="preserve"> </v>
      </c>
      <c r="Z36" s="78" t="str">
        <f t="shared" si="15"/>
        <v xml:space="preserve"> </v>
      </c>
      <c r="AA36" s="78" t="str">
        <f t="shared" si="16"/>
        <v xml:space="preserve"> </v>
      </c>
      <c r="AB36" s="78" t="str">
        <f t="shared" si="17"/>
        <v xml:space="preserve"> </v>
      </c>
      <c r="AC36" s="800"/>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8"/>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1'!$G37/'Input &amp; Findings'!$G$31</f>
        <v>0</v>
      </c>
      <c r="J37" s="48">
        <f>IF('RTF 1'!$D$9=1,'Lookup Tables'!$J64,IF('RTF 1'!$D$9=2,'Lookup Tables'!$K64,IF('RTF 1'!$D$9=3,'Lookup Tables'!$L64,IF('RTF 1'!$D$9=4,'Lookup Tables'!$M64,'Lookup Tables'!$N64))))</f>
        <v>20</v>
      </c>
      <c r="K37" s="79" t="str">
        <f t="shared" si="0"/>
        <v xml:space="preserve"> </v>
      </c>
      <c r="L37" s="79" t="str">
        <f t="shared" si="1"/>
        <v xml:space="preserve"> </v>
      </c>
      <c r="M37" s="78">
        <f t="shared" si="2"/>
        <v>0</v>
      </c>
      <c r="N37" s="78">
        <f t="shared" si="3"/>
        <v>0</v>
      </c>
      <c r="O37" s="78">
        <f t="shared" si="4"/>
        <v>0</v>
      </c>
      <c r="P37" s="78">
        <f t="shared" si="5"/>
        <v>0</v>
      </c>
      <c r="Q37" s="78">
        <f t="shared" si="6"/>
        <v>0</v>
      </c>
      <c r="R37" s="78" t="str">
        <f t="shared" si="7"/>
        <v xml:space="preserve"> </v>
      </c>
      <c r="S37" s="78" t="str">
        <f t="shared" si="8"/>
        <v xml:space="preserve"> </v>
      </c>
      <c r="T37" s="78" t="str">
        <f t="shared" si="9"/>
        <v xml:space="preserve"> </v>
      </c>
      <c r="U37" s="78" t="str">
        <f t="shared" si="10"/>
        <v xml:space="preserve"> </v>
      </c>
      <c r="V37" s="78" t="str">
        <f t="shared" si="11"/>
        <v xml:space="preserve"> </v>
      </c>
      <c r="W37" s="78" t="str">
        <f t="shared" si="12"/>
        <v xml:space="preserve"> </v>
      </c>
      <c r="X37" s="78" t="str">
        <f t="shared" si="13"/>
        <v xml:space="preserve"> </v>
      </c>
      <c r="Y37" s="78" t="str">
        <f t="shared" si="14"/>
        <v xml:space="preserve"> </v>
      </c>
      <c r="Z37" s="78" t="str">
        <f t="shared" si="15"/>
        <v xml:space="preserve"> </v>
      </c>
      <c r="AA37" s="78" t="str">
        <f t="shared" si="16"/>
        <v xml:space="preserve"> </v>
      </c>
      <c r="AB37" s="78" t="str">
        <f t="shared" si="17"/>
        <v xml:space="preserve"> </v>
      </c>
      <c r="AC37" s="800"/>
    </row>
    <row r="38" spans="1:29" ht="16.05" customHeight="1" x14ac:dyDescent="0.25">
      <c r="A38" s="76"/>
      <c r="B38" s="77">
        <v>0.26041666666666702</v>
      </c>
      <c r="C38" s="78">
        <f>IF($D$8="S-Bound",VLOOKUP($B38,'Data 15'!A129:G224,4,FALSE),IF($D$8="W-Bound",VLOOKUP($B38,'Data 15'!$H$104:$N$199,4,FALSE),IF($D$8="N-Bound",VLOOKUP($B38,'Data 15'!$O$104:$U$199,4,FALSE),VLOOKUP($B38,'Data 15'!$V$104:$AA$199,4,FALSE))))</f>
        <v>8</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56</v>
      </c>
      <c r="F38" s="78">
        <f t="shared" si="18"/>
        <v>64</v>
      </c>
      <c r="G38" s="78">
        <f>IF($D$8="E-Bound",VLOOKUP($B38,'Data 15'!$A$104:$G$199,3,FALSE),IF($D$8="S-Bound",VLOOKUP($B38,'Data 15'!$H$104:$N$199,3,FALSE),IF($D$8="W-Bound",VLOOKUP($B38,'Data 15'!$O$104:$U$199,3,FALSE),VLOOKUP($B38,'Data 15'!$V$104:$AA$199,3,FALSE))))</f>
        <v>175</v>
      </c>
      <c r="H38" s="79">
        <f>IF($D$8="E-Bound",VLOOKUP($B38,'Data 15'!$A$104:$G$199,4,FALSE),IF($D$8="S-Bound",VLOOKUP($B38,'Data 15'!$H$104:$N$199,4,FALSE),IF($D$8="W-Bound",VLOOKUP($B38,'Data 15'!$O$104:$U$199,4,FALSE),VLOOKUP($B38,'Data 15'!$V$104:$AA$199,4,FALSE))))</f>
        <v>157</v>
      </c>
      <c r="I38" s="78">
        <f>'RTF 1'!$G38/'Input &amp; Findings'!$G$31</f>
        <v>87.5</v>
      </c>
      <c r="J38" s="48">
        <f>IF('RTF 1'!$D$9=1,'Lookup Tables'!$J65,IF('RTF 1'!$D$9=2,'Lookup Tables'!$K65,IF('RTF 1'!$D$9=3,'Lookup Tables'!$L65,IF('RTF 1'!$D$9=4,'Lookup Tables'!$M65,'Lookup Tables'!$N65))))</f>
        <v>60</v>
      </c>
      <c r="K38" s="79">
        <f t="shared" si="0"/>
        <v>0</v>
      </c>
      <c r="L38" s="79">
        <f t="shared" si="1"/>
        <v>60</v>
      </c>
      <c r="M38" s="78">
        <f t="shared" si="2"/>
        <v>22.400000000000002</v>
      </c>
      <c r="N38" s="78">
        <f t="shared" si="3"/>
        <v>30.400000000000002</v>
      </c>
      <c r="O38" s="78">
        <f t="shared" si="4"/>
        <v>8</v>
      </c>
      <c r="P38" s="78">
        <f t="shared" si="5"/>
        <v>0</v>
      </c>
      <c r="Q38" s="78">
        <f t="shared" si="6"/>
        <v>56</v>
      </c>
      <c r="R38" s="78">
        <f t="shared" si="7"/>
        <v>64</v>
      </c>
      <c r="S38" s="78">
        <f t="shared" si="8"/>
        <v>44.8</v>
      </c>
      <c r="T38" s="78">
        <f t="shared" si="9"/>
        <v>22.4</v>
      </c>
      <c r="U38" s="78">
        <f t="shared" si="10"/>
        <v>0</v>
      </c>
      <c r="V38" s="78">
        <f t="shared" si="11"/>
        <v>0</v>
      </c>
      <c r="W38" s="78">
        <f t="shared" si="12"/>
        <v>8</v>
      </c>
      <c r="X38" s="78">
        <f t="shared" si="13"/>
        <v>56</v>
      </c>
      <c r="Y38" s="78">
        <f t="shared" si="14"/>
        <v>168</v>
      </c>
      <c r="Z38" s="78">
        <f t="shared" si="15"/>
        <v>24</v>
      </c>
      <c r="AA38" s="78">
        <f t="shared" si="16"/>
        <v>0</v>
      </c>
      <c r="AB38" s="78">
        <f t="shared" si="17"/>
        <v>0</v>
      </c>
      <c r="AC38" s="800"/>
    </row>
    <row r="39" spans="1:29" ht="16.05" customHeight="1" x14ac:dyDescent="0.25">
      <c r="A39" s="76"/>
      <c r="B39" s="77">
        <v>0.27083333333333298</v>
      </c>
      <c r="C39" s="78">
        <f>IF($D$8="S-Bound",VLOOKUP($B39,'Data 15'!A130:G225,4,FALSE),IF($D$8="W-Bound",VLOOKUP($B39,'Data 15'!$H$104:$N$199,4,FALSE),IF($D$8="N-Bound",VLOOKUP($B39,'Data 15'!$O$104:$U$199,4,FALSE),VLOOKUP($B39,'Data 15'!$V$104:$AA$199,4,FALSE))))</f>
        <v>16</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114</v>
      </c>
      <c r="F39" s="78">
        <f t="shared" si="18"/>
        <v>130</v>
      </c>
      <c r="G39" s="78">
        <f>IF($D$8="E-Bound",VLOOKUP($B39,'Data 15'!$A$104:$G$199,3,FALSE),IF($D$8="S-Bound",VLOOKUP($B39,'Data 15'!$H$104:$N$199,3,FALSE),IF($D$8="W-Bound",VLOOKUP($B39,'Data 15'!$O$104:$U$199,3,FALSE),VLOOKUP($B39,'Data 15'!$V$104:$AA$199,3,FALSE))))</f>
        <v>414</v>
      </c>
      <c r="H39" s="79">
        <f>IF($D$8="E-Bound",VLOOKUP($B39,'Data 15'!$A$104:$G$199,4,FALSE),IF($D$8="S-Bound",VLOOKUP($B39,'Data 15'!$H$104:$N$199,4,FALSE),IF($D$8="W-Bound",VLOOKUP($B39,'Data 15'!$O$104:$U$199,4,FALSE),VLOOKUP($B39,'Data 15'!$V$104:$AA$199,4,FALSE))))</f>
        <v>308</v>
      </c>
      <c r="I39" s="78">
        <f>'RTF 1'!$G39/'Input &amp; Findings'!$G$31</f>
        <v>207</v>
      </c>
      <c r="J39" s="48">
        <f>IF('RTF 1'!$D$9=1,'Lookup Tables'!$J66,IF('RTF 1'!$D$9=2,'Lookup Tables'!$K66,IF('RTF 1'!$D$9=3,'Lookup Tables'!$L66,IF('RTF 1'!$D$9=4,'Lookup Tables'!$M66,'Lookup Tables'!$N66))))</f>
        <v>60</v>
      </c>
      <c r="K39" s="79">
        <f t="shared" si="0"/>
        <v>10</v>
      </c>
      <c r="L39" s="79">
        <f t="shared" si="1"/>
        <v>50</v>
      </c>
      <c r="M39" s="78">
        <f t="shared" si="2"/>
        <v>57</v>
      </c>
      <c r="N39" s="78">
        <f t="shared" si="3"/>
        <v>73</v>
      </c>
      <c r="O39" s="78">
        <f t="shared" si="4"/>
        <v>16</v>
      </c>
      <c r="P39" s="78">
        <f t="shared" si="5"/>
        <v>0</v>
      </c>
      <c r="Q39" s="78">
        <f t="shared" si="6"/>
        <v>114</v>
      </c>
      <c r="R39" s="78">
        <f t="shared" si="7"/>
        <v>130</v>
      </c>
      <c r="S39" s="78">
        <f t="shared" si="8"/>
        <v>91</v>
      </c>
      <c r="T39" s="78">
        <f t="shared" si="9"/>
        <v>45.5</v>
      </c>
      <c r="U39" s="78">
        <f t="shared" si="10"/>
        <v>0</v>
      </c>
      <c r="V39" s="78">
        <f t="shared" si="11"/>
        <v>0</v>
      </c>
      <c r="W39" s="78">
        <f t="shared" si="12"/>
        <v>16</v>
      </c>
      <c r="X39" s="78">
        <f t="shared" si="13"/>
        <v>114</v>
      </c>
      <c r="Y39" s="78">
        <f t="shared" si="14"/>
        <v>342</v>
      </c>
      <c r="Z39" s="78">
        <f t="shared" si="15"/>
        <v>48</v>
      </c>
      <c r="AA39" s="78">
        <f t="shared" si="16"/>
        <v>0</v>
      </c>
      <c r="AB39" s="78">
        <f t="shared" si="17"/>
        <v>0</v>
      </c>
      <c r="AC39" s="800"/>
    </row>
    <row r="40" spans="1:29" ht="16.05" customHeight="1" x14ac:dyDescent="0.25">
      <c r="A40" s="76"/>
      <c r="B40" s="77">
        <v>0.28125</v>
      </c>
      <c r="C40" s="78">
        <f>IF($D$8="S-Bound",VLOOKUP($B40,'Data 15'!A131:G226,4,FALSE),IF($D$8="W-Bound",VLOOKUP($B40,'Data 15'!$H$104:$N$199,4,FALSE),IF($D$8="N-Bound",VLOOKUP($B40,'Data 15'!$O$104:$U$199,4,FALSE),VLOOKUP($B40,'Data 15'!$V$104:$AA$199,4,FALSE))))</f>
        <v>26</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186</v>
      </c>
      <c r="F40" s="78">
        <f t="shared" si="18"/>
        <v>212</v>
      </c>
      <c r="G40" s="78">
        <f>IF($D$8="E-Bound",VLOOKUP($B40,'Data 15'!$A$104:$G$199,3,FALSE),IF($D$8="S-Bound",VLOOKUP($B40,'Data 15'!$H$104:$N$199,3,FALSE),IF($D$8="W-Bound",VLOOKUP($B40,'Data 15'!$O$104:$U$199,3,FALSE),VLOOKUP($B40,'Data 15'!$V$104:$AA$199,3,FALSE))))</f>
        <v>649</v>
      </c>
      <c r="H40" s="79">
        <f>IF($D$8="E-Bound",VLOOKUP($B40,'Data 15'!$A$104:$G$199,4,FALSE),IF($D$8="S-Bound",VLOOKUP($B40,'Data 15'!$H$104:$N$199,4,FALSE),IF($D$8="W-Bound",VLOOKUP($B40,'Data 15'!$O$104:$U$199,4,FALSE),VLOOKUP($B40,'Data 15'!$V$104:$AA$199,4,FALSE))))</f>
        <v>470</v>
      </c>
      <c r="I40" s="78">
        <f>'RTF 1'!$G40/'Input &amp; Findings'!$G$31</f>
        <v>324.5</v>
      </c>
      <c r="J40" s="48">
        <f>IF('RTF 1'!$D$9=1,'Lookup Tables'!$J67,IF('RTF 1'!$D$9=2,'Lookup Tables'!$K67,IF('RTF 1'!$D$9=3,'Lookup Tables'!$L67,IF('RTF 1'!$D$9=4,'Lookup Tables'!$M67,'Lookup Tables'!$N67))))</f>
        <v>60</v>
      </c>
      <c r="K40" s="79">
        <f t="shared" si="0"/>
        <v>20</v>
      </c>
      <c r="L40" s="79">
        <f t="shared" si="1"/>
        <v>40</v>
      </c>
      <c r="M40" s="78">
        <f t="shared" si="2"/>
        <v>111.6</v>
      </c>
      <c r="N40" s="78">
        <f t="shared" si="3"/>
        <v>137.6</v>
      </c>
      <c r="O40" s="78">
        <f t="shared" si="4"/>
        <v>26</v>
      </c>
      <c r="P40" s="78">
        <f t="shared" si="5"/>
        <v>0</v>
      </c>
      <c r="Q40" s="78">
        <f t="shared" si="6"/>
        <v>186</v>
      </c>
      <c r="R40" s="78">
        <f t="shared" si="7"/>
        <v>212</v>
      </c>
      <c r="S40" s="78">
        <f t="shared" si="8"/>
        <v>148.39999999999998</v>
      </c>
      <c r="T40" s="78">
        <f t="shared" si="9"/>
        <v>74.199999999999989</v>
      </c>
      <c r="U40" s="78">
        <f t="shared" si="10"/>
        <v>0</v>
      </c>
      <c r="V40" s="78">
        <f t="shared" si="11"/>
        <v>0</v>
      </c>
      <c r="W40" s="78">
        <f t="shared" si="12"/>
        <v>26</v>
      </c>
      <c r="X40" s="78">
        <f t="shared" si="13"/>
        <v>186</v>
      </c>
      <c r="Y40" s="78">
        <f t="shared" si="14"/>
        <v>558</v>
      </c>
      <c r="Z40" s="78">
        <f t="shared" si="15"/>
        <v>78</v>
      </c>
      <c r="AA40" s="78">
        <f t="shared" si="16"/>
        <v>0</v>
      </c>
      <c r="AB40" s="78">
        <f t="shared" si="17"/>
        <v>0</v>
      </c>
      <c r="AC40" s="800"/>
    </row>
    <row r="41" spans="1:29" ht="16.05" customHeight="1" x14ac:dyDescent="0.25">
      <c r="A41" s="76"/>
      <c r="B41" s="77">
        <v>0.29166666666666702</v>
      </c>
      <c r="C41" s="78">
        <f>IF($D$8="S-Bound",VLOOKUP($B41,'Data 15'!A132:G227,4,FALSE),IF($D$8="W-Bound",VLOOKUP($B41,'Data 15'!$H$104:$N$199,4,FALSE),IF($D$8="N-Bound",VLOOKUP($B41,'Data 15'!$O$104:$U$199,4,FALSE),VLOOKUP($B41,'Data 15'!$V$104:$AA$199,4,FALSE))))</f>
        <v>35</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233</v>
      </c>
      <c r="F41" s="78">
        <f t="shared" si="18"/>
        <v>268</v>
      </c>
      <c r="G41" s="78">
        <f>IF($D$8="E-Bound",VLOOKUP($B41,'Data 15'!$A$104:$G$199,3,FALSE),IF($D$8="S-Bound",VLOOKUP($B41,'Data 15'!$H$104:$N$199,3,FALSE),IF($D$8="W-Bound",VLOOKUP($B41,'Data 15'!$O$104:$U$199,3,FALSE),VLOOKUP($B41,'Data 15'!$V$104:$AA$199,3,FALSE))))</f>
        <v>877</v>
      </c>
      <c r="H41" s="79">
        <f>IF($D$8="E-Bound",VLOOKUP($B41,'Data 15'!$A$104:$G$199,4,FALSE),IF($D$8="S-Bound",VLOOKUP($B41,'Data 15'!$H$104:$N$199,4,FALSE),IF($D$8="W-Bound",VLOOKUP($B41,'Data 15'!$O$104:$U$199,4,FALSE),VLOOKUP($B41,'Data 15'!$V$104:$AA$199,4,FALSE))))</f>
        <v>613</v>
      </c>
      <c r="I41" s="78">
        <f>'RTF 1'!$G41/'Input &amp; Findings'!$G$31</f>
        <v>438.5</v>
      </c>
      <c r="J41" s="48">
        <f>IF('RTF 1'!$D$9=1,'Lookup Tables'!$J68,IF('RTF 1'!$D$9=2,'Lookup Tables'!$K68,IF('RTF 1'!$D$9=3,'Lookup Tables'!$L68,IF('RTF 1'!$D$9=4,'Lookup Tables'!$M68,'Lookup Tables'!$N68))))</f>
        <v>60</v>
      </c>
      <c r="K41" s="79">
        <f t="shared" si="0"/>
        <v>35</v>
      </c>
      <c r="L41" s="79">
        <f t="shared" si="1"/>
        <v>25</v>
      </c>
      <c r="M41" s="78">
        <f t="shared" si="2"/>
        <v>174.75</v>
      </c>
      <c r="N41" s="78">
        <f t="shared" si="3"/>
        <v>209.75</v>
      </c>
      <c r="O41" s="78">
        <f t="shared" si="4"/>
        <v>35</v>
      </c>
      <c r="P41" s="78">
        <f t="shared" si="5"/>
        <v>0</v>
      </c>
      <c r="Q41" s="78">
        <f t="shared" si="6"/>
        <v>233</v>
      </c>
      <c r="R41" s="78">
        <f t="shared" si="7"/>
        <v>268</v>
      </c>
      <c r="S41" s="78">
        <f t="shared" si="8"/>
        <v>187.6</v>
      </c>
      <c r="T41" s="78">
        <f t="shared" si="9"/>
        <v>93.8</v>
      </c>
      <c r="U41" s="78">
        <f t="shared" si="10"/>
        <v>0</v>
      </c>
      <c r="V41" s="78">
        <f t="shared" si="11"/>
        <v>0</v>
      </c>
      <c r="W41" s="78">
        <f t="shared" si="12"/>
        <v>35</v>
      </c>
      <c r="X41" s="78">
        <f t="shared" si="13"/>
        <v>233</v>
      </c>
      <c r="Y41" s="78">
        <f t="shared" si="14"/>
        <v>699</v>
      </c>
      <c r="Z41" s="78">
        <f t="shared" si="15"/>
        <v>105</v>
      </c>
      <c r="AA41" s="78">
        <f t="shared" si="16"/>
        <v>0</v>
      </c>
      <c r="AB41" s="78">
        <f t="shared" si="17"/>
        <v>0</v>
      </c>
      <c r="AC41" s="800"/>
    </row>
    <row r="42" spans="1:29" ht="16.05" customHeight="1" x14ac:dyDescent="0.25">
      <c r="A42" s="76"/>
      <c r="B42" s="77">
        <v>0.30208333333333298</v>
      </c>
      <c r="C42" s="78">
        <f>IF($D$8="S-Bound",VLOOKUP($B42,'Data 15'!A133:G228,4,FALSE),IF($D$8="W-Bound",VLOOKUP($B42,'Data 15'!$H$104:$N$199,4,FALSE),IF($D$8="N-Bound",VLOOKUP($B42,'Data 15'!$O$104:$U$199,4,FALSE),VLOOKUP($B42,'Data 15'!$V$104:$AA$199,4,FALSE))))</f>
        <v>39</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219</v>
      </c>
      <c r="F42" s="78">
        <f t="shared" si="18"/>
        <v>258</v>
      </c>
      <c r="G42" s="78">
        <f>IF($D$8="E-Bound",VLOOKUP($B42,'Data 15'!$A$104:$G$199,3,FALSE),IF($D$8="S-Bound",VLOOKUP($B42,'Data 15'!$H$104:$N$199,3,FALSE),IF($D$8="W-Bound",VLOOKUP($B42,'Data 15'!$O$104:$U$199,3,FALSE),VLOOKUP($B42,'Data 15'!$V$104:$AA$199,3,FALSE))))</f>
        <v>910</v>
      </c>
      <c r="H42" s="79">
        <f>IF($D$8="E-Bound",VLOOKUP($B42,'Data 15'!$A$104:$G$199,4,FALSE),IF($D$8="S-Bound",VLOOKUP($B42,'Data 15'!$H$104:$N$199,4,FALSE),IF($D$8="W-Bound",VLOOKUP($B42,'Data 15'!$O$104:$U$199,4,FALSE),VLOOKUP($B42,'Data 15'!$V$104:$AA$199,4,FALSE))))</f>
        <v>596</v>
      </c>
      <c r="I42" s="78">
        <f>'RTF 1'!$G42/'Input &amp; Findings'!$G$31</f>
        <v>455</v>
      </c>
      <c r="J42" s="48">
        <f>IF('RTF 1'!$D$9=1,'Lookup Tables'!$J69,IF('RTF 1'!$D$9=2,'Lookup Tables'!$K69,IF('RTF 1'!$D$9=3,'Lookup Tables'!$L69,IF('RTF 1'!$D$9=4,'Lookup Tables'!$M69,'Lookup Tables'!$N69))))</f>
        <v>60</v>
      </c>
      <c r="K42" s="79">
        <f t="shared" si="0"/>
        <v>35</v>
      </c>
      <c r="L42" s="79">
        <f t="shared" si="1"/>
        <v>25</v>
      </c>
      <c r="M42" s="78">
        <f t="shared" si="2"/>
        <v>164.25</v>
      </c>
      <c r="N42" s="78">
        <f t="shared" si="3"/>
        <v>203.25</v>
      </c>
      <c r="O42" s="78">
        <f t="shared" si="4"/>
        <v>39</v>
      </c>
      <c r="P42" s="78">
        <f t="shared" si="5"/>
        <v>0</v>
      </c>
      <c r="Q42" s="78">
        <f t="shared" si="6"/>
        <v>219</v>
      </c>
      <c r="R42" s="78">
        <f t="shared" si="7"/>
        <v>258</v>
      </c>
      <c r="S42" s="78">
        <f t="shared" si="8"/>
        <v>180.6</v>
      </c>
      <c r="T42" s="78">
        <f t="shared" si="9"/>
        <v>90.3</v>
      </c>
      <c r="U42" s="78">
        <f t="shared" si="10"/>
        <v>0</v>
      </c>
      <c r="V42" s="78">
        <f t="shared" si="11"/>
        <v>0</v>
      </c>
      <c r="W42" s="78">
        <f t="shared" si="12"/>
        <v>39</v>
      </c>
      <c r="X42" s="78">
        <f t="shared" si="13"/>
        <v>219</v>
      </c>
      <c r="Y42" s="78">
        <f t="shared" si="14"/>
        <v>657</v>
      </c>
      <c r="Z42" s="78">
        <f t="shared" si="15"/>
        <v>117</v>
      </c>
      <c r="AA42" s="78">
        <f t="shared" si="16"/>
        <v>0</v>
      </c>
      <c r="AB42" s="78">
        <f t="shared" si="17"/>
        <v>0</v>
      </c>
      <c r="AC42" s="800"/>
    </row>
    <row r="43" spans="1:29" ht="16.05" customHeight="1" x14ac:dyDescent="0.25">
      <c r="A43" s="76"/>
      <c r="B43" s="77">
        <v>0.3125</v>
      </c>
      <c r="C43" s="78">
        <f>IF($D$8="S-Bound",VLOOKUP($B43,'Data 15'!A134:G229,4,FALSE),IF($D$8="W-Bound",VLOOKUP($B43,'Data 15'!$H$104:$N$199,4,FALSE),IF($D$8="N-Bound",VLOOKUP($B43,'Data 15'!$O$104:$U$199,4,FALSE),VLOOKUP($B43,'Data 15'!$V$104:$AA$199,4,FALSE))))</f>
        <v>38</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199</v>
      </c>
      <c r="F43" s="78">
        <f t="shared" si="18"/>
        <v>237</v>
      </c>
      <c r="G43" s="78">
        <f>IF($D$8="E-Bound",VLOOKUP($B43,'Data 15'!$A$104:$G$199,3,FALSE),IF($D$8="S-Bound",VLOOKUP($B43,'Data 15'!$H$104:$N$199,3,FALSE),IF($D$8="W-Bound",VLOOKUP($B43,'Data 15'!$O$104:$U$199,3,FALSE),VLOOKUP($B43,'Data 15'!$V$104:$AA$199,3,FALSE))))</f>
        <v>852</v>
      </c>
      <c r="H43" s="79">
        <f>IF($D$8="E-Bound",VLOOKUP($B43,'Data 15'!$A$104:$G$199,4,FALSE),IF($D$8="S-Bound",VLOOKUP($B43,'Data 15'!$H$104:$N$199,4,FALSE),IF($D$8="W-Bound",VLOOKUP($B43,'Data 15'!$O$104:$U$199,4,FALSE),VLOOKUP($B43,'Data 15'!$V$104:$AA$199,4,FALSE))))</f>
        <v>607</v>
      </c>
      <c r="I43" s="78">
        <f>'RTF 1'!$G43/'Input &amp; Findings'!$G$31</f>
        <v>426</v>
      </c>
      <c r="J43" s="48">
        <f>IF('RTF 1'!$D$9=1,'Lookup Tables'!$J70,IF('RTF 1'!$D$9=2,'Lookup Tables'!$K70,IF('RTF 1'!$D$9=3,'Lookup Tables'!$L70,IF('RTF 1'!$D$9=4,'Lookup Tables'!$M70,'Lookup Tables'!$N70))))</f>
        <v>60</v>
      </c>
      <c r="K43" s="79">
        <f t="shared" si="0"/>
        <v>35</v>
      </c>
      <c r="L43" s="79">
        <f t="shared" si="1"/>
        <v>25</v>
      </c>
      <c r="M43" s="78">
        <f t="shared" si="2"/>
        <v>149.25</v>
      </c>
      <c r="N43" s="78">
        <f t="shared" si="3"/>
        <v>187.25</v>
      </c>
      <c r="O43" s="78">
        <f t="shared" si="4"/>
        <v>38</v>
      </c>
      <c r="P43" s="78">
        <f t="shared" si="5"/>
        <v>0</v>
      </c>
      <c r="Q43" s="78">
        <f t="shared" si="6"/>
        <v>199</v>
      </c>
      <c r="R43" s="78">
        <f t="shared" si="7"/>
        <v>237</v>
      </c>
      <c r="S43" s="78">
        <f t="shared" si="8"/>
        <v>165.89999999999998</v>
      </c>
      <c r="T43" s="78">
        <f t="shared" si="9"/>
        <v>82.949999999999989</v>
      </c>
      <c r="U43" s="78">
        <f t="shared" si="10"/>
        <v>0</v>
      </c>
      <c r="V43" s="78">
        <f t="shared" si="11"/>
        <v>0</v>
      </c>
      <c r="W43" s="78">
        <f t="shared" si="12"/>
        <v>38</v>
      </c>
      <c r="X43" s="78">
        <f t="shared" si="13"/>
        <v>199</v>
      </c>
      <c r="Y43" s="78">
        <f t="shared" si="14"/>
        <v>597</v>
      </c>
      <c r="Z43" s="78">
        <f t="shared" si="15"/>
        <v>114</v>
      </c>
      <c r="AA43" s="78">
        <f t="shared" si="16"/>
        <v>0</v>
      </c>
      <c r="AB43" s="78">
        <f t="shared" si="17"/>
        <v>0</v>
      </c>
      <c r="AC43" s="800"/>
    </row>
    <row r="44" spans="1:29" ht="16.05" customHeight="1" x14ac:dyDescent="0.25">
      <c r="A44" s="76"/>
      <c r="B44" s="77">
        <v>0.32291666666666702</v>
      </c>
      <c r="C44" s="78">
        <f>IF($D$8="S-Bound",VLOOKUP($B44,'Data 15'!A135:G230,4,FALSE),IF($D$8="W-Bound",VLOOKUP($B44,'Data 15'!$H$104:$N$199,4,FALSE),IF($D$8="N-Bound",VLOOKUP($B44,'Data 15'!$O$104:$U$199,4,FALSE),VLOOKUP($B44,'Data 15'!$V$104:$AA$199,4,FALSE))))</f>
        <v>42</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162</v>
      </c>
      <c r="F44" s="78">
        <f t="shared" si="18"/>
        <v>204</v>
      </c>
      <c r="G44" s="78">
        <f>IF($D$8="E-Bound",VLOOKUP($B44,'Data 15'!$A$104:$G$199,3,FALSE),IF($D$8="S-Bound",VLOOKUP($B44,'Data 15'!$H$104:$N$199,3,FALSE),IF($D$8="W-Bound",VLOOKUP($B44,'Data 15'!$O$104:$U$199,3,FALSE),VLOOKUP($B44,'Data 15'!$V$104:$AA$199,3,FALSE))))</f>
        <v>797</v>
      </c>
      <c r="H44" s="79">
        <f>IF($D$8="E-Bound",VLOOKUP($B44,'Data 15'!$A$104:$G$199,4,FALSE),IF($D$8="S-Bound",VLOOKUP($B44,'Data 15'!$H$104:$N$199,4,FALSE),IF($D$8="W-Bound",VLOOKUP($B44,'Data 15'!$O$104:$U$199,4,FALSE),VLOOKUP($B44,'Data 15'!$V$104:$AA$199,4,FALSE))))</f>
        <v>585</v>
      </c>
      <c r="I44" s="78">
        <f>'RTF 1'!$G44/'Input &amp; Findings'!$G$31</f>
        <v>398.5</v>
      </c>
      <c r="J44" s="48">
        <f>IF('RTF 1'!$D$9=1,'Lookup Tables'!$J71,IF('RTF 1'!$D$9=2,'Lookup Tables'!$K71,IF('RTF 1'!$D$9=3,'Lookup Tables'!$L71,IF('RTF 1'!$D$9=4,'Lookup Tables'!$M71,'Lookup Tables'!$N71))))</f>
        <v>60</v>
      </c>
      <c r="K44" s="79">
        <f t="shared" si="0"/>
        <v>30</v>
      </c>
      <c r="L44" s="79">
        <f t="shared" si="1"/>
        <v>30</v>
      </c>
      <c r="M44" s="78">
        <f t="shared" si="2"/>
        <v>113.39999999999999</v>
      </c>
      <c r="N44" s="78">
        <f t="shared" si="3"/>
        <v>155.39999999999998</v>
      </c>
      <c r="O44" s="78">
        <f t="shared" si="4"/>
        <v>42</v>
      </c>
      <c r="P44" s="78">
        <f t="shared" si="5"/>
        <v>0</v>
      </c>
      <c r="Q44" s="78">
        <f t="shared" si="6"/>
        <v>162</v>
      </c>
      <c r="R44" s="78">
        <f t="shared" si="7"/>
        <v>204</v>
      </c>
      <c r="S44" s="78">
        <f t="shared" si="8"/>
        <v>142.79999999999998</v>
      </c>
      <c r="T44" s="78">
        <f t="shared" si="9"/>
        <v>71.399999999999991</v>
      </c>
      <c r="U44" s="78">
        <f t="shared" si="10"/>
        <v>0</v>
      </c>
      <c r="V44" s="78">
        <f t="shared" si="11"/>
        <v>0</v>
      </c>
      <c r="W44" s="78">
        <f t="shared" si="12"/>
        <v>42</v>
      </c>
      <c r="X44" s="78">
        <f t="shared" si="13"/>
        <v>162</v>
      </c>
      <c r="Y44" s="78">
        <f t="shared" si="14"/>
        <v>486</v>
      </c>
      <c r="Z44" s="78">
        <f t="shared" si="15"/>
        <v>126</v>
      </c>
      <c r="AA44" s="78">
        <f t="shared" si="16"/>
        <v>0</v>
      </c>
      <c r="AB44" s="78">
        <f t="shared" si="17"/>
        <v>0</v>
      </c>
      <c r="AC44" s="800"/>
    </row>
    <row r="45" spans="1:29" ht="16.05" customHeight="1" x14ac:dyDescent="0.25">
      <c r="A45" s="76"/>
      <c r="B45" s="77">
        <v>0.33333333333333298</v>
      </c>
      <c r="C45" s="78">
        <f>IF($D$8="S-Bound",VLOOKUP($B45,'Data 15'!A136:G231,4,FALSE),IF($D$8="W-Bound",VLOOKUP($B45,'Data 15'!$H$104:$N$199,4,FALSE),IF($D$8="N-Bound",VLOOKUP($B45,'Data 15'!$O$104:$U$199,4,FALSE),VLOOKUP($B45,'Data 15'!$V$104:$AA$199,4,FALSE))))</f>
        <v>47</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174</v>
      </c>
      <c r="F45" s="78">
        <f t="shared" si="18"/>
        <v>221</v>
      </c>
      <c r="G45" s="78">
        <f>IF($D$8="E-Bound",VLOOKUP($B45,'Data 15'!$A$104:$G$199,3,FALSE),IF($D$8="S-Bound",VLOOKUP($B45,'Data 15'!$H$104:$N$199,3,FALSE),IF($D$8="W-Bound",VLOOKUP($B45,'Data 15'!$O$104:$U$199,3,FALSE),VLOOKUP($B45,'Data 15'!$V$104:$AA$199,3,FALSE))))</f>
        <v>770</v>
      </c>
      <c r="H45" s="79">
        <f>IF($D$8="E-Bound",VLOOKUP($B45,'Data 15'!$A$104:$G$199,4,FALSE),IF($D$8="S-Bound",VLOOKUP($B45,'Data 15'!$H$104:$N$199,4,FALSE),IF($D$8="W-Bound",VLOOKUP($B45,'Data 15'!$O$104:$U$199,4,FALSE),VLOOKUP($B45,'Data 15'!$V$104:$AA$199,4,FALSE))))</f>
        <v>586</v>
      </c>
      <c r="I45" s="78">
        <f>'RTF 1'!$G45/'Input &amp; Findings'!$G$31</f>
        <v>385</v>
      </c>
      <c r="J45" s="48">
        <f>IF('RTF 1'!$D$9=1,'Lookup Tables'!$J72,IF('RTF 1'!$D$9=2,'Lookup Tables'!$K72,IF('RTF 1'!$D$9=3,'Lookup Tables'!$L72,IF('RTF 1'!$D$9=4,'Lookup Tables'!$M72,'Lookup Tables'!$N72))))</f>
        <v>60</v>
      </c>
      <c r="K45" s="79">
        <f t="shared" si="0"/>
        <v>30</v>
      </c>
      <c r="L45" s="79">
        <f t="shared" si="1"/>
        <v>30</v>
      </c>
      <c r="M45" s="78">
        <f t="shared" si="2"/>
        <v>121.8</v>
      </c>
      <c r="N45" s="78">
        <f t="shared" si="3"/>
        <v>168.8</v>
      </c>
      <c r="O45" s="78">
        <f t="shared" si="4"/>
        <v>47</v>
      </c>
      <c r="P45" s="78">
        <f t="shared" si="5"/>
        <v>0</v>
      </c>
      <c r="Q45" s="78">
        <f t="shared" si="6"/>
        <v>174</v>
      </c>
      <c r="R45" s="78">
        <f t="shared" si="7"/>
        <v>221</v>
      </c>
      <c r="S45" s="78">
        <f t="shared" si="8"/>
        <v>154.69999999999999</v>
      </c>
      <c r="T45" s="78">
        <f t="shared" si="9"/>
        <v>77.349999999999994</v>
      </c>
      <c r="U45" s="78">
        <f t="shared" si="10"/>
        <v>0</v>
      </c>
      <c r="V45" s="78">
        <f t="shared" si="11"/>
        <v>0</v>
      </c>
      <c r="W45" s="78">
        <f t="shared" si="12"/>
        <v>47</v>
      </c>
      <c r="X45" s="78">
        <f t="shared" si="13"/>
        <v>174</v>
      </c>
      <c r="Y45" s="78">
        <f t="shared" si="14"/>
        <v>522</v>
      </c>
      <c r="Z45" s="78">
        <f t="shared" si="15"/>
        <v>141</v>
      </c>
      <c r="AA45" s="78">
        <f t="shared" si="16"/>
        <v>0</v>
      </c>
      <c r="AB45" s="78">
        <f t="shared" si="17"/>
        <v>0</v>
      </c>
      <c r="AC45" s="800"/>
    </row>
    <row r="46" spans="1:29" ht="16.05" customHeight="1" x14ac:dyDescent="0.25">
      <c r="A46" s="76"/>
      <c r="B46" s="77">
        <v>0.34375</v>
      </c>
      <c r="C46" s="78">
        <f>IF($D$8="S-Bound",VLOOKUP($B46,'Data 15'!A137:G232,4,FALSE),IF($D$8="W-Bound",VLOOKUP($B46,'Data 15'!$H$104:$N$199,4,FALSE),IF($D$8="N-Bound",VLOOKUP($B46,'Data 15'!$O$104:$U$199,4,FALSE),VLOOKUP($B46,'Data 15'!$V$104:$AA$199,4,FALSE))))</f>
        <v>47</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167</v>
      </c>
      <c r="F46" s="78">
        <f t="shared" si="18"/>
        <v>214</v>
      </c>
      <c r="G46" s="78">
        <f>IF($D$8="E-Bound",VLOOKUP($B46,'Data 15'!$A$104:$G$199,3,FALSE),IF($D$8="S-Bound",VLOOKUP($B46,'Data 15'!$H$104:$N$199,3,FALSE),IF($D$8="W-Bound",VLOOKUP($B46,'Data 15'!$O$104:$U$199,3,FALSE),VLOOKUP($B46,'Data 15'!$V$104:$AA$199,3,FALSE))))</f>
        <v>704</v>
      </c>
      <c r="H46" s="79">
        <f>IF($D$8="E-Bound",VLOOKUP($B46,'Data 15'!$A$104:$G$199,4,FALSE),IF($D$8="S-Bound",VLOOKUP($B46,'Data 15'!$H$104:$N$199,4,FALSE),IF($D$8="W-Bound",VLOOKUP($B46,'Data 15'!$O$104:$U$199,4,FALSE),VLOOKUP($B46,'Data 15'!$V$104:$AA$199,4,FALSE))))</f>
        <v>524</v>
      </c>
      <c r="I46" s="78">
        <f>'RTF 1'!$G46/'Input &amp; Findings'!$G$31</f>
        <v>352</v>
      </c>
      <c r="J46" s="48">
        <f>IF('RTF 1'!$D$9=1,'Lookup Tables'!$J73,IF('RTF 1'!$D$9=2,'Lookup Tables'!$K73,IF('RTF 1'!$D$9=3,'Lookup Tables'!$L73,IF('RTF 1'!$D$9=4,'Lookup Tables'!$M73,'Lookup Tables'!$N73))))</f>
        <v>60</v>
      </c>
      <c r="K46" s="79">
        <f t="shared" si="0"/>
        <v>25</v>
      </c>
      <c r="L46" s="79">
        <f t="shared" si="1"/>
        <v>35</v>
      </c>
      <c r="M46" s="78">
        <f t="shared" si="2"/>
        <v>108.55</v>
      </c>
      <c r="N46" s="78">
        <f t="shared" si="3"/>
        <v>155.55000000000001</v>
      </c>
      <c r="O46" s="78">
        <f t="shared" si="4"/>
        <v>47</v>
      </c>
      <c r="P46" s="78">
        <f t="shared" si="5"/>
        <v>0</v>
      </c>
      <c r="Q46" s="78">
        <f t="shared" si="6"/>
        <v>167</v>
      </c>
      <c r="R46" s="78">
        <f t="shared" si="7"/>
        <v>214</v>
      </c>
      <c r="S46" s="78">
        <f t="shared" si="8"/>
        <v>149.79999999999998</v>
      </c>
      <c r="T46" s="78">
        <f t="shared" si="9"/>
        <v>74.899999999999991</v>
      </c>
      <c r="U46" s="78">
        <f t="shared" si="10"/>
        <v>0</v>
      </c>
      <c r="V46" s="78">
        <f t="shared" si="11"/>
        <v>0</v>
      </c>
      <c r="W46" s="78">
        <f t="shared" si="12"/>
        <v>47</v>
      </c>
      <c r="X46" s="78">
        <f t="shared" si="13"/>
        <v>167</v>
      </c>
      <c r="Y46" s="78">
        <f t="shared" si="14"/>
        <v>501</v>
      </c>
      <c r="Z46" s="78">
        <f t="shared" si="15"/>
        <v>141</v>
      </c>
      <c r="AA46" s="78">
        <f t="shared" si="16"/>
        <v>0</v>
      </c>
      <c r="AB46" s="78">
        <f t="shared" si="17"/>
        <v>0</v>
      </c>
      <c r="AC46" s="800"/>
    </row>
    <row r="47" spans="1:29" ht="16.05" customHeight="1" x14ac:dyDescent="0.25">
      <c r="A47" s="76"/>
      <c r="B47" s="77">
        <v>0.35416666666666702</v>
      </c>
      <c r="C47" s="78">
        <f>IF($D$8="S-Bound",VLOOKUP($B47,'Data 15'!A138:G233,4,FALSE),IF($D$8="W-Bound",VLOOKUP($B47,'Data 15'!$H$104:$N$199,4,FALSE),IF($D$8="N-Bound",VLOOKUP($B47,'Data 15'!$O$104:$U$199,4,FALSE),VLOOKUP($B47,'Data 15'!$V$104:$AA$199,4,FALSE))))</f>
        <v>53</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171</v>
      </c>
      <c r="F47" s="78">
        <f t="shared" si="18"/>
        <v>224</v>
      </c>
      <c r="G47" s="78">
        <f>IF($D$8="E-Bound",VLOOKUP($B47,'Data 15'!$A$104:$G$199,3,FALSE),IF($D$8="S-Bound",VLOOKUP($B47,'Data 15'!$H$104:$N$199,3,FALSE),IF($D$8="W-Bound",VLOOKUP($B47,'Data 15'!$O$104:$U$199,3,FALSE),VLOOKUP($B47,'Data 15'!$V$104:$AA$199,3,FALSE))))</f>
        <v>662</v>
      </c>
      <c r="H47" s="79">
        <f>IF($D$8="E-Bound",VLOOKUP($B47,'Data 15'!$A$104:$G$199,4,FALSE),IF($D$8="S-Bound",VLOOKUP($B47,'Data 15'!$H$104:$N$199,4,FALSE),IF($D$8="W-Bound",VLOOKUP($B47,'Data 15'!$O$104:$U$199,4,FALSE),VLOOKUP($B47,'Data 15'!$V$104:$AA$199,4,FALSE))))</f>
        <v>451</v>
      </c>
      <c r="I47" s="78">
        <f>'RTF 1'!$G47/'Input &amp; Findings'!$G$31</f>
        <v>331</v>
      </c>
      <c r="J47" s="48">
        <f>IF('RTF 1'!$D$9=1,'Lookup Tables'!$J74,IF('RTF 1'!$D$9=2,'Lookup Tables'!$K74,IF('RTF 1'!$D$9=3,'Lookup Tables'!$L74,IF('RTF 1'!$D$9=4,'Lookup Tables'!$M74,'Lookup Tables'!$N74))))</f>
        <v>60</v>
      </c>
      <c r="K47" s="79">
        <f t="shared" si="0"/>
        <v>20</v>
      </c>
      <c r="L47" s="79">
        <f t="shared" si="1"/>
        <v>40</v>
      </c>
      <c r="M47" s="78">
        <f t="shared" si="2"/>
        <v>102.6</v>
      </c>
      <c r="N47" s="78">
        <f t="shared" si="3"/>
        <v>155.6</v>
      </c>
      <c r="O47" s="78">
        <f t="shared" si="4"/>
        <v>53</v>
      </c>
      <c r="P47" s="78">
        <f t="shared" si="5"/>
        <v>0</v>
      </c>
      <c r="Q47" s="78">
        <f t="shared" si="6"/>
        <v>171</v>
      </c>
      <c r="R47" s="78">
        <f t="shared" si="7"/>
        <v>224</v>
      </c>
      <c r="S47" s="78">
        <f t="shared" si="8"/>
        <v>156.79999999999998</v>
      </c>
      <c r="T47" s="78">
        <f t="shared" si="9"/>
        <v>78.399999999999991</v>
      </c>
      <c r="U47" s="78">
        <f t="shared" si="10"/>
        <v>0</v>
      </c>
      <c r="V47" s="78">
        <f t="shared" si="11"/>
        <v>0</v>
      </c>
      <c r="W47" s="78">
        <f t="shared" si="12"/>
        <v>53</v>
      </c>
      <c r="X47" s="78">
        <f t="shared" si="13"/>
        <v>171</v>
      </c>
      <c r="Y47" s="78">
        <f t="shared" si="14"/>
        <v>513</v>
      </c>
      <c r="Z47" s="78">
        <f t="shared" si="15"/>
        <v>159</v>
      </c>
      <c r="AA47" s="78">
        <f t="shared" si="16"/>
        <v>0</v>
      </c>
      <c r="AB47" s="78">
        <f t="shared" si="17"/>
        <v>0</v>
      </c>
      <c r="AC47" s="800"/>
    </row>
    <row r="48" spans="1:29" ht="16.05" customHeight="1" x14ac:dyDescent="0.25">
      <c r="A48" s="76"/>
      <c r="B48" s="77">
        <v>0.36458333333333298</v>
      </c>
      <c r="C48" s="78">
        <f>IF($D$8="S-Bound",VLOOKUP($B48,'Data 15'!A139:G234,4,FALSE),IF($D$8="W-Bound",VLOOKUP($B48,'Data 15'!$H$104:$N$199,4,FALSE),IF($D$8="N-Bound",VLOOKUP($B48,'Data 15'!$O$104:$U$199,4,FALSE),VLOOKUP($B48,'Data 15'!$V$104:$AA$199,4,FALSE))))</f>
        <v>47</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187</v>
      </c>
      <c r="F48" s="78">
        <f t="shared" si="18"/>
        <v>234</v>
      </c>
      <c r="G48" s="78">
        <f>IF($D$8="E-Bound",VLOOKUP($B48,'Data 15'!$A$104:$G$199,3,FALSE),IF($D$8="S-Bound",VLOOKUP($B48,'Data 15'!$H$104:$N$199,3,FALSE),IF($D$8="W-Bound",VLOOKUP($B48,'Data 15'!$O$104:$U$199,3,FALSE),VLOOKUP($B48,'Data 15'!$V$104:$AA$199,3,FALSE))))</f>
        <v>623</v>
      </c>
      <c r="H48" s="79">
        <f>IF($D$8="E-Bound",VLOOKUP($B48,'Data 15'!$A$104:$G$199,4,FALSE),IF($D$8="S-Bound",VLOOKUP($B48,'Data 15'!$H$104:$N$199,4,FALSE),IF($D$8="W-Bound",VLOOKUP($B48,'Data 15'!$O$104:$U$199,4,FALSE),VLOOKUP($B48,'Data 15'!$V$104:$AA$199,4,FALSE))))</f>
        <v>401</v>
      </c>
      <c r="I48" s="78">
        <f>'RTF 1'!$G48/'Input &amp; Findings'!$G$31</f>
        <v>311.5</v>
      </c>
      <c r="J48" s="48">
        <f>IF('RTF 1'!$D$9=1,'Lookup Tables'!$J75,IF('RTF 1'!$D$9=2,'Lookup Tables'!$K75,IF('RTF 1'!$D$9=3,'Lookup Tables'!$L75,IF('RTF 1'!$D$9=4,'Lookup Tables'!$M75,'Lookup Tables'!$N75))))</f>
        <v>60</v>
      </c>
      <c r="K48" s="79">
        <f t="shared" si="0"/>
        <v>20</v>
      </c>
      <c r="L48" s="79">
        <f t="shared" si="1"/>
        <v>40</v>
      </c>
      <c r="M48" s="78">
        <f t="shared" si="2"/>
        <v>112.2</v>
      </c>
      <c r="N48" s="78">
        <f t="shared" si="3"/>
        <v>159.19999999999999</v>
      </c>
      <c r="O48" s="78">
        <f t="shared" si="4"/>
        <v>47</v>
      </c>
      <c r="P48" s="78">
        <f t="shared" si="5"/>
        <v>0</v>
      </c>
      <c r="Q48" s="78">
        <f t="shared" si="6"/>
        <v>187</v>
      </c>
      <c r="R48" s="78">
        <f t="shared" si="7"/>
        <v>234</v>
      </c>
      <c r="S48" s="78">
        <f t="shared" si="8"/>
        <v>163.79999999999998</v>
      </c>
      <c r="T48" s="78">
        <f t="shared" si="9"/>
        <v>81.899999999999991</v>
      </c>
      <c r="U48" s="78">
        <f t="shared" si="10"/>
        <v>0</v>
      </c>
      <c r="V48" s="78">
        <f t="shared" si="11"/>
        <v>0</v>
      </c>
      <c r="W48" s="78">
        <f t="shared" si="12"/>
        <v>47</v>
      </c>
      <c r="X48" s="78">
        <f t="shared" si="13"/>
        <v>187</v>
      </c>
      <c r="Y48" s="78">
        <f t="shared" si="14"/>
        <v>561</v>
      </c>
      <c r="Z48" s="78">
        <f t="shared" si="15"/>
        <v>141</v>
      </c>
      <c r="AA48" s="78">
        <f t="shared" si="16"/>
        <v>0</v>
      </c>
      <c r="AB48" s="78">
        <f t="shared" si="17"/>
        <v>0</v>
      </c>
      <c r="AC48" s="800"/>
    </row>
    <row r="49" spans="1:29" ht="16.05" customHeight="1" x14ac:dyDescent="0.25">
      <c r="A49" s="76"/>
      <c r="B49" s="77">
        <v>0.375</v>
      </c>
      <c r="C49" s="78">
        <f>IF($D$8="S-Bound",VLOOKUP($B49,'Data 15'!A140:G235,4,FALSE),IF($D$8="W-Bound",VLOOKUP($B49,'Data 15'!$H$104:$N$199,4,FALSE),IF($D$8="N-Bound",VLOOKUP($B49,'Data 15'!$O$104:$U$199,4,FALSE),VLOOKUP($B49,'Data 15'!$V$104:$AA$199,4,FALSE))))</f>
        <v>45</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171</v>
      </c>
      <c r="F49" s="78">
        <f t="shared" si="18"/>
        <v>216</v>
      </c>
      <c r="G49" s="78">
        <f>IF($D$8="E-Bound",VLOOKUP($B49,'Data 15'!$A$104:$G$199,3,FALSE),IF($D$8="S-Bound",VLOOKUP($B49,'Data 15'!$H$104:$N$199,3,FALSE),IF($D$8="W-Bound",VLOOKUP($B49,'Data 15'!$O$104:$U$199,3,FALSE),VLOOKUP($B49,'Data 15'!$V$104:$AA$199,3,FALSE))))</f>
        <v>559</v>
      </c>
      <c r="H49" s="79">
        <f>IF($D$8="E-Bound",VLOOKUP($B49,'Data 15'!$A$104:$G$199,4,FALSE),IF($D$8="S-Bound",VLOOKUP($B49,'Data 15'!$H$104:$N$199,4,FALSE),IF($D$8="W-Bound",VLOOKUP($B49,'Data 15'!$O$104:$U$199,4,FALSE),VLOOKUP($B49,'Data 15'!$V$104:$AA$199,4,FALSE))))</f>
        <v>353</v>
      </c>
      <c r="I49" s="78">
        <f>'RTF 1'!$G49/'Input &amp; Findings'!$G$31</f>
        <v>279.5</v>
      </c>
      <c r="J49" s="48">
        <f>IF('RTF 1'!$D$9=1,'Lookup Tables'!$J76,IF('RTF 1'!$D$9=2,'Lookup Tables'!$K76,IF('RTF 1'!$D$9=3,'Lookup Tables'!$L76,IF('RTF 1'!$D$9=4,'Lookup Tables'!$M76,'Lookup Tables'!$N76))))</f>
        <v>60</v>
      </c>
      <c r="K49" s="79">
        <f t="shared" si="0"/>
        <v>15</v>
      </c>
      <c r="L49" s="79">
        <f t="shared" si="1"/>
        <v>45</v>
      </c>
      <c r="M49" s="78">
        <f t="shared" si="2"/>
        <v>94.050000000000011</v>
      </c>
      <c r="N49" s="78">
        <f t="shared" si="3"/>
        <v>139.05000000000001</v>
      </c>
      <c r="O49" s="78">
        <f t="shared" si="4"/>
        <v>45</v>
      </c>
      <c r="P49" s="78">
        <f t="shared" si="5"/>
        <v>0</v>
      </c>
      <c r="Q49" s="78">
        <f t="shared" si="6"/>
        <v>171</v>
      </c>
      <c r="R49" s="78">
        <f t="shared" si="7"/>
        <v>216</v>
      </c>
      <c r="S49" s="78">
        <f t="shared" si="8"/>
        <v>151.19999999999999</v>
      </c>
      <c r="T49" s="78">
        <f t="shared" si="9"/>
        <v>75.599999999999994</v>
      </c>
      <c r="U49" s="78">
        <f t="shared" si="10"/>
        <v>0</v>
      </c>
      <c r="V49" s="78">
        <f t="shared" si="11"/>
        <v>0</v>
      </c>
      <c r="W49" s="78">
        <f t="shared" si="12"/>
        <v>45</v>
      </c>
      <c r="X49" s="78">
        <f t="shared" si="13"/>
        <v>171</v>
      </c>
      <c r="Y49" s="78">
        <f t="shared" si="14"/>
        <v>513</v>
      </c>
      <c r="Z49" s="78">
        <f t="shared" si="15"/>
        <v>135</v>
      </c>
      <c r="AA49" s="78">
        <f t="shared" si="16"/>
        <v>0</v>
      </c>
      <c r="AB49" s="78">
        <f t="shared" si="17"/>
        <v>0</v>
      </c>
      <c r="AC49" s="800"/>
    </row>
    <row r="50" spans="1:29" ht="16.05" customHeight="1" x14ac:dyDescent="0.25">
      <c r="A50" s="76"/>
      <c r="B50" s="77">
        <v>0.38541666666666702</v>
      </c>
      <c r="C50" s="78">
        <f>IF($D$8="S-Bound",VLOOKUP($B50,'Data 15'!A141:G236,4,FALSE),IF($D$8="W-Bound",VLOOKUP($B50,'Data 15'!$H$104:$N$199,4,FALSE),IF($D$8="N-Bound",VLOOKUP($B50,'Data 15'!$O$104:$U$199,4,FALSE),VLOOKUP($B50,'Data 15'!$V$104:$AA$199,4,FALSE))))</f>
        <v>41</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179</v>
      </c>
      <c r="F50" s="78">
        <f t="shared" si="18"/>
        <v>220</v>
      </c>
      <c r="G50" s="78">
        <f>IF($D$8="E-Bound",VLOOKUP($B50,'Data 15'!$A$104:$G$199,3,FALSE),IF($D$8="S-Bound",VLOOKUP($B50,'Data 15'!$H$104:$N$199,3,FALSE),IF($D$8="W-Bound",VLOOKUP($B50,'Data 15'!$O$104:$U$199,3,FALSE),VLOOKUP($B50,'Data 15'!$V$104:$AA$199,3,FALSE))))</f>
        <v>536</v>
      </c>
      <c r="H50" s="79">
        <f>IF($D$8="E-Bound",VLOOKUP($B50,'Data 15'!$A$104:$G$199,4,FALSE),IF($D$8="S-Bound",VLOOKUP($B50,'Data 15'!$H$104:$N$199,4,FALSE),IF($D$8="W-Bound",VLOOKUP($B50,'Data 15'!$O$104:$U$199,4,FALSE),VLOOKUP($B50,'Data 15'!$V$104:$AA$199,4,FALSE))))</f>
        <v>376</v>
      </c>
      <c r="I50" s="78">
        <f>'RTF 1'!$G50/'Input &amp; Findings'!$G$31</f>
        <v>268</v>
      </c>
      <c r="J50" s="48">
        <f>IF('RTF 1'!$D$9=1,'Lookup Tables'!$J77,IF('RTF 1'!$D$9=2,'Lookup Tables'!$K77,IF('RTF 1'!$D$9=3,'Lookup Tables'!$L77,IF('RTF 1'!$D$9=4,'Lookup Tables'!$M77,'Lookup Tables'!$N77))))</f>
        <v>60</v>
      </c>
      <c r="K50" s="79">
        <f t="shared" si="0"/>
        <v>15</v>
      </c>
      <c r="L50" s="79">
        <f t="shared" si="1"/>
        <v>45</v>
      </c>
      <c r="M50" s="78">
        <f t="shared" si="2"/>
        <v>98.45</v>
      </c>
      <c r="N50" s="78">
        <f t="shared" si="3"/>
        <v>139.44999999999999</v>
      </c>
      <c r="O50" s="78">
        <f t="shared" si="4"/>
        <v>41</v>
      </c>
      <c r="P50" s="78">
        <f t="shared" si="5"/>
        <v>0</v>
      </c>
      <c r="Q50" s="78">
        <f t="shared" si="6"/>
        <v>179</v>
      </c>
      <c r="R50" s="78">
        <f t="shared" si="7"/>
        <v>220</v>
      </c>
      <c r="S50" s="78">
        <f t="shared" si="8"/>
        <v>154</v>
      </c>
      <c r="T50" s="78">
        <f t="shared" si="9"/>
        <v>77</v>
      </c>
      <c r="U50" s="78">
        <f t="shared" si="10"/>
        <v>0</v>
      </c>
      <c r="V50" s="78">
        <f t="shared" si="11"/>
        <v>0</v>
      </c>
      <c r="W50" s="78">
        <f t="shared" si="12"/>
        <v>41</v>
      </c>
      <c r="X50" s="78">
        <f t="shared" si="13"/>
        <v>179</v>
      </c>
      <c r="Y50" s="78">
        <f t="shared" si="14"/>
        <v>537</v>
      </c>
      <c r="Z50" s="78">
        <f t="shared" si="15"/>
        <v>123</v>
      </c>
      <c r="AA50" s="78">
        <f t="shared" si="16"/>
        <v>0</v>
      </c>
      <c r="AB50" s="78">
        <f t="shared" si="17"/>
        <v>0</v>
      </c>
      <c r="AC50" s="800"/>
    </row>
    <row r="51" spans="1:29" ht="16.05" customHeight="1" x14ac:dyDescent="0.25">
      <c r="A51" s="76"/>
      <c r="B51" s="77">
        <v>0.39583333333333298</v>
      </c>
      <c r="C51" s="78">
        <f>IF($D$8="S-Bound",VLOOKUP($B51,'Data 15'!A142:G237,4,FALSE),IF($D$8="W-Bound",VLOOKUP($B51,'Data 15'!$H$104:$N$199,4,FALSE),IF($D$8="N-Bound",VLOOKUP($B51,'Data 15'!$O$104:$U$199,4,FALSE),VLOOKUP($B51,'Data 15'!$V$104:$AA$199,4,FALSE))))</f>
        <v>38</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177</v>
      </c>
      <c r="F51" s="78">
        <f t="shared" si="18"/>
        <v>215</v>
      </c>
      <c r="G51" s="78">
        <f>IF($D$8="E-Bound",VLOOKUP($B51,'Data 15'!$A$104:$G$199,3,FALSE),IF($D$8="S-Bound",VLOOKUP($B51,'Data 15'!$H$104:$N$199,3,FALSE),IF($D$8="W-Bound",VLOOKUP($B51,'Data 15'!$O$104:$U$199,3,FALSE),VLOOKUP($B51,'Data 15'!$V$104:$AA$199,3,FALSE))))</f>
        <v>518</v>
      </c>
      <c r="H51" s="79">
        <f>IF($D$8="E-Bound",VLOOKUP($B51,'Data 15'!$A$104:$G$199,4,FALSE),IF($D$8="S-Bound",VLOOKUP($B51,'Data 15'!$H$104:$N$199,4,FALSE),IF($D$8="W-Bound",VLOOKUP($B51,'Data 15'!$O$104:$U$199,4,FALSE),VLOOKUP($B51,'Data 15'!$V$104:$AA$199,4,FALSE))))</f>
        <v>370</v>
      </c>
      <c r="I51" s="78">
        <f>'RTF 1'!$G51/'Input &amp; Findings'!$G$31</f>
        <v>259</v>
      </c>
      <c r="J51" s="48">
        <f>IF('RTF 1'!$D$9=1,'Lookup Tables'!$J78,IF('RTF 1'!$D$9=2,'Lookup Tables'!$K78,IF('RTF 1'!$D$9=3,'Lookup Tables'!$L78,IF('RTF 1'!$D$9=4,'Lookup Tables'!$M78,'Lookup Tables'!$N78))))</f>
        <v>60</v>
      </c>
      <c r="K51" s="79">
        <f t="shared" si="0"/>
        <v>15</v>
      </c>
      <c r="L51" s="79">
        <f t="shared" si="1"/>
        <v>45</v>
      </c>
      <c r="M51" s="78">
        <f t="shared" si="2"/>
        <v>97.350000000000009</v>
      </c>
      <c r="N51" s="78">
        <f t="shared" si="3"/>
        <v>135.35000000000002</v>
      </c>
      <c r="O51" s="78">
        <f t="shared" si="4"/>
        <v>38</v>
      </c>
      <c r="P51" s="78">
        <f t="shared" si="5"/>
        <v>0</v>
      </c>
      <c r="Q51" s="78">
        <f t="shared" si="6"/>
        <v>177</v>
      </c>
      <c r="R51" s="78">
        <f t="shared" si="7"/>
        <v>215</v>
      </c>
      <c r="S51" s="78">
        <f t="shared" si="8"/>
        <v>150.5</v>
      </c>
      <c r="T51" s="78">
        <f t="shared" si="9"/>
        <v>75.25</v>
      </c>
      <c r="U51" s="78">
        <f t="shared" si="10"/>
        <v>0</v>
      </c>
      <c r="V51" s="78">
        <f t="shared" si="11"/>
        <v>0</v>
      </c>
      <c r="W51" s="78">
        <f t="shared" si="12"/>
        <v>38</v>
      </c>
      <c r="X51" s="78">
        <f t="shared" si="13"/>
        <v>177</v>
      </c>
      <c r="Y51" s="78">
        <f t="shared" si="14"/>
        <v>531</v>
      </c>
      <c r="Z51" s="78">
        <f t="shared" si="15"/>
        <v>114</v>
      </c>
      <c r="AA51" s="78">
        <f t="shared" si="16"/>
        <v>0</v>
      </c>
      <c r="AB51" s="78">
        <f t="shared" si="17"/>
        <v>0</v>
      </c>
      <c r="AC51" s="800"/>
    </row>
    <row r="52" spans="1:29" ht="16.05" customHeight="1" x14ac:dyDescent="0.25">
      <c r="A52" s="76"/>
      <c r="B52" s="77">
        <v>0.40625</v>
      </c>
      <c r="C52" s="78">
        <f>IF($D$8="S-Bound",VLOOKUP($B52,'Data 15'!A143:G238,4,FALSE),IF($D$8="W-Bound",VLOOKUP($B52,'Data 15'!$H$104:$N$199,4,FALSE),IF($D$8="N-Bound",VLOOKUP($B52,'Data 15'!$O$104:$U$199,4,FALSE),VLOOKUP($B52,'Data 15'!$V$104:$AA$199,4,FALSE))))</f>
        <v>41</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155</v>
      </c>
      <c r="F52" s="78">
        <f t="shared" si="18"/>
        <v>196</v>
      </c>
      <c r="G52" s="78">
        <f>IF($D$8="E-Bound",VLOOKUP($B52,'Data 15'!$A$104:$G$199,3,FALSE),IF($D$8="S-Bound",VLOOKUP($B52,'Data 15'!$H$104:$N$199,3,FALSE),IF($D$8="W-Bound",VLOOKUP($B52,'Data 15'!$O$104:$U$199,3,FALSE),VLOOKUP($B52,'Data 15'!$V$104:$AA$199,3,FALSE))))</f>
        <v>497</v>
      </c>
      <c r="H52" s="79">
        <f>IF($D$8="E-Bound",VLOOKUP($B52,'Data 15'!$A$104:$G$199,4,FALSE),IF($D$8="S-Bound",VLOOKUP($B52,'Data 15'!$H$104:$N$199,4,FALSE),IF($D$8="W-Bound",VLOOKUP($B52,'Data 15'!$O$104:$U$199,4,FALSE),VLOOKUP($B52,'Data 15'!$V$104:$AA$199,4,FALSE))))</f>
        <v>373</v>
      </c>
      <c r="I52" s="78">
        <f>'RTF 1'!$G52/'Input &amp; Findings'!$G$31</f>
        <v>248.5</v>
      </c>
      <c r="J52" s="48">
        <f>IF('RTF 1'!$D$9=1,'Lookup Tables'!$J79,IF('RTF 1'!$D$9=2,'Lookup Tables'!$K79,IF('RTF 1'!$D$9=3,'Lookup Tables'!$L79,IF('RTF 1'!$D$9=4,'Lookup Tables'!$M79,'Lookup Tables'!$N79))))</f>
        <v>60</v>
      </c>
      <c r="K52" s="79">
        <f t="shared" si="0"/>
        <v>15</v>
      </c>
      <c r="L52" s="79">
        <f t="shared" si="1"/>
        <v>45</v>
      </c>
      <c r="M52" s="78">
        <f t="shared" si="2"/>
        <v>85.25</v>
      </c>
      <c r="N52" s="78">
        <f t="shared" si="3"/>
        <v>126.25</v>
      </c>
      <c r="O52" s="78">
        <f t="shared" si="4"/>
        <v>41</v>
      </c>
      <c r="P52" s="78">
        <f t="shared" si="5"/>
        <v>0</v>
      </c>
      <c r="Q52" s="78">
        <f t="shared" si="6"/>
        <v>155</v>
      </c>
      <c r="R52" s="78">
        <f t="shared" si="7"/>
        <v>196</v>
      </c>
      <c r="S52" s="78">
        <f t="shared" si="8"/>
        <v>137.19999999999999</v>
      </c>
      <c r="T52" s="78">
        <f t="shared" si="9"/>
        <v>68.599999999999994</v>
      </c>
      <c r="U52" s="78">
        <f t="shared" si="10"/>
        <v>0</v>
      </c>
      <c r="V52" s="78">
        <f t="shared" si="11"/>
        <v>0</v>
      </c>
      <c r="W52" s="78">
        <f t="shared" si="12"/>
        <v>41</v>
      </c>
      <c r="X52" s="78">
        <f t="shared" si="13"/>
        <v>155</v>
      </c>
      <c r="Y52" s="78">
        <f t="shared" si="14"/>
        <v>465</v>
      </c>
      <c r="Z52" s="78">
        <f t="shared" si="15"/>
        <v>123</v>
      </c>
      <c r="AA52" s="78">
        <f t="shared" si="16"/>
        <v>0</v>
      </c>
      <c r="AB52" s="78">
        <f t="shared" si="17"/>
        <v>0</v>
      </c>
      <c r="AC52" s="800"/>
    </row>
    <row r="53" spans="1:29" ht="16.05" customHeight="1" x14ac:dyDescent="0.25">
      <c r="A53" s="76"/>
      <c r="B53" s="77">
        <v>0.41666666666666702</v>
      </c>
      <c r="C53" s="78">
        <f>IF($D$8="S-Bound",VLOOKUP($B53,'Data 15'!A144:G239,4,FALSE),IF($D$8="W-Bound",VLOOKUP($B53,'Data 15'!$H$104:$N$199,4,FALSE),IF($D$8="N-Bound",VLOOKUP($B53,'Data 15'!$O$104:$U$199,4,FALSE),VLOOKUP($B53,'Data 15'!$V$104:$AA$199,4,FALSE))))</f>
        <v>46</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141</v>
      </c>
      <c r="F53" s="78">
        <f t="shared" si="18"/>
        <v>187</v>
      </c>
      <c r="G53" s="78">
        <f>IF($D$8="E-Bound",VLOOKUP($B53,'Data 15'!$A$104:$G$199,3,FALSE),IF($D$8="S-Bound",VLOOKUP($B53,'Data 15'!$H$104:$N$199,3,FALSE),IF($D$8="W-Bound",VLOOKUP($B53,'Data 15'!$O$104:$U$199,3,FALSE),VLOOKUP($B53,'Data 15'!$V$104:$AA$199,3,FALSE))))</f>
        <v>497</v>
      </c>
      <c r="H53" s="79">
        <f>IF($D$8="E-Bound",VLOOKUP($B53,'Data 15'!$A$104:$G$199,4,FALSE),IF($D$8="S-Bound",VLOOKUP($B53,'Data 15'!$H$104:$N$199,4,FALSE),IF($D$8="W-Bound",VLOOKUP($B53,'Data 15'!$O$104:$U$199,4,FALSE),VLOOKUP($B53,'Data 15'!$V$104:$AA$199,4,FALSE))))</f>
        <v>356</v>
      </c>
      <c r="I53" s="78">
        <f>'RTF 1'!$G53/'Input &amp; Findings'!$G$31</f>
        <v>248.5</v>
      </c>
      <c r="J53" s="48">
        <f>IF('RTF 1'!$D$9=1,'Lookup Tables'!$J80,IF('RTF 1'!$D$9=2,'Lookup Tables'!$K80,IF('RTF 1'!$D$9=3,'Lookup Tables'!$L80,IF('RTF 1'!$D$9=4,'Lookup Tables'!$M80,'Lookup Tables'!$N80))))</f>
        <v>60</v>
      </c>
      <c r="K53" s="79">
        <f t="shared" si="0"/>
        <v>15</v>
      </c>
      <c r="L53" s="79">
        <f t="shared" si="1"/>
        <v>45</v>
      </c>
      <c r="M53" s="78">
        <f t="shared" si="2"/>
        <v>77.550000000000011</v>
      </c>
      <c r="N53" s="78">
        <f t="shared" si="3"/>
        <v>123.55000000000001</v>
      </c>
      <c r="O53" s="78">
        <f t="shared" si="4"/>
        <v>46</v>
      </c>
      <c r="P53" s="78">
        <f t="shared" si="5"/>
        <v>0</v>
      </c>
      <c r="Q53" s="78">
        <f t="shared" si="6"/>
        <v>141</v>
      </c>
      <c r="R53" s="78">
        <f t="shared" si="7"/>
        <v>187</v>
      </c>
      <c r="S53" s="78">
        <f t="shared" si="8"/>
        <v>130.9</v>
      </c>
      <c r="T53" s="78">
        <f t="shared" si="9"/>
        <v>65.45</v>
      </c>
      <c r="U53" s="78">
        <f t="shared" si="10"/>
        <v>0</v>
      </c>
      <c r="V53" s="78">
        <f t="shared" si="11"/>
        <v>0</v>
      </c>
      <c r="W53" s="78">
        <f t="shared" si="12"/>
        <v>46</v>
      </c>
      <c r="X53" s="78">
        <f t="shared" si="13"/>
        <v>141</v>
      </c>
      <c r="Y53" s="78">
        <f t="shared" si="14"/>
        <v>423</v>
      </c>
      <c r="Z53" s="78">
        <f t="shared" si="15"/>
        <v>138</v>
      </c>
      <c r="AA53" s="78">
        <f t="shared" si="16"/>
        <v>0</v>
      </c>
      <c r="AB53" s="78">
        <f t="shared" si="17"/>
        <v>0</v>
      </c>
      <c r="AC53" s="800"/>
    </row>
    <row r="54" spans="1:29" ht="16.05" customHeight="1" x14ac:dyDescent="0.25">
      <c r="A54" s="76"/>
      <c r="B54" s="77">
        <v>0.42708333333333298</v>
      </c>
      <c r="C54" s="78">
        <f>IF($D$8="S-Bound",VLOOKUP($B54,'Data 15'!A145:G240,4,FALSE),IF($D$8="W-Bound",VLOOKUP($B54,'Data 15'!$H$104:$N$199,4,FALSE),IF($D$8="N-Bound",VLOOKUP($B54,'Data 15'!$O$104:$U$199,4,FALSE),VLOOKUP($B54,'Data 15'!$V$104:$AA$199,4,FALSE))))</f>
        <v>45</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144</v>
      </c>
      <c r="F54" s="78">
        <f t="shared" si="18"/>
        <v>189</v>
      </c>
      <c r="G54" s="78">
        <f>IF($D$8="E-Bound",VLOOKUP($B54,'Data 15'!$A$104:$G$199,3,FALSE),IF($D$8="S-Bound",VLOOKUP($B54,'Data 15'!$H$104:$N$199,3,FALSE),IF($D$8="W-Bound",VLOOKUP($B54,'Data 15'!$O$104:$U$199,3,FALSE),VLOOKUP($B54,'Data 15'!$V$104:$AA$199,3,FALSE))))</f>
        <v>528</v>
      </c>
      <c r="H54" s="79">
        <f>IF($D$8="E-Bound",VLOOKUP($B54,'Data 15'!$A$104:$G$199,4,FALSE),IF($D$8="S-Bound",VLOOKUP($B54,'Data 15'!$H$104:$N$199,4,FALSE),IF($D$8="W-Bound",VLOOKUP($B54,'Data 15'!$O$104:$U$199,4,FALSE),VLOOKUP($B54,'Data 15'!$V$104:$AA$199,4,FALSE))))</f>
        <v>337</v>
      </c>
      <c r="I54" s="78">
        <f>'RTF 1'!$G54/'Input &amp; Findings'!$G$31</f>
        <v>264</v>
      </c>
      <c r="J54" s="48">
        <f>IF('RTF 1'!$D$9=1,'Lookup Tables'!$J81,IF('RTF 1'!$D$9=2,'Lookup Tables'!$K81,IF('RTF 1'!$D$9=3,'Lookup Tables'!$L81,IF('RTF 1'!$D$9=4,'Lookup Tables'!$M81,'Lookup Tables'!$N81))))</f>
        <v>60</v>
      </c>
      <c r="K54" s="79">
        <f t="shared" si="0"/>
        <v>15</v>
      </c>
      <c r="L54" s="79">
        <f t="shared" si="1"/>
        <v>45</v>
      </c>
      <c r="M54" s="78">
        <f t="shared" si="2"/>
        <v>79.2</v>
      </c>
      <c r="N54" s="78">
        <f t="shared" si="3"/>
        <v>124.2</v>
      </c>
      <c r="O54" s="78">
        <f t="shared" si="4"/>
        <v>45</v>
      </c>
      <c r="P54" s="78">
        <f t="shared" si="5"/>
        <v>0</v>
      </c>
      <c r="Q54" s="78">
        <f t="shared" si="6"/>
        <v>144</v>
      </c>
      <c r="R54" s="78">
        <f t="shared" si="7"/>
        <v>189</v>
      </c>
      <c r="S54" s="78">
        <f t="shared" si="8"/>
        <v>132.29999999999998</v>
      </c>
      <c r="T54" s="78">
        <f t="shared" si="9"/>
        <v>66.149999999999991</v>
      </c>
      <c r="U54" s="78">
        <f t="shared" si="10"/>
        <v>0</v>
      </c>
      <c r="V54" s="78">
        <f t="shared" si="11"/>
        <v>0</v>
      </c>
      <c r="W54" s="78">
        <f t="shared" si="12"/>
        <v>45</v>
      </c>
      <c r="X54" s="78">
        <f t="shared" si="13"/>
        <v>144</v>
      </c>
      <c r="Y54" s="78">
        <f t="shared" si="14"/>
        <v>432</v>
      </c>
      <c r="Z54" s="78">
        <f t="shared" si="15"/>
        <v>135</v>
      </c>
      <c r="AA54" s="78">
        <f t="shared" si="16"/>
        <v>0</v>
      </c>
      <c r="AB54" s="78">
        <f t="shared" si="17"/>
        <v>0</v>
      </c>
      <c r="AC54" s="800"/>
    </row>
    <row r="55" spans="1:29" ht="16.05" customHeight="1" x14ac:dyDescent="0.25">
      <c r="A55" s="76"/>
      <c r="B55" s="77">
        <v>0.4375</v>
      </c>
      <c r="C55" s="78">
        <f>IF($D$8="S-Bound",VLOOKUP($B55,'Data 15'!A146:G241,4,FALSE),IF($D$8="W-Bound",VLOOKUP($B55,'Data 15'!$H$104:$N$199,4,FALSE),IF($D$8="N-Bound",VLOOKUP($B55,'Data 15'!$O$104:$U$199,4,FALSE),VLOOKUP($B55,'Data 15'!$V$104:$AA$199,4,FALSE))))</f>
        <v>55</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141</v>
      </c>
      <c r="F55" s="78">
        <f t="shared" si="18"/>
        <v>196</v>
      </c>
      <c r="G55" s="78">
        <f>IF($D$8="E-Bound",VLOOKUP($B55,'Data 15'!$A$104:$G$199,3,FALSE),IF($D$8="S-Bound",VLOOKUP($B55,'Data 15'!$H$104:$N$199,3,FALSE),IF($D$8="W-Bound",VLOOKUP($B55,'Data 15'!$O$104:$U$199,3,FALSE),VLOOKUP($B55,'Data 15'!$V$104:$AA$199,3,FALSE))))</f>
        <v>533</v>
      </c>
      <c r="H55" s="79">
        <f>IF($D$8="E-Bound",VLOOKUP($B55,'Data 15'!$A$104:$G$199,4,FALSE),IF($D$8="S-Bound",VLOOKUP($B55,'Data 15'!$H$104:$N$199,4,FALSE),IF($D$8="W-Bound",VLOOKUP($B55,'Data 15'!$O$104:$U$199,4,FALSE),VLOOKUP($B55,'Data 15'!$V$104:$AA$199,4,FALSE))))</f>
        <v>339</v>
      </c>
      <c r="I55" s="78">
        <f>'RTF 1'!$G55/'Input &amp; Findings'!$G$31</f>
        <v>266.5</v>
      </c>
      <c r="J55" s="48">
        <f>IF('RTF 1'!$D$9=1,'Lookup Tables'!$J82,IF('RTF 1'!$D$9=2,'Lookup Tables'!$K82,IF('RTF 1'!$D$9=3,'Lookup Tables'!$L82,IF('RTF 1'!$D$9=4,'Lookup Tables'!$M82,'Lookup Tables'!$N82))))</f>
        <v>60</v>
      </c>
      <c r="K55" s="79">
        <f t="shared" si="0"/>
        <v>15</v>
      </c>
      <c r="L55" s="79">
        <f t="shared" si="1"/>
        <v>45</v>
      </c>
      <c r="M55" s="78">
        <f t="shared" si="2"/>
        <v>77.550000000000011</v>
      </c>
      <c r="N55" s="78">
        <f t="shared" si="3"/>
        <v>132.55000000000001</v>
      </c>
      <c r="O55" s="78">
        <f t="shared" si="4"/>
        <v>55</v>
      </c>
      <c r="P55" s="78">
        <f t="shared" si="5"/>
        <v>0</v>
      </c>
      <c r="Q55" s="78">
        <f t="shared" si="6"/>
        <v>141</v>
      </c>
      <c r="R55" s="78">
        <f t="shared" si="7"/>
        <v>196</v>
      </c>
      <c r="S55" s="78">
        <f t="shared" si="8"/>
        <v>137.19999999999999</v>
      </c>
      <c r="T55" s="78">
        <f t="shared" si="9"/>
        <v>68.599999999999994</v>
      </c>
      <c r="U55" s="78">
        <f t="shared" si="10"/>
        <v>0</v>
      </c>
      <c r="V55" s="78">
        <f t="shared" si="11"/>
        <v>0</v>
      </c>
      <c r="W55" s="78">
        <f t="shared" si="12"/>
        <v>55</v>
      </c>
      <c r="X55" s="78">
        <f t="shared" si="13"/>
        <v>141</v>
      </c>
      <c r="Y55" s="78">
        <f t="shared" si="14"/>
        <v>423</v>
      </c>
      <c r="Z55" s="78">
        <f t="shared" si="15"/>
        <v>165</v>
      </c>
      <c r="AA55" s="78">
        <f t="shared" si="16"/>
        <v>0</v>
      </c>
      <c r="AB55" s="78">
        <f t="shared" si="17"/>
        <v>0</v>
      </c>
      <c r="AC55" s="800"/>
    </row>
    <row r="56" spans="1:29" ht="16.05" customHeight="1" x14ac:dyDescent="0.25">
      <c r="A56" s="76"/>
      <c r="B56" s="77">
        <v>0.44791666666666702</v>
      </c>
      <c r="C56" s="78">
        <f>IF($D$8="S-Bound",VLOOKUP($B56,'Data 15'!A147:G242,4,FALSE),IF($D$8="W-Bound",VLOOKUP($B56,'Data 15'!$H$104:$N$199,4,FALSE),IF($D$8="N-Bound",VLOOKUP($B56,'Data 15'!$O$104:$U$199,4,FALSE),VLOOKUP($B56,'Data 15'!$V$104:$AA$199,4,FALSE))))</f>
        <v>56</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145</v>
      </c>
      <c r="F56" s="78">
        <f t="shared" si="18"/>
        <v>201</v>
      </c>
      <c r="G56" s="78">
        <f>IF($D$8="E-Bound",VLOOKUP($B56,'Data 15'!$A$104:$G$199,3,FALSE),IF($D$8="S-Bound",VLOOKUP($B56,'Data 15'!$H$104:$N$199,3,FALSE),IF($D$8="W-Bound",VLOOKUP($B56,'Data 15'!$O$104:$U$199,3,FALSE),VLOOKUP($B56,'Data 15'!$V$104:$AA$199,3,FALSE))))</f>
        <v>567</v>
      </c>
      <c r="H56" s="79">
        <f>IF($D$8="E-Bound",VLOOKUP($B56,'Data 15'!$A$104:$G$199,4,FALSE),IF($D$8="S-Bound",VLOOKUP($B56,'Data 15'!$H$104:$N$199,4,FALSE),IF($D$8="W-Bound",VLOOKUP($B56,'Data 15'!$O$104:$U$199,4,FALSE),VLOOKUP($B56,'Data 15'!$V$104:$AA$199,4,FALSE))))</f>
        <v>335</v>
      </c>
      <c r="I56" s="78">
        <f>'RTF 1'!$G56/'Input &amp; Findings'!$G$31</f>
        <v>283.5</v>
      </c>
      <c r="J56" s="48">
        <f>IF('RTF 1'!$D$9=1,'Lookup Tables'!$J83,IF('RTF 1'!$D$9=2,'Lookup Tables'!$K83,IF('RTF 1'!$D$9=3,'Lookup Tables'!$L83,IF('RTF 1'!$D$9=4,'Lookup Tables'!$M83,'Lookup Tables'!$N83))))</f>
        <v>60</v>
      </c>
      <c r="K56" s="79">
        <f t="shared" si="0"/>
        <v>15</v>
      </c>
      <c r="L56" s="79">
        <f t="shared" si="1"/>
        <v>45</v>
      </c>
      <c r="M56" s="78">
        <f t="shared" si="2"/>
        <v>79.75</v>
      </c>
      <c r="N56" s="78">
        <f t="shared" si="3"/>
        <v>135.75</v>
      </c>
      <c r="O56" s="78">
        <f t="shared" si="4"/>
        <v>56</v>
      </c>
      <c r="P56" s="78">
        <f t="shared" si="5"/>
        <v>0</v>
      </c>
      <c r="Q56" s="78">
        <f t="shared" si="6"/>
        <v>145</v>
      </c>
      <c r="R56" s="78">
        <f t="shared" si="7"/>
        <v>201</v>
      </c>
      <c r="S56" s="78">
        <f t="shared" si="8"/>
        <v>140.69999999999999</v>
      </c>
      <c r="T56" s="78">
        <f t="shared" si="9"/>
        <v>70.349999999999994</v>
      </c>
      <c r="U56" s="78">
        <f t="shared" si="10"/>
        <v>0</v>
      </c>
      <c r="V56" s="78">
        <f t="shared" si="11"/>
        <v>0</v>
      </c>
      <c r="W56" s="78">
        <f t="shared" si="12"/>
        <v>56</v>
      </c>
      <c r="X56" s="78">
        <f t="shared" si="13"/>
        <v>145</v>
      </c>
      <c r="Y56" s="78">
        <f t="shared" si="14"/>
        <v>435</v>
      </c>
      <c r="Z56" s="78">
        <f t="shared" si="15"/>
        <v>168</v>
      </c>
      <c r="AA56" s="78">
        <f t="shared" si="16"/>
        <v>0</v>
      </c>
      <c r="AB56" s="78">
        <f t="shared" si="17"/>
        <v>0</v>
      </c>
      <c r="AC56" s="800"/>
    </row>
    <row r="57" spans="1:29" ht="16.05" customHeight="1" x14ac:dyDescent="0.25">
      <c r="A57" s="76"/>
      <c r="B57" s="77">
        <v>0.45833333333333298</v>
      </c>
      <c r="C57" s="78">
        <f>IF($D$8="S-Bound",VLOOKUP($B57,'Data 15'!A148:G243,4,FALSE),IF($D$8="W-Bound",VLOOKUP($B57,'Data 15'!$H$104:$N$199,4,FALSE),IF($D$8="N-Bound",VLOOKUP($B57,'Data 15'!$O$104:$U$199,4,FALSE),VLOOKUP($B57,'Data 15'!$V$104:$AA$199,4,FALSE))))</f>
        <v>50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164</v>
      </c>
      <c r="F57" s="78">
        <f t="shared" si="18"/>
        <v>214</v>
      </c>
      <c r="G57" s="78">
        <f>IF($D$8="E-Bound",VLOOKUP($B57,'Data 15'!$A$104:$G$199,3,FALSE),IF($D$8="S-Bound",VLOOKUP($B57,'Data 15'!$H$104:$N$199,3,FALSE),IF($D$8="W-Bound",VLOOKUP($B57,'Data 15'!$O$104:$U$199,3,FALSE),VLOOKUP($B57,'Data 15'!$V$104:$AA$199,3,FALSE))))</f>
        <v>585</v>
      </c>
      <c r="H57" s="79">
        <f>IF($D$8="E-Bound",VLOOKUP($B57,'Data 15'!$A$104:$G$199,4,FALSE),IF($D$8="S-Bound",VLOOKUP($B57,'Data 15'!$H$104:$N$199,4,FALSE),IF($D$8="W-Bound",VLOOKUP($B57,'Data 15'!$O$104:$U$199,4,FALSE),VLOOKUP($B57,'Data 15'!$V$104:$AA$199,4,FALSE))))</f>
        <v>363</v>
      </c>
      <c r="I57" s="78">
        <f>'RTF 1'!$G57/'Input &amp; Findings'!$G$31</f>
        <v>292.5</v>
      </c>
      <c r="J57" s="48">
        <f>IF('RTF 1'!$D$9=1,'Lookup Tables'!$J84,IF('RTF 1'!$D$9=2,'Lookup Tables'!$K84,IF('RTF 1'!$D$9=3,'Lookup Tables'!$L84,IF('RTF 1'!$D$9=4,'Lookup Tables'!$M84,'Lookup Tables'!$N84))))</f>
        <v>60</v>
      </c>
      <c r="K57" s="79">
        <f t="shared" si="0"/>
        <v>15</v>
      </c>
      <c r="L57" s="79">
        <f t="shared" si="1"/>
        <v>45</v>
      </c>
      <c r="M57" s="78">
        <f t="shared" si="2"/>
        <v>90.2</v>
      </c>
      <c r="N57" s="78">
        <f t="shared" si="3"/>
        <v>140.19999999999999</v>
      </c>
      <c r="O57" s="78">
        <f t="shared" si="4"/>
        <v>50</v>
      </c>
      <c r="P57" s="78">
        <f t="shared" si="5"/>
        <v>0</v>
      </c>
      <c r="Q57" s="78">
        <f t="shared" si="6"/>
        <v>164</v>
      </c>
      <c r="R57" s="78">
        <f t="shared" si="7"/>
        <v>214</v>
      </c>
      <c r="S57" s="78">
        <f t="shared" si="8"/>
        <v>149.79999999999998</v>
      </c>
      <c r="T57" s="78">
        <f t="shared" si="9"/>
        <v>74.899999999999991</v>
      </c>
      <c r="U57" s="78">
        <f t="shared" si="10"/>
        <v>0</v>
      </c>
      <c r="V57" s="78">
        <f t="shared" si="11"/>
        <v>0</v>
      </c>
      <c r="W57" s="78">
        <f t="shared" si="12"/>
        <v>50</v>
      </c>
      <c r="X57" s="78">
        <f t="shared" si="13"/>
        <v>164</v>
      </c>
      <c r="Y57" s="78">
        <f t="shared" si="14"/>
        <v>492</v>
      </c>
      <c r="Z57" s="78">
        <f t="shared" si="15"/>
        <v>150</v>
      </c>
      <c r="AA57" s="78">
        <f t="shared" si="16"/>
        <v>0</v>
      </c>
      <c r="AB57" s="78">
        <f t="shared" si="17"/>
        <v>0</v>
      </c>
      <c r="AC57" s="800"/>
    </row>
    <row r="58" spans="1:29" ht="16.05" customHeight="1" x14ac:dyDescent="0.25">
      <c r="A58" s="76"/>
      <c r="B58" s="77">
        <v>0.46875</v>
      </c>
      <c r="C58" s="78">
        <f>IF($D$8="S-Bound",VLOOKUP($B58,'Data 15'!A149:G244,4,FALSE),IF($D$8="W-Bound",VLOOKUP($B58,'Data 15'!$H$104:$N$199,4,FALSE),IF($D$8="N-Bound",VLOOKUP($B58,'Data 15'!$O$104:$U$199,4,FALSE),VLOOKUP($B58,'Data 15'!$V$104:$AA$199,4,FALSE))))</f>
        <v>56</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152</v>
      </c>
      <c r="F58" s="78">
        <f t="shared" si="18"/>
        <v>208</v>
      </c>
      <c r="G58" s="78">
        <f>IF($D$8="E-Bound",VLOOKUP($B58,'Data 15'!$A$104:$G$199,3,FALSE),IF($D$8="S-Bound",VLOOKUP($B58,'Data 15'!$H$104:$N$199,3,FALSE),IF($D$8="W-Bound",VLOOKUP($B58,'Data 15'!$O$104:$U$199,3,FALSE),VLOOKUP($B58,'Data 15'!$V$104:$AA$199,3,FALSE))))</f>
        <v>580</v>
      </c>
      <c r="H58" s="79">
        <f>IF($D$8="E-Bound",VLOOKUP($B58,'Data 15'!$A$104:$G$199,4,FALSE),IF($D$8="S-Bound",VLOOKUP($B58,'Data 15'!$H$104:$N$199,4,FALSE),IF($D$8="W-Bound",VLOOKUP($B58,'Data 15'!$O$104:$U$199,4,FALSE),VLOOKUP($B58,'Data 15'!$V$104:$AA$199,4,FALSE))))</f>
        <v>350</v>
      </c>
      <c r="I58" s="78">
        <f>'RTF 1'!$G58/'Input &amp; Findings'!$G$31</f>
        <v>290</v>
      </c>
      <c r="J58" s="48">
        <f>IF('RTF 1'!$D$9=1,'Lookup Tables'!$J85,IF('RTF 1'!$D$9=2,'Lookup Tables'!$K85,IF('RTF 1'!$D$9=3,'Lookup Tables'!$L85,IF('RTF 1'!$D$9=4,'Lookup Tables'!$M85,'Lookup Tables'!$N85))))</f>
        <v>60</v>
      </c>
      <c r="K58" s="79">
        <f t="shared" si="0"/>
        <v>15</v>
      </c>
      <c r="L58" s="79">
        <f t="shared" si="1"/>
        <v>45</v>
      </c>
      <c r="M58" s="78">
        <f t="shared" si="2"/>
        <v>83.600000000000009</v>
      </c>
      <c r="N58" s="78">
        <f t="shared" si="3"/>
        <v>139.60000000000002</v>
      </c>
      <c r="O58" s="78">
        <f t="shared" si="4"/>
        <v>56</v>
      </c>
      <c r="P58" s="78">
        <f t="shared" si="5"/>
        <v>0</v>
      </c>
      <c r="Q58" s="78">
        <f t="shared" si="6"/>
        <v>152</v>
      </c>
      <c r="R58" s="78">
        <f t="shared" si="7"/>
        <v>208</v>
      </c>
      <c r="S58" s="78">
        <f t="shared" si="8"/>
        <v>145.6</v>
      </c>
      <c r="T58" s="78">
        <f t="shared" si="9"/>
        <v>72.8</v>
      </c>
      <c r="U58" s="78">
        <f t="shared" si="10"/>
        <v>0</v>
      </c>
      <c r="V58" s="78">
        <f t="shared" si="11"/>
        <v>0</v>
      </c>
      <c r="W58" s="78">
        <f t="shared" si="12"/>
        <v>56</v>
      </c>
      <c r="X58" s="78">
        <f t="shared" si="13"/>
        <v>152</v>
      </c>
      <c r="Y58" s="78">
        <f t="shared" si="14"/>
        <v>456</v>
      </c>
      <c r="Z58" s="78">
        <f t="shared" si="15"/>
        <v>168</v>
      </c>
      <c r="AA58" s="78">
        <f t="shared" si="16"/>
        <v>0</v>
      </c>
      <c r="AB58" s="78">
        <f t="shared" si="17"/>
        <v>0</v>
      </c>
      <c r="AC58" s="800"/>
    </row>
    <row r="59" spans="1:29" ht="16.05" customHeight="1" x14ac:dyDescent="0.25">
      <c r="A59" s="76"/>
      <c r="B59" s="77">
        <v>0.47916666666666702</v>
      </c>
      <c r="C59" s="78">
        <f>IF($D$8="S-Bound",VLOOKUP($B59,'Data 15'!A150:G245,4,FALSE),IF($D$8="W-Bound",VLOOKUP($B59,'Data 15'!$H$104:$N$199,4,FALSE),IF($D$8="N-Bound",VLOOKUP($B59,'Data 15'!$O$104:$U$199,4,FALSE),VLOOKUP($B59,'Data 15'!$V$104:$AA$199,4,FALSE))))</f>
        <v>46</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148</v>
      </c>
      <c r="F59" s="78">
        <f t="shared" si="18"/>
        <v>194</v>
      </c>
      <c r="G59" s="78">
        <f>IF($D$8="E-Bound",VLOOKUP($B59,'Data 15'!$A$104:$G$199,3,FALSE),IF($D$8="S-Bound",VLOOKUP($B59,'Data 15'!$H$104:$N$199,3,FALSE),IF($D$8="W-Bound",VLOOKUP($B59,'Data 15'!$O$104:$U$199,3,FALSE),VLOOKUP($B59,'Data 15'!$V$104:$AA$199,3,FALSE))))</f>
        <v>596</v>
      </c>
      <c r="H59" s="79">
        <f>IF($D$8="E-Bound",VLOOKUP($B59,'Data 15'!$A$104:$G$199,4,FALSE),IF($D$8="S-Bound",VLOOKUP($B59,'Data 15'!$H$104:$N$199,4,FALSE),IF($D$8="W-Bound",VLOOKUP($B59,'Data 15'!$O$104:$U$199,4,FALSE),VLOOKUP($B59,'Data 15'!$V$104:$AA$199,4,FALSE))))</f>
        <v>348</v>
      </c>
      <c r="I59" s="78">
        <f>'RTF 1'!$G59/'Input &amp; Findings'!$G$31</f>
        <v>298</v>
      </c>
      <c r="J59" s="48">
        <f>IF('RTF 1'!$D$9=1,'Lookup Tables'!$J86,IF('RTF 1'!$D$9=2,'Lookup Tables'!$K86,IF('RTF 1'!$D$9=3,'Lookup Tables'!$L86,IF('RTF 1'!$D$9=4,'Lookup Tables'!$M86,'Lookup Tables'!$N86))))</f>
        <v>60</v>
      </c>
      <c r="K59" s="79">
        <f t="shared" si="0"/>
        <v>15</v>
      </c>
      <c r="L59" s="79">
        <f t="shared" si="1"/>
        <v>45</v>
      </c>
      <c r="M59" s="78">
        <f t="shared" si="2"/>
        <v>81.400000000000006</v>
      </c>
      <c r="N59" s="78">
        <f t="shared" si="3"/>
        <v>127.4</v>
      </c>
      <c r="O59" s="78">
        <f t="shared" si="4"/>
        <v>46</v>
      </c>
      <c r="P59" s="78">
        <f t="shared" si="5"/>
        <v>0</v>
      </c>
      <c r="Q59" s="78">
        <f t="shared" si="6"/>
        <v>148</v>
      </c>
      <c r="R59" s="78">
        <f t="shared" si="7"/>
        <v>194</v>
      </c>
      <c r="S59" s="78">
        <f t="shared" si="8"/>
        <v>135.79999999999998</v>
      </c>
      <c r="T59" s="78">
        <f t="shared" si="9"/>
        <v>67.899999999999991</v>
      </c>
      <c r="U59" s="78">
        <f t="shared" si="10"/>
        <v>0</v>
      </c>
      <c r="V59" s="78">
        <f t="shared" si="11"/>
        <v>0</v>
      </c>
      <c r="W59" s="78">
        <f t="shared" si="12"/>
        <v>46</v>
      </c>
      <c r="X59" s="78">
        <f t="shared" si="13"/>
        <v>148</v>
      </c>
      <c r="Y59" s="78">
        <f t="shared" si="14"/>
        <v>444</v>
      </c>
      <c r="Z59" s="78">
        <f t="shared" si="15"/>
        <v>138</v>
      </c>
      <c r="AA59" s="78">
        <f t="shared" si="16"/>
        <v>0</v>
      </c>
      <c r="AB59" s="78">
        <f t="shared" si="17"/>
        <v>0</v>
      </c>
      <c r="AC59" s="800"/>
    </row>
    <row r="60" spans="1:29" ht="16.05" customHeight="1" x14ac:dyDescent="0.25">
      <c r="A60" s="76"/>
      <c r="B60" s="77">
        <v>0.48958333333333298</v>
      </c>
      <c r="C60" s="78">
        <f>IF($D$8="S-Bound",VLOOKUP($B60,'Data 15'!A151:G246,4,FALSE),IF($D$8="W-Bound",VLOOKUP($B60,'Data 15'!$H$104:$N$199,4,FALSE),IF($D$8="N-Bound",VLOOKUP($B60,'Data 15'!$O$104:$U$199,4,FALSE),VLOOKUP($B60,'Data 15'!$V$104:$AA$199,4,FALSE))))</f>
        <v>43</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146</v>
      </c>
      <c r="F60" s="78">
        <f t="shared" si="18"/>
        <v>189</v>
      </c>
      <c r="G60" s="78">
        <f>IF($D$8="E-Bound",VLOOKUP($B60,'Data 15'!$A$104:$G$199,3,FALSE),IF($D$8="S-Bound",VLOOKUP($B60,'Data 15'!$H$104:$N$199,3,FALSE),IF($D$8="W-Bound",VLOOKUP($B60,'Data 15'!$O$104:$U$199,3,FALSE),VLOOKUP($B60,'Data 15'!$V$104:$AA$199,3,FALSE))))</f>
        <v>593</v>
      </c>
      <c r="H60" s="79">
        <f>IF($D$8="E-Bound",VLOOKUP($B60,'Data 15'!$A$104:$G$199,4,FALSE),IF($D$8="S-Bound",VLOOKUP($B60,'Data 15'!$H$104:$N$199,4,FALSE),IF($D$8="W-Bound",VLOOKUP($B60,'Data 15'!$O$104:$U$199,4,FALSE),VLOOKUP($B60,'Data 15'!$V$104:$AA$199,4,FALSE))))</f>
        <v>343</v>
      </c>
      <c r="I60" s="78">
        <f>'RTF 1'!$G60/'Input &amp; Findings'!$G$31</f>
        <v>296.5</v>
      </c>
      <c r="J60" s="48">
        <f>IF('RTF 1'!$D$9=1,'Lookup Tables'!$J87,IF('RTF 1'!$D$9=2,'Lookup Tables'!$K87,IF('RTF 1'!$D$9=3,'Lookup Tables'!$L87,IF('RTF 1'!$D$9=4,'Lookup Tables'!$M87,'Lookup Tables'!$N87))))</f>
        <v>60</v>
      </c>
      <c r="K60" s="79">
        <f t="shared" si="0"/>
        <v>15</v>
      </c>
      <c r="L60" s="79">
        <f t="shared" si="1"/>
        <v>45</v>
      </c>
      <c r="M60" s="78">
        <f t="shared" si="2"/>
        <v>80.300000000000011</v>
      </c>
      <c r="N60" s="78">
        <f t="shared" si="3"/>
        <v>123.30000000000001</v>
      </c>
      <c r="O60" s="78">
        <f t="shared" si="4"/>
        <v>43</v>
      </c>
      <c r="P60" s="78">
        <f t="shared" si="5"/>
        <v>0</v>
      </c>
      <c r="Q60" s="78">
        <f t="shared" si="6"/>
        <v>146</v>
      </c>
      <c r="R60" s="78">
        <f t="shared" si="7"/>
        <v>189</v>
      </c>
      <c r="S60" s="78">
        <f t="shared" si="8"/>
        <v>132.29999999999998</v>
      </c>
      <c r="T60" s="78">
        <f t="shared" si="9"/>
        <v>66.149999999999991</v>
      </c>
      <c r="U60" s="78">
        <f t="shared" si="10"/>
        <v>0</v>
      </c>
      <c r="V60" s="78">
        <f t="shared" si="11"/>
        <v>0</v>
      </c>
      <c r="W60" s="78">
        <f t="shared" si="12"/>
        <v>43</v>
      </c>
      <c r="X60" s="78">
        <f t="shared" si="13"/>
        <v>146</v>
      </c>
      <c r="Y60" s="78">
        <f t="shared" si="14"/>
        <v>438</v>
      </c>
      <c r="Z60" s="78">
        <f t="shared" si="15"/>
        <v>129</v>
      </c>
      <c r="AA60" s="78">
        <f t="shared" si="16"/>
        <v>0</v>
      </c>
      <c r="AB60" s="78">
        <f t="shared" si="17"/>
        <v>0</v>
      </c>
      <c r="AC60" s="800"/>
    </row>
    <row r="61" spans="1:29" ht="16.05" customHeight="1" x14ac:dyDescent="0.25">
      <c r="A61" s="76"/>
      <c r="B61" s="77">
        <v>0.5</v>
      </c>
      <c r="C61" s="78">
        <f>IF($D$8="S-Bound",VLOOKUP($B61,'Data 15'!A152:G247,4,FALSE),IF($D$8="W-Bound",VLOOKUP($B61,'Data 15'!$H$104:$N$199,4,FALSE),IF($D$8="N-Bound",VLOOKUP($B61,'Data 15'!$O$104:$U$199,4,FALSE),VLOOKUP($B61,'Data 15'!$V$104:$AA$199,4,FALSE))))</f>
        <v>44</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137</v>
      </c>
      <c r="F61" s="78">
        <f t="shared" si="18"/>
        <v>181</v>
      </c>
      <c r="G61" s="78">
        <f>IF($D$8="E-Bound",VLOOKUP($B61,'Data 15'!$A$104:$G$199,3,FALSE),IF($D$8="S-Bound",VLOOKUP($B61,'Data 15'!$H$104:$N$199,3,FALSE),IF($D$8="W-Bound",VLOOKUP($B61,'Data 15'!$O$104:$U$199,3,FALSE),VLOOKUP($B61,'Data 15'!$V$104:$AA$199,3,FALSE))))</f>
        <v>604</v>
      </c>
      <c r="H61" s="79">
        <f>IF($D$8="E-Bound",VLOOKUP($B61,'Data 15'!$A$104:$G$199,4,FALSE),IF($D$8="S-Bound",VLOOKUP($B61,'Data 15'!$H$104:$N$199,4,FALSE),IF($D$8="W-Bound",VLOOKUP($B61,'Data 15'!$O$104:$U$199,4,FALSE),VLOOKUP($B61,'Data 15'!$V$104:$AA$199,4,FALSE))))</f>
        <v>330</v>
      </c>
      <c r="I61" s="78">
        <f>'RTF 1'!$G61/'Input &amp; Findings'!$G$31</f>
        <v>302</v>
      </c>
      <c r="J61" s="48">
        <f>IF('RTF 1'!$D$9=1,'Lookup Tables'!$J88,IF('RTF 1'!$D$9=2,'Lookup Tables'!$K88,IF('RTF 1'!$D$9=3,'Lookup Tables'!$L88,IF('RTF 1'!$D$9=4,'Lookup Tables'!$M88,'Lookup Tables'!$N88))))</f>
        <v>60</v>
      </c>
      <c r="K61" s="79">
        <f t="shared" si="0"/>
        <v>15</v>
      </c>
      <c r="L61" s="79">
        <f t="shared" si="1"/>
        <v>45</v>
      </c>
      <c r="M61" s="78">
        <f t="shared" si="2"/>
        <v>75.350000000000009</v>
      </c>
      <c r="N61" s="78">
        <f t="shared" si="3"/>
        <v>119.35000000000001</v>
      </c>
      <c r="O61" s="78">
        <f t="shared" si="4"/>
        <v>44</v>
      </c>
      <c r="P61" s="78">
        <f t="shared" si="5"/>
        <v>0</v>
      </c>
      <c r="Q61" s="78">
        <f t="shared" si="6"/>
        <v>137</v>
      </c>
      <c r="R61" s="78">
        <f t="shared" si="7"/>
        <v>181</v>
      </c>
      <c r="S61" s="78">
        <f t="shared" si="8"/>
        <v>126.69999999999999</v>
      </c>
      <c r="T61" s="78">
        <f t="shared" si="9"/>
        <v>63.349999999999994</v>
      </c>
      <c r="U61" s="78">
        <f t="shared" si="10"/>
        <v>0</v>
      </c>
      <c r="V61" s="78">
        <f t="shared" si="11"/>
        <v>0</v>
      </c>
      <c r="W61" s="78">
        <f t="shared" si="12"/>
        <v>44</v>
      </c>
      <c r="X61" s="78">
        <f t="shared" si="13"/>
        <v>137</v>
      </c>
      <c r="Y61" s="78">
        <f t="shared" si="14"/>
        <v>411</v>
      </c>
      <c r="Z61" s="78">
        <f t="shared" si="15"/>
        <v>132</v>
      </c>
      <c r="AA61" s="78">
        <f t="shared" si="16"/>
        <v>0</v>
      </c>
      <c r="AB61" s="78">
        <f t="shared" si="17"/>
        <v>0</v>
      </c>
      <c r="AC61" s="800"/>
    </row>
    <row r="62" spans="1:29" ht="16.05" customHeight="1" x14ac:dyDescent="0.25">
      <c r="A62" s="76"/>
      <c r="B62" s="77">
        <v>0.51041666666666696</v>
      </c>
      <c r="C62" s="78">
        <f>IF($D$8="S-Bound",VLOOKUP($B62,'Data 15'!A153:G248,4,FALSE),IF($D$8="W-Bound",VLOOKUP($B62,'Data 15'!$H$104:$N$199,4,FALSE),IF($D$8="N-Bound",VLOOKUP($B62,'Data 15'!$O$104:$U$199,4,FALSE),VLOOKUP($B62,'Data 15'!$V$104:$AA$199,4,FALSE))))</f>
        <v>37</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149</v>
      </c>
      <c r="F62" s="78">
        <f t="shared" si="18"/>
        <v>186</v>
      </c>
      <c r="G62" s="78">
        <f>IF($D$8="E-Bound",VLOOKUP($B62,'Data 15'!$A$104:$G$199,3,FALSE),IF($D$8="S-Bound",VLOOKUP($B62,'Data 15'!$H$104:$N$199,3,FALSE),IF($D$8="W-Bound",VLOOKUP($B62,'Data 15'!$O$104:$U$199,3,FALSE),VLOOKUP($B62,'Data 15'!$V$104:$AA$199,3,FALSE))))</f>
        <v>592</v>
      </c>
      <c r="H62" s="79">
        <f>IF($D$8="E-Bound",VLOOKUP($B62,'Data 15'!$A$104:$G$199,4,FALSE),IF($D$8="S-Bound",VLOOKUP($B62,'Data 15'!$H$104:$N$199,4,FALSE),IF($D$8="W-Bound",VLOOKUP($B62,'Data 15'!$O$104:$U$199,4,FALSE),VLOOKUP($B62,'Data 15'!$V$104:$AA$199,4,FALSE))))</f>
        <v>337</v>
      </c>
      <c r="I62" s="78">
        <f>'RTF 1'!$G62/'Input &amp; Findings'!$G$31</f>
        <v>296</v>
      </c>
      <c r="J62" s="48">
        <f>IF('RTF 1'!$D$9=1,'Lookup Tables'!$J89,IF('RTF 1'!$D$9=2,'Lookup Tables'!$K89,IF('RTF 1'!$D$9=3,'Lookup Tables'!$L89,IF('RTF 1'!$D$9=4,'Lookup Tables'!$M89,'Lookup Tables'!$N89))))</f>
        <v>60</v>
      </c>
      <c r="K62" s="79">
        <f t="shared" si="0"/>
        <v>15</v>
      </c>
      <c r="L62" s="79">
        <f t="shared" si="1"/>
        <v>45</v>
      </c>
      <c r="M62" s="78">
        <f t="shared" si="2"/>
        <v>81.95</v>
      </c>
      <c r="N62" s="78">
        <f t="shared" si="3"/>
        <v>118.95</v>
      </c>
      <c r="O62" s="78">
        <f t="shared" si="4"/>
        <v>37</v>
      </c>
      <c r="P62" s="78">
        <f t="shared" si="5"/>
        <v>0</v>
      </c>
      <c r="Q62" s="78">
        <f t="shared" si="6"/>
        <v>149</v>
      </c>
      <c r="R62" s="78">
        <f t="shared" si="7"/>
        <v>186</v>
      </c>
      <c r="S62" s="78">
        <f t="shared" si="8"/>
        <v>130.19999999999999</v>
      </c>
      <c r="T62" s="78">
        <f t="shared" si="9"/>
        <v>65.099999999999994</v>
      </c>
      <c r="U62" s="78">
        <f t="shared" si="10"/>
        <v>0</v>
      </c>
      <c r="V62" s="78">
        <f t="shared" si="11"/>
        <v>0</v>
      </c>
      <c r="W62" s="78">
        <f t="shared" si="12"/>
        <v>37</v>
      </c>
      <c r="X62" s="78">
        <f t="shared" si="13"/>
        <v>149</v>
      </c>
      <c r="Y62" s="78">
        <f t="shared" si="14"/>
        <v>447</v>
      </c>
      <c r="Z62" s="78">
        <f t="shared" si="15"/>
        <v>111</v>
      </c>
      <c r="AA62" s="78">
        <f t="shared" si="16"/>
        <v>0</v>
      </c>
      <c r="AB62" s="78">
        <f t="shared" si="17"/>
        <v>0</v>
      </c>
      <c r="AC62" s="800"/>
    </row>
    <row r="63" spans="1:29" ht="16.05" customHeight="1" x14ac:dyDescent="0.25">
      <c r="A63" s="76"/>
      <c r="B63" s="77">
        <v>0.52083333333333304</v>
      </c>
      <c r="C63" s="78">
        <f>IF($D$8="S-Bound",VLOOKUP($B63,'Data 15'!A154:G249,4,FALSE),IF($D$8="W-Bound",VLOOKUP($B63,'Data 15'!$H$104:$N$199,4,FALSE),IF($D$8="N-Bound",VLOOKUP($B63,'Data 15'!$O$104:$U$199,4,FALSE),VLOOKUP($B63,'Data 15'!$V$104:$AA$199,4,FALSE))))</f>
        <v>41</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165</v>
      </c>
      <c r="F63" s="78">
        <f t="shared" si="18"/>
        <v>206</v>
      </c>
      <c r="G63" s="78">
        <f>IF($D$8="E-Bound",VLOOKUP($B63,'Data 15'!$A$104:$G$199,3,FALSE),IF($D$8="S-Bound",VLOOKUP($B63,'Data 15'!$H$104:$N$199,3,FALSE),IF($D$8="W-Bound",VLOOKUP($B63,'Data 15'!$O$104:$U$199,3,FALSE),VLOOKUP($B63,'Data 15'!$V$104:$AA$199,3,FALSE))))</f>
        <v>575</v>
      </c>
      <c r="H63" s="79">
        <f>IF($D$8="E-Bound",VLOOKUP($B63,'Data 15'!$A$104:$G$199,4,FALSE),IF($D$8="S-Bound",VLOOKUP($B63,'Data 15'!$H$104:$N$199,4,FALSE),IF($D$8="W-Bound",VLOOKUP($B63,'Data 15'!$O$104:$U$199,4,FALSE),VLOOKUP($B63,'Data 15'!$V$104:$AA$199,4,FALSE))))</f>
        <v>333</v>
      </c>
      <c r="I63" s="78">
        <f>'RTF 1'!$G63/'Input &amp; Findings'!$G$31</f>
        <v>287.5</v>
      </c>
      <c r="J63" s="48">
        <f>IF('RTF 1'!$D$9=1,'Lookup Tables'!$J90,IF('RTF 1'!$D$9=2,'Lookup Tables'!$K90,IF('RTF 1'!$D$9=3,'Lookup Tables'!$L90,IF('RTF 1'!$D$9=4,'Lookup Tables'!$M90,'Lookup Tables'!$N90))))</f>
        <v>60</v>
      </c>
      <c r="K63" s="79">
        <f t="shared" si="0"/>
        <v>15</v>
      </c>
      <c r="L63" s="79">
        <f t="shared" si="1"/>
        <v>45</v>
      </c>
      <c r="M63" s="78">
        <f t="shared" si="2"/>
        <v>90.750000000000014</v>
      </c>
      <c r="N63" s="78">
        <f t="shared" si="3"/>
        <v>131.75</v>
      </c>
      <c r="O63" s="78">
        <f t="shared" si="4"/>
        <v>41</v>
      </c>
      <c r="P63" s="78">
        <f t="shared" si="5"/>
        <v>0</v>
      </c>
      <c r="Q63" s="78">
        <f t="shared" si="6"/>
        <v>165</v>
      </c>
      <c r="R63" s="78">
        <f t="shared" si="7"/>
        <v>206</v>
      </c>
      <c r="S63" s="78">
        <f t="shared" si="8"/>
        <v>144.19999999999999</v>
      </c>
      <c r="T63" s="78">
        <f t="shared" si="9"/>
        <v>72.099999999999994</v>
      </c>
      <c r="U63" s="78">
        <f t="shared" si="10"/>
        <v>0</v>
      </c>
      <c r="V63" s="78">
        <f t="shared" si="11"/>
        <v>0</v>
      </c>
      <c r="W63" s="78">
        <f t="shared" si="12"/>
        <v>41</v>
      </c>
      <c r="X63" s="78">
        <f t="shared" si="13"/>
        <v>165</v>
      </c>
      <c r="Y63" s="78">
        <f t="shared" si="14"/>
        <v>495</v>
      </c>
      <c r="Z63" s="78">
        <f t="shared" si="15"/>
        <v>123</v>
      </c>
      <c r="AA63" s="78">
        <f t="shared" si="16"/>
        <v>0</v>
      </c>
      <c r="AB63" s="78">
        <f t="shared" si="17"/>
        <v>0</v>
      </c>
      <c r="AC63" s="800"/>
    </row>
    <row r="64" spans="1:29" ht="16.05" customHeight="1" x14ac:dyDescent="0.25">
      <c r="A64" s="76"/>
      <c r="B64" s="77">
        <v>0.53125</v>
      </c>
      <c r="C64" s="78">
        <f>IF($D$8="S-Bound",VLOOKUP($B64,'Data 15'!A155:G250,4,FALSE),IF($D$8="W-Bound",VLOOKUP($B64,'Data 15'!$H$104:$N$199,4,FALSE),IF($D$8="N-Bound",VLOOKUP($B64,'Data 15'!$O$104:$U$199,4,FALSE),VLOOKUP($B64,'Data 15'!$V$104:$AA$199,4,FALSE))))</f>
        <v>41</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171</v>
      </c>
      <c r="F64" s="78">
        <f t="shared" si="18"/>
        <v>212</v>
      </c>
      <c r="G64" s="78">
        <f>IF($D$8="E-Bound",VLOOKUP($B64,'Data 15'!$A$104:$G$199,3,FALSE),IF($D$8="S-Bound",VLOOKUP($B64,'Data 15'!$H$104:$N$199,3,FALSE),IF($D$8="W-Bound",VLOOKUP($B64,'Data 15'!$O$104:$U$199,3,FALSE),VLOOKUP($B64,'Data 15'!$V$104:$AA$199,3,FALSE))))</f>
        <v>557</v>
      </c>
      <c r="H64" s="79">
        <f>IF($D$8="E-Bound",VLOOKUP($B64,'Data 15'!$A$104:$G$199,4,FALSE),IF($D$8="S-Bound",VLOOKUP($B64,'Data 15'!$H$104:$N$199,4,FALSE),IF($D$8="W-Bound",VLOOKUP($B64,'Data 15'!$O$104:$U$199,4,FALSE),VLOOKUP($B64,'Data 15'!$V$104:$AA$199,4,FALSE))))</f>
        <v>333</v>
      </c>
      <c r="I64" s="78">
        <f>'RTF 1'!$G64/'Input &amp; Findings'!$G$31</f>
        <v>278.5</v>
      </c>
      <c r="J64" s="48">
        <f>IF('RTF 1'!$D$9=1,'Lookup Tables'!$J91,IF('RTF 1'!$D$9=2,'Lookup Tables'!$K91,IF('RTF 1'!$D$9=3,'Lookup Tables'!$L91,IF('RTF 1'!$D$9=4,'Lookup Tables'!$M91,'Lookup Tables'!$N91))))</f>
        <v>60</v>
      </c>
      <c r="K64" s="79">
        <f t="shared" si="0"/>
        <v>15</v>
      </c>
      <c r="L64" s="79">
        <f t="shared" si="1"/>
        <v>45</v>
      </c>
      <c r="M64" s="78">
        <f t="shared" si="2"/>
        <v>94.050000000000011</v>
      </c>
      <c r="N64" s="78">
        <f t="shared" si="3"/>
        <v>135.05000000000001</v>
      </c>
      <c r="O64" s="78">
        <f t="shared" si="4"/>
        <v>41</v>
      </c>
      <c r="P64" s="78">
        <f t="shared" si="5"/>
        <v>0</v>
      </c>
      <c r="Q64" s="78">
        <f t="shared" si="6"/>
        <v>171</v>
      </c>
      <c r="R64" s="78">
        <f t="shared" si="7"/>
        <v>212</v>
      </c>
      <c r="S64" s="78">
        <f t="shared" si="8"/>
        <v>148.39999999999998</v>
      </c>
      <c r="T64" s="78">
        <f t="shared" si="9"/>
        <v>74.199999999999989</v>
      </c>
      <c r="U64" s="78">
        <f t="shared" si="10"/>
        <v>0</v>
      </c>
      <c r="V64" s="78">
        <f t="shared" si="11"/>
        <v>0</v>
      </c>
      <c r="W64" s="78">
        <f t="shared" si="12"/>
        <v>41</v>
      </c>
      <c r="X64" s="78">
        <f t="shared" si="13"/>
        <v>171</v>
      </c>
      <c r="Y64" s="78">
        <f t="shared" si="14"/>
        <v>513</v>
      </c>
      <c r="Z64" s="78">
        <f t="shared" si="15"/>
        <v>123</v>
      </c>
      <c r="AA64" s="78">
        <f t="shared" si="16"/>
        <v>0</v>
      </c>
      <c r="AB64" s="78">
        <f t="shared" si="17"/>
        <v>0</v>
      </c>
      <c r="AC64" s="800"/>
    </row>
    <row r="65" spans="1:29" ht="16.05" customHeight="1" x14ac:dyDescent="0.25">
      <c r="A65" s="76"/>
      <c r="B65" s="77">
        <v>0.54166666666666696</v>
      </c>
      <c r="C65" s="78">
        <f>IF($D$8="S-Bound",VLOOKUP($B65,'Data 15'!A156:G251,4,FALSE),IF($D$8="W-Bound",VLOOKUP($B65,'Data 15'!$H$104:$N$199,4,FALSE),IF($D$8="N-Bound",VLOOKUP($B65,'Data 15'!$O$104:$U$199,4,FALSE),VLOOKUP($B65,'Data 15'!$V$104:$AA$199,4,FALSE))))</f>
        <v>43</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181</v>
      </c>
      <c r="F65" s="78">
        <f t="shared" si="18"/>
        <v>224</v>
      </c>
      <c r="G65" s="78">
        <f>IF($D$8="E-Bound",VLOOKUP($B65,'Data 15'!$A$104:$G$199,3,FALSE),IF($D$8="S-Bound",VLOOKUP($B65,'Data 15'!$H$104:$N$199,3,FALSE),IF($D$8="W-Bound",VLOOKUP($B65,'Data 15'!$O$104:$U$199,3,FALSE),VLOOKUP($B65,'Data 15'!$V$104:$AA$199,3,FALSE))))</f>
        <v>538</v>
      </c>
      <c r="H65" s="79">
        <f>IF($D$8="E-Bound",VLOOKUP($B65,'Data 15'!$A$104:$G$199,4,FALSE),IF($D$8="S-Bound",VLOOKUP($B65,'Data 15'!$H$104:$N$199,4,FALSE),IF($D$8="W-Bound",VLOOKUP($B65,'Data 15'!$O$104:$U$199,4,FALSE),VLOOKUP($B65,'Data 15'!$V$104:$AA$199,4,FALSE))))</f>
        <v>323</v>
      </c>
      <c r="I65" s="78">
        <f>'RTF 1'!$G65/'Input &amp; Findings'!$G$31</f>
        <v>269</v>
      </c>
      <c r="J65" s="48">
        <f>IF('RTF 1'!$D$9=1,'Lookup Tables'!$J92,IF('RTF 1'!$D$9=2,'Lookup Tables'!$K92,IF('RTF 1'!$D$9=3,'Lookup Tables'!$L92,IF('RTF 1'!$D$9=4,'Lookup Tables'!$M92,'Lookup Tables'!$N92))))</f>
        <v>60</v>
      </c>
      <c r="K65" s="79">
        <f t="shared" si="0"/>
        <v>10</v>
      </c>
      <c r="L65" s="79">
        <f t="shared" si="1"/>
        <v>50</v>
      </c>
      <c r="M65" s="78">
        <f t="shared" si="2"/>
        <v>90.5</v>
      </c>
      <c r="N65" s="78">
        <f t="shared" si="3"/>
        <v>133.5</v>
      </c>
      <c r="O65" s="78">
        <f t="shared" si="4"/>
        <v>43</v>
      </c>
      <c r="P65" s="78">
        <f t="shared" si="5"/>
        <v>0</v>
      </c>
      <c r="Q65" s="78">
        <f t="shared" si="6"/>
        <v>181</v>
      </c>
      <c r="R65" s="78">
        <f t="shared" si="7"/>
        <v>224</v>
      </c>
      <c r="S65" s="78">
        <f t="shared" si="8"/>
        <v>156.79999999999998</v>
      </c>
      <c r="T65" s="78">
        <f t="shared" si="9"/>
        <v>78.399999999999991</v>
      </c>
      <c r="U65" s="78">
        <f t="shared" si="10"/>
        <v>0</v>
      </c>
      <c r="V65" s="78">
        <f t="shared" si="11"/>
        <v>0</v>
      </c>
      <c r="W65" s="78">
        <f t="shared" si="12"/>
        <v>43</v>
      </c>
      <c r="X65" s="78">
        <f t="shared" si="13"/>
        <v>181</v>
      </c>
      <c r="Y65" s="78">
        <f t="shared" si="14"/>
        <v>543</v>
      </c>
      <c r="Z65" s="78">
        <f t="shared" si="15"/>
        <v>129</v>
      </c>
      <c r="AA65" s="78">
        <f t="shared" si="16"/>
        <v>0</v>
      </c>
      <c r="AB65" s="78">
        <f t="shared" si="17"/>
        <v>0</v>
      </c>
      <c r="AC65" s="800"/>
    </row>
    <row r="66" spans="1:29" ht="16.05" customHeight="1" x14ac:dyDescent="0.25">
      <c r="A66" s="76"/>
      <c r="B66" s="77">
        <v>0.55208333333333304</v>
      </c>
      <c r="C66" s="78">
        <f>IF($D$8="S-Bound",VLOOKUP($B66,'Data 15'!A157:G252,4,FALSE),IF($D$8="W-Bound",VLOOKUP($B66,'Data 15'!$H$104:$N$199,4,FALSE),IF($D$8="N-Bound",VLOOKUP($B66,'Data 15'!$O$104:$U$199,4,FALSE),VLOOKUP($B66,'Data 15'!$V$104:$AA$199,4,FALSE))))</f>
        <v>45</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165</v>
      </c>
      <c r="F66" s="78">
        <f t="shared" si="18"/>
        <v>210</v>
      </c>
      <c r="G66" s="78">
        <f>IF($D$8="E-Bound",VLOOKUP($B66,'Data 15'!$A$104:$G$199,3,FALSE),IF($D$8="S-Bound",VLOOKUP($B66,'Data 15'!$H$104:$N$199,3,FALSE),IF($D$8="W-Bound",VLOOKUP($B66,'Data 15'!$O$104:$U$199,3,FALSE),VLOOKUP($B66,'Data 15'!$V$104:$AA$199,3,FALSE))))</f>
        <v>534</v>
      </c>
      <c r="H66" s="79">
        <f>IF($D$8="E-Bound",VLOOKUP($B66,'Data 15'!$A$104:$G$199,4,FALSE),IF($D$8="S-Bound",VLOOKUP($B66,'Data 15'!$H$104:$N$199,4,FALSE),IF($D$8="W-Bound",VLOOKUP($B66,'Data 15'!$O$104:$U$199,4,FALSE),VLOOKUP($B66,'Data 15'!$V$104:$AA$199,4,FALSE))))</f>
        <v>330</v>
      </c>
      <c r="I66" s="78">
        <f>'RTF 1'!$G66/'Input &amp; Findings'!$G$31</f>
        <v>267</v>
      </c>
      <c r="J66" s="48">
        <f>IF('RTF 1'!$D$9=1,'Lookup Tables'!$J93,IF('RTF 1'!$D$9=2,'Lookup Tables'!$K93,IF('RTF 1'!$D$9=3,'Lookup Tables'!$L93,IF('RTF 1'!$D$9=4,'Lookup Tables'!$M93,'Lookup Tables'!$N93))))</f>
        <v>60</v>
      </c>
      <c r="K66" s="79">
        <f t="shared" si="0"/>
        <v>10</v>
      </c>
      <c r="L66" s="79">
        <f t="shared" si="1"/>
        <v>50</v>
      </c>
      <c r="M66" s="78">
        <f t="shared" si="2"/>
        <v>82.5</v>
      </c>
      <c r="N66" s="78">
        <f t="shared" si="3"/>
        <v>127.5</v>
      </c>
      <c r="O66" s="78">
        <f t="shared" si="4"/>
        <v>45</v>
      </c>
      <c r="P66" s="78">
        <f t="shared" si="5"/>
        <v>0</v>
      </c>
      <c r="Q66" s="78">
        <f t="shared" si="6"/>
        <v>165</v>
      </c>
      <c r="R66" s="78">
        <f t="shared" si="7"/>
        <v>210</v>
      </c>
      <c r="S66" s="78">
        <f t="shared" si="8"/>
        <v>147</v>
      </c>
      <c r="T66" s="78">
        <f t="shared" si="9"/>
        <v>73.5</v>
      </c>
      <c r="U66" s="78">
        <f t="shared" si="10"/>
        <v>0</v>
      </c>
      <c r="V66" s="78">
        <f t="shared" si="11"/>
        <v>0</v>
      </c>
      <c r="W66" s="78">
        <f t="shared" si="12"/>
        <v>45</v>
      </c>
      <c r="X66" s="78">
        <f t="shared" si="13"/>
        <v>165</v>
      </c>
      <c r="Y66" s="78">
        <f t="shared" si="14"/>
        <v>495</v>
      </c>
      <c r="Z66" s="78">
        <f t="shared" si="15"/>
        <v>135</v>
      </c>
      <c r="AA66" s="78">
        <f t="shared" si="16"/>
        <v>0</v>
      </c>
      <c r="AB66" s="78">
        <f t="shared" si="17"/>
        <v>0</v>
      </c>
      <c r="AC66" s="800"/>
    </row>
    <row r="67" spans="1:29" ht="16.05" customHeight="1" x14ac:dyDescent="0.25">
      <c r="A67" s="76"/>
      <c r="B67" s="77">
        <v>0.5625</v>
      </c>
      <c r="C67" s="78">
        <f>IF($D$8="S-Bound",VLOOKUP($B67,'Data 15'!A158:G253,4,FALSE),IF($D$8="W-Bound",VLOOKUP($B67,'Data 15'!$H$104:$N$199,4,FALSE),IF($D$8="N-Bound",VLOOKUP($B67,'Data 15'!$O$104:$U$199,4,FALSE),VLOOKUP($B67,'Data 15'!$V$104:$AA$199,4,FALSE))))</f>
        <v>51</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164</v>
      </c>
      <c r="F67" s="78">
        <f t="shared" si="18"/>
        <v>215</v>
      </c>
      <c r="G67" s="78">
        <f>IF($D$8="E-Bound",VLOOKUP($B67,'Data 15'!$A$104:$G$199,3,FALSE),IF($D$8="S-Bound",VLOOKUP($B67,'Data 15'!$H$104:$N$199,3,FALSE),IF($D$8="W-Bound",VLOOKUP($B67,'Data 15'!$O$104:$U$199,3,FALSE),VLOOKUP($B67,'Data 15'!$V$104:$AA$199,3,FALSE))))</f>
        <v>541</v>
      </c>
      <c r="H67" s="79">
        <f>IF($D$8="E-Bound",VLOOKUP($B67,'Data 15'!$A$104:$G$199,4,FALSE),IF($D$8="S-Bound",VLOOKUP($B67,'Data 15'!$H$104:$N$199,4,FALSE),IF($D$8="W-Bound",VLOOKUP($B67,'Data 15'!$O$104:$U$199,4,FALSE),VLOOKUP($B67,'Data 15'!$V$104:$AA$199,4,FALSE))))</f>
        <v>321</v>
      </c>
      <c r="I67" s="78">
        <f>'RTF 1'!$G67/'Input &amp; Findings'!$G$31</f>
        <v>270.5</v>
      </c>
      <c r="J67" s="48">
        <f>IF('RTF 1'!$D$9=1,'Lookup Tables'!$J94,IF('RTF 1'!$D$9=2,'Lookup Tables'!$K94,IF('RTF 1'!$D$9=3,'Lookup Tables'!$L94,IF('RTF 1'!$D$9=4,'Lookup Tables'!$M94,'Lookup Tables'!$N94))))</f>
        <v>60</v>
      </c>
      <c r="K67" s="79">
        <f t="shared" si="0"/>
        <v>10</v>
      </c>
      <c r="L67" s="79">
        <f t="shared" si="1"/>
        <v>50</v>
      </c>
      <c r="M67" s="78">
        <f t="shared" si="2"/>
        <v>82</v>
      </c>
      <c r="N67" s="78">
        <f t="shared" si="3"/>
        <v>133</v>
      </c>
      <c r="O67" s="78">
        <f t="shared" si="4"/>
        <v>51</v>
      </c>
      <c r="P67" s="78">
        <f t="shared" si="5"/>
        <v>0</v>
      </c>
      <c r="Q67" s="78">
        <f t="shared" si="6"/>
        <v>164</v>
      </c>
      <c r="R67" s="78">
        <f t="shared" si="7"/>
        <v>215</v>
      </c>
      <c r="S67" s="78">
        <f t="shared" si="8"/>
        <v>150.5</v>
      </c>
      <c r="T67" s="78">
        <f t="shared" si="9"/>
        <v>75.25</v>
      </c>
      <c r="U67" s="78">
        <f t="shared" si="10"/>
        <v>0</v>
      </c>
      <c r="V67" s="78">
        <f t="shared" si="11"/>
        <v>0</v>
      </c>
      <c r="W67" s="78">
        <f t="shared" si="12"/>
        <v>51</v>
      </c>
      <c r="X67" s="78">
        <f t="shared" si="13"/>
        <v>164</v>
      </c>
      <c r="Y67" s="78">
        <f t="shared" si="14"/>
        <v>492</v>
      </c>
      <c r="Z67" s="78">
        <f t="shared" si="15"/>
        <v>153</v>
      </c>
      <c r="AA67" s="78">
        <f t="shared" si="16"/>
        <v>0</v>
      </c>
      <c r="AB67" s="78">
        <f t="shared" si="17"/>
        <v>0</v>
      </c>
      <c r="AC67" s="800"/>
    </row>
    <row r="68" spans="1:29" ht="16.05" customHeight="1" x14ac:dyDescent="0.25">
      <c r="A68" s="76"/>
      <c r="B68" s="77">
        <v>0.57291666666666696</v>
      </c>
      <c r="C68" s="78">
        <f>IF($D$8="S-Bound",VLOOKUP($B68,'Data 15'!A159:G254,4,FALSE),IF($D$8="W-Bound",VLOOKUP($B68,'Data 15'!$H$104:$N$199,4,FALSE),IF($D$8="N-Bound",VLOOKUP($B68,'Data 15'!$O$104:$U$199,4,FALSE),VLOOKUP($B68,'Data 15'!$V$104:$AA$199,4,FALSE))))</f>
        <v>49</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155</v>
      </c>
      <c r="F68" s="78">
        <f t="shared" si="18"/>
        <v>204</v>
      </c>
      <c r="G68" s="78">
        <f>IF($D$8="E-Bound",VLOOKUP($B68,'Data 15'!$A$104:$G$199,3,FALSE),IF($D$8="S-Bound",VLOOKUP($B68,'Data 15'!$H$104:$N$199,3,FALSE),IF($D$8="W-Bound",VLOOKUP($B68,'Data 15'!$O$104:$U$199,3,FALSE),VLOOKUP($B68,'Data 15'!$V$104:$AA$199,3,FALSE))))</f>
        <v>551</v>
      </c>
      <c r="H68" s="79">
        <f>IF($D$8="E-Bound",VLOOKUP($B68,'Data 15'!$A$104:$G$199,4,FALSE),IF($D$8="S-Bound",VLOOKUP($B68,'Data 15'!$H$104:$N$199,4,FALSE),IF($D$8="W-Bound",VLOOKUP($B68,'Data 15'!$O$104:$U$199,4,FALSE),VLOOKUP($B68,'Data 15'!$V$104:$AA$199,4,FALSE))))</f>
        <v>313</v>
      </c>
      <c r="I68" s="78">
        <f>'RTF 1'!$G68/'Input &amp; Findings'!$G$31</f>
        <v>275.5</v>
      </c>
      <c r="J68" s="48">
        <f>IF('RTF 1'!$D$9=1,'Lookup Tables'!$J95,IF('RTF 1'!$D$9=2,'Lookup Tables'!$K95,IF('RTF 1'!$D$9=3,'Lookup Tables'!$L95,IF('RTF 1'!$D$9=4,'Lookup Tables'!$M95,'Lookup Tables'!$N95))))</f>
        <v>60</v>
      </c>
      <c r="K68" s="79">
        <f t="shared" si="0"/>
        <v>10</v>
      </c>
      <c r="L68" s="79">
        <f t="shared" si="1"/>
        <v>50</v>
      </c>
      <c r="M68" s="78">
        <f t="shared" si="2"/>
        <v>77.5</v>
      </c>
      <c r="N68" s="78">
        <f t="shared" si="3"/>
        <v>126.5</v>
      </c>
      <c r="O68" s="78">
        <f t="shared" si="4"/>
        <v>49</v>
      </c>
      <c r="P68" s="78">
        <f t="shared" si="5"/>
        <v>0</v>
      </c>
      <c r="Q68" s="78">
        <f t="shared" si="6"/>
        <v>155</v>
      </c>
      <c r="R68" s="78">
        <f t="shared" si="7"/>
        <v>204</v>
      </c>
      <c r="S68" s="78">
        <f t="shared" si="8"/>
        <v>142.79999999999998</v>
      </c>
      <c r="T68" s="78">
        <f t="shared" si="9"/>
        <v>71.399999999999991</v>
      </c>
      <c r="U68" s="78">
        <f t="shared" si="10"/>
        <v>0</v>
      </c>
      <c r="V68" s="78">
        <f t="shared" si="11"/>
        <v>0</v>
      </c>
      <c r="W68" s="78">
        <f t="shared" si="12"/>
        <v>49</v>
      </c>
      <c r="X68" s="78">
        <f t="shared" si="13"/>
        <v>155</v>
      </c>
      <c r="Y68" s="78">
        <f t="shared" si="14"/>
        <v>465</v>
      </c>
      <c r="Z68" s="78">
        <f t="shared" si="15"/>
        <v>147</v>
      </c>
      <c r="AA68" s="78">
        <f t="shared" si="16"/>
        <v>0</v>
      </c>
      <c r="AB68" s="78">
        <f t="shared" si="17"/>
        <v>0</v>
      </c>
      <c r="AC68" s="800"/>
    </row>
    <row r="69" spans="1:29" ht="16.05" customHeight="1" x14ac:dyDescent="0.25">
      <c r="A69" s="76"/>
      <c r="B69" s="77">
        <v>0.58333333333333304</v>
      </c>
      <c r="C69" s="78">
        <f>IF($D$8="S-Bound",VLOOKUP($B69,'Data 15'!A160:G255,4,FALSE),IF($D$8="W-Bound",VLOOKUP($B69,'Data 15'!$H$104:$N$199,4,FALSE),IF($D$8="N-Bound",VLOOKUP($B69,'Data 15'!$O$104:$U$199,4,FALSE),VLOOKUP($B69,'Data 15'!$V$104:$AA$199,4,FALSE))))</f>
        <v>48</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141</v>
      </c>
      <c r="F69" s="78">
        <f t="shared" si="18"/>
        <v>189</v>
      </c>
      <c r="G69" s="78">
        <f>IF($D$8="E-Bound",VLOOKUP($B69,'Data 15'!$A$104:$G$199,3,FALSE),IF($D$8="S-Bound",VLOOKUP($B69,'Data 15'!$H$104:$N$199,3,FALSE),IF($D$8="W-Bound",VLOOKUP($B69,'Data 15'!$O$104:$U$199,3,FALSE),VLOOKUP($B69,'Data 15'!$V$104:$AA$199,3,FALSE))))</f>
        <v>562</v>
      </c>
      <c r="H69" s="79">
        <f>IF($D$8="E-Bound",VLOOKUP($B69,'Data 15'!$A$104:$G$199,4,FALSE),IF($D$8="S-Bound",VLOOKUP($B69,'Data 15'!$H$104:$N$199,4,FALSE),IF($D$8="W-Bound",VLOOKUP($B69,'Data 15'!$O$104:$U$199,4,FALSE),VLOOKUP($B69,'Data 15'!$V$104:$AA$199,4,FALSE))))</f>
        <v>315</v>
      </c>
      <c r="I69" s="78">
        <f>'RTF 1'!$G69/'Input &amp; Findings'!$G$31</f>
        <v>281</v>
      </c>
      <c r="J69" s="48">
        <f>IF('RTF 1'!$D$9=1,'Lookup Tables'!$J96,IF('RTF 1'!$D$9=2,'Lookup Tables'!$K96,IF('RTF 1'!$D$9=3,'Lookup Tables'!$L96,IF('RTF 1'!$D$9=4,'Lookup Tables'!$M96,'Lookup Tables'!$N96))))</f>
        <v>60</v>
      </c>
      <c r="K69" s="79">
        <f t="shared" si="0"/>
        <v>10</v>
      </c>
      <c r="L69" s="79">
        <f t="shared" si="1"/>
        <v>50</v>
      </c>
      <c r="M69" s="78">
        <f t="shared" si="2"/>
        <v>70.5</v>
      </c>
      <c r="N69" s="78">
        <f t="shared" si="3"/>
        <v>118.5</v>
      </c>
      <c r="O69" s="78">
        <f t="shared" si="4"/>
        <v>48</v>
      </c>
      <c r="P69" s="78">
        <f t="shared" si="5"/>
        <v>0</v>
      </c>
      <c r="Q69" s="78">
        <f t="shared" si="6"/>
        <v>141</v>
      </c>
      <c r="R69" s="78">
        <f t="shared" si="7"/>
        <v>189</v>
      </c>
      <c r="S69" s="78">
        <f t="shared" si="8"/>
        <v>132.29999999999998</v>
      </c>
      <c r="T69" s="78">
        <f t="shared" si="9"/>
        <v>66.149999999999991</v>
      </c>
      <c r="U69" s="78">
        <f t="shared" si="10"/>
        <v>0</v>
      </c>
      <c r="V69" s="78">
        <f t="shared" si="11"/>
        <v>0</v>
      </c>
      <c r="W69" s="78">
        <f t="shared" si="12"/>
        <v>48</v>
      </c>
      <c r="X69" s="78">
        <f t="shared" si="13"/>
        <v>141</v>
      </c>
      <c r="Y69" s="78">
        <f t="shared" si="14"/>
        <v>423</v>
      </c>
      <c r="Z69" s="78">
        <f t="shared" si="15"/>
        <v>144</v>
      </c>
      <c r="AA69" s="78">
        <f t="shared" si="16"/>
        <v>0</v>
      </c>
      <c r="AB69" s="78">
        <f t="shared" si="17"/>
        <v>0</v>
      </c>
      <c r="AC69" s="800"/>
    </row>
    <row r="70" spans="1:29" ht="16.05" customHeight="1" x14ac:dyDescent="0.25">
      <c r="A70" s="76"/>
      <c r="B70" s="77">
        <v>0.59375</v>
      </c>
      <c r="C70" s="78">
        <f>IF($D$8="S-Bound",VLOOKUP($B70,'Data 15'!A161:G256,4,FALSE),IF($D$8="W-Bound",VLOOKUP($B70,'Data 15'!$H$104:$N$199,4,FALSE),IF($D$8="N-Bound",VLOOKUP($B70,'Data 15'!$O$104:$U$199,4,FALSE),VLOOKUP($B70,'Data 15'!$V$104:$AA$199,4,FALSE))))</f>
        <v>56</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137</v>
      </c>
      <c r="F70" s="78">
        <f t="shared" si="18"/>
        <v>193</v>
      </c>
      <c r="G70" s="78">
        <f>IF($D$8="E-Bound",VLOOKUP($B70,'Data 15'!$A$104:$G$199,3,FALSE),IF($D$8="S-Bound",VLOOKUP($B70,'Data 15'!$H$104:$N$199,3,FALSE),IF($D$8="W-Bound",VLOOKUP($B70,'Data 15'!$O$104:$U$199,3,FALSE),VLOOKUP($B70,'Data 15'!$V$104:$AA$199,3,FALSE))))</f>
        <v>578</v>
      </c>
      <c r="H70" s="79">
        <f>IF($D$8="E-Bound",VLOOKUP($B70,'Data 15'!$A$104:$G$199,4,FALSE),IF($D$8="S-Bound",VLOOKUP($B70,'Data 15'!$H$104:$N$199,4,FALSE),IF($D$8="W-Bound",VLOOKUP($B70,'Data 15'!$O$104:$U$199,4,FALSE),VLOOKUP($B70,'Data 15'!$V$104:$AA$199,4,FALSE))))</f>
        <v>312</v>
      </c>
      <c r="I70" s="78">
        <f>'RTF 1'!$G70/'Input &amp; Findings'!$G$31</f>
        <v>289</v>
      </c>
      <c r="J70" s="48">
        <f>IF('RTF 1'!$D$9=1,'Lookup Tables'!$J97,IF('RTF 1'!$D$9=2,'Lookup Tables'!$K97,IF('RTF 1'!$D$9=3,'Lookup Tables'!$L97,IF('RTF 1'!$D$9=4,'Lookup Tables'!$M97,'Lookup Tables'!$N97))))</f>
        <v>60</v>
      </c>
      <c r="K70" s="79">
        <f t="shared" si="0"/>
        <v>15</v>
      </c>
      <c r="L70" s="79">
        <f t="shared" si="1"/>
        <v>45</v>
      </c>
      <c r="M70" s="78">
        <f t="shared" si="2"/>
        <v>75.350000000000009</v>
      </c>
      <c r="N70" s="78">
        <f t="shared" si="3"/>
        <v>131.35000000000002</v>
      </c>
      <c r="O70" s="78">
        <f t="shared" si="4"/>
        <v>56</v>
      </c>
      <c r="P70" s="78">
        <f t="shared" si="5"/>
        <v>0</v>
      </c>
      <c r="Q70" s="78">
        <f t="shared" si="6"/>
        <v>137</v>
      </c>
      <c r="R70" s="78">
        <f t="shared" si="7"/>
        <v>193</v>
      </c>
      <c r="S70" s="78">
        <f t="shared" si="8"/>
        <v>135.1</v>
      </c>
      <c r="T70" s="78">
        <f t="shared" si="9"/>
        <v>67.55</v>
      </c>
      <c r="U70" s="78">
        <f t="shared" si="10"/>
        <v>0</v>
      </c>
      <c r="V70" s="78">
        <f t="shared" si="11"/>
        <v>0</v>
      </c>
      <c r="W70" s="78">
        <f t="shared" si="12"/>
        <v>56</v>
      </c>
      <c r="X70" s="78">
        <f t="shared" si="13"/>
        <v>137</v>
      </c>
      <c r="Y70" s="78">
        <f t="shared" si="14"/>
        <v>411</v>
      </c>
      <c r="Z70" s="78">
        <f t="shared" si="15"/>
        <v>168</v>
      </c>
      <c r="AA70" s="78">
        <f t="shared" si="16"/>
        <v>0</v>
      </c>
      <c r="AB70" s="78">
        <f t="shared" si="17"/>
        <v>0</v>
      </c>
      <c r="AC70" s="800"/>
    </row>
    <row r="71" spans="1:29" ht="16.05" customHeight="1" x14ac:dyDescent="0.25">
      <c r="A71" s="76"/>
      <c r="B71" s="77">
        <v>0.60416666666666696</v>
      </c>
      <c r="C71" s="78">
        <f>IF($D$8="S-Bound",VLOOKUP($B71,'Data 15'!A162:G257,4,FALSE),IF($D$8="W-Bound",VLOOKUP($B71,'Data 15'!$H$104:$N$199,4,FALSE),IF($D$8="N-Bound",VLOOKUP($B71,'Data 15'!$O$104:$U$199,4,FALSE),VLOOKUP($B71,'Data 15'!$V$104:$AA$199,4,FALSE))))</f>
        <v>52</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126</v>
      </c>
      <c r="F71" s="78">
        <f t="shared" si="18"/>
        <v>178</v>
      </c>
      <c r="G71" s="78">
        <f>IF($D$8="E-Bound",VLOOKUP($B71,'Data 15'!$A$104:$G$199,3,FALSE),IF($D$8="S-Bound",VLOOKUP($B71,'Data 15'!$H$104:$N$199,3,FALSE),IF($D$8="W-Bound",VLOOKUP($B71,'Data 15'!$O$104:$U$199,3,FALSE),VLOOKUP($B71,'Data 15'!$V$104:$AA$199,3,FALSE))))</f>
        <v>571</v>
      </c>
      <c r="H71" s="79">
        <f>IF($D$8="E-Bound",VLOOKUP($B71,'Data 15'!$A$104:$G$199,4,FALSE),IF($D$8="S-Bound",VLOOKUP($B71,'Data 15'!$H$104:$N$199,4,FALSE),IF($D$8="W-Bound",VLOOKUP($B71,'Data 15'!$O$104:$U$199,4,FALSE),VLOOKUP($B71,'Data 15'!$V$104:$AA$199,4,FALSE))))</f>
        <v>326</v>
      </c>
      <c r="I71" s="78">
        <f>'RTF 1'!$G71/'Input &amp; Findings'!$G$31</f>
        <v>285.5</v>
      </c>
      <c r="J71" s="48">
        <f>IF('RTF 1'!$D$9=1,'Lookup Tables'!$J98,IF('RTF 1'!$D$9=2,'Lookup Tables'!$K98,IF('RTF 1'!$D$9=3,'Lookup Tables'!$L98,IF('RTF 1'!$D$9=4,'Lookup Tables'!$M98,'Lookup Tables'!$N98))))</f>
        <v>60</v>
      </c>
      <c r="K71" s="79">
        <f t="shared" si="0"/>
        <v>15</v>
      </c>
      <c r="L71" s="79">
        <f t="shared" si="1"/>
        <v>45</v>
      </c>
      <c r="M71" s="78">
        <f t="shared" si="2"/>
        <v>69.300000000000011</v>
      </c>
      <c r="N71" s="78">
        <f t="shared" si="3"/>
        <v>121.30000000000001</v>
      </c>
      <c r="O71" s="78">
        <f t="shared" si="4"/>
        <v>52</v>
      </c>
      <c r="P71" s="78">
        <f t="shared" si="5"/>
        <v>0</v>
      </c>
      <c r="Q71" s="78">
        <f t="shared" si="6"/>
        <v>126</v>
      </c>
      <c r="R71" s="78">
        <f t="shared" si="7"/>
        <v>178</v>
      </c>
      <c r="S71" s="78">
        <f t="shared" si="8"/>
        <v>124.6</v>
      </c>
      <c r="T71" s="78">
        <f t="shared" si="9"/>
        <v>62.3</v>
      </c>
      <c r="U71" s="78">
        <f t="shared" si="10"/>
        <v>0</v>
      </c>
      <c r="V71" s="78">
        <f t="shared" si="11"/>
        <v>0</v>
      </c>
      <c r="W71" s="78">
        <f t="shared" si="12"/>
        <v>52</v>
      </c>
      <c r="X71" s="78">
        <f t="shared" si="13"/>
        <v>126</v>
      </c>
      <c r="Y71" s="78">
        <f t="shared" si="14"/>
        <v>378</v>
      </c>
      <c r="Z71" s="78">
        <f t="shared" si="15"/>
        <v>156</v>
      </c>
      <c r="AA71" s="78">
        <f t="shared" si="16"/>
        <v>0</v>
      </c>
      <c r="AB71" s="78">
        <f t="shared" si="17"/>
        <v>0</v>
      </c>
      <c r="AC71" s="800"/>
    </row>
    <row r="72" spans="1:29" ht="16.05" customHeight="1" x14ac:dyDescent="0.25">
      <c r="A72" s="76"/>
      <c r="B72" s="77">
        <v>0.61458333333333304</v>
      </c>
      <c r="C72" s="78">
        <f>IF($D$8="S-Bound",VLOOKUP($B72,'Data 15'!A163:G258,4,FALSE),IF($D$8="W-Bound",VLOOKUP($B72,'Data 15'!$H$104:$N$199,4,FALSE),IF($D$8="N-Bound",VLOOKUP($B72,'Data 15'!$O$104:$U$199,4,FALSE),VLOOKUP($B72,'Data 15'!$V$104:$AA$199,4,FALSE))))</f>
        <v>57</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132</v>
      </c>
      <c r="F72" s="78">
        <f t="shared" si="18"/>
        <v>189</v>
      </c>
      <c r="G72" s="78">
        <f>IF($D$8="E-Bound",VLOOKUP($B72,'Data 15'!$A$104:$G$199,3,FALSE),IF($D$8="S-Bound",VLOOKUP($B72,'Data 15'!$H$104:$N$199,3,FALSE),IF($D$8="W-Bound",VLOOKUP($B72,'Data 15'!$O$104:$U$199,3,FALSE),VLOOKUP($B72,'Data 15'!$V$104:$AA$199,3,FALSE))))</f>
        <v>568</v>
      </c>
      <c r="H72" s="79">
        <f>IF($D$8="E-Bound",VLOOKUP($B72,'Data 15'!$A$104:$G$199,4,FALSE),IF($D$8="S-Bound",VLOOKUP($B72,'Data 15'!$H$104:$N$199,4,FALSE),IF($D$8="W-Bound",VLOOKUP($B72,'Data 15'!$O$104:$U$199,4,FALSE),VLOOKUP($B72,'Data 15'!$V$104:$AA$199,4,FALSE))))</f>
        <v>347</v>
      </c>
      <c r="I72" s="78">
        <f>'RTF 1'!$G72/'Input &amp; Findings'!$G$31</f>
        <v>284</v>
      </c>
      <c r="J72" s="48">
        <f>IF('RTF 1'!$D$9=1,'Lookup Tables'!$J99,IF('RTF 1'!$D$9=2,'Lookup Tables'!$K99,IF('RTF 1'!$D$9=3,'Lookup Tables'!$L99,IF('RTF 1'!$D$9=4,'Lookup Tables'!$M99,'Lookup Tables'!$N99))))</f>
        <v>60</v>
      </c>
      <c r="K72" s="79">
        <f t="shared" si="0"/>
        <v>15</v>
      </c>
      <c r="L72" s="79">
        <f t="shared" si="1"/>
        <v>45</v>
      </c>
      <c r="M72" s="78">
        <f t="shared" si="2"/>
        <v>72.600000000000009</v>
      </c>
      <c r="N72" s="78">
        <f t="shared" si="3"/>
        <v>129.60000000000002</v>
      </c>
      <c r="O72" s="78">
        <f t="shared" si="4"/>
        <v>57</v>
      </c>
      <c r="P72" s="78">
        <f t="shared" si="5"/>
        <v>0</v>
      </c>
      <c r="Q72" s="78">
        <f t="shared" si="6"/>
        <v>132</v>
      </c>
      <c r="R72" s="78">
        <f t="shared" si="7"/>
        <v>189</v>
      </c>
      <c r="S72" s="78">
        <f t="shared" si="8"/>
        <v>132.29999999999998</v>
      </c>
      <c r="T72" s="78">
        <f t="shared" si="9"/>
        <v>66.149999999999991</v>
      </c>
      <c r="U72" s="78">
        <f t="shared" si="10"/>
        <v>0</v>
      </c>
      <c r="V72" s="78">
        <f t="shared" si="11"/>
        <v>0</v>
      </c>
      <c r="W72" s="78">
        <f t="shared" si="12"/>
        <v>57</v>
      </c>
      <c r="X72" s="78">
        <f t="shared" si="13"/>
        <v>132</v>
      </c>
      <c r="Y72" s="78">
        <f t="shared" si="14"/>
        <v>396</v>
      </c>
      <c r="Z72" s="78">
        <f t="shared" si="15"/>
        <v>171</v>
      </c>
      <c r="AA72" s="78">
        <f t="shared" si="16"/>
        <v>0</v>
      </c>
      <c r="AB72" s="78">
        <f t="shared" si="17"/>
        <v>0</v>
      </c>
      <c r="AC72" s="800"/>
    </row>
    <row r="73" spans="1:29" ht="16.05" customHeight="1" x14ac:dyDescent="0.25">
      <c r="A73" s="76"/>
      <c r="B73" s="77">
        <v>0.625</v>
      </c>
      <c r="C73" s="78">
        <f>IF($D$8="S-Bound",VLOOKUP($B73,'Data 15'!A164:G259,4,FALSE),IF($D$8="W-Bound",VLOOKUP($B73,'Data 15'!$H$104:$N$199,4,FALSE),IF($D$8="N-Bound",VLOOKUP($B73,'Data 15'!$O$104:$U$199,4,FALSE),VLOOKUP($B73,'Data 15'!$V$104:$AA$199,4,FALSE))))</f>
        <v>68</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131</v>
      </c>
      <c r="F73" s="78">
        <f t="shared" si="18"/>
        <v>199</v>
      </c>
      <c r="G73" s="78">
        <f>IF($D$8="E-Bound",VLOOKUP($B73,'Data 15'!$A$104:$G$199,3,FALSE),IF($D$8="S-Bound",VLOOKUP($B73,'Data 15'!$H$104:$N$199,3,FALSE),IF($D$8="W-Bound",VLOOKUP($B73,'Data 15'!$O$104:$U$199,3,FALSE),VLOOKUP($B73,'Data 15'!$V$104:$AA$199,3,FALSE))))</f>
        <v>566</v>
      </c>
      <c r="H73" s="79">
        <f>IF($D$8="E-Bound",VLOOKUP($B73,'Data 15'!$A$104:$G$199,4,FALSE),IF($D$8="S-Bound",VLOOKUP($B73,'Data 15'!$H$104:$N$199,4,FALSE),IF($D$8="W-Bound",VLOOKUP($B73,'Data 15'!$O$104:$U$199,4,FALSE),VLOOKUP($B73,'Data 15'!$V$104:$AA$199,4,FALSE))))</f>
        <v>333</v>
      </c>
      <c r="I73" s="78">
        <f>'RTF 1'!$G73/'Input &amp; Findings'!$G$31</f>
        <v>283</v>
      </c>
      <c r="J73" s="48">
        <f>IF('RTF 1'!$D$9=1,'Lookup Tables'!$J100,IF('RTF 1'!$D$9=2,'Lookup Tables'!$K100,IF('RTF 1'!$D$9=3,'Lookup Tables'!$L100,IF('RTF 1'!$D$9=4,'Lookup Tables'!$M100,'Lookup Tables'!$N100))))</f>
        <v>60</v>
      </c>
      <c r="K73" s="79">
        <f t="shared" si="0"/>
        <v>15</v>
      </c>
      <c r="L73" s="79">
        <f t="shared" si="1"/>
        <v>45</v>
      </c>
      <c r="M73" s="78">
        <f t="shared" si="2"/>
        <v>72.050000000000011</v>
      </c>
      <c r="N73" s="78">
        <f t="shared" si="3"/>
        <v>140.05000000000001</v>
      </c>
      <c r="O73" s="78">
        <f t="shared" si="4"/>
        <v>68</v>
      </c>
      <c r="P73" s="78">
        <f t="shared" si="5"/>
        <v>0</v>
      </c>
      <c r="Q73" s="78">
        <f t="shared" si="6"/>
        <v>131</v>
      </c>
      <c r="R73" s="78">
        <f t="shared" si="7"/>
        <v>199</v>
      </c>
      <c r="S73" s="78">
        <f t="shared" si="8"/>
        <v>139.29999999999998</v>
      </c>
      <c r="T73" s="78">
        <f t="shared" si="9"/>
        <v>69.649999999999991</v>
      </c>
      <c r="U73" s="78">
        <f t="shared" si="10"/>
        <v>0</v>
      </c>
      <c r="V73" s="78">
        <f t="shared" si="11"/>
        <v>0</v>
      </c>
      <c r="W73" s="78">
        <f t="shared" si="12"/>
        <v>68</v>
      </c>
      <c r="X73" s="78">
        <f t="shared" si="13"/>
        <v>131</v>
      </c>
      <c r="Y73" s="78">
        <f t="shared" si="14"/>
        <v>393</v>
      </c>
      <c r="Z73" s="78">
        <f t="shared" si="15"/>
        <v>204</v>
      </c>
      <c r="AA73" s="78">
        <f t="shared" si="16"/>
        <v>0</v>
      </c>
      <c r="AB73" s="78">
        <f t="shared" si="17"/>
        <v>0</v>
      </c>
      <c r="AC73" s="800"/>
    </row>
    <row r="74" spans="1:29" ht="16.05" customHeight="1" x14ac:dyDescent="0.25">
      <c r="A74" s="76"/>
      <c r="B74" s="77">
        <v>0.63541666666666696</v>
      </c>
      <c r="C74" s="78">
        <f>IF($D$8="S-Bound",VLOOKUP($B74,'Data 15'!A165:G260,4,FALSE),IF($D$8="W-Bound",VLOOKUP($B74,'Data 15'!$H$104:$N$199,4,FALSE),IF($D$8="N-Bound",VLOOKUP($B74,'Data 15'!$O$104:$U$199,4,FALSE),VLOOKUP($B74,'Data 15'!$V$104:$AA$199,4,FALSE))))</f>
        <v>72</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149</v>
      </c>
      <c r="F74" s="78">
        <f t="shared" si="18"/>
        <v>221</v>
      </c>
      <c r="G74" s="78">
        <f>IF($D$8="E-Bound",VLOOKUP($B74,'Data 15'!$A$104:$G$199,3,FALSE),IF($D$8="S-Bound",VLOOKUP($B74,'Data 15'!$H$104:$N$199,3,FALSE),IF($D$8="W-Bound",VLOOKUP($B74,'Data 15'!$O$104:$U$199,3,FALSE),VLOOKUP($B74,'Data 15'!$V$104:$AA$199,3,FALSE))))</f>
        <v>564</v>
      </c>
      <c r="H74" s="79">
        <f>IF($D$8="E-Bound",VLOOKUP($B74,'Data 15'!$A$104:$G$199,4,FALSE),IF($D$8="S-Bound",VLOOKUP($B74,'Data 15'!$H$104:$N$199,4,FALSE),IF($D$8="W-Bound",VLOOKUP($B74,'Data 15'!$O$104:$U$199,4,FALSE),VLOOKUP($B74,'Data 15'!$V$104:$AA$199,4,FALSE))))</f>
        <v>335</v>
      </c>
      <c r="I74" s="78">
        <f>'RTF 1'!$G74/'Input &amp; Findings'!$G$31</f>
        <v>282</v>
      </c>
      <c r="J74" s="48">
        <f>IF('RTF 1'!$D$9=1,'Lookup Tables'!$J101,IF('RTF 1'!$D$9=2,'Lookup Tables'!$K101,IF('RTF 1'!$D$9=3,'Lookup Tables'!$L101,IF('RTF 1'!$D$9=4,'Lookup Tables'!$M101,'Lookup Tables'!$N101))))</f>
        <v>60</v>
      </c>
      <c r="K74" s="79">
        <f t="shared" si="0"/>
        <v>15</v>
      </c>
      <c r="L74" s="79">
        <f t="shared" si="1"/>
        <v>45</v>
      </c>
      <c r="M74" s="78">
        <f t="shared" si="2"/>
        <v>81.95</v>
      </c>
      <c r="N74" s="78">
        <f t="shared" si="3"/>
        <v>153.94999999999999</v>
      </c>
      <c r="O74" s="78">
        <f t="shared" si="4"/>
        <v>72</v>
      </c>
      <c r="P74" s="78">
        <f t="shared" si="5"/>
        <v>0</v>
      </c>
      <c r="Q74" s="78">
        <f t="shared" si="6"/>
        <v>149</v>
      </c>
      <c r="R74" s="78">
        <f t="shared" si="7"/>
        <v>221</v>
      </c>
      <c r="S74" s="78">
        <f t="shared" si="8"/>
        <v>154.69999999999999</v>
      </c>
      <c r="T74" s="78">
        <f t="shared" si="9"/>
        <v>77.349999999999994</v>
      </c>
      <c r="U74" s="78">
        <f t="shared" si="10"/>
        <v>0</v>
      </c>
      <c r="V74" s="78">
        <f t="shared" si="11"/>
        <v>0</v>
      </c>
      <c r="W74" s="78">
        <f t="shared" si="12"/>
        <v>72</v>
      </c>
      <c r="X74" s="78">
        <f t="shared" si="13"/>
        <v>149</v>
      </c>
      <c r="Y74" s="78">
        <f t="shared" si="14"/>
        <v>447</v>
      </c>
      <c r="Z74" s="78">
        <f t="shared" si="15"/>
        <v>216</v>
      </c>
      <c r="AA74" s="78">
        <f t="shared" si="16"/>
        <v>0</v>
      </c>
      <c r="AB74" s="78">
        <f t="shared" si="17"/>
        <v>0</v>
      </c>
      <c r="AC74" s="800"/>
    </row>
    <row r="75" spans="1:29" ht="16.05" customHeight="1" x14ac:dyDescent="0.25">
      <c r="A75" s="76"/>
      <c r="B75" s="77">
        <v>0.64583333333333304</v>
      </c>
      <c r="C75" s="78">
        <f>IF($D$8="S-Bound",VLOOKUP($B75,'Data 15'!A166:G261,4,FALSE),IF($D$8="W-Bound",VLOOKUP($B75,'Data 15'!$H$104:$N$199,4,FALSE),IF($D$8="N-Bound",VLOOKUP($B75,'Data 15'!$O$104:$U$199,4,FALSE),VLOOKUP($B75,'Data 15'!$V$104:$AA$199,4,FALSE))))</f>
        <v>74</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161</v>
      </c>
      <c r="F75" s="78">
        <f t="shared" si="18"/>
        <v>235</v>
      </c>
      <c r="G75" s="78">
        <f>IF($D$8="E-Bound",VLOOKUP($B75,'Data 15'!$A$104:$G$199,3,FALSE),IF($D$8="S-Bound",VLOOKUP($B75,'Data 15'!$H$104:$N$199,3,FALSE),IF($D$8="W-Bound",VLOOKUP($B75,'Data 15'!$O$104:$U$199,3,FALSE),VLOOKUP($B75,'Data 15'!$V$104:$AA$199,3,FALSE))))</f>
        <v>630</v>
      </c>
      <c r="H75" s="79">
        <f>IF($D$8="E-Bound",VLOOKUP($B75,'Data 15'!$A$104:$G$199,4,FALSE),IF($D$8="S-Bound",VLOOKUP($B75,'Data 15'!$H$104:$N$199,4,FALSE),IF($D$8="W-Bound",VLOOKUP($B75,'Data 15'!$O$104:$U$199,4,FALSE),VLOOKUP($B75,'Data 15'!$V$104:$AA$199,4,FALSE))))</f>
        <v>327</v>
      </c>
      <c r="I75" s="78">
        <f>'RTF 1'!$G75/'Input &amp; Findings'!$G$31</f>
        <v>315</v>
      </c>
      <c r="J75" s="48">
        <f>IF('RTF 1'!$D$9=1,'Lookup Tables'!$J102,IF('RTF 1'!$D$9=2,'Lookup Tables'!$K102,IF('RTF 1'!$D$9=3,'Lookup Tables'!$L102,IF('RTF 1'!$D$9=4,'Lookup Tables'!$M102,'Lookup Tables'!$N102))))</f>
        <v>60</v>
      </c>
      <c r="K75" s="79">
        <f t="shared" si="0"/>
        <v>15</v>
      </c>
      <c r="L75" s="79">
        <f t="shared" si="1"/>
        <v>45</v>
      </c>
      <c r="M75" s="78">
        <f t="shared" si="2"/>
        <v>88.550000000000011</v>
      </c>
      <c r="N75" s="78">
        <f t="shared" si="3"/>
        <v>162.55000000000001</v>
      </c>
      <c r="O75" s="78">
        <f t="shared" si="4"/>
        <v>74</v>
      </c>
      <c r="P75" s="78">
        <f t="shared" si="5"/>
        <v>0</v>
      </c>
      <c r="Q75" s="78">
        <f t="shared" si="6"/>
        <v>161</v>
      </c>
      <c r="R75" s="78">
        <f t="shared" si="7"/>
        <v>235</v>
      </c>
      <c r="S75" s="78">
        <f t="shared" si="8"/>
        <v>164.5</v>
      </c>
      <c r="T75" s="78">
        <f t="shared" si="9"/>
        <v>82.25</v>
      </c>
      <c r="U75" s="78">
        <f t="shared" si="10"/>
        <v>0</v>
      </c>
      <c r="V75" s="78">
        <f t="shared" si="11"/>
        <v>0</v>
      </c>
      <c r="W75" s="78">
        <f t="shared" si="12"/>
        <v>74</v>
      </c>
      <c r="X75" s="78">
        <f t="shared" si="13"/>
        <v>161</v>
      </c>
      <c r="Y75" s="78">
        <f t="shared" si="14"/>
        <v>483</v>
      </c>
      <c r="Z75" s="78">
        <f t="shared" si="15"/>
        <v>222</v>
      </c>
      <c r="AA75" s="78">
        <f t="shared" si="16"/>
        <v>0</v>
      </c>
      <c r="AB75" s="78">
        <f t="shared" si="17"/>
        <v>0</v>
      </c>
      <c r="AC75" s="800"/>
    </row>
    <row r="76" spans="1:29" ht="16.05" customHeight="1" x14ac:dyDescent="0.25">
      <c r="A76" s="76"/>
      <c r="B76" s="77">
        <v>0.65625</v>
      </c>
      <c r="C76" s="78">
        <f>IF($D$8="S-Bound",VLOOKUP($B76,'Data 15'!A167:G262,4,FALSE),IF($D$8="W-Bound",VLOOKUP($B76,'Data 15'!$H$104:$N$199,4,FALSE),IF($D$8="N-Bound",VLOOKUP($B76,'Data 15'!$O$104:$U$199,4,FALSE),VLOOKUP($B76,'Data 15'!$V$104:$AA$199,4,FALSE))))</f>
        <v>81</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171</v>
      </c>
      <c r="F76" s="78">
        <f t="shared" si="18"/>
        <v>252</v>
      </c>
      <c r="G76" s="78">
        <f>IF($D$8="E-Bound",VLOOKUP($B76,'Data 15'!$A$104:$G$199,3,FALSE),IF($D$8="S-Bound",VLOOKUP($B76,'Data 15'!$H$104:$N$199,3,FALSE),IF($D$8="W-Bound",VLOOKUP($B76,'Data 15'!$O$104:$U$199,3,FALSE),VLOOKUP($B76,'Data 15'!$V$104:$AA$199,3,FALSE))))</f>
        <v>688</v>
      </c>
      <c r="H76" s="79">
        <f>IF($D$8="E-Bound",VLOOKUP($B76,'Data 15'!$A$104:$G$199,4,FALSE),IF($D$8="S-Bound",VLOOKUP($B76,'Data 15'!$H$104:$N$199,4,FALSE),IF($D$8="W-Bound",VLOOKUP($B76,'Data 15'!$O$104:$U$199,4,FALSE),VLOOKUP($B76,'Data 15'!$V$104:$AA$199,4,FALSE))))</f>
        <v>320</v>
      </c>
      <c r="I76" s="78">
        <f>'RTF 1'!$G76/'Input &amp; Findings'!$G$31</f>
        <v>344</v>
      </c>
      <c r="J76" s="48">
        <f>IF('RTF 1'!$D$9=1,'Lookup Tables'!$J103,IF('RTF 1'!$D$9=2,'Lookup Tables'!$K103,IF('RTF 1'!$D$9=3,'Lookup Tables'!$L103,IF('RTF 1'!$D$9=4,'Lookup Tables'!$M103,'Lookup Tables'!$N103))))</f>
        <v>60</v>
      </c>
      <c r="K76" s="79">
        <f t="shared" si="0"/>
        <v>15</v>
      </c>
      <c r="L76" s="79">
        <f t="shared" si="1"/>
        <v>45</v>
      </c>
      <c r="M76" s="78">
        <f t="shared" si="2"/>
        <v>94.050000000000011</v>
      </c>
      <c r="N76" s="78">
        <f t="shared" si="3"/>
        <v>175.05</v>
      </c>
      <c r="O76" s="78">
        <f t="shared" si="4"/>
        <v>81</v>
      </c>
      <c r="P76" s="78">
        <f t="shared" si="5"/>
        <v>0</v>
      </c>
      <c r="Q76" s="78">
        <f t="shared" si="6"/>
        <v>171</v>
      </c>
      <c r="R76" s="78">
        <f t="shared" si="7"/>
        <v>252</v>
      </c>
      <c r="S76" s="78">
        <f t="shared" si="8"/>
        <v>176.39999999999998</v>
      </c>
      <c r="T76" s="78">
        <f t="shared" si="9"/>
        <v>88.199999999999989</v>
      </c>
      <c r="U76" s="78">
        <f t="shared" si="10"/>
        <v>0</v>
      </c>
      <c r="V76" s="78">
        <f t="shared" si="11"/>
        <v>0</v>
      </c>
      <c r="W76" s="78">
        <f t="shared" si="12"/>
        <v>81</v>
      </c>
      <c r="X76" s="78">
        <f t="shared" si="13"/>
        <v>171</v>
      </c>
      <c r="Y76" s="78">
        <f t="shared" si="14"/>
        <v>513</v>
      </c>
      <c r="Z76" s="78">
        <f t="shared" si="15"/>
        <v>243</v>
      </c>
      <c r="AA76" s="78">
        <f t="shared" si="16"/>
        <v>0</v>
      </c>
      <c r="AB76" s="78">
        <f t="shared" si="17"/>
        <v>0</v>
      </c>
      <c r="AC76" s="800"/>
    </row>
    <row r="77" spans="1:29" ht="16.05" customHeight="1" x14ac:dyDescent="0.25">
      <c r="A77" s="76"/>
      <c r="B77" s="77">
        <v>0.66666666666666696</v>
      </c>
      <c r="C77" s="78">
        <f>IF($D$8="S-Bound",VLOOKUP($B77,'Data 15'!A168:G263,4,FALSE),IF($D$8="W-Bound",VLOOKUP($B77,'Data 15'!$H$104:$N$199,4,FALSE),IF($D$8="N-Bound",VLOOKUP($B77,'Data 15'!$O$104:$U$199,4,FALSE),VLOOKUP($B77,'Data 15'!$V$104:$AA$199,4,FALSE))))</f>
        <v>80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179</v>
      </c>
      <c r="F77" s="78">
        <f t="shared" si="18"/>
        <v>259</v>
      </c>
      <c r="G77" s="78">
        <f>IF($D$8="E-Bound",VLOOKUP($B77,'Data 15'!$A$104:$G$199,3,FALSE),IF($D$8="S-Bound",VLOOKUP($B77,'Data 15'!$H$104:$N$199,3,FALSE),IF($D$8="W-Bound",VLOOKUP($B77,'Data 15'!$O$104:$U$199,3,FALSE),VLOOKUP($B77,'Data 15'!$V$104:$AA$199,3,FALSE))))</f>
        <v>681</v>
      </c>
      <c r="H77" s="79">
        <f>IF($D$8="E-Bound",VLOOKUP($B77,'Data 15'!$A$104:$G$199,4,FALSE),IF($D$8="S-Bound",VLOOKUP($B77,'Data 15'!$H$104:$N$199,4,FALSE),IF($D$8="W-Bound",VLOOKUP($B77,'Data 15'!$O$104:$U$199,4,FALSE),VLOOKUP($B77,'Data 15'!$V$104:$AA$199,4,FALSE))))</f>
        <v>350</v>
      </c>
      <c r="I77" s="78">
        <f>'RTF 1'!$G77/'Input &amp; Findings'!$G$31</f>
        <v>340.5</v>
      </c>
      <c r="J77" s="48">
        <f>IF('RTF 1'!$D$9=1,'Lookup Tables'!$J104,IF('RTF 1'!$D$9=2,'Lookup Tables'!$K104,IF('RTF 1'!$D$9=3,'Lookup Tables'!$L104,IF('RTF 1'!$D$9=4,'Lookup Tables'!$M104,'Lookup Tables'!$N104))))</f>
        <v>60</v>
      </c>
      <c r="K77" s="79">
        <f t="shared" si="0"/>
        <v>15</v>
      </c>
      <c r="L77" s="79">
        <f t="shared" si="1"/>
        <v>45</v>
      </c>
      <c r="M77" s="78">
        <f t="shared" si="2"/>
        <v>98.45</v>
      </c>
      <c r="N77" s="78">
        <f t="shared" si="3"/>
        <v>178.45</v>
      </c>
      <c r="O77" s="78">
        <f t="shared" si="4"/>
        <v>80</v>
      </c>
      <c r="P77" s="78">
        <f t="shared" si="5"/>
        <v>0</v>
      </c>
      <c r="Q77" s="78">
        <f t="shared" si="6"/>
        <v>179</v>
      </c>
      <c r="R77" s="78">
        <f t="shared" si="7"/>
        <v>259</v>
      </c>
      <c r="S77" s="78">
        <f t="shared" si="8"/>
        <v>181.29999999999998</v>
      </c>
      <c r="T77" s="78">
        <f t="shared" si="9"/>
        <v>90.649999999999991</v>
      </c>
      <c r="U77" s="78">
        <f t="shared" si="10"/>
        <v>0</v>
      </c>
      <c r="V77" s="78">
        <f t="shared" si="11"/>
        <v>0</v>
      </c>
      <c r="W77" s="78">
        <f t="shared" si="12"/>
        <v>80</v>
      </c>
      <c r="X77" s="78">
        <f t="shared" si="13"/>
        <v>179</v>
      </c>
      <c r="Y77" s="78">
        <f t="shared" si="14"/>
        <v>537</v>
      </c>
      <c r="Z77" s="78">
        <f t="shared" si="15"/>
        <v>240</v>
      </c>
      <c r="AA77" s="78">
        <f t="shared" si="16"/>
        <v>0</v>
      </c>
      <c r="AB77" s="78">
        <f t="shared" si="17"/>
        <v>0</v>
      </c>
      <c r="AC77" s="800"/>
    </row>
    <row r="78" spans="1:29" ht="16.05" customHeight="1" x14ac:dyDescent="0.25">
      <c r="A78" s="76"/>
      <c r="B78" s="77">
        <v>0.67708333333333304</v>
      </c>
      <c r="C78" s="78">
        <f>IF($D$8="S-Bound",VLOOKUP($B78,'Data 15'!A169:G264,4,FALSE),IF($D$8="W-Bound",VLOOKUP($B78,'Data 15'!$H$104:$N$199,4,FALSE),IF($D$8="N-Bound",VLOOKUP($B78,'Data 15'!$O$104:$U$199,4,FALSE),VLOOKUP($B78,'Data 15'!$V$104:$AA$199,4,FALSE))))</f>
        <v>78</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163</v>
      </c>
      <c r="F78" s="78">
        <f t="shared" si="18"/>
        <v>241</v>
      </c>
      <c r="G78" s="78">
        <f>IF($D$8="E-Bound",VLOOKUP($B78,'Data 15'!$A$104:$G$199,3,FALSE),IF($D$8="S-Bound",VLOOKUP($B78,'Data 15'!$H$104:$N$199,3,FALSE),IF($D$8="W-Bound",VLOOKUP($B78,'Data 15'!$O$104:$U$199,3,FALSE),VLOOKUP($B78,'Data 15'!$V$104:$AA$199,3,FALSE))))</f>
        <v>734</v>
      </c>
      <c r="H78" s="79">
        <f>IF($D$8="E-Bound",VLOOKUP($B78,'Data 15'!$A$104:$G$199,4,FALSE),IF($D$8="S-Bound",VLOOKUP($B78,'Data 15'!$H$104:$N$199,4,FALSE),IF($D$8="W-Bound",VLOOKUP($B78,'Data 15'!$O$104:$U$199,4,FALSE),VLOOKUP($B78,'Data 15'!$V$104:$AA$199,4,FALSE))))</f>
        <v>369</v>
      </c>
      <c r="I78" s="78">
        <f>'RTF 1'!$G78/'Input &amp; Findings'!$G$31</f>
        <v>367</v>
      </c>
      <c r="J78" s="48">
        <f>IF('RTF 1'!$D$9=1,'Lookup Tables'!$J105,IF('RTF 1'!$D$9=2,'Lookup Tables'!$K105,IF('RTF 1'!$D$9=3,'Lookup Tables'!$L105,IF('RTF 1'!$D$9=4,'Lookup Tables'!$M105,'Lookup Tables'!$N105))))</f>
        <v>60</v>
      </c>
      <c r="K78" s="79">
        <f t="shared" ref="K78:K108" si="19">IF((C78+D78+E78)=0," ",IF((C78+D78+E78)&lt;2400,VLOOKUP(ROUNDDOWN(I78+H78,-2),$A$113:$C$136,3,FALSE),100))</f>
        <v>20</v>
      </c>
      <c r="L78" s="79">
        <f t="shared" ref="L78:L108" si="20">IF((C78+D78+E78)=0," ",(J78-K78))</f>
        <v>40</v>
      </c>
      <c r="M78" s="78">
        <f t="shared" ref="M78:M108" si="21">IF(E78=0,0,IF($J$1="Yes",((1-(L78/100))*E78),E78))</f>
        <v>97.8</v>
      </c>
      <c r="N78" s="78">
        <f t="shared" ref="N78:N108" si="22">IF(E78=0,F78,(M78+D78+C78))</f>
        <v>175.8</v>
      </c>
      <c r="O78" s="78">
        <f t="shared" ref="O78:O108" si="23">C78</f>
        <v>78</v>
      </c>
      <c r="P78" s="78">
        <f t="shared" ref="P78:P108" si="24">D78</f>
        <v>0</v>
      </c>
      <c r="Q78" s="78">
        <f t="shared" ref="Q78:Q108" si="25">E78</f>
        <v>163</v>
      </c>
      <c r="R78" s="78">
        <f t="shared" ref="R78:R108" si="26">IF(F78=0," ",F78)</f>
        <v>241</v>
      </c>
      <c r="S78" s="78">
        <f t="shared" ref="S78:S108" si="27">IF((C78+D78+E78)=0," ",(0.7*R78))</f>
        <v>168.7</v>
      </c>
      <c r="T78" s="78">
        <f t="shared" ref="T78:T108" si="28">IF((C78+D78+E78)=0," ",(0.35*R78))</f>
        <v>84.35</v>
      </c>
      <c r="U78" s="78">
        <f t="shared" ref="U78:U108" si="29">IF((C78+D78+E78)=0," ",(3*P78))</f>
        <v>0</v>
      </c>
      <c r="V78" s="78">
        <f t="shared" ref="V78:V108" si="30">IF((C78+D78+E78)=0," ",(P78/3))</f>
        <v>0</v>
      </c>
      <c r="W78" s="78">
        <f t="shared" ref="W78:W108" si="31">IF((D78+C78+E78)=0," ",(P78+O78))</f>
        <v>78</v>
      </c>
      <c r="X78" s="78">
        <f t="shared" ref="X78:X108" si="32">IF((C78+D78+E78)=0," ",(P78+Q78))</f>
        <v>163</v>
      </c>
      <c r="Y78" s="78">
        <f t="shared" ref="Y78:Y108" si="33">IF((C78+D78+E78)=0," ",(3*Q78))</f>
        <v>489</v>
      </c>
      <c r="Z78" s="78">
        <f t="shared" ref="Z78:Z108" si="34">IF((C78+D78+E78)=0," ",(3*O78))</f>
        <v>234</v>
      </c>
      <c r="AA78" s="78">
        <f t="shared" ref="AA78:AA108" si="35">IF((C78+D78+E78)=0," ",(P78/2))</f>
        <v>0</v>
      </c>
      <c r="AB78" s="78">
        <f t="shared" ref="AB78:AB108" si="36">IF((C78+D78+E78)=0," ",(P78/4))</f>
        <v>0</v>
      </c>
      <c r="AC78" s="800"/>
    </row>
    <row r="79" spans="1:29" ht="16.05" customHeight="1" x14ac:dyDescent="0.25">
      <c r="A79" s="76"/>
      <c r="B79" s="77">
        <v>0.6875</v>
      </c>
      <c r="C79" s="78">
        <f>IF($D$8="S-Bound",VLOOKUP($B79,'Data 15'!A170:G265,4,FALSE),IF($D$8="W-Bound",VLOOKUP($B79,'Data 15'!$H$104:$N$199,4,FALSE),IF($D$8="N-Bound",VLOOKUP($B79,'Data 15'!$O$104:$U$199,4,FALSE),VLOOKUP($B79,'Data 15'!$V$104:$AA$199,4,FALSE))))</f>
        <v>80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151</v>
      </c>
      <c r="F79" s="78">
        <f t="shared" ref="F79:F108" si="37">C79+D79+E79</f>
        <v>231</v>
      </c>
      <c r="G79" s="78">
        <f>IF($D$8="E-Bound",VLOOKUP($B79,'Data 15'!$A$104:$G$199,3,FALSE),IF($D$8="S-Bound",VLOOKUP($B79,'Data 15'!$H$104:$N$199,3,FALSE),IF($D$8="W-Bound",VLOOKUP($B79,'Data 15'!$O$104:$U$199,3,FALSE),VLOOKUP($B79,'Data 15'!$V$104:$AA$199,3,FALSE))))</f>
        <v>739</v>
      </c>
      <c r="H79" s="79">
        <f>IF($D$8="E-Bound",VLOOKUP($B79,'Data 15'!$A$104:$G$199,4,FALSE),IF($D$8="S-Bound",VLOOKUP($B79,'Data 15'!$H$104:$N$199,4,FALSE),IF($D$8="W-Bound",VLOOKUP($B79,'Data 15'!$O$104:$U$199,4,FALSE),VLOOKUP($B79,'Data 15'!$V$104:$AA$199,4,FALSE))))</f>
        <v>388</v>
      </c>
      <c r="I79" s="78">
        <f>'RTF 1'!$G79/'Input &amp; Findings'!$G$31</f>
        <v>369.5</v>
      </c>
      <c r="J79" s="48">
        <f>IF('RTF 1'!$D$9=1,'Lookup Tables'!$J106,IF('RTF 1'!$D$9=2,'Lookup Tables'!$K106,IF('RTF 1'!$D$9=3,'Lookup Tables'!$L106,IF('RTF 1'!$D$9=4,'Lookup Tables'!$M106,'Lookup Tables'!$N106))))</f>
        <v>60</v>
      </c>
      <c r="K79" s="79">
        <f t="shared" si="19"/>
        <v>20</v>
      </c>
      <c r="L79" s="79">
        <f t="shared" si="20"/>
        <v>40</v>
      </c>
      <c r="M79" s="78">
        <f t="shared" si="21"/>
        <v>90.6</v>
      </c>
      <c r="N79" s="78">
        <f t="shared" si="22"/>
        <v>170.6</v>
      </c>
      <c r="O79" s="78">
        <f t="shared" si="23"/>
        <v>80</v>
      </c>
      <c r="P79" s="78">
        <f t="shared" si="24"/>
        <v>0</v>
      </c>
      <c r="Q79" s="78">
        <f t="shared" si="25"/>
        <v>151</v>
      </c>
      <c r="R79" s="78">
        <f t="shared" si="26"/>
        <v>231</v>
      </c>
      <c r="S79" s="78">
        <f t="shared" si="27"/>
        <v>161.69999999999999</v>
      </c>
      <c r="T79" s="78">
        <f t="shared" si="28"/>
        <v>80.849999999999994</v>
      </c>
      <c r="U79" s="78">
        <f t="shared" si="29"/>
        <v>0</v>
      </c>
      <c r="V79" s="78">
        <f t="shared" si="30"/>
        <v>0</v>
      </c>
      <c r="W79" s="78">
        <f t="shared" si="31"/>
        <v>80</v>
      </c>
      <c r="X79" s="78">
        <f t="shared" si="32"/>
        <v>151</v>
      </c>
      <c r="Y79" s="78">
        <f t="shared" si="33"/>
        <v>453</v>
      </c>
      <c r="Z79" s="78">
        <f t="shared" si="34"/>
        <v>240</v>
      </c>
      <c r="AA79" s="78">
        <f t="shared" si="35"/>
        <v>0</v>
      </c>
      <c r="AB79" s="78">
        <f t="shared" si="36"/>
        <v>0</v>
      </c>
      <c r="AC79" s="800"/>
    </row>
    <row r="80" spans="1:29" ht="16.05" customHeight="1" x14ac:dyDescent="0.25">
      <c r="A80" s="76"/>
      <c r="B80" s="77">
        <v>0.69791666666666696</v>
      </c>
      <c r="C80" s="78">
        <f>IF($D$8="S-Bound",VLOOKUP($B80,'Data 15'!A171:G266,4,FALSE),IF($D$8="W-Bound",VLOOKUP($B80,'Data 15'!$H$104:$N$199,4,FALSE),IF($D$8="N-Bound",VLOOKUP($B80,'Data 15'!$O$104:$U$199,4,FALSE),VLOOKUP($B80,'Data 15'!$V$104:$AA$199,4,FALSE))))</f>
        <v>77</v>
      </c>
      <c r="D80" s="78">
        <f>IF($D$8="S-Bound",VLOOKUP($B80,'Data 15'!$A$104:$G$199,3,FALSE),IF($D$8="W-Bound",VLOOKUP($B80,'Data 15'!$H$104:$N$199,3,FALSE),IF($D$8="N-Bound",VLOOKUP($B80,'Data 15'!$O$104:$U$199,3,FALSE),VLOOKUP($B80,'Data 15'!$V$104:$AA$199,3,FALSE))))</f>
        <v>1</v>
      </c>
      <c r="E80" s="78">
        <f>IF($D$8="S-Bound",VLOOKUP($B80,'Data 15'!$A$104:$G$199,2,FALSE),IF($D$8="W-Bound",VLOOKUP($B80,'Data 15'!$H$104:$N$199,2,FALSE),IF($D$8="N-Bound",VLOOKUP($B80,'Data 15'!$O$104:$U$199,2,FALSE),VLOOKUP($B80,'Data 15'!$V$104:$AA$199,2,FALSE))))</f>
        <v>147</v>
      </c>
      <c r="F80" s="78">
        <f t="shared" si="37"/>
        <v>225</v>
      </c>
      <c r="G80" s="78">
        <f>IF($D$8="E-Bound",VLOOKUP($B80,'Data 15'!$A$104:$G$199,3,FALSE),IF($D$8="S-Bound",VLOOKUP($B80,'Data 15'!$H$104:$N$199,3,FALSE),IF($D$8="W-Bound",VLOOKUP($B80,'Data 15'!$O$104:$U$199,3,FALSE),VLOOKUP($B80,'Data 15'!$V$104:$AA$199,3,FALSE))))</f>
        <v>730</v>
      </c>
      <c r="H80" s="79">
        <f>IF($D$8="E-Bound",VLOOKUP($B80,'Data 15'!$A$104:$G$199,4,FALSE),IF($D$8="S-Bound",VLOOKUP($B80,'Data 15'!$H$104:$N$199,4,FALSE),IF($D$8="W-Bound",VLOOKUP($B80,'Data 15'!$O$104:$U$199,4,FALSE),VLOOKUP($B80,'Data 15'!$V$104:$AA$199,4,FALSE))))</f>
        <v>386</v>
      </c>
      <c r="I80" s="78">
        <f>'RTF 1'!$G80/'Input &amp; Findings'!$G$31</f>
        <v>365</v>
      </c>
      <c r="J80" s="48">
        <f>IF('RTF 1'!$D$9=1,'Lookup Tables'!$J107,IF('RTF 1'!$D$9=2,'Lookup Tables'!$K107,IF('RTF 1'!$D$9=3,'Lookup Tables'!$L107,IF('RTF 1'!$D$9=4,'Lookup Tables'!$M107,'Lookup Tables'!$N107))))</f>
        <v>60</v>
      </c>
      <c r="K80" s="79">
        <f t="shared" si="19"/>
        <v>20</v>
      </c>
      <c r="L80" s="79">
        <f t="shared" si="20"/>
        <v>40</v>
      </c>
      <c r="M80" s="78">
        <f t="shared" si="21"/>
        <v>88.2</v>
      </c>
      <c r="N80" s="78">
        <f t="shared" si="22"/>
        <v>166.2</v>
      </c>
      <c r="O80" s="78">
        <f t="shared" si="23"/>
        <v>77</v>
      </c>
      <c r="P80" s="78">
        <f t="shared" si="24"/>
        <v>1</v>
      </c>
      <c r="Q80" s="78">
        <f t="shared" si="25"/>
        <v>147</v>
      </c>
      <c r="R80" s="78">
        <f t="shared" si="26"/>
        <v>225</v>
      </c>
      <c r="S80" s="78">
        <f t="shared" si="27"/>
        <v>157.5</v>
      </c>
      <c r="T80" s="78">
        <f t="shared" si="28"/>
        <v>78.75</v>
      </c>
      <c r="U80" s="78">
        <f t="shared" si="29"/>
        <v>3</v>
      </c>
      <c r="V80" s="78">
        <f t="shared" si="30"/>
        <v>0.33333333333333331</v>
      </c>
      <c r="W80" s="78">
        <f t="shared" si="31"/>
        <v>78</v>
      </c>
      <c r="X80" s="78">
        <f t="shared" si="32"/>
        <v>148</v>
      </c>
      <c r="Y80" s="78">
        <f t="shared" si="33"/>
        <v>441</v>
      </c>
      <c r="Z80" s="78">
        <f t="shared" si="34"/>
        <v>231</v>
      </c>
      <c r="AA80" s="78">
        <f t="shared" si="35"/>
        <v>0.5</v>
      </c>
      <c r="AB80" s="78">
        <f t="shared" si="36"/>
        <v>0.25</v>
      </c>
      <c r="AC80" s="800"/>
    </row>
    <row r="81" spans="1:29" ht="16.05" customHeight="1" x14ac:dyDescent="0.25">
      <c r="A81" s="76"/>
      <c r="B81" s="77">
        <v>0.70833333333333304</v>
      </c>
      <c r="C81" s="78">
        <f>IF($D$8="S-Bound",VLOOKUP($B81,'Data 15'!A172:G267,4,FALSE),IF($D$8="W-Bound",VLOOKUP($B81,'Data 15'!$H$104:$N$199,4,FALSE),IF($D$8="N-Bound",VLOOKUP($B81,'Data 15'!$O$104:$U$199,4,FALSE),VLOOKUP($B81,'Data 15'!$V$104:$AA$199,4,FALSE))))</f>
        <v>68</v>
      </c>
      <c r="D81" s="78">
        <f>IF($D$8="S-Bound",VLOOKUP($B81,'Data 15'!$A$104:$G$199,3,FALSE),IF($D$8="W-Bound",VLOOKUP($B81,'Data 15'!$H$104:$N$199,3,FALSE),IF($D$8="N-Bound",VLOOKUP($B81,'Data 15'!$O$104:$U$199,3,FALSE),VLOOKUP($B81,'Data 15'!$V$104:$AA$199,3,FALSE))))</f>
        <v>1</v>
      </c>
      <c r="E81" s="78">
        <f>IF($D$8="S-Bound",VLOOKUP($B81,'Data 15'!$A$104:$G$199,2,FALSE),IF($D$8="W-Bound",VLOOKUP($B81,'Data 15'!$H$104:$N$199,2,FALSE),IF($D$8="N-Bound",VLOOKUP($B81,'Data 15'!$O$104:$U$199,2,FALSE),VLOOKUP($B81,'Data 15'!$V$104:$AA$199,2,FALSE))))</f>
        <v>139</v>
      </c>
      <c r="F81" s="78">
        <f t="shared" si="37"/>
        <v>208</v>
      </c>
      <c r="G81" s="78">
        <f>IF($D$8="E-Bound",VLOOKUP($B81,'Data 15'!$A$104:$G$199,3,FALSE),IF($D$8="S-Bound",VLOOKUP($B81,'Data 15'!$H$104:$N$199,3,FALSE),IF($D$8="W-Bound",VLOOKUP($B81,'Data 15'!$O$104:$U$199,3,FALSE),VLOOKUP($B81,'Data 15'!$V$104:$AA$199,3,FALSE))))</f>
        <v>751</v>
      </c>
      <c r="H81" s="79">
        <f>IF($D$8="E-Bound",VLOOKUP($B81,'Data 15'!$A$104:$G$199,4,FALSE),IF($D$8="S-Bound",VLOOKUP($B81,'Data 15'!$H$104:$N$199,4,FALSE),IF($D$8="W-Bound",VLOOKUP($B81,'Data 15'!$O$104:$U$199,4,FALSE),VLOOKUP($B81,'Data 15'!$V$104:$AA$199,4,FALSE))))</f>
        <v>390</v>
      </c>
      <c r="I81" s="78">
        <f>'RTF 1'!$G81/'Input &amp; Findings'!$G$31</f>
        <v>375.5</v>
      </c>
      <c r="J81" s="48">
        <f>IF('RTF 1'!$D$9=1,'Lookup Tables'!$J108,IF('RTF 1'!$D$9=2,'Lookup Tables'!$K108,IF('RTF 1'!$D$9=3,'Lookup Tables'!$L108,IF('RTF 1'!$D$9=4,'Lookup Tables'!$M108,'Lookup Tables'!$N108))))</f>
        <v>60</v>
      </c>
      <c r="K81" s="79">
        <f t="shared" si="19"/>
        <v>20</v>
      </c>
      <c r="L81" s="79">
        <f t="shared" si="20"/>
        <v>40</v>
      </c>
      <c r="M81" s="78">
        <f t="shared" si="21"/>
        <v>83.399999999999991</v>
      </c>
      <c r="N81" s="78">
        <f t="shared" si="22"/>
        <v>152.39999999999998</v>
      </c>
      <c r="O81" s="78">
        <f t="shared" si="23"/>
        <v>68</v>
      </c>
      <c r="P81" s="78">
        <f t="shared" si="24"/>
        <v>1</v>
      </c>
      <c r="Q81" s="78">
        <f t="shared" si="25"/>
        <v>139</v>
      </c>
      <c r="R81" s="78">
        <f t="shared" si="26"/>
        <v>208</v>
      </c>
      <c r="S81" s="78">
        <f t="shared" si="27"/>
        <v>145.6</v>
      </c>
      <c r="T81" s="78">
        <f t="shared" si="28"/>
        <v>72.8</v>
      </c>
      <c r="U81" s="78">
        <f t="shared" si="29"/>
        <v>3</v>
      </c>
      <c r="V81" s="78">
        <f t="shared" si="30"/>
        <v>0.33333333333333331</v>
      </c>
      <c r="W81" s="78">
        <f t="shared" si="31"/>
        <v>69</v>
      </c>
      <c r="X81" s="78">
        <f t="shared" si="32"/>
        <v>140</v>
      </c>
      <c r="Y81" s="78">
        <f t="shared" si="33"/>
        <v>417</v>
      </c>
      <c r="Z81" s="78">
        <f t="shared" si="34"/>
        <v>204</v>
      </c>
      <c r="AA81" s="78">
        <f t="shared" si="35"/>
        <v>0.5</v>
      </c>
      <c r="AB81" s="78">
        <f t="shared" si="36"/>
        <v>0.25</v>
      </c>
      <c r="AC81" s="800"/>
    </row>
    <row r="82" spans="1:29" ht="16.05" customHeight="1" x14ac:dyDescent="0.25">
      <c r="A82" s="76"/>
      <c r="B82" s="77">
        <v>0.71875</v>
      </c>
      <c r="C82" s="78">
        <f>IF($D$8="S-Bound",VLOOKUP($B82,'Data 15'!A173:G268,4,FALSE),IF($D$8="W-Bound",VLOOKUP($B82,'Data 15'!$H$104:$N$199,4,FALSE),IF($D$8="N-Bound",VLOOKUP($B82,'Data 15'!$O$104:$U$199,4,FALSE),VLOOKUP($B82,'Data 15'!$V$104:$AA$199,4,FALSE))))</f>
        <v>74</v>
      </c>
      <c r="D82" s="78">
        <f>IF($D$8="S-Bound",VLOOKUP($B82,'Data 15'!$A$104:$G$199,3,FALSE),IF($D$8="W-Bound",VLOOKUP($B82,'Data 15'!$H$104:$N$199,3,FALSE),IF($D$8="N-Bound",VLOOKUP($B82,'Data 15'!$O$104:$U$199,3,FALSE),VLOOKUP($B82,'Data 15'!$V$104:$AA$199,3,FALSE))))</f>
        <v>1</v>
      </c>
      <c r="E82" s="78">
        <f>IF($D$8="S-Bound",VLOOKUP($B82,'Data 15'!$A$104:$G$199,2,FALSE),IF($D$8="W-Bound",VLOOKUP($B82,'Data 15'!$H$104:$N$199,2,FALSE),IF($D$8="N-Bound",VLOOKUP($B82,'Data 15'!$O$104:$U$199,2,FALSE),VLOOKUP($B82,'Data 15'!$V$104:$AA$199,2,FALSE))))</f>
        <v>138</v>
      </c>
      <c r="F82" s="78">
        <f t="shared" si="37"/>
        <v>213</v>
      </c>
      <c r="G82" s="78">
        <f>IF($D$8="E-Bound",VLOOKUP($B82,'Data 15'!$A$104:$G$199,3,FALSE),IF($D$8="S-Bound",VLOOKUP($B82,'Data 15'!$H$104:$N$199,3,FALSE),IF($D$8="W-Bound",VLOOKUP($B82,'Data 15'!$O$104:$U$199,3,FALSE),VLOOKUP($B82,'Data 15'!$V$104:$AA$199,3,FALSE))))</f>
        <v>681</v>
      </c>
      <c r="H82" s="79">
        <f>IF($D$8="E-Bound",VLOOKUP($B82,'Data 15'!$A$104:$G$199,4,FALSE),IF($D$8="S-Bound",VLOOKUP($B82,'Data 15'!$H$104:$N$199,4,FALSE),IF($D$8="W-Bound",VLOOKUP($B82,'Data 15'!$O$104:$U$199,4,FALSE),VLOOKUP($B82,'Data 15'!$V$104:$AA$199,4,FALSE))))</f>
        <v>375</v>
      </c>
      <c r="I82" s="78">
        <f>'RTF 1'!$G82/'Input &amp; Findings'!$G$31</f>
        <v>340.5</v>
      </c>
      <c r="J82" s="48">
        <f>IF('RTF 1'!$D$9=1,'Lookup Tables'!$J109,IF('RTF 1'!$D$9=2,'Lookup Tables'!$K109,IF('RTF 1'!$D$9=3,'Lookup Tables'!$L109,IF('RTF 1'!$D$9=4,'Lookup Tables'!$M109,'Lookup Tables'!$N109))))</f>
        <v>60</v>
      </c>
      <c r="K82" s="79">
        <f t="shared" si="19"/>
        <v>20</v>
      </c>
      <c r="L82" s="79">
        <f t="shared" si="20"/>
        <v>40</v>
      </c>
      <c r="M82" s="78">
        <f t="shared" si="21"/>
        <v>82.8</v>
      </c>
      <c r="N82" s="78">
        <f t="shared" si="22"/>
        <v>157.80000000000001</v>
      </c>
      <c r="O82" s="78">
        <f t="shared" si="23"/>
        <v>74</v>
      </c>
      <c r="P82" s="78">
        <f t="shared" si="24"/>
        <v>1</v>
      </c>
      <c r="Q82" s="78">
        <f t="shared" si="25"/>
        <v>138</v>
      </c>
      <c r="R82" s="78">
        <f t="shared" si="26"/>
        <v>213</v>
      </c>
      <c r="S82" s="78">
        <f t="shared" si="27"/>
        <v>149.1</v>
      </c>
      <c r="T82" s="78">
        <f t="shared" si="28"/>
        <v>74.55</v>
      </c>
      <c r="U82" s="78">
        <f t="shared" si="29"/>
        <v>3</v>
      </c>
      <c r="V82" s="78">
        <f t="shared" si="30"/>
        <v>0.33333333333333331</v>
      </c>
      <c r="W82" s="78">
        <f t="shared" si="31"/>
        <v>75</v>
      </c>
      <c r="X82" s="78">
        <f t="shared" si="32"/>
        <v>139</v>
      </c>
      <c r="Y82" s="78">
        <f t="shared" si="33"/>
        <v>414</v>
      </c>
      <c r="Z82" s="78">
        <f t="shared" si="34"/>
        <v>222</v>
      </c>
      <c r="AA82" s="78">
        <f t="shared" si="35"/>
        <v>0.5</v>
      </c>
      <c r="AB82" s="78">
        <f t="shared" si="36"/>
        <v>0.25</v>
      </c>
      <c r="AC82" s="800"/>
    </row>
    <row r="83" spans="1:29" ht="16.05" customHeight="1" x14ac:dyDescent="0.25">
      <c r="A83" s="76"/>
      <c r="B83" s="77">
        <v>0.72916666666666696</v>
      </c>
      <c r="C83" s="78">
        <f>IF($D$8="S-Bound",VLOOKUP($B83,'Data 15'!A174:G269,4,FALSE),IF($D$8="W-Bound",VLOOKUP($B83,'Data 15'!$H$104:$N$199,4,FALSE),IF($D$8="N-Bound",VLOOKUP($B83,'Data 15'!$O$104:$U$199,4,FALSE),VLOOKUP($B83,'Data 15'!$V$104:$AA$199,4,FALSE))))</f>
        <v>69</v>
      </c>
      <c r="D83" s="78">
        <f>IF($D$8="S-Bound",VLOOKUP($B83,'Data 15'!$A$104:$G$199,3,FALSE),IF($D$8="W-Bound",VLOOKUP($B83,'Data 15'!$H$104:$N$199,3,FALSE),IF($D$8="N-Bound",VLOOKUP($B83,'Data 15'!$O$104:$U$199,3,FALSE),VLOOKUP($B83,'Data 15'!$V$104:$AA$199,3,FALSE))))</f>
        <v>1</v>
      </c>
      <c r="E83" s="78">
        <f>IF($D$8="S-Bound",VLOOKUP($B83,'Data 15'!$A$104:$G$199,2,FALSE),IF($D$8="W-Bound",VLOOKUP($B83,'Data 15'!$H$104:$N$199,2,FALSE),IF($D$8="N-Bound",VLOOKUP($B83,'Data 15'!$O$104:$U$199,2,FALSE),VLOOKUP($B83,'Data 15'!$V$104:$AA$199,2,FALSE))))</f>
        <v>135</v>
      </c>
      <c r="F83" s="78">
        <f t="shared" si="37"/>
        <v>205</v>
      </c>
      <c r="G83" s="78">
        <f>IF($D$8="E-Bound",VLOOKUP($B83,'Data 15'!$A$104:$G$199,3,FALSE),IF($D$8="S-Bound",VLOOKUP($B83,'Data 15'!$H$104:$N$199,3,FALSE),IF($D$8="W-Bound",VLOOKUP($B83,'Data 15'!$O$104:$U$199,3,FALSE),VLOOKUP($B83,'Data 15'!$V$104:$AA$199,3,FALSE))))</f>
        <v>593</v>
      </c>
      <c r="H83" s="79">
        <f>IF($D$8="E-Bound",VLOOKUP($B83,'Data 15'!$A$104:$G$199,4,FALSE),IF($D$8="S-Bound",VLOOKUP($B83,'Data 15'!$H$104:$N$199,4,FALSE),IF($D$8="W-Bound",VLOOKUP($B83,'Data 15'!$O$104:$U$199,4,FALSE),VLOOKUP($B83,'Data 15'!$V$104:$AA$199,4,FALSE))))</f>
        <v>371</v>
      </c>
      <c r="I83" s="78">
        <f>'RTF 1'!$G83/'Input &amp; Findings'!$G$31</f>
        <v>296.5</v>
      </c>
      <c r="J83" s="48">
        <f>IF('RTF 1'!$D$9=1,'Lookup Tables'!$J110,IF('RTF 1'!$D$9=2,'Lookup Tables'!$K110,IF('RTF 1'!$D$9=3,'Lookup Tables'!$L110,IF('RTF 1'!$D$9=4,'Lookup Tables'!$M110,'Lookup Tables'!$N110))))</f>
        <v>60</v>
      </c>
      <c r="K83" s="79">
        <f t="shared" si="19"/>
        <v>15</v>
      </c>
      <c r="L83" s="79">
        <f t="shared" si="20"/>
        <v>45</v>
      </c>
      <c r="M83" s="78">
        <f t="shared" si="21"/>
        <v>74.25</v>
      </c>
      <c r="N83" s="78">
        <f t="shared" si="22"/>
        <v>144.25</v>
      </c>
      <c r="O83" s="78">
        <f t="shared" si="23"/>
        <v>69</v>
      </c>
      <c r="P83" s="78">
        <f t="shared" si="24"/>
        <v>1</v>
      </c>
      <c r="Q83" s="78">
        <f t="shared" si="25"/>
        <v>135</v>
      </c>
      <c r="R83" s="78">
        <f t="shared" si="26"/>
        <v>205</v>
      </c>
      <c r="S83" s="78">
        <f t="shared" si="27"/>
        <v>143.5</v>
      </c>
      <c r="T83" s="78">
        <f t="shared" si="28"/>
        <v>71.75</v>
      </c>
      <c r="U83" s="78">
        <f t="shared" si="29"/>
        <v>3</v>
      </c>
      <c r="V83" s="78">
        <f t="shared" si="30"/>
        <v>0.33333333333333331</v>
      </c>
      <c r="W83" s="78">
        <f t="shared" si="31"/>
        <v>70</v>
      </c>
      <c r="X83" s="78">
        <f t="shared" si="32"/>
        <v>136</v>
      </c>
      <c r="Y83" s="78">
        <f t="shared" si="33"/>
        <v>405</v>
      </c>
      <c r="Z83" s="78">
        <f t="shared" si="34"/>
        <v>207</v>
      </c>
      <c r="AA83" s="78">
        <f t="shared" si="35"/>
        <v>0.5</v>
      </c>
      <c r="AB83" s="78">
        <f t="shared" si="36"/>
        <v>0.25</v>
      </c>
      <c r="AC83" s="800"/>
    </row>
    <row r="84" spans="1:29" ht="16.05" customHeight="1" x14ac:dyDescent="0.25">
      <c r="A84" s="76"/>
      <c r="B84" s="77">
        <v>0.73958333333333304</v>
      </c>
      <c r="C84" s="78">
        <f>IF($D$8="S-Bound",VLOOKUP($B84,'Data 15'!A175:G270,4,FALSE),IF($D$8="W-Bound",VLOOKUP($B84,'Data 15'!$H$104:$N$199,4,FALSE),IF($D$8="N-Bound",VLOOKUP($B84,'Data 15'!$O$104:$U$199,4,FALSE),VLOOKUP($B84,'Data 15'!$V$104:$AA$199,4,FALSE))))</f>
        <v>62</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127</v>
      </c>
      <c r="F84" s="78">
        <f t="shared" si="37"/>
        <v>189</v>
      </c>
      <c r="G84" s="78">
        <f>IF($D$8="E-Bound",VLOOKUP($B84,'Data 15'!$A$104:$G$199,3,FALSE),IF($D$8="S-Bound",VLOOKUP($B84,'Data 15'!$H$104:$N$199,3,FALSE),IF($D$8="W-Bound",VLOOKUP($B84,'Data 15'!$O$104:$U$199,3,FALSE),VLOOKUP($B84,'Data 15'!$V$104:$AA$199,3,FALSE))))</f>
        <v>530</v>
      </c>
      <c r="H84" s="79">
        <f>IF($D$8="E-Bound",VLOOKUP($B84,'Data 15'!$A$104:$G$199,4,FALSE),IF($D$8="S-Bound",VLOOKUP($B84,'Data 15'!$H$104:$N$199,4,FALSE),IF($D$8="W-Bound",VLOOKUP($B84,'Data 15'!$O$104:$U$199,4,FALSE),VLOOKUP($B84,'Data 15'!$V$104:$AA$199,4,FALSE))))</f>
        <v>349</v>
      </c>
      <c r="I84" s="78">
        <f>'RTF 1'!$G84/'Input &amp; Findings'!$G$31</f>
        <v>265</v>
      </c>
      <c r="J84" s="48">
        <f>IF('RTF 1'!$D$9=1,'Lookup Tables'!$J111,IF('RTF 1'!$D$9=2,'Lookup Tables'!$K111,IF('RTF 1'!$D$9=3,'Lookup Tables'!$L111,IF('RTF 1'!$D$9=4,'Lookup Tables'!$M111,'Lookup Tables'!$N111))))</f>
        <v>60</v>
      </c>
      <c r="K84" s="79">
        <f t="shared" si="19"/>
        <v>15</v>
      </c>
      <c r="L84" s="79">
        <f t="shared" si="20"/>
        <v>45</v>
      </c>
      <c r="M84" s="78">
        <f t="shared" si="21"/>
        <v>69.850000000000009</v>
      </c>
      <c r="N84" s="78">
        <f t="shared" si="22"/>
        <v>131.85000000000002</v>
      </c>
      <c r="O84" s="78">
        <f t="shared" si="23"/>
        <v>62</v>
      </c>
      <c r="P84" s="78">
        <f t="shared" si="24"/>
        <v>0</v>
      </c>
      <c r="Q84" s="78">
        <f t="shared" si="25"/>
        <v>127</v>
      </c>
      <c r="R84" s="78">
        <f t="shared" si="26"/>
        <v>189</v>
      </c>
      <c r="S84" s="78">
        <f t="shared" si="27"/>
        <v>132.29999999999998</v>
      </c>
      <c r="T84" s="78">
        <f t="shared" si="28"/>
        <v>66.149999999999991</v>
      </c>
      <c r="U84" s="78">
        <f t="shared" si="29"/>
        <v>0</v>
      </c>
      <c r="V84" s="78">
        <f t="shared" si="30"/>
        <v>0</v>
      </c>
      <c r="W84" s="78">
        <f t="shared" si="31"/>
        <v>62</v>
      </c>
      <c r="X84" s="78">
        <f t="shared" si="32"/>
        <v>127</v>
      </c>
      <c r="Y84" s="78">
        <f t="shared" si="33"/>
        <v>381</v>
      </c>
      <c r="Z84" s="78">
        <f t="shared" si="34"/>
        <v>186</v>
      </c>
      <c r="AA84" s="78">
        <f t="shared" si="35"/>
        <v>0</v>
      </c>
      <c r="AB84" s="78">
        <f t="shared" si="36"/>
        <v>0</v>
      </c>
      <c r="AC84" s="800"/>
    </row>
    <row r="85" spans="1:29" ht="16.05" customHeight="1" x14ac:dyDescent="0.25">
      <c r="A85" s="76"/>
      <c r="B85" s="77">
        <v>0.75</v>
      </c>
      <c r="C85" s="78">
        <f>IF($D$8="S-Bound",VLOOKUP($B85,'Data 15'!A176:G271,4,FALSE),IF($D$8="W-Bound",VLOOKUP($B85,'Data 15'!$H$104:$N$199,4,FALSE),IF($D$8="N-Bound",VLOOKUP($B85,'Data 15'!$O$104:$U$199,4,FALSE),VLOOKUP($B85,'Data 15'!$V$104:$AA$199,4,FALSE))))</f>
        <v>55</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111</v>
      </c>
      <c r="F85" s="78">
        <f t="shared" si="37"/>
        <v>166</v>
      </c>
      <c r="G85" s="78">
        <f>IF($D$8="E-Bound",VLOOKUP($B85,'Data 15'!$A$104:$G$199,3,FALSE),IF($D$8="S-Bound",VLOOKUP($B85,'Data 15'!$H$104:$N$199,3,FALSE),IF($D$8="W-Bound",VLOOKUP($B85,'Data 15'!$O$104:$U$199,3,FALSE),VLOOKUP($B85,'Data 15'!$V$104:$AA$199,3,FALSE))))</f>
        <v>511</v>
      </c>
      <c r="H85" s="79">
        <f>IF($D$8="E-Bound",VLOOKUP($B85,'Data 15'!$A$104:$G$199,4,FALSE),IF($D$8="S-Bound",VLOOKUP($B85,'Data 15'!$H$104:$N$199,4,FALSE),IF($D$8="W-Bound",VLOOKUP($B85,'Data 15'!$O$104:$U$199,4,FALSE),VLOOKUP($B85,'Data 15'!$V$104:$AA$199,4,FALSE))))</f>
        <v>321</v>
      </c>
      <c r="I85" s="78">
        <f>'RTF 1'!$G85/'Input &amp; Findings'!$G$31</f>
        <v>255.5</v>
      </c>
      <c r="J85" s="48">
        <f>IF('RTF 1'!$D$9=1,'Lookup Tables'!$J112,IF('RTF 1'!$D$9=2,'Lookup Tables'!$K112,IF('RTF 1'!$D$9=3,'Lookup Tables'!$L112,IF('RTF 1'!$D$9=4,'Lookup Tables'!$M112,'Lookup Tables'!$N112))))</f>
        <v>60</v>
      </c>
      <c r="K85" s="79">
        <f t="shared" si="19"/>
        <v>10</v>
      </c>
      <c r="L85" s="79">
        <f t="shared" si="20"/>
        <v>50</v>
      </c>
      <c r="M85" s="78">
        <f t="shared" si="21"/>
        <v>55.5</v>
      </c>
      <c r="N85" s="78">
        <f t="shared" si="22"/>
        <v>110.5</v>
      </c>
      <c r="O85" s="78">
        <f t="shared" si="23"/>
        <v>55</v>
      </c>
      <c r="P85" s="78">
        <f t="shared" si="24"/>
        <v>0</v>
      </c>
      <c r="Q85" s="78">
        <f t="shared" si="25"/>
        <v>111</v>
      </c>
      <c r="R85" s="78">
        <f t="shared" si="26"/>
        <v>166</v>
      </c>
      <c r="S85" s="78">
        <f t="shared" si="27"/>
        <v>116.19999999999999</v>
      </c>
      <c r="T85" s="78">
        <f t="shared" si="28"/>
        <v>58.099999999999994</v>
      </c>
      <c r="U85" s="78">
        <f t="shared" si="29"/>
        <v>0</v>
      </c>
      <c r="V85" s="78">
        <f t="shared" si="30"/>
        <v>0</v>
      </c>
      <c r="W85" s="78">
        <f t="shared" si="31"/>
        <v>55</v>
      </c>
      <c r="X85" s="78">
        <f t="shared" si="32"/>
        <v>111</v>
      </c>
      <c r="Y85" s="78">
        <f t="shared" si="33"/>
        <v>333</v>
      </c>
      <c r="Z85" s="78">
        <f t="shared" si="34"/>
        <v>165</v>
      </c>
      <c r="AA85" s="78">
        <f t="shared" si="35"/>
        <v>0</v>
      </c>
      <c r="AB85" s="78">
        <f t="shared" si="36"/>
        <v>0</v>
      </c>
      <c r="AC85" s="800"/>
    </row>
    <row r="86" spans="1:29" ht="16.05" customHeight="1" x14ac:dyDescent="0.25">
      <c r="A86" s="76"/>
      <c r="B86" s="77">
        <v>0.76041666666666696</v>
      </c>
      <c r="C86" s="78">
        <f>IF($D$8="S-Bound",VLOOKUP($B86,'Data 15'!A177:G272,4,FALSE),IF($D$8="W-Bound",VLOOKUP($B86,'Data 15'!$H$104:$N$199,4,FALSE),IF($D$8="N-Bound",VLOOKUP($B86,'Data 15'!$O$104:$U$199,4,FALSE),VLOOKUP($B86,'Data 15'!$V$104:$AA$199,4,FALSE))))</f>
        <v>31</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84</v>
      </c>
      <c r="F86" s="78">
        <f t="shared" si="37"/>
        <v>115</v>
      </c>
      <c r="G86" s="78">
        <f>IF($D$8="E-Bound",VLOOKUP($B86,'Data 15'!$A$104:$G$199,3,FALSE),IF($D$8="S-Bound",VLOOKUP($B86,'Data 15'!$H$104:$N$199,3,FALSE),IF($D$8="W-Bound",VLOOKUP($B86,'Data 15'!$O$104:$U$199,3,FALSE),VLOOKUP($B86,'Data 15'!$V$104:$AA$199,3,FALSE))))</f>
        <v>385</v>
      </c>
      <c r="H86" s="79">
        <f>IF($D$8="E-Bound",VLOOKUP($B86,'Data 15'!$A$104:$G$199,4,FALSE),IF($D$8="S-Bound",VLOOKUP($B86,'Data 15'!$H$104:$N$199,4,FALSE),IF($D$8="W-Bound",VLOOKUP($B86,'Data 15'!$O$104:$U$199,4,FALSE),VLOOKUP($B86,'Data 15'!$V$104:$AA$199,4,FALSE))))</f>
        <v>235</v>
      </c>
      <c r="I86" s="78">
        <f>'RTF 1'!$G86/'Input &amp; Findings'!$G$31</f>
        <v>192.5</v>
      </c>
      <c r="J86" s="48">
        <f>IF('RTF 1'!$D$9=1,'Lookup Tables'!$J113,IF('RTF 1'!$D$9=2,'Lookup Tables'!$K113,IF('RTF 1'!$D$9=3,'Lookup Tables'!$L113,IF('RTF 1'!$D$9=4,'Lookup Tables'!$M113,'Lookup Tables'!$N113))))</f>
        <v>60</v>
      </c>
      <c r="K86" s="79">
        <f t="shared" si="19"/>
        <v>5</v>
      </c>
      <c r="L86" s="79">
        <f t="shared" si="20"/>
        <v>55</v>
      </c>
      <c r="M86" s="78">
        <f t="shared" si="21"/>
        <v>37.799999999999997</v>
      </c>
      <c r="N86" s="78">
        <f t="shared" si="22"/>
        <v>68.8</v>
      </c>
      <c r="O86" s="78">
        <f t="shared" si="23"/>
        <v>31</v>
      </c>
      <c r="P86" s="78">
        <f t="shared" si="24"/>
        <v>0</v>
      </c>
      <c r="Q86" s="78">
        <f t="shared" si="25"/>
        <v>84</v>
      </c>
      <c r="R86" s="78">
        <f t="shared" si="26"/>
        <v>115</v>
      </c>
      <c r="S86" s="78">
        <f t="shared" si="27"/>
        <v>80.5</v>
      </c>
      <c r="T86" s="78">
        <f t="shared" si="28"/>
        <v>40.25</v>
      </c>
      <c r="U86" s="78">
        <f t="shared" si="29"/>
        <v>0</v>
      </c>
      <c r="V86" s="78">
        <f t="shared" si="30"/>
        <v>0</v>
      </c>
      <c r="W86" s="78">
        <f t="shared" si="31"/>
        <v>31</v>
      </c>
      <c r="X86" s="78">
        <f t="shared" si="32"/>
        <v>84</v>
      </c>
      <c r="Y86" s="78">
        <f t="shared" si="33"/>
        <v>252</v>
      </c>
      <c r="Z86" s="78">
        <f t="shared" si="34"/>
        <v>93</v>
      </c>
      <c r="AA86" s="78">
        <f t="shared" si="35"/>
        <v>0</v>
      </c>
      <c r="AB86" s="78">
        <f t="shared" si="36"/>
        <v>0</v>
      </c>
      <c r="AC86" s="800"/>
    </row>
    <row r="87" spans="1:29" ht="16.05" customHeight="1" x14ac:dyDescent="0.25">
      <c r="A87" s="76"/>
      <c r="B87" s="77">
        <v>0.77083333333333304</v>
      </c>
      <c r="C87" s="78">
        <f>IF($D$8="S-Bound",VLOOKUP($B87,'Data 15'!A178:G273,4,FALSE),IF($D$8="W-Bound",VLOOKUP($B87,'Data 15'!$H$104:$N$199,4,FALSE),IF($D$8="N-Bound",VLOOKUP($B87,'Data 15'!$O$104:$U$199,4,FALSE),VLOOKUP($B87,'Data 15'!$V$104:$AA$199,4,FALSE))))</f>
        <v>16</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50</v>
      </c>
      <c r="F87" s="78">
        <f t="shared" si="37"/>
        <v>66</v>
      </c>
      <c r="G87" s="78">
        <f>IF($D$8="E-Bound",VLOOKUP($B87,'Data 15'!$A$104:$G$199,3,FALSE),IF($D$8="S-Bound",VLOOKUP($B87,'Data 15'!$H$104:$N$199,3,FALSE),IF($D$8="W-Bound",VLOOKUP($B87,'Data 15'!$O$104:$U$199,3,FALSE),VLOOKUP($B87,'Data 15'!$V$104:$AA$199,3,FALSE))))</f>
        <v>277</v>
      </c>
      <c r="H87" s="79">
        <f>IF($D$8="E-Bound",VLOOKUP($B87,'Data 15'!$A$104:$G$199,4,FALSE),IF($D$8="S-Bound",VLOOKUP($B87,'Data 15'!$H$104:$N$199,4,FALSE),IF($D$8="W-Bound",VLOOKUP($B87,'Data 15'!$O$104:$U$199,4,FALSE),VLOOKUP($B87,'Data 15'!$V$104:$AA$199,4,FALSE))))</f>
        <v>144</v>
      </c>
      <c r="I87" s="78">
        <f>'RTF 1'!$G87/'Input &amp; Findings'!$G$31</f>
        <v>138.5</v>
      </c>
      <c r="J87" s="48">
        <f>IF('RTF 1'!$D$9=1,'Lookup Tables'!$J114,IF('RTF 1'!$D$9=2,'Lookup Tables'!$K114,IF('RTF 1'!$D$9=3,'Lookup Tables'!$L114,IF('RTF 1'!$D$9=4,'Lookup Tables'!$M114,'Lookup Tables'!$N114))))</f>
        <v>60</v>
      </c>
      <c r="K87" s="79">
        <f t="shared" si="19"/>
        <v>0</v>
      </c>
      <c r="L87" s="79">
        <f t="shared" si="20"/>
        <v>60</v>
      </c>
      <c r="M87" s="78">
        <f t="shared" si="21"/>
        <v>20</v>
      </c>
      <c r="N87" s="78">
        <f t="shared" si="22"/>
        <v>36</v>
      </c>
      <c r="O87" s="78">
        <f t="shared" si="23"/>
        <v>16</v>
      </c>
      <c r="P87" s="78">
        <f t="shared" si="24"/>
        <v>0</v>
      </c>
      <c r="Q87" s="78">
        <f t="shared" si="25"/>
        <v>50</v>
      </c>
      <c r="R87" s="78">
        <f t="shared" si="26"/>
        <v>66</v>
      </c>
      <c r="S87" s="78">
        <f t="shared" si="27"/>
        <v>46.199999999999996</v>
      </c>
      <c r="T87" s="78">
        <f t="shared" si="28"/>
        <v>23.099999999999998</v>
      </c>
      <c r="U87" s="78">
        <f t="shared" si="29"/>
        <v>0</v>
      </c>
      <c r="V87" s="78">
        <f t="shared" si="30"/>
        <v>0</v>
      </c>
      <c r="W87" s="78">
        <f t="shared" si="31"/>
        <v>16</v>
      </c>
      <c r="X87" s="78">
        <f t="shared" si="32"/>
        <v>50</v>
      </c>
      <c r="Y87" s="78">
        <f t="shared" si="33"/>
        <v>150</v>
      </c>
      <c r="Z87" s="78">
        <f t="shared" si="34"/>
        <v>48</v>
      </c>
      <c r="AA87" s="78">
        <f t="shared" si="35"/>
        <v>0</v>
      </c>
      <c r="AB87" s="78">
        <f t="shared" si="36"/>
        <v>0</v>
      </c>
      <c r="AC87" s="800"/>
    </row>
    <row r="88" spans="1:29" ht="16.05" customHeight="1" x14ac:dyDescent="0.25">
      <c r="A88" s="76"/>
      <c r="B88" s="77">
        <v>0.78125</v>
      </c>
      <c r="C88" s="78">
        <f>IF($D$8="S-Bound",VLOOKUP($B88,'Data 15'!A179:G274,4,FALSE),IF($D$8="W-Bound",VLOOKUP($B88,'Data 15'!$H$104:$N$199,4,FALSE),IF($D$8="N-Bound",VLOOKUP($B88,'Data 15'!$O$104:$U$199,4,FALSE),VLOOKUP($B88,'Data 15'!$V$104:$AA$199,4,FALSE))))</f>
        <v>7</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18</v>
      </c>
      <c r="F88" s="78">
        <f t="shared" si="37"/>
        <v>25</v>
      </c>
      <c r="G88" s="78">
        <f>IF($D$8="E-Bound",VLOOKUP($B88,'Data 15'!$A$104:$G$199,3,FALSE),IF($D$8="S-Bound",VLOOKUP($B88,'Data 15'!$H$104:$N$199,3,FALSE),IF($D$8="W-Bound",VLOOKUP($B88,'Data 15'!$O$104:$U$199,3,FALSE),VLOOKUP($B88,'Data 15'!$V$104:$AA$199,3,FALSE))))</f>
        <v>151</v>
      </c>
      <c r="H88" s="79">
        <f>IF($D$8="E-Bound",VLOOKUP($B88,'Data 15'!$A$104:$G$199,4,FALSE),IF($D$8="S-Bound",VLOOKUP($B88,'Data 15'!$H$104:$N$199,4,FALSE),IF($D$8="W-Bound",VLOOKUP($B88,'Data 15'!$O$104:$U$199,4,FALSE),VLOOKUP($B88,'Data 15'!$V$104:$AA$199,4,FALSE))))</f>
        <v>78</v>
      </c>
      <c r="I88" s="78">
        <f>'RTF 1'!$G88/'Input &amp; Findings'!$G$31</f>
        <v>75.5</v>
      </c>
      <c r="J88" s="48">
        <f>IF('RTF 1'!$D$9=1,'Lookup Tables'!$J115,IF('RTF 1'!$D$9=2,'Lookup Tables'!$K115,IF('RTF 1'!$D$9=3,'Lookup Tables'!$L115,IF('RTF 1'!$D$9=4,'Lookup Tables'!$M115,'Lookup Tables'!$N115))))</f>
        <v>60</v>
      </c>
      <c r="K88" s="79">
        <f t="shared" si="19"/>
        <v>0</v>
      </c>
      <c r="L88" s="79">
        <f t="shared" si="20"/>
        <v>60</v>
      </c>
      <c r="M88" s="78">
        <f t="shared" si="21"/>
        <v>7.2</v>
      </c>
      <c r="N88" s="78">
        <f t="shared" si="22"/>
        <v>14.2</v>
      </c>
      <c r="O88" s="78">
        <f t="shared" si="23"/>
        <v>7</v>
      </c>
      <c r="P88" s="78">
        <f t="shared" si="24"/>
        <v>0</v>
      </c>
      <c r="Q88" s="78">
        <f t="shared" si="25"/>
        <v>18</v>
      </c>
      <c r="R88" s="78">
        <f t="shared" si="26"/>
        <v>25</v>
      </c>
      <c r="S88" s="78">
        <f t="shared" si="27"/>
        <v>17.5</v>
      </c>
      <c r="T88" s="78">
        <f t="shared" si="28"/>
        <v>8.75</v>
      </c>
      <c r="U88" s="78">
        <f t="shared" si="29"/>
        <v>0</v>
      </c>
      <c r="V88" s="78">
        <f t="shared" si="30"/>
        <v>0</v>
      </c>
      <c r="W88" s="78">
        <f t="shared" si="31"/>
        <v>7</v>
      </c>
      <c r="X88" s="78">
        <f t="shared" si="32"/>
        <v>18</v>
      </c>
      <c r="Y88" s="78">
        <f t="shared" si="33"/>
        <v>54</v>
      </c>
      <c r="Z88" s="78">
        <f t="shared" si="34"/>
        <v>21</v>
      </c>
      <c r="AA88" s="78">
        <f t="shared" si="35"/>
        <v>0</v>
      </c>
      <c r="AB88" s="78">
        <f t="shared" si="36"/>
        <v>0</v>
      </c>
      <c r="AC88" s="800"/>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7"/>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1'!$G89/'Input &amp; Findings'!$G$31</f>
        <v>0</v>
      </c>
      <c r="J89" s="48">
        <f>IF('RTF 1'!$D$9=1,'Lookup Tables'!$J116,IF('RTF 1'!$D$9=2,'Lookup Tables'!$K116,IF('RTF 1'!$D$9=3,'Lookup Tables'!$L116,IF('RTF 1'!$D$9=4,'Lookup Tables'!$M116,'Lookup Tables'!$N116))))</f>
        <v>20</v>
      </c>
      <c r="K89" s="79" t="str">
        <f t="shared" si="19"/>
        <v xml:space="preserve"> </v>
      </c>
      <c r="L89" s="79" t="str">
        <f t="shared" si="20"/>
        <v xml:space="preserve"> </v>
      </c>
      <c r="M89" s="78">
        <f t="shared" si="21"/>
        <v>0</v>
      </c>
      <c r="N89" s="78">
        <f t="shared" si="22"/>
        <v>0</v>
      </c>
      <c r="O89" s="78">
        <f t="shared" si="23"/>
        <v>0</v>
      </c>
      <c r="P89" s="78">
        <f t="shared" si="24"/>
        <v>0</v>
      </c>
      <c r="Q89" s="78">
        <f t="shared" si="25"/>
        <v>0</v>
      </c>
      <c r="R89" s="78" t="str">
        <f t="shared" si="26"/>
        <v xml:space="preserve"> </v>
      </c>
      <c r="S89" s="78" t="str">
        <f t="shared" si="27"/>
        <v xml:space="preserve"> </v>
      </c>
      <c r="T89" s="78" t="str">
        <f t="shared" si="28"/>
        <v xml:space="preserve"> </v>
      </c>
      <c r="U89" s="78" t="str">
        <f t="shared" si="29"/>
        <v xml:space="preserve"> </v>
      </c>
      <c r="V89" s="78" t="str">
        <f t="shared" si="30"/>
        <v xml:space="preserve"> </v>
      </c>
      <c r="W89" s="78" t="str">
        <f t="shared" si="31"/>
        <v xml:space="preserve"> </v>
      </c>
      <c r="X89" s="78" t="str">
        <f t="shared" si="32"/>
        <v xml:space="preserve"> </v>
      </c>
      <c r="Y89" s="78" t="str">
        <f t="shared" si="33"/>
        <v xml:space="preserve"> </v>
      </c>
      <c r="Z89" s="78" t="str">
        <f t="shared" si="34"/>
        <v xml:space="preserve"> </v>
      </c>
      <c r="AA89" s="78" t="str">
        <f t="shared" si="35"/>
        <v xml:space="preserve"> </v>
      </c>
      <c r="AB89" s="78" t="str">
        <f t="shared" si="36"/>
        <v xml:space="preserve"> </v>
      </c>
      <c r="AC89" s="800"/>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7"/>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1'!$G90/'Input &amp; Findings'!$G$31</f>
        <v>0</v>
      </c>
      <c r="J90" s="48">
        <f>IF('RTF 1'!$D$9=1,'Lookup Tables'!$J117,IF('RTF 1'!$D$9=2,'Lookup Tables'!$K117,IF('RTF 1'!$D$9=3,'Lookup Tables'!$L117,IF('RTF 1'!$D$9=4,'Lookup Tables'!$M117,'Lookup Tables'!$N117))))</f>
        <v>20</v>
      </c>
      <c r="K90" s="79" t="str">
        <f t="shared" si="19"/>
        <v xml:space="preserve"> </v>
      </c>
      <c r="L90" s="79" t="str">
        <f t="shared" si="20"/>
        <v xml:space="preserve"> </v>
      </c>
      <c r="M90" s="78">
        <f t="shared" si="21"/>
        <v>0</v>
      </c>
      <c r="N90" s="78">
        <f t="shared" si="22"/>
        <v>0</v>
      </c>
      <c r="O90" s="78">
        <f t="shared" si="23"/>
        <v>0</v>
      </c>
      <c r="P90" s="78">
        <f t="shared" si="24"/>
        <v>0</v>
      </c>
      <c r="Q90" s="78">
        <f t="shared" si="25"/>
        <v>0</v>
      </c>
      <c r="R90" s="78" t="str">
        <f t="shared" si="26"/>
        <v xml:space="preserve"> </v>
      </c>
      <c r="S90" s="78" t="str">
        <f t="shared" si="27"/>
        <v xml:space="preserve"> </v>
      </c>
      <c r="T90" s="78" t="str">
        <f t="shared" si="28"/>
        <v xml:space="preserve"> </v>
      </c>
      <c r="U90" s="78" t="str">
        <f t="shared" si="29"/>
        <v xml:space="preserve"> </v>
      </c>
      <c r="V90" s="78" t="str">
        <f t="shared" si="30"/>
        <v xml:space="preserve"> </v>
      </c>
      <c r="W90" s="78" t="str">
        <f t="shared" si="31"/>
        <v xml:space="preserve"> </v>
      </c>
      <c r="X90" s="78" t="str">
        <f t="shared" si="32"/>
        <v xml:space="preserve"> </v>
      </c>
      <c r="Y90" s="78" t="str">
        <f t="shared" si="33"/>
        <v xml:space="preserve"> </v>
      </c>
      <c r="Z90" s="78" t="str">
        <f t="shared" si="34"/>
        <v xml:space="preserve"> </v>
      </c>
      <c r="AA90" s="78" t="str">
        <f t="shared" si="35"/>
        <v xml:space="preserve"> </v>
      </c>
      <c r="AB90" s="78" t="str">
        <f t="shared" si="36"/>
        <v xml:space="preserve"> </v>
      </c>
      <c r="AC90" s="800"/>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7"/>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1'!$G91/'Input &amp; Findings'!$G$31</f>
        <v>0</v>
      </c>
      <c r="J91" s="48">
        <f>IF('RTF 1'!$D$9=1,'Lookup Tables'!$J118,IF('RTF 1'!$D$9=2,'Lookup Tables'!$K118,IF('RTF 1'!$D$9=3,'Lookup Tables'!$L118,IF('RTF 1'!$D$9=4,'Lookup Tables'!$M118,'Lookup Tables'!$N118))))</f>
        <v>20</v>
      </c>
      <c r="K91" s="79" t="str">
        <f t="shared" si="19"/>
        <v xml:space="preserve"> </v>
      </c>
      <c r="L91" s="79" t="str">
        <f t="shared" si="20"/>
        <v xml:space="preserve"> </v>
      </c>
      <c r="M91" s="78">
        <f t="shared" si="21"/>
        <v>0</v>
      </c>
      <c r="N91" s="78">
        <f t="shared" si="22"/>
        <v>0</v>
      </c>
      <c r="O91" s="78">
        <f t="shared" si="23"/>
        <v>0</v>
      </c>
      <c r="P91" s="78">
        <f t="shared" si="24"/>
        <v>0</v>
      </c>
      <c r="Q91" s="78">
        <f t="shared" si="25"/>
        <v>0</v>
      </c>
      <c r="R91" s="78" t="str">
        <f t="shared" si="26"/>
        <v xml:space="preserve"> </v>
      </c>
      <c r="S91" s="78" t="str">
        <f t="shared" si="27"/>
        <v xml:space="preserve"> </v>
      </c>
      <c r="T91" s="78" t="str">
        <f t="shared" si="28"/>
        <v xml:space="preserve"> </v>
      </c>
      <c r="U91" s="78" t="str">
        <f t="shared" si="29"/>
        <v xml:space="preserve"> </v>
      </c>
      <c r="V91" s="78" t="str">
        <f t="shared" si="30"/>
        <v xml:space="preserve"> </v>
      </c>
      <c r="W91" s="78" t="str">
        <f t="shared" si="31"/>
        <v xml:space="preserve"> </v>
      </c>
      <c r="X91" s="78" t="str">
        <f t="shared" si="32"/>
        <v xml:space="preserve"> </v>
      </c>
      <c r="Y91" s="78" t="str">
        <f t="shared" si="33"/>
        <v xml:space="preserve"> </v>
      </c>
      <c r="Z91" s="78" t="str">
        <f t="shared" si="34"/>
        <v xml:space="preserve"> </v>
      </c>
      <c r="AA91" s="78" t="str">
        <f t="shared" si="35"/>
        <v xml:space="preserve"> </v>
      </c>
      <c r="AB91" s="78" t="str">
        <f t="shared" si="36"/>
        <v xml:space="preserve"> </v>
      </c>
      <c r="AC91" s="800"/>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7"/>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1'!$G92/'Input &amp; Findings'!$G$31</f>
        <v>0</v>
      </c>
      <c r="J92" s="48">
        <f>IF('RTF 1'!$D$9=1,'Lookup Tables'!$J119,IF('RTF 1'!$D$9=2,'Lookup Tables'!$K119,IF('RTF 1'!$D$9=3,'Lookup Tables'!$L119,IF('RTF 1'!$D$9=4,'Lookup Tables'!$M119,'Lookup Tables'!$N119))))</f>
        <v>20</v>
      </c>
      <c r="K92" s="79" t="str">
        <f t="shared" si="19"/>
        <v xml:space="preserve"> </v>
      </c>
      <c r="L92" s="79" t="str">
        <f t="shared" si="20"/>
        <v xml:space="preserve"> </v>
      </c>
      <c r="M92" s="78">
        <f t="shared" si="21"/>
        <v>0</v>
      </c>
      <c r="N92" s="78">
        <f t="shared" si="22"/>
        <v>0</v>
      </c>
      <c r="O92" s="78">
        <f t="shared" si="23"/>
        <v>0</v>
      </c>
      <c r="P92" s="78">
        <f t="shared" si="24"/>
        <v>0</v>
      </c>
      <c r="Q92" s="78">
        <f t="shared" si="25"/>
        <v>0</v>
      </c>
      <c r="R92" s="78" t="str">
        <f t="shared" si="26"/>
        <v xml:space="preserve"> </v>
      </c>
      <c r="S92" s="78" t="str">
        <f t="shared" si="27"/>
        <v xml:space="preserve"> </v>
      </c>
      <c r="T92" s="78" t="str">
        <f t="shared" si="28"/>
        <v xml:space="preserve"> </v>
      </c>
      <c r="U92" s="78" t="str">
        <f t="shared" si="29"/>
        <v xml:space="preserve"> </v>
      </c>
      <c r="V92" s="78" t="str">
        <f t="shared" si="30"/>
        <v xml:space="preserve"> </v>
      </c>
      <c r="W92" s="78" t="str">
        <f t="shared" si="31"/>
        <v xml:space="preserve"> </v>
      </c>
      <c r="X92" s="78" t="str">
        <f t="shared" si="32"/>
        <v xml:space="preserve"> </v>
      </c>
      <c r="Y92" s="78" t="str">
        <f t="shared" si="33"/>
        <v xml:space="preserve"> </v>
      </c>
      <c r="Z92" s="78" t="str">
        <f t="shared" si="34"/>
        <v xml:space="preserve"> </v>
      </c>
      <c r="AA92" s="78" t="str">
        <f t="shared" si="35"/>
        <v xml:space="preserve"> </v>
      </c>
      <c r="AB92" s="78" t="str">
        <f t="shared" si="36"/>
        <v xml:space="preserve"> </v>
      </c>
      <c r="AC92" s="800"/>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7"/>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1'!$G93/'Input &amp; Findings'!$G$31</f>
        <v>0</v>
      </c>
      <c r="J93" s="48">
        <f>IF('RTF 1'!$D$9=1,'Lookup Tables'!$J120,IF('RTF 1'!$D$9=2,'Lookup Tables'!$K120,IF('RTF 1'!$D$9=3,'Lookup Tables'!$L120,IF('RTF 1'!$D$9=4,'Lookup Tables'!$M120,'Lookup Tables'!$N120))))</f>
        <v>20</v>
      </c>
      <c r="K93" s="79" t="str">
        <f t="shared" si="19"/>
        <v xml:space="preserve"> </v>
      </c>
      <c r="L93" s="79" t="str">
        <f t="shared" si="20"/>
        <v xml:space="preserve"> </v>
      </c>
      <c r="M93" s="78">
        <f t="shared" si="21"/>
        <v>0</v>
      </c>
      <c r="N93" s="78">
        <f t="shared" si="22"/>
        <v>0</v>
      </c>
      <c r="O93" s="78">
        <f t="shared" si="23"/>
        <v>0</v>
      </c>
      <c r="P93" s="78">
        <f t="shared" si="24"/>
        <v>0</v>
      </c>
      <c r="Q93" s="78">
        <f t="shared" si="25"/>
        <v>0</v>
      </c>
      <c r="R93" s="78" t="str">
        <f t="shared" si="26"/>
        <v xml:space="preserve"> </v>
      </c>
      <c r="S93" s="78" t="str">
        <f t="shared" si="27"/>
        <v xml:space="preserve"> </v>
      </c>
      <c r="T93" s="78" t="str">
        <f t="shared" si="28"/>
        <v xml:space="preserve"> </v>
      </c>
      <c r="U93" s="78" t="str">
        <f t="shared" si="29"/>
        <v xml:space="preserve"> </v>
      </c>
      <c r="V93" s="78" t="str">
        <f t="shared" si="30"/>
        <v xml:space="preserve"> </v>
      </c>
      <c r="W93" s="78" t="str">
        <f t="shared" si="31"/>
        <v xml:space="preserve"> </v>
      </c>
      <c r="X93" s="78" t="str">
        <f t="shared" si="32"/>
        <v xml:space="preserve"> </v>
      </c>
      <c r="Y93" s="78" t="str">
        <f t="shared" si="33"/>
        <v xml:space="preserve"> </v>
      </c>
      <c r="Z93" s="78" t="str">
        <f t="shared" si="34"/>
        <v xml:space="preserve"> </v>
      </c>
      <c r="AA93" s="78" t="str">
        <f t="shared" si="35"/>
        <v xml:space="preserve"> </v>
      </c>
      <c r="AB93" s="78" t="str">
        <f t="shared" si="36"/>
        <v xml:space="preserve"> </v>
      </c>
      <c r="AC93" s="800"/>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7"/>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1'!$G94/'Input &amp; Findings'!$G$31</f>
        <v>0</v>
      </c>
      <c r="J94" s="48">
        <f>IF('RTF 1'!$D$9=1,'Lookup Tables'!$J121,IF('RTF 1'!$D$9=2,'Lookup Tables'!$K121,IF('RTF 1'!$D$9=3,'Lookup Tables'!$L121,IF('RTF 1'!$D$9=4,'Lookup Tables'!$M121,'Lookup Tables'!$N121))))</f>
        <v>20</v>
      </c>
      <c r="K94" s="79" t="str">
        <f t="shared" si="19"/>
        <v xml:space="preserve"> </v>
      </c>
      <c r="L94" s="79" t="str">
        <f t="shared" si="20"/>
        <v xml:space="preserve"> </v>
      </c>
      <c r="M94" s="78">
        <f t="shared" si="21"/>
        <v>0</v>
      </c>
      <c r="N94" s="78">
        <f t="shared" si="22"/>
        <v>0</v>
      </c>
      <c r="O94" s="78">
        <f t="shared" si="23"/>
        <v>0</v>
      </c>
      <c r="P94" s="78">
        <f t="shared" si="24"/>
        <v>0</v>
      </c>
      <c r="Q94" s="78">
        <f t="shared" si="25"/>
        <v>0</v>
      </c>
      <c r="R94" s="78" t="str">
        <f t="shared" si="26"/>
        <v xml:space="preserve"> </v>
      </c>
      <c r="S94" s="78" t="str">
        <f t="shared" si="27"/>
        <v xml:space="preserve"> </v>
      </c>
      <c r="T94" s="78" t="str">
        <f t="shared" si="28"/>
        <v xml:space="preserve"> </v>
      </c>
      <c r="U94" s="78" t="str">
        <f t="shared" si="29"/>
        <v xml:space="preserve"> </v>
      </c>
      <c r="V94" s="78" t="str">
        <f t="shared" si="30"/>
        <v xml:space="preserve"> </v>
      </c>
      <c r="W94" s="78" t="str">
        <f t="shared" si="31"/>
        <v xml:space="preserve"> </v>
      </c>
      <c r="X94" s="78" t="str">
        <f t="shared" si="32"/>
        <v xml:space="preserve"> </v>
      </c>
      <c r="Y94" s="78" t="str">
        <f t="shared" si="33"/>
        <v xml:space="preserve"> </v>
      </c>
      <c r="Z94" s="78" t="str">
        <f t="shared" si="34"/>
        <v xml:space="preserve"> </v>
      </c>
      <c r="AA94" s="78" t="str">
        <f t="shared" si="35"/>
        <v xml:space="preserve"> </v>
      </c>
      <c r="AB94" s="78" t="str">
        <f t="shared" si="36"/>
        <v xml:space="preserve"> </v>
      </c>
      <c r="AC94" s="800"/>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7"/>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1'!$G95/'Input &amp; Findings'!$G$31</f>
        <v>0</v>
      </c>
      <c r="J95" s="48">
        <f>IF('RTF 1'!$D$9=1,'Lookup Tables'!$J122,IF('RTF 1'!$D$9=2,'Lookup Tables'!$K122,IF('RTF 1'!$D$9=3,'Lookup Tables'!$L122,IF('RTF 1'!$D$9=4,'Lookup Tables'!$M122,'Lookup Tables'!$N122))))</f>
        <v>20</v>
      </c>
      <c r="K95" s="79" t="str">
        <f t="shared" si="19"/>
        <v xml:space="preserve"> </v>
      </c>
      <c r="L95" s="79" t="str">
        <f t="shared" si="20"/>
        <v xml:space="preserve"> </v>
      </c>
      <c r="M95" s="78">
        <f t="shared" si="21"/>
        <v>0</v>
      </c>
      <c r="N95" s="78">
        <f t="shared" si="22"/>
        <v>0</v>
      </c>
      <c r="O95" s="78">
        <f t="shared" si="23"/>
        <v>0</v>
      </c>
      <c r="P95" s="78">
        <f t="shared" si="24"/>
        <v>0</v>
      </c>
      <c r="Q95" s="78">
        <f t="shared" si="25"/>
        <v>0</v>
      </c>
      <c r="R95" s="78" t="str">
        <f t="shared" si="26"/>
        <v xml:space="preserve"> </v>
      </c>
      <c r="S95" s="78" t="str">
        <f t="shared" si="27"/>
        <v xml:space="preserve"> </v>
      </c>
      <c r="T95" s="78" t="str">
        <f t="shared" si="28"/>
        <v xml:space="preserve"> </v>
      </c>
      <c r="U95" s="78" t="str">
        <f t="shared" si="29"/>
        <v xml:space="preserve"> </v>
      </c>
      <c r="V95" s="78" t="str">
        <f t="shared" si="30"/>
        <v xml:space="preserve"> </v>
      </c>
      <c r="W95" s="78" t="str">
        <f t="shared" si="31"/>
        <v xml:space="preserve"> </v>
      </c>
      <c r="X95" s="78" t="str">
        <f t="shared" si="32"/>
        <v xml:space="preserve"> </v>
      </c>
      <c r="Y95" s="78" t="str">
        <f t="shared" si="33"/>
        <v xml:space="preserve"> </v>
      </c>
      <c r="Z95" s="78" t="str">
        <f t="shared" si="34"/>
        <v xml:space="preserve"> </v>
      </c>
      <c r="AA95" s="78" t="str">
        <f t="shared" si="35"/>
        <v xml:space="preserve"> </v>
      </c>
      <c r="AB95" s="78" t="str">
        <f t="shared" si="36"/>
        <v xml:space="preserve"> </v>
      </c>
      <c r="AC95" s="800"/>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7"/>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1'!$G96/'Input &amp; Findings'!$G$31</f>
        <v>0</v>
      </c>
      <c r="J96" s="48">
        <f>IF('RTF 1'!$D$9=1,'Lookup Tables'!$J123,IF('RTF 1'!$D$9=2,'Lookup Tables'!$K123,IF('RTF 1'!$D$9=3,'Lookup Tables'!$L123,IF('RTF 1'!$D$9=4,'Lookup Tables'!$M123,'Lookup Tables'!$N123))))</f>
        <v>20</v>
      </c>
      <c r="K96" s="79" t="str">
        <f t="shared" si="19"/>
        <v xml:space="preserve"> </v>
      </c>
      <c r="L96" s="79" t="str">
        <f t="shared" si="20"/>
        <v xml:space="preserve"> </v>
      </c>
      <c r="M96" s="78">
        <f t="shared" si="21"/>
        <v>0</v>
      </c>
      <c r="N96" s="78">
        <f t="shared" si="22"/>
        <v>0</v>
      </c>
      <c r="O96" s="78">
        <f t="shared" si="23"/>
        <v>0</v>
      </c>
      <c r="P96" s="78">
        <f t="shared" si="24"/>
        <v>0</v>
      </c>
      <c r="Q96" s="78">
        <f t="shared" si="25"/>
        <v>0</v>
      </c>
      <c r="R96" s="78" t="str">
        <f t="shared" si="26"/>
        <v xml:space="preserve"> </v>
      </c>
      <c r="S96" s="78" t="str">
        <f t="shared" si="27"/>
        <v xml:space="preserve"> </v>
      </c>
      <c r="T96" s="78" t="str">
        <f t="shared" si="28"/>
        <v xml:space="preserve"> </v>
      </c>
      <c r="U96" s="78" t="str">
        <f t="shared" si="29"/>
        <v xml:space="preserve"> </v>
      </c>
      <c r="V96" s="78" t="str">
        <f t="shared" si="30"/>
        <v xml:space="preserve"> </v>
      </c>
      <c r="W96" s="78" t="str">
        <f t="shared" si="31"/>
        <v xml:space="preserve"> </v>
      </c>
      <c r="X96" s="78" t="str">
        <f t="shared" si="32"/>
        <v xml:space="preserve"> </v>
      </c>
      <c r="Y96" s="78" t="str">
        <f t="shared" si="33"/>
        <v xml:space="preserve"> </v>
      </c>
      <c r="Z96" s="78" t="str">
        <f t="shared" si="34"/>
        <v xml:space="preserve"> </v>
      </c>
      <c r="AA96" s="78" t="str">
        <f t="shared" si="35"/>
        <v xml:space="preserve"> </v>
      </c>
      <c r="AB96" s="78" t="str">
        <f t="shared" si="36"/>
        <v xml:space="preserve"> </v>
      </c>
      <c r="AC96" s="800"/>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7"/>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1'!$G97/'Input &amp; Findings'!$G$31</f>
        <v>0</v>
      </c>
      <c r="J97" s="48">
        <f>IF('RTF 1'!$D$9=1,'Lookup Tables'!$J124,IF('RTF 1'!$D$9=2,'Lookup Tables'!$K124,IF('RTF 1'!$D$9=3,'Lookup Tables'!$L124,IF('RTF 1'!$D$9=4,'Lookup Tables'!$M124,'Lookup Tables'!$N124))))</f>
        <v>20</v>
      </c>
      <c r="K97" s="79" t="str">
        <f t="shared" si="19"/>
        <v xml:space="preserve"> </v>
      </c>
      <c r="L97" s="79" t="str">
        <f t="shared" si="20"/>
        <v xml:space="preserve"> </v>
      </c>
      <c r="M97" s="78">
        <f t="shared" si="21"/>
        <v>0</v>
      </c>
      <c r="N97" s="78">
        <f t="shared" si="22"/>
        <v>0</v>
      </c>
      <c r="O97" s="78">
        <f t="shared" si="23"/>
        <v>0</v>
      </c>
      <c r="P97" s="78">
        <f t="shared" si="24"/>
        <v>0</v>
      </c>
      <c r="Q97" s="78">
        <f t="shared" si="25"/>
        <v>0</v>
      </c>
      <c r="R97" s="78" t="str">
        <f t="shared" si="26"/>
        <v xml:space="preserve"> </v>
      </c>
      <c r="S97" s="78" t="str">
        <f t="shared" si="27"/>
        <v xml:space="preserve"> </v>
      </c>
      <c r="T97" s="78" t="str">
        <f t="shared" si="28"/>
        <v xml:space="preserve"> </v>
      </c>
      <c r="U97" s="78" t="str">
        <f t="shared" si="29"/>
        <v xml:space="preserve"> </v>
      </c>
      <c r="V97" s="78" t="str">
        <f t="shared" si="30"/>
        <v xml:space="preserve"> </v>
      </c>
      <c r="W97" s="78" t="str">
        <f t="shared" si="31"/>
        <v xml:space="preserve"> </v>
      </c>
      <c r="X97" s="78" t="str">
        <f t="shared" si="32"/>
        <v xml:space="preserve"> </v>
      </c>
      <c r="Y97" s="78" t="str">
        <f t="shared" si="33"/>
        <v xml:space="preserve"> </v>
      </c>
      <c r="Z97" s="78" t="str">
        <f t="shared" si="34"/>
        <v xml:space="preserve"> </v>
      </c>
      <c r="AA97" s="78" t="str">
        <f t="shared" si="35"/>
        <v xml:space="preserve"> </v>
      </c>
      <c r="AB97" s="78" t="str">
        <f t="shared" si="36"/>
        <v xml:space="preserve"> </v>
      </c>
      <c r="AC97" s="800"/>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7"/>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1'!$G98/'Input &amp; Findings'!$G$31</f>
        <v>0</v>
      </c>
      <c r="J98" s="48">
        <f>IF('RTF 1'!$D$9=1,'Lookup Tables'!$J125,IF('RTF 1'!$D$9=2,'Lookup Tables'!$K125,IF('RTF 1'!$D$9=3,'Lookup Tables'!$L125,IF('RTF 1'!$D$9=4,'Lookup Tables'!$M125,'Lookup Tables'!$N125))))</f>
        <v>20</v>
      </c>
      <c r="K98" s="79" t="str">
        <f t="shared" si="19"/>
        <v xml:space="preserve"> </v>
      </c>
      <c r="L98" s="79" t="str">
        <f t="shared" si="20"/>
        <v xml:space="preserve"> </v>
      </c>
      <c r="M98" s="78">
        <f t="shared" si="21"/>
        <v>0</v>
      </c>
      <c r="N98" s="78">
        <f t="shared" si="22"/>
        <v>0</v>
      </c>
      <c r="O98" s="78">
        <f t="shared" si="23"/>
        <v>0</v>
      </c>
      <c r="P98" s="78">
        <f t="shared" si="24"/>
        <v>0</v>
      </c>
      <c r="Q98" s="78">
        <f t="shared" si="25"/>
        <v>0</v>
      </c>
      <c r="R98" s="78" t="str">
        <f t="shared" si="26"/>
        <v xml:space="preserve"> </v>
      </c>
      <c r="S98" s="78" t="str">
        <f t="shared" si="27"/>
        <v xml:space="preserve"> </v>
      </c>
      <c r="T98" s="78" t="str">
        <f t="shared" si="28"/>
        <v xml:space="preserve"> </v>
      </c>
      <c r="U98" s="78" t="str">
        <f t="shared" si="29"/>
        <v xml:space="preserve"> </v>
      </c>
      <c r="V98" s="78" t="str">
        <f t="shared" si="30"/>
        <v xml:space="preserve"> </v>
      </c>
      <c r="W98" s="78" t="str">
        <f t="shared" si="31"/>
        <v xml:space="preserve"> </v>
      </c>
      <c r="X98" s="78" t="str">
        <f t="shared" si="32"/>
        <v xml:space="preserve"> </v>
      </c>
      <c r="Y98" s="78" t="str">
        <f t="shared" si="33"/>
        <v xml:space="preserve"> </v>
      </c>
      <c r="Z98" s="78" t="str">
        <f t="shared" si="34"/>
        <v xml:space="preserve"> </v>
      </c>
      <c r="AA98" s="78" t="str">
        <f t="shared" si="35"/>
        <v xml:space="preserve"> </v>
      </c>
      <c r="AB98" s="78" t="str">
        <f t="shared" si="36"/>
        <v xml:space="preserve"> </v>
      </c>
      <c r="AC98" s="800"/>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7"/>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1'!$G99/'Input &amp; Findings'!$G$31</f>
        <v>0</v>
      </c>
      <c r="J99" s="48">
        <f>IF('RTF 1'!$D$9=1,'Lookup Tables'!$J126,IF('RTF 1'!$D$9=2,'Lookup Tables'!$K126,IF('RTF 1'!$D$9=3,'Lookup Tables'!$L126,IF('RTF 1'!$D$9=4,'Lookup Tables'!$M126,'Lookup Tables'!$N126))))</f>
        <v>20</v>
      </c>
      <c r="K99" s="79" t="str">
        <f t="shared" si="19"/>
        <v xml:space="preserve"> </v>
      </c>
      <c r="L99" s="79" t="str">
        <f t="shared" si="20"/>
        <v xml:space="preserve"> </v>
      </c>
      <c r="M99" s="78">
        <f t="shared" si="21"/>
        <v>0</v>
      </c>
      <c r="N99" s="78">
        <f t="shared" si="22"/>
        <v>0</v>
      </c>
      <c r="O99" s="78">
        <f t="shared" si="23"/>
        <v>0</v>
      </c>
      <c r="P99" s="78">
        <f t="shared" si="24"/>
        <v>0</v>
      </c>
      <c r="Q99" s="78">
        <f t="shared" si="25"/>
        <v>0</v>
      </c>
      <c r="R99" s="78" t="str">
        <f t="shared" si="26"/>
        <v xml:space="preserve"> </v>
      </c>
      <c r="S99" s="78" t="str">
        <f t="shared" si="27"/>
        <v xml:space="preserve"> </v>
      </c>
      <c r="T99" s="78" t="str">
        <f t="shared" si="28"/>
        <v xml:space="preserve"> </v>
      </c>
      <c r="U99" s="78" t="str">
        <f t="shared" si="29"/>
        <v xml:space="preserve"> </v>
      </c>
      <c r="V99" s="78" t="str">
        <f t="shared" si="30"/>
        <v xml:space="preserve"> </v>
      </c>
      <c r="W99" s="78" t="str">
        <f t="shared" si="31"/>
        <v xml:space="preserve"> </v>
      </c>
      <c r="X99" s="78" t="str">
        <f t="shared" si="32"/>
        <v xml:space="preserve"> </v>
      </c>
      <c r="Y99" s="78" t="str">
        <f t="shared" si="33"/>
        <v xml:space="preserve"> </v>
      </c>
      <c r="Z99" s="78" t="str">
        <f t="shared" si="34"/>
        <v xml:space="preserve"> </v>
      </c>
      <c r="AA99" s="78" t="str">
        <f t="shared" si="35"/>
        <v xml:space="preserve"> </v>
      </c>
      <c r="AB99" s="78" t="str">
        <f t="shared" si="36"/>
        <v xml:space="preserve"> </v>
      </c>
      <c r="AC99" s="800"/>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7"/>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1'!$G100/'Input &amp; Findings'!$G$31</f>
        <v>0</v>
      </c>
      <c r="J100" s="48">
        <f>IF('RTF 1'!$D$9=1,'Lookup Tables'!$J127,IF('RTF 1'!$D$9=2,'Lookup Tables'!$K127,IF('RTF 1'!$D$9=3,'Lookup Tables'!$L127,IF('RTF 1'!$D$9=4,'Lookup Tables'!$M127,'Lookup Tables'!$N127))))</f>
        <v>20</v>
      </c>
      <c r="K100" s="79" t="str">
        <f t="shared" si="19"/>
        <v xml:space="preserve"> </v>
      </c>
      <c r="L100" s="79" t="str">
        <f t="shared" si="20"/>
        <v xml:space="preserve"> </v>
      </c>
      <c r="M100" s="78">
        <f t="shared" si="21"/>
        <v>0</v>
      </c>
      <c r="N100" s="78">
        <f t="shared" si="22"/>
        <v>0</v>
      </c>
      <c r="O100" s="78">
        <f t="shared" si="23"/>
        <v>0</v>
      </c>
      <c r="P100" s="78">
        <f t="shared" si="24"/>
        <v>0</v>
      </c>
      <c r="Q100" s="78">
        <f t="shared" si="25"/>
        <v>0</v>
      </c>
      <c r="R100" s="78" t="str">
        <f t="shared" si="26"/>
        <v xml:space="preserve"> </v>
      </c>
      <c r="S100" s="78" t="str">
        <f t="shared" si="27"/>
        <v xml:space="preserve"> </v>
      </c>
      <c r="T100" s="78" t="str">
        <f t="shared" si="28"/>
        <v xml:space="preserve"> </v>
      </c>
      <c r="U100" s="78" t="str">
        <f t="shared" si="29"/>
        <v xml:space="preserve"> </v>
      </c>
      <c r="V100" s="78" t="str">
        <f t="shared" si="30"/>
        <v xml:space="preserve"> </v>
      </c>
      <c r="W100" s="78" t="str">
        <f t="shared" si="31"/>
        <v xml:space="preserve"> </v>
      </c>
      <c r="X100" s="78" t="str">
        <f t="shared" si="32"/>
        <v xml:space="preserve"> </v>
      </c>
      <c r="Y100" s="78" t="str">
        <f t="shared" si="33"/>
        <v xml:space="preserve"> </v>
      </c>
      <c r="Z100" s="78" t="str">
        <f t="shared" si="34"/>
        <v xml:space="preserve"> </v>
      </c>
      <c r="AA100" s="78" t="str">
        <f t="shared" si="35"/>
        <v xml:space="preserve"> </v>
      </c>
      <c r="AB100" s="78" t="str">
        <f t="shared" si="36"/>
        <v xml:space="preserve"> </v>
      </c>
      <c r="AC100" s="800"/>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7"/>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1'!$G101/'Input &amp; Findings'!$G$31</f>
        <v>0</v>
      </c>
      <c r="J101" s="48">
        <f>IF('RTF 1'!$D$9=1,'Lookup Tables'!$J128,IF('RTF 1'!$D$9=2,'Lookup Tables'!$K128,IF('RTF 1'!$D$9=3,'Lookup Tables'!$L128,IF('RTF 1'!$D$9=4,'Lookup Tables'!$M128,'Lookup Tables'!$N128))))</f>
        <v>20</v>
      </c>
      <c r="K101" s="79" t="str">
        <f t="shared" si="19"/>
        <v xml:space="preserve"> </v>
      </c>
      <c r="L101" s="79" t="str">
        <f t="shared" si="20"/>
        <v xml:space="preserve"> </v>
      </c>
      <c r="M101" s="78">
        <f t="shared" si="21"/>
        <v>0</v>
      </c>
      <c r="N101" s="78">
        <f t="shared" si="22"/>
        <v>0</v>
      </c>
      <c r="O101" s="78">
        <f t="shared" si="23"/>
        <v>0</v>
      </c>
      <c r="P101" s="78">
        <f t="shared" si="24"/>
        <v>0</v>
      </c>
      <c r="Q101" s="78">
        <f t="shared" si="25"/>
        <v>0</v>
      </c>
      <c r="R101" s="78" t="str">
        <f t="shared" si="26"/>
        <v xml:space="preserve"> </v>
      </c>
      <c r="S101" s="78" t="str">
        <f t="shared" si="27"/>
        <v xml:space="preserve"> </v>
      </c>
      <c r="T101" s="78" t="str">
        <f t="shared" si="28"/>
        <v xml:space="preserve"> </v>
      </c>
      <c r="U101" s="78" t="str">
        <f t="shared" si="29"/>
        <v xml:space="preserve"> </v>
      </c>
      <c r="V101" s="78" t="str">
        <f t="shared" si="30"/>
        <v xml:space="preserve"> </v>
      </c>
      <c r="W101" s="78" t="str">
        <f t="shared" si="31"/>
        <v xml:space="preserve"> </v>
      </c>
      <c r="X101" s="78" t="str">
        <f t="shared" si="32"/>
        <v xml:space="preserve"> </v>
      </c>
      <c r="Y101" s="78" t="str">
        <f t="shared" si="33"/>
        <v xml:space="preserve"> </v>
      </c>
      <c r="Z101" s="78" t="str">
        <f t="shared" si="34"/>
        <v xml:space="preserve"> </v>
      </c>
      <c r="AA101" s="78" t="str">
        <f t="shared" si="35"/>
        <v xml:space="preserve"> </v>
      </c>
      <c r="AB101" s="78" t="str">
        <f t="shared" si="36"/>
        <v xml:space="preserve"> </v>
      </c>
      <c r="AC101" s="800"/>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7"/>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1'!$G102/'Input &amp; Findings'!$G$31</f>
        <v>0</v>
      </c>
      <c r="J102" s="48">
        <f>IF('RTF 1'!$D$9=1,'Lookup Tables'!$J129,IF('RTF 1'!$D$9=2,'Lookup Tables'!$K129,IF('RTF 1'!$D$9=3,'Lookup Tables'!$L129,IF('RTF 1'!$D$9=4,'Lookup Tables'!$M129,'Lookup Tables'!$N129))))</f>
        <v>20</v>
      </c>
      <c r="K102" s="79" t="str">
        <f t="shared" si="19"/>
        <v xml:space="preserve"> </v>
      </c>
      <c r="L102" s="79" t="str">
        <f t="shared" si="20"/>
        <v xml:space="preserve"> </v>
      </c>
      <c r="M102" s="78">
        <f t="shared" si="21"/>
        <v>0</v>
      </c>
      <c r="N102" s="78">
        <f t="shared" si="22"/>
        <v>0</v>
      </c>
      <c r="O102" s="78">
        <f t="shared" si="23"/>
        <v>0</v>
      </c>
      <c r="P102" s="78">
        <f t="shared" si="24"/>
        <v>0</v>
      </c>
      <c r="Q102" s="78">
        <f t="shared" si="25"/>
        <v>0</v>
      </c>
      <c r="R102" s="78" t="str">
        <f t="shared" si="26"/>
        <v xml:space="preserve"> </v>
      </c>
      <c r="S102" s="78" t="str">
        <f t="shared" si="27"/>
        <v xml:space="preserve"> </v>
      </c>
      <c r="T102" s="78" t="str">
        <f t="shared" si="28"/>
        <v xml:space="preserve"> </v>
      </c>
      <c r="U102" s="78" t="str">
        <f t="shared" si="29"/>
        <v xml:space="preserve"> </v>
      </c>
      <c r="V102" s="78" t="str">
        <f t="shared" si="30"/>
        <v xml:space="preserve"> </v>
      </c>
      <c r="W102" s="78" t="str">
        <f t="shared" si="31"/>
        <v xml:space="preserve"> </v>
      </c>
      <c r="X102" s="78" t="str">
        <f t="shared" si="32"/>
        <v xml:space="preserve"> </v>
      </c>
      <c r="Y102" s="78" t="str">
        <f t="shared" si="33"/>
        <v xml:space="preserve"> </v>
      </c>
      <c r="Z102" s="78" t="str">
        <f t="shared" si="34"/>
        <v xml:space="preserve"> </v>
      </c>
      <c r="AA102" s="78" t="str">
        <f t="shared" si="35"/>
        <v xml:space="preserve"> </v>
      </c>
      <c r="AB102" s="78" t="str">
        <f t="shared" si="36"/>
        <v xml:space="preserve"> </v>
      </c>
      <c r="AC102" s="800"/>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7"/>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1'!$G103/'Input &amp; Findings'!$G$31</f>
        <v>0</v>
      </c>
      <c r="J103" s="48">
        <f>IF('RTF 1'!$D$9=1,'Lookup Tables'!$J130,IF('RTF 1'!$D$9=2,'Lookup Tables'!$K130,IF('RTF 1'!$D$9=3,'Lookup Tables'!$L130,IF('RTF 1'!$D$9=4,'Lookup Tables'!$M130,'Lookup Tables'!$N130))))</f>
        <v>20</v>
      </c>
      <c r="K103" s="79" t="str">
        <f t="shared" si="19"/>
        <v xml:space="preserve"> </v>
      </c>
      <c r="L103" s="79" t="str">
        <f t="shared" si="20"/>
        <v xml:space="preserve"> </v>
      </c>
      <c r="M103" s="78">
        <f t="shared" si="21"/>
        <v>0</v>
      </c>
      <c r="N103" s="78">
        <f t="shared" si="22"/>
        <v>0</v>
      </c>
      <c r="O103" s="78">
        <f t="shared" si="23"/>
        <v>0</v>
      </c>
      <c r="P103" s="78">
        <f t="shared" si="24"/>
        <v>0</v>
      </c>
      <c r="Q103" s="78">
        <f t="shared" si="25"/>
        <v>0</v>
      </c>
      <c r="R103" s="78" t="str">
        <f t="shared" si="26"/>
        <v xml:space="preserve"> </v>
      </c>
      <c r="S103" s="78" t="str">
        <f t="shared" si="27"/>
        <v xml:space="preserve"> </v>
      </c>
      <c r="T103" s="78" t="str">
        <f t="shared" si="28"/>
        <v xml:space="preserve"> </v>
      </c>
      <c r="U103" s="78" t="str">
        <f t="shared" si="29"/>
        <v xml:space="preserve"> </v>
      </c>
      <c r="V103" s="78" t="str">
        <f t="shared" si="30"/>
        <v xml:space="preserve"> </v>
      </c>
      <c r="W103" s="78" t="str">
        <f t="shared" si="31"/>
        <v xml:space="preserve"> </v>
      </c>
      <c r="X103" s="78" t="str">
        <f t="shared" si="32"/>
        <v xml:space="preserve"> </v>
      </c>
      <c r="Y103" s="78" t="str">
        <f t="shared" si="33"/>
        <v xml:space="preserve"> </v>
      </c>
      <c r="Z103" s="78" t="str">
        <f t="shared" si="34"/>
        <v xml:space="preserve"> </v>
      </c>
      <c r="AA103" s="78" t="str">
        <f t="shared" si="35"/>
        <v xml:space="preserve"> </v>
      </c>
      <c r="AB103" s="78" t="str">
        <f t="shared" si="36"/>
        <v xml:space="preserve"> </v>
      </c>
      <c r="AC103" s="800"/>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7"/>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1'!$G104/'Input &amp; Findings'!$G$31</f>
        <v>0</v>
      </c>
      <c r="J104" s="48">
        <f>IF('RTF 1'!$D$9=1,'Lookup Tables'!$J131,IF('RTF 1'!$D$9=2,'Lookup Tables'!$K131,IF('RTF 1'!$D$9=3,'Lookup Tables'!$L131,IF('RTF 1'!$D$9=4,'Lookup Tables'!$M131,'Lookup Tables'!$N131))))</f>
        <v>20</v>
      </c>
      <c r="K104" s="79" t="str">
        <f t="shared" si="19"/>
        <v xml:space="preserve"> </v>
      </c>
      <c r="L104" s="79" t="str">
        <f t="shared" si="20"/>
        <v xml:space="preserve"> </v>
      </c>
      <c r="M104" s="78">
        <f t="shared" si="21"/>
        <v>0</v>
      </c>
      <c r="N104" s="78">
        <f t="shared" si="22"/>
        <v>0</v>
      </c>
      <c r="O104" s="78">
        <f t="shared" si="23"/>
        <v>0</v>
      </c>
      <c r="P104" s="78">
        <f t="shared" si="24"/>
        <v>0</v>
      </c>
      <c r="Q104" s="78">
        <f t="shared" si="25"/>
        <v>0</v>
      </c>
      <c r="R104" s="78" t="str">
        <f t="shared" si="26"/>
        <v xml:space="preserve"> </v>
      </c>
      <c r="S104" s="78" t="str">
        <f t="shared" si="27"/>
        <v xml:space="preserve"> </v>
      </c>
      <c r="T104" s="78" t="str">
        <f t="shared" si="28"/>
        <v xml:space="preserve"> </v>
      </c>
      <c r="U104" s="78" t="str">
        <f t="shared" si="29"/>
        <v xml:space="preserve"> </v>
      </c>
      <c r="V104" s="78" t="str">
        <f t="shared" si="30"/>
        <v xml:space="preserve"> </v>
      </c>
      <c r="W104" s="78" t="str">
        <f t="shared" si="31"/>
        <v xml:space="preserve"> </v>
      </c>
      <c r="X104" s="78" t="str">
        <f t="shared" si="32"/>
        <v xml:space="preserve"> </v>
      </c>
      <c r="Y104" s="78" t="str">
        <f t="shared" si="33"/>
        <v xml:space="preserve"> </v>
      </c>
      <c r="Z104" s="78" t="str">
        <f t="shared" si="34"/>
        <v xml:space="preserve"> </v>
      </c>
      <c r="AA104" s="78" t="str">
        <f t="shared" si="35"/>
        <v xml:space="preserve"> </v>
      </c>
      <c r="AB104" s="78" t="str">
        <f t="shared" si="36"/>
        <v xml:space="preserve"> </v>
      </c>
      <c r="AC104" s="800"/>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7"/>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1'!$G105/'Input &amp; Findings'!$G$31</f>
        <v>0</v>
      </c>
      <c r="J105" s="48">
        <f>IF('RTF 1'!$D$9=1,'Lookup Tables'!$J132,IF('RTF 1'!$D$9=2,'Lookup Tables'!$K132,IF('RTF 1'!$D$9=3,'Lookup Tables'!$L132,IF('RTF 1'!$D$9=4,'Lookup Tables'!$M132,'Lookup Tables'!$N132))))</f>
        <v>20</v>
      </c>
      <c r="K105" s="79" t="str">
        <f t="shared" si="19"/>
        <v xml:space="preserve"> </v>
      </c>
      <c r="L105" s="79" t="str">
        <f t="shared" si="20"/>
        <v xml:space="preserve"> </v>
      </c>
      <c r="M105" s="78">
        <f t="shared" si="21"/>
        <v>0</v>
      </c>
      <c r="N105" s="78">
        <f t="shared" si="22"/>
        <v>0</v>
      </c>
      <c r="O105" s="78">
        <f t="shared" si="23"/>
        <v>0</v>
      </c>
      <c r="P105" s="78">
        <f t="shared" si="24"/>
        <v>0</v>
      </c>
      <c r="Q105" s="78">
        <f t="shared" si="25"/>
        <v>0</v>
      </c>
      <c r="R105" s="78" t="str">
        <f t="shared" si="26"/>
        <v xml:space="preserve"> </v>
      </c>
      <c r="S105" s="78" t="str">
        <f t="shared" si="27"/>
        <v xml:space="preserve"> </v>
      </c>
      <c r="T105" s="78" t="str">
        <f t="shared" si="28"/>
        <v xml:space="preserve"> </v>
      </c>
      <c r="U105" s="78" t="str">
        <f t="shared" si="29"/>
        <v xml:space="preserve"> </v>
      </c>
      <c r="V105" s="78" t="str">
        <f t="shared" si="30"/>
        <v xml:space="preserve"> </v>
      </c>
      <c r="W105" s="78" t="str">
        <f t="shared" si="31"/>
        <v xml:space="preserve"> </v>
      </c>
      <c r="X105" s="78" t="str">
        <f t="shared" si="32"/>
        <v xml:space="preserve"> </v>
      </c>
      <c r="Y105" s="78" t="str">
        <f t="shared" si="33"/>
        <v xml:space="preserve"> </v>
      </c>
      <c r="Z105" s="78" t="str">
        <f t="shared" si="34"/>
        <v xml:space="preserve"> </v>
      </c>
      <c r="AA105" s="78" t="str">
        <f t="shared" si="35"/>
        <v xml:space="preserve"> </v>
      </c>
      <c r="AB105" s="78" t="str">
        <f t="shared" si="36"/>
        <v xml:space="preserve"> </v>
      </c>
      <c r="AC105" s="800"/>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7"/>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1'!$G106/'Input &amp; Findings'!$G$31</f>
        <v>0</v>
      </c>
      <c r="J106" s="48">
        <f>IF('RTF 1'!$D$9=1,'Lookup Tables'!$J133,IF('RTF 1'!$D$9=2,'Lookup Tables'!$K133,IF('RTF 1'!$D$9=3,'Lookup Tables'!$L133,IF('RTF 1'!$D$9=4,'Lookup Tables'!$M133,'Lookup Tables'!$N133))))</f>
        <v>20</v>
      </c>
      <c r="K106" s="79" t="str">
        <f t="shared" si="19"/>
        <v xml:space="preserve"> </v>
      </c>
      <c r="L106" s="79" t="str">
        <f t="shared" si="20"/>
        <v xml:space="preserve"> </v>
      </c>
      <c r="M106" s="78">
        <f t="shared" si="21"/>
        <v>0</v>
      </c>
      <c r="N106" s="78">
        <f t="shared" si="22"/>
        <v>0</v>
      </c>
      <c r="O106" s="78">
        <f t="shared" si="23"/>
        <v>0</v>
      </c>
      <c r="P106" s="78">
        <f t="shared" si="24"/>
        <v>0</v>
      </c>
      <c r="Q106" s="78">
        <f t="shared" si="25"/>
        <v>0</v>
      </c>
      <c r="R106" s="78" t="str">
        <f t="shared" si="26"/>
        <v xml:space="preserve"> </v>
      </c>
      <c r="S106" s="78" t="str">
        <f t="shared" si="27"/>
        <v xml:space="preserve"> </v>
      </c>
      <c r="T106" s="78" t="str">
        <f t="shared" si="28"/>
        <v xml:space="preserve"> </v>
      </c>
      <c r="U106" s="78" t="str">
        <f t="shared" si="29"/>
        <v xml:space="preserve"> </v>
      </c>
      <c r="V106" s="78" t="str">
        <f t="shared" si="30"/>
        <v xml:space="preserve"> </v>
      </c>
      <c r="W106" s="78" t="str">
        <f t="shared" si="31"/>
        <v xml:space="preserve"> </v>
      </c>
      <c r="X106" s="78" t="str">
        <f t="shared" si="32"/>
        <v xml:space="preserve"> </v>
      </c>
      <c r="Y106" s="78" t="str">
        <f t="shared" si="33"/>
        <v xml:space="preserve"> </v>
      </c>
      <c r="Z106" s="78" t="str">
        <f t="shared" si="34"/>
        <v xml:space="preserve"> </v>
      </c>
      <c r="AA106" s="78" t="str">
        <f t="shared" si="35"/>
        <v xml:space="preserve"> </v>
      </c>
      <c r="AB106" s="78" t="str">
        <f t="shared" si="36"/>
        <v xml:space="preserve"> </v>
      </c>
      <c r="AC106" s="800"/>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7"/>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1'!$G107/'Input &amp; Findings'!$G$31</f>
        <v>0</v>
      </c>
      <c r="J107" s="48">
        <f>IF('RTF 1'!$D$9=1,'Lookup Tables'!$J134,IF('RTF 1'!$D$9=2,'Lookup Tables'!$K134,IF('RTF 1'!$D$9=3,'Lookup Tables'!$L134,IF('RTF 1'!$D$9=4,'Lookup Tables'!$M134,'Lookup Tables'!$N134))))</f>
        <v>20</v>
      </c>
      <c r="K107" s="79" t="str">
        <f t="shared" si="19"/>
        <v xml:space="preserve"> </v>
      </c>
      <c r="L107" s="79" t="str">
        <f t="shared" si="20"/>
        <v xml:space="preserve"> </v>
      </c>
      <c r="M107" s="78">
        <f t="shared" si="21"/>
        <v>0</v>
      </c>
      <c r="N107" s="78">
        <f t="shared" si="22"/>
        <v>0</v>
      </c>
      <c r="O107" s="78">
        <f t="shared" si="23"/>
        <v>0</v>
      </c>
      <c r="P107" s="78">
        <f t="shared" si="24"/>
        <v>0</v>
      </c>
      <c r="Q107" s="78">
        <f t="shared" si="25"/>
        <v>0</v>
      </c>
      <c r="R107" s="78" t="str">
        <f t="shared" si="26"/>
        <v xml:space="preserve"> </v>
      </c>
      <c r="S107" s="78" t="str">
        <f t="shared" si="27"/>
        <v xml:space="preserve"> </v>
      </c>
      <c r="T107" s="78" t="str">
        <f t="shared" si="28"/>
        <v xml:space="preserve"> </v>
      </c>
      <c r="U107" s="78" t="str">
        <f t="shared" si="29"/>
        <v xml:space="preserve"> </v>
      </c>
      <c r="V107" s="78" t="str">
        <f t="shared" si="30"/>
        <v xml:space="preserve"> </v>
      </c>
      <c r="W107" s="78" t="str">
        <f t="shared" si="31"/>
        <v xml:space="preserve"> </v>
      </c>
      <c r="X107" s="78" t="str">
        <f t="shared" si="32"/>
        <v xml:space="preserve"> </v>
      </c>
      <c r="Y107" s="78" t="str">
        <f t="shared" si="33"/>
        <v xml:space="preserve"> </v>
      </c>
      <c r="Z107" s="78" t="str">
        <f t="shared" si="34"/>
        <v xml:space="preserve"> </v>
      </c>
      <c r="AA107" s="78" t="str">
        <f t="shared" si="35"/>
        <v xml:space="preserve"> </v>
      </c>
      <c r="AB107" s="78" t="str">
        <f t="shared" si="36"/>
        <v xml:space="preserve"> </v>
      </c>
      <c r="AC107" s="800"/>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7"/>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1'!$G108/'Input &amp; Findings'!$G$31</f>
        <v>0</v>
      </c>
      <c r="J108" s="48">
        <f>IF('RTF 1'!$D$9=1,'Lookup Tables'!$J135,IF('RTF 1'!$D$9=2,'Lookup Tables'!$K135,IF('RTF 1'!$D$9=3,'Lookup Tables'!$L135,IF('RTF 1'!$D$9=4,'Lookup Tables'!$M135,'Lookup Tables'!$N135))))</f>
        <v>20</v>
      </c>
      <c r="K108" s="79" t="str">
        <f t="shared" si="19"/>
        <v xml:space="preserve"> </v>
      </c>
      <c r="L108" s="79" t="str">
        <f t="shared" si="20"/>
        <v xml:space="preserve"> </v>
      </c>
      <c r="M108" s="78">
        <f t="shared" si="21"/>
        <v>0</v>
      </c>
      <c r="N108" s="78">
        <f t="shared" si="22"/>
        <v>0</v>
      </c>
      <c r="O108" s="78">
        <f t="shared" si="23"/>
        <v>0</v>
      </c>
      <c r="P108" s="78">
        <f t="shared" si="24"/>
        <v>0</v>
      </c>
      <c r="Q108" s="78">
        <f t="shared" si="25"/>
        <v>0</v>
      </c>
      <c r="R108" s="78" t="str">
        <f t="shared" si="26"/>
        <v xml:space="preserve"> </v>
      </c>
      <c r="S108" s="78" t="str">
        <f t="shared" si="27"/>
        <v xml:space="preserve"> </v>
      </c>
      <c r="T108" s="78" t="str">
        <f t="shared" si="28"/>
        <v xml:space="preserve"> </v>
      </c>
      <c r="U108" s="78" t="str">
        <f t="shared" si="29"/>
        <v xml:space="preserve"> </v>
      </c>
      <c r="V108" s="78" t="str">
        <f t="shared" si="30"/>
        <v xml:space="preserve"> </v>
      </c>
      <c r="W108" s="78" t="str">
        <f t="shared" si="31"/>
        <v xml:space="preserve"> </v>
      </c>
      <c r="X108" s="78" t="str">
        <f t="shared" si="32"/>
        <v xml:space="preserve"> </v>
      </c>
      <c r="Y108" s="78" t="str">
        <f t="shared" si="33"/>
        <v xml:space="preserve"> </v>
      </c>
      <c r="Z108" s="78" t="str">
        <f t="shared" si="34"/>
        <v xml:space="preserve"> </v>
      </c>
      <c r="AA108" s="78" t="str">
        <f t="shared" si="35"/>
        <v xml:space="preserve"> </v>
      </c>
      <c r="AB108" s="78" t="str">
        <f t="shared" si="36"/>
        <v xml:space="preserve"> </v>
      </c>
      <c r="AC108" s="800"/>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800"/>
    </row>
    <row r="110" spans="1:29" x14ac:dyDescent="0.25">
      <c r="B110" s="84"/>
      <c r="AC110" s="800"/>
    </row>
    <row r="111" spans="1:29" x14ac:dyDescent="0.25">
      <c r="A111" s="798" t="s">
        <v>70</v>
      </c>
      <c r="B111" s="807"/>
      <c r="C111" s="807"/>
      <c r="D111" s="799"/>
      <c r="AC111" s="800"/>
    </row>
    <row r="112" spans="1:29" x14ac:dyDescent="0.25">
      <c r="A112" s="798" t="s">
        <v>71</v>
      </c>
      <c r="B112" s="799"/>
      <c r="C112" s="798" t="s">
        <v>72</v>
      </c>
      <c r="D112" s="799"/>
      <c r="AC112" s="800"/>
    </row>
    <row r="113" spans="1:29" x14ac:dyDescent="0.25">
      <c r="A113" s="85">
        <v>0</v>
      </c>
      <c r="B113" s="353">
        <v>99</v>
      </c>
      <c r="C113" s="86">
        <v>0</v>
      </c>
      <c r="D113" s="87"/>
      <c r="AC113" s="800"/>
    </row>
    <row r="114" spans="1:29" x14ac:dyDescent="0.25">
      <c r="A114" s="85">
        <v>100</v>
      </c>
      <c r="B114" s="88">
        <v>199</v>
      </c>
      <c r="C114" s="86">
        <v>0</v>
      </c>
      <c r="D114" s="87"/>
      <c r="AC114" s="800"/>
    </row>
    <row r="115" spans="1:29" x14ac:dyDescent="0.25">
      <c r="A115" s="85">
        <v>200</v>
      </c>
      <c r="B115" s="88">
        <v>299</v>
      </c>
      <c r="C115" s="86">
        <v>0</v>
      </c>
      <c r="D115" s="87"/>
      <c r="AC115" s="800"/>
    </row>
    <row r="116" spans="1:29" x14ac:dyDescent="0.25">
      <c r="A116" s="61">
        <v>300</v>
      </c>
      <c r="B116" s="88">
        <v>399</v>
      </c>
      <c r="C116" s="86">
        <v>0</v>
      </c>
      <c r="D116" s="87"/>
      <c r="AC116" s="800"/>
    </row>
    <row r="117" spans="1:29" x14ac:dyDescent="0.25">
      <c r="A117" s="85">
        <v>400</v>
      </c>
      <c r="B117" s="88">
        <v>499</v>
      </c>
      <c r="C117" s="86">
        <v>5</v>
      </c>
      <c r="D117" s="87"/>
      <c r="AC117" s="800"/>
    </row>
    <row r="118" spans="1:29" x14ac:dyDescent="0.25">
      <c r="A118" s="85">
        <v>500</v>
      </c>
      <c r="B118" s="88">
        <v>599</v>
      </c>
      <c r="C118" s="86">
        <v>10</v>
      </c>
      <c r="D118" s="87"/>
      <c r="AC118" s="800"/>
    </row>
    <row r="119" spans="1:29" x14ac:dyDescent="0.25">
      <c r="A119" s="85">
        <v>600</v>
      </c>
      <c r="B119" s="88">
        <v>699</v>
      </c>
      <c r="C119" s="86">
        <v>15</v>
      </c>
      <c r="D119" s="87"/>
      <c r="AC119" s="800"/>
    </row>
    <row r="120" spans="1:29" x14ac:dyDescent="0.25">
      <c r="A120" s="85">
        <v>700</v>
      </c>
      <c r="B120" s="88">
        <v>799</v>
      </c>
      <c r="C120" s="86">
        <v>20</v>
      </c>
      <c r="D120" s="87"/>
      <c r="AC120" s="800"/>
    </row>
    <row r="121" spans="1:29" x14ac:dyDescent="0.25">
      <c r="A121" s="85">
        <v>800</v>
      </c>
      <c r="B121" s="88">
        <v>899</v>
      </c>
      <c r="C121" s="86">
        <v>25</v>
      </c>
      <c r="D121" s="87"/>
      <c r="K121" s="89"/>
      <c r="AC121" s="800"/>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800"/>
    </row>
    <row r="123" spans="1:29" x14ac:dyDescent="0.25">
      <c r="A123" s="85">
        <v>1000</v>
      </c>
      <c r="B123" s="88">
        <v>1099</v>
      </c>
      <c r="C123" s="86">
        <v>35</v>
      </c>
      <c r="D123" s="87"/>
      <c r="E123" s="90" t="s">
        <v>73</v>
      </c>
      <c r="AC123" s="800"/>
    </row>
    <row r="124" spans="1:29" x14ac:dyDescent="0.25">
      <c r="A124" s="85">
        <v>1100</v>
      </c>
      <c r="B124" s="88">
        <v>1199</v>
      </c>
      <c r="C124" s="86">
        <v>40</v>
      </c>
      <c r="D124" s="87"/>
      <c r="E124" s="61" t="s">
        <v>74</v>
      </c>
      <c r="O124" s="89" t="s">
        <v>75</v>
      </c>
      <c r="AC124" s="800"/>
    </row>
    <row r="125" spans="1:29" x14ac:dyDescent="0.25">
      <c r="A125" s="85">
        <v>1200</v>
      </c>
      <c r="B125" s="88">
        <v>1299</v>
      </c>
      <c r="C125" s="86">
        <v>45</v>
      </c>
      <c r="D125" s="87"/>
      <c r="E125" s="61" t="s">
        <v>76</v>
      </c>
      <c r="O125" s="89" t="s">
        <v>77</v>
      </c>
      <c r="AC125" s="800"/>
    </row>
    <row r="126" spans="1:29" x14ac:dyDescent="0.25">
      <c r="A126" s="85">
        <v>1300</v>
      </c>
      <c r="B126" s="88">
        <v>1399</v>
      </c>
      <c r="C126" s="86">
        <v>50</v>
      </c>
      <c r="D126" s="87"/>
      <c r="E126" s="61" t="s">
        <v>78</v>
      </c>
      <c r="AC126" s="800"/>
    </row>
    <row r="127" spans="1:29" x14ac:dyDescent="0.25">
      <c r="A127" s="85">
        <v>1400</v>
      </c>
      <c r="B127" s="88">
        <v>1499</v>
      </c>
      <c r="C127" s="86">
        <v>55</v>
      </c>
      <c r="D127" s="87"/>
      <c r="E127" s="61" t="s">
        <v>79</v>
      </c>
      <c r="AC127" s="800"/>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AC1:AC127"/>
    <mergeCell ref="B3:F3"/>
    <mergeCell ref="B5:F5"/>
    <mergeCell ref="J5:L5"/>
    <mergeCell ref="K7:K11"/>
    <mergeCell ref="L7:L11"/>
    <mergeCell ref="M7:M11"/>
    <mergeCell ref="N7:N11"/>
    <mergeCell ref="A111:D111"/>
    <mergeCell ref="A112:B112"/>
    <mergeCell ref="A7:A11"/>
    <mergeCell ref="B7:B11"/>
    <mergeCell ref="C7:F7"/>
    <mergeCell ref="I7:I11"/>
    <mergeCell ref="J7:J11"/>
    <mergeCell ref="D10:F10"/>
    <mergeCell ref="C112:D112"/>
    <mergeCell ref="G7:G11"/>
    <mergeCell ref="H7:H11"/>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Yes</v>
      </c>
      <c r="AC1" s="800" t="s">
        <v>42</v>
      </c>
    </row>
    <row r="2" spans="1:29" ht="8.25" customHeight="1" x14ac:dyDescent="0.25">
      <c r="AC2" s="800"/>
    </row>
    <row r="3" spans="1:29" x14ac:dyDescent="0.25">
      <c r="A3" s="61" t="s">
        <v>28</v>
      </c>
      <c r="B3" s="801" t="str">
        <f>'Input &amp; Findings'!$F$26 &amp; " &amp; " &amp; 'Input &amp; Findings'!$F$38</f>
        <v>Princeton Glendale Rd, SR-747 &amp; Butler County Veterans Hwy EB, SR-129</v>
      </c>
      <c r="C3" s="801"/>
      <c r="D3" s="801"/>
      <c r="E3" s="801"/>
      <c r="F3" s="801"/>
      <c r="G3" s="62"/>
      <c r="H3" s="62"/>
      <c r="AC3" s="800"/>
    </row>
    <row r="4" spans="1:29" ht="9" customHeight="1" x14ac:dyDescent="0.25">
      <c r="AC4" s="800"/>
    </row>
    <row r="5" spans="1:29" x14ac:dyDescent="0.25">
      <c r="A5" s="61" t="s">
        <v>43</v>
      </c>
      <c r="B5" s="802" t="str">
        <f>'Input &amp; Findings'!$C$3</f>
        <v>Liberty Township</v>
      </c>
      <c r="C5" s="796"/>
      <c r="D5" s="796"/>
      <c r="E5" s="796"/>
      <c r="F5" s="796"/>
      <c r="G5" s="64"/>
      <c r="H5" s="64"/>
      <c r="I5" s="65" t="s">
        <v>44</v>
      </c>
      <c r="J5" s="795" t="str">
        <f>'Input &amp; Findings'!$C$6</f>
        <v>Butler</v>
      </c>
      <c r="K5" s="796"/>
      <c r="L5" s="796"/>
      <c r="AC5" s="800"/>
    </row>
    <row r="6" spans="1:29" x14ac:dyDescent="0.25">
      <c r="AC6" s="800"/>
    </row>
    <row r="7" spans="1:29" ht="27" customHeight="1" x14ac:dyDescent="0.25">
      <c r="A7" s="808" t="s">
        <v>45</v>
      </c>
      <c r="B7" s="792" t="s">
        <v>46</v>
      </c>
      <c r="C7" s="811" t="s">
        <v>47</v>
      </c>
      <c r="D7" s="812"/>
      <c r="E7" s="812"/>
      <c r="F7" s="813"/>
      <c r="G7" s="792" t="s">
        <v>85</v>
      </c>
      <c r="H7" s="792" t="s">
        <v>83</v>
      </c>
      <c r="I7" s="792" t="s">
        <v>84</v>
      </c>
      <c r="J7" s="792" t="s">
        <v>48</v>
      </c>
      <c r="K7" s="792" t="s">
        <v>49</v>
      </c>
      <c r="L7" s="792" t="s">
        <v>50</v>
      </c>
      <c r="M7" s="792" t="s">
        <v>51</v>
      </c>
      <c r="N7" s="804" t="str">
        <f>IF($J$1="Yes","ADJUSTED MINOR STREET VOLUMES","NOT ADJUSTED MINOR STREET VOLUMES")</f>
        <v>ADJUSTED MINOR STREET VOLUMES</v>
      </c>
      <c r="O7" s="66"/>
      <c r="P7" s="63"/>
      <c r="Q7" s="63"/>
      <c r="R7" s="63"/>
      <c r="S7" s="63"/>
      <c r="T7" s="63"/>
      <c r="U7" s="63"/>
      <c r="V7" s="63"/>
      <c r="W7" s="63"/>
      <c r="X7" s="63"/>
      <c r="Y7" s="63"/>
      <c r="Z7" s="63"/>
      <c r="AC7" s="800"/>
    </row>
    <row r="8" spans="1:29" x14ac:dyDescent="0.25">
      <c r="A8" s="809"/>
      <c r="B8" s="793"/>
      <c r="C8" s="67" t="s">
        <v>52</v>
      </c>
      <c r="D8" s="68" t="str">
        <f>'Input &amp; Findings'!$G$40</f>
        <v>W-Bound</v>
      </c>
      <c r="E8" s="68"/>
      <c r="F8" s="69"/>
      <c r="G8" s="793"/>
      <c r="H8" s="793"/>
      <c r="I8" s="793"/>
      <c r="J8" s="793"/>
      <c r="K8" s="793"/>
      <c r="L8" s="793"/>
      <c r="M8" s="793"/>
      <c r="N8" s="805"/>
      <c r="O8" s="66"/>
      <c r="P8" s="63"/>
      <c r="Q8" s="63"/>
      <c r="R8" s="63"/>
      <c r="S8" s="63"/>
      <c r="T8" s="63"/>
      <c r="U8" s="63"/>
      <c r="V8" s="63"/>
      <c r="W8" s="63"/>
      <c r="X8" s="63"/>
      <c r="Y8" s="63"/>
      <c r="Z8" s="63"/>
      <c r="AC8" s="800"/>
    </row>
    <row r="9" spans="1:29" x14ac:dyDescent="0.25">
      <c r="A9" s="809"/>
      <c r="B9" s="793"/>
      <c r="C9" s="66" t="s">
        <v>53</v>
      </c>
      <c r="D9" s="244">
        <f>'Input &amp; Findings'!$F$40</f>
        <v>0</v>
      </c>
      <c r="E9" s="70"/>
      <c r="F9" s="71"/>
      <c r="G9" s="793"/>
      <c r="H9" s="793"/>
      <c r="I9" s="793"/>
      <c r="J9" s="793"/>
      <c r="K9" s="793"/>
      <c r="L9" s="793"/>
      <c r="M9" s="793"/>
      <c r="N9" s="805"/>
      <c r="O9" s="66"/>
      <c r="P9" s="63"/>
      <c r="Q9" s="63"/>
      <c r="R9" s="63"/>
      <c r="S9" s="63"/>
      <c r="T9" s="63"/>
      <c r="U9" s="63"/>
      <c r="V9" s="63"/>
      <c r="W9" s="63"/>
      <c r="X9" s="63"/>
      <c r="Y9" s="63"/>
      <c r="Z9" s="63"/>
      <c r="AC9" s="800"/>
    </row>
    <row r="10" spans="1:29" x14ac:dyDescent="0.25">
      <c r="A10" s="809"/>
      <c r="B10" s="793"/>
      <c r="C10" s="72" t="s">
        <v>54</v>
      </c>
      <c r="D10" s="795" t="str">
        <f>'Input &amp; Findings'!$F$38</f>
        <v>Butler County Veterans Hwy EB, SR-129</v>
      </c>
      <c r="E10" s="796"/>
      <c r="F10" s="797"/>
      <c r="G10" s="793"/>
      <c r="H10" s="793"/>
      <c r="I10" s="793"/>
      <c r="J10" s="793"/>
      <c r="K10" s="793"/>
      <c r="L10" s="793"/>
      <c r="M10" s="793"/>
      <c r="N10" s="805"/>
      <c r="O10" s="72"/>
      <c r="P10" s="73"/>
      <c r="Q10" s="73"/>
      <c r="R10" s="73"/>
      <c r="S10" s="73"/>
      <c r="T10" s="73"/>
      <c r="U10" s="73"/>
      <c r="V10" s="73"/>
      <c r="W10" s="73"/>
      <c r="X10" s="73"/>
      <c r="Y10" s="73"/>
      <c r="Z10" s="73"/>
      <c r="AC10" s="800"/>
    </row>
    <row r="11" spans="1:29" ht="27" customHeight="1" x14ac:dyDescent="0.25">
      <c r="A11" s="810"/>
      <c r="B11" s="794"/>
      <c r="C11" s="74" t="s">
        <v>55</v>
      </c>
      <c r="D11" s="74" t="s">
        <v>56</v>
      </c>
      <c r="E11" s="74" t="s">
        <v>57</v>
      </c>
      <c r="F11" s="74" t="s">
        <v>58</v>
      </c>
      <c r="G11" s="794"/>
      <c r="H11" s="794"/>
      <c r="I11" s="794"/>
      <c r="J11" s="794"/>
      <c r="K11" s="794"/>
      <c r="L11" s="794"/>
      <c r="M11" s="794"/>
      <c r="N11" s="806"/>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800"/>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800"/>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2'!$G13/'Input &amp; Findings'!$G$31</f>
        <v>0</v>
      </c>
      <c r="J13" s="48">
        <f>IF('RTF 2'!$D$9=1,'Lookup Tables'!$J144,IF('RTF 2'!$D$9=2,'Lookup Tables'!$K144,IF('RTF 2'!$D$9=3,'Lookup Tables'!$L144,IF('RTF 2'!$D$9=4,'Lookup Tables'!$M144,'Lookup Tables'!$N144))))</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 t="shared" ref="P13:Q13" si="0">D13</f>
        <v>0</v>
      </c>
      <c r="Q13" s="78">
        <f t="shared" si="0"/>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800"/>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2'!$G14/'Input &amp; Findings'!$G$31</f>
        <v>0</v>
      </c>
      <c r="J14" s="48">
        <f>IF('RTF 2'!$D$9=1,'Lookup Tables'!$J145,IF('RTF 2'!$D$9=2,'Lookup Tables'!$K145,IF('RTF 2'!$D$9=3,'Lookup Tables'!$L145,IF('RTF 2'!$D$9=4,'Lookup Tables'!$M145,'Lookup Tables'!$N145))))</f>
        <v>15</v>
      </c>
      <c r="K14" s="79" t="str">
        <f t="shared" ref="K14:K77" si="1">IF((C14+D14+E14)=0," ",IF(C14+D14+E14&lt;2400,(VLOOKUP(ROUNDDOWN(I14+H14,-2),$A$113:$C$136,3,FALSE)),100))</f>
        <v xml:space="preserve"> </v>
      </c>
      <c r="L14" s="79" t="str">
        <f t="shared" ref="L14:L77" si="2">IF((C14+D14+E14)=0," ",(J14-K14))</f>
        <v xml:space="preserve"> </v>
      </c>
      <c r="M14" s="78">
        <f t="shared" ref="M14:M77" si="3">IF(E14=0,0,IF($J$1="Yes",((1-(L14/100))*E14),E14))</f>
        <v>0</v>
      </c>
      <c r="N14" s="78">
        <f t="shared" ref="N14:N77" si="4">IF(E14=0,F14,(M14+D14+C14))</f>
        <v>0</v>
      </c>
      <c r="O14" s="78">
        <f t="shared" ref="O14:O77" si="5">C14</f>
        <v>0</v>
      </c>
      <c r="P14" s="78">
        <f t="shared" ref="P14:P77" si="6">D14</f>
        <v>0</v>
      </c>
      <c r="Q14" s="78">
        <f t="shared" ref="Q14:Q77" si="7">E14</f>
        <v>0</v>
      </c>
      <c r="R14" s="78" t="str">
        <f t="shared" ref="R14:R77" si="8">IF(F14=0," ",F14)</f>
        <v xml:space="preserve"> </v>
      </c>
      <c r="S14" s="78" t="str">
        <f t="shared" ref="S14:S77" si="9">IF((C14+D14+E14)=0," ",(0.7*R14))</f>
        <v xml:space="preserve"> </v>
      </c>
      <c r="T14" s="78" t="str">
        <f t="shared" ref="T14:T77" si="10">IF((C14+D14+E14)=0," ",(0.35*R14))</f>
        <v xml:space="preserve"> </v>
      </c>
      <c r="U14" s="78" t="str">
        <f t="shared" ref="U14:U77" si="11">IF((C14+D14+E14)=0," ",(3*P14))</f>
        <v xml:space="preserve"> </v>
      </c>
      <c r="V14" s="78" t="str">
        <f t="shared" ref="V14:V77" si="12">IF((C14+D14+E14)=0," ",(P14/3))</f>
        <v xml:space="preserve"> </v>
      </c>
      <c r="W14" s="78" t="str">
        <f t="shared" ref="W14:W77" si="13">IF((D14+C14+E14)=0," ",(P14+O14))</f>
        <v xml:space="preserve"> </v>
      </c>
      <c r="X14" s="78" t="str">
        <f t="shared" ref="X14:X77" si="14">IF((C14+D14+E14)=0," ",(P14+Q14))</f>
        <v xml:space="preserve"> </v>
      </c>
      <c r="Y14" s="78" t="str">
        <f t="shared" ref="Y14:Y77" si="15">IF((C14+D14+E14)=0," ",(3*Q14))</f>
        <v xml:space="preserve"> </v>
      </c>
      <c r="Z14" s="78" t="str">
        <f t="shared" ref="Z14:Z77" si="16">IF((C14+D14+E14)=0," ",(3*O14))</f>
        <v xml:space="preserve"> </v>
      </c>
      <c r="AA14" s="78" t="str">
        <f t="shared" ref="AA14:AA77" si="17">IF((C14+D14+E14)=0," ",(P14/2))</f>
        <v xml:space="preserve"> </v>
      </c>
      <c r="AB14" s="78" t="str">
        <f t="shared" ref="AB14:AB77" si="18">IF((C14+D14+E14)=0," ",(P14/4))</f>
        <v xml:space="preserve"> </v>
      </c>
      <c r="AC14" s="800"/>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9">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2'!$G15/'Input &amp; Findings'!$G$31</f>
        <v>0</v>
      </c>
      <c r="J15" s="48">
        <f>IF('RTF 2'!$D$9=1,'Lookup Tables'!$J146,IF('RTF 2'!$D$9=2,'Lookup Tables'!$K146,IF('RTF 2'!$D$9=3,'Lookup Tables'!$L146,IF('RTF 2'!$D$9=4,'Lookup Tables'!$M146,'Lookup Tables'!$N146))))</f>
        <v>15</v>
      </c>
      <c r="K15" s="79" t="str">
        <f t="shared" si="1"/>
        <v xml:space="preserve"> </v>
      </c>
      <c r="L15" s="79" t="str">
        <f t="shared" si="2"/>
        <v xml:space="preserve"> </v>
      </c>
      <c r="M15" s="78">
        <f t="shared" si="3"/>
        <v>0</v>
      </c>
      <c r="N15" s="78">
        <f t="shared" si="4"/>
        <v>0</v>
      </c>
      <c r="O15" s="78">
        <f t="shared" si="5"/>
        <v>0</v>
      </c>
      <c r="P15" s="78">
        <f t="shared" si="6"/>
        <v>0</v>
      </c>
      <c r="Q15" s="78">
        <f t="shared" si="7"/>
        <v>0</v>
      </c>
      <c r="R15" s="78" t="str">
        <f t="shared" si="8"/>
        <v xml:space="preserve"> </v>
      </c>
      <c r="S15" s="78" t="str">
        <f t="shared" si="9"/>
        <v xml:space="preserve"> </v>
      </c>
      <c r="T15" s="78" t="str">
        <f t="shared" si="10"/>
        <v xml:space="preserve"> </v>
      </c>
      <c r="U15" s="78" t="str">
        <f t="shared" si="11"/>
        <v xml:space="preserve"> </v>
      </c>
      <c r="V15" s="78" t="str">
        <f t="shared" si="12"/>
        <v xml:space="preserve"> </v>
      </c>
      <c r="W15" s="78" t="str">
        <f t="shared" si="13"/>
        <v xml:space="preserve"> </v>
      </c>
      <c r="X15" s="78" t="str">
        <f t="shared" si="14"/>
        <v xml:space="preserve"> </v>
      </c>
      <c r="Y15" s="78" t="str">
        <f t="shared" si="15"/>
        <v xml:space="preserve"> </v>
      </c>
      <c r="Z15" s="78" t="str">
        <f t="shared" si="16"/>
        <v xml:space="preserve"> </v>
      </c>
      <c r="AA15" s="78" t="str">
        <f t="shared" si="17"/>
        <v xml:space="preserve"> </v>
      </c>
      <c r="AB15" s="78" t="str">
        <f t="shared" si="18"/>
        <v xml:space="preserve"> </v>
      </c>
      <c r="AC15" s="800"/>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9"/>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2'!$G16/'Input &amp; Findings'!$G$31</f>
        <v>0</v>
      </c>
      <c r="J16" s="48">
        <f>IF('RTF 2'!$D$9=1,'Lookup Tables'!$J147,IF('RTF 2'!$D$9=2,'Lookup Tables'!$K147,IF('RTF 2'!$D$9=3,'Lookup Tables'!$L147,IF('RTF 2'!$D$9=4,'Lookup Tables'!$M147,'Lookup Tables'!$N147))))</f>
        <v>15</v>
      </c>
      <c r="K16" s="79" t="str">
        <f t="shared" si="1"/>
        <v xml:space="preserve"> </v>
      </c>
      <c r="L16" s="79" t="str">
        <f t="shared" si="2"/>
        <v xml:space="preserve"> </v>
      </c>
      <c r="M16" s="78">
        <f t="shared" si="3"/>
        <v>0</v>
      </c>
      <c r="N16" s="78">
        <f t="shared" si="4"/>
        <v>0</v>
      </c>
      <c r="O16" s="78">
        <f t="shared" si="5"/>
        <v>0</v>
      </c>
      <c r="P16" s="78">
        <f t="shared" si="6"/>
        <v>0</v>
      </c>
      <c r="Q16" s="78">
        <f t="shared" si="7"/>
        <v>0</v>
      </c>
      <c r="R16" s="78" t="str">
        <f t="shared" si="8"/>
        <v xml:space="preserve"> </v>
      </c>
      <c r="S16" s="78" t="str">
        <f t="shared" si="9"/>
        <v xml:space="preserve"> </v>
      </c>
      <c r="T16" s="78" t="str">
        <f t="shared" si="10"/>
        <v xml:space="preserve"> </v>
      </c>
      <c r="U16" s="78" t="str">
        <f t="shared" si="11"/>
        <v xml:space="preserve"> </v>
      </c>
      <c r="V16" s="78" t="str">
        <f t="shared" si="12"/>
        <v xml:space="preserve"> </v>
      </c>
      <c r="W16" s="78" t="str">
        <f t="shared" si="13"/>
        <v xml:space="preserve"> </v>
      </c>
      <c r="X16" s="78" t="str">
        <f t="shared" si="14"/>
        <v xml:space="preserve"> </v>
      </c>
      <c r="Y16" s="78" t="str">
        <f t="shared" si="15"/>
        <v xml:space="preserve"> </v>
      </c>
      <c r="Z16" s="78" t="str">
        <f t="shared" si="16"/>
        <v xml:space="preserve"> </v>
      </c>
      <c r="AA16" s="78" t="str">
        <f t="shared" si="17"/>
        <v xml:space="preserve"> </v>
      </c>
      <c r="AB16" s="78" t="str">
        <f t="shared" si="18"/>
        <v xml:space="preserve"> </v>
      </c>
      <c r="AC16" s="800"/>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9"/>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2'!$G17/'Input &amp; Findings'!$G$31</f>
        <v>0</v>
      </c>
      <c r="J17" s="48">
        <f>IF('RTF 2'!$D$9=1,'Lookup Tables'!$J148,IF('RTF 2'!$D$9=2,'Lookup Tables'!$K148,IF('RTF 2'!$D$9=3,'Lookup Tables'!$L148,IF('RTF 2'!$D$9=4,'Lookup Tables'!$M148,'Lookup Tables'!$N148))))</f>
        <v>15</v>
      </c>
      <c r="K17" s="79" t="str">
        <f t="shared" si="1"/>
        <v xml:space="preserve"> </v>
      </c>
      <c r="L17" s="79" t="str">
        <f t="shared" si="2"/>
        <v xml:space="preserve"> </v>
      </c>
      <c r="M17" s="78">
        <f t="shared" si="3"/>
        <v>0</v>
      </c>
      <c r="N17" s="78">
        <f t="shared" si="4"/>
        <v>0</v>
      </c>
      <c r="O17" s="78">
        <f t="shared" si="5"/>
        <v>0</v>
      </c>
      <c r="P17" s="78">
        <f t="shared" si="6"/>
        <v>0</v>
      </c>
      <c r="Q17" s="78">
        <f t="shared" si="7"/>
        <v>0</v>
      </c>
      <c r="R17" s="78" t="str">
        <f t="shared" si="8"/>
        <v xml:space="preserve"> </v>
      </c>
      <c r="S17" s="78" t="str">
        <f t="shared" si="9"/>
        <v xml:space="preserve"> </v>
      </c>
      <c r="T17" s="78" t="str">
        <f t="shared" si="10"/>
        <v xml:space="preserve"> </v>
      </c>
      <c r="U17" s="78" t="str">
        <f t="shared" si="11"/>
        <v xml:space="preserve"> </v>
      </c>
      <c r="V17" s="78" t="str">
        <f t="shared" si="12"/>
        <v xml:space="preserve"> </v>
      </c>
      <c r="W17" s="78" t="str">
        <f t="shared" si="13"/>
        <v xml:space="preserve"> </v>
      </c>
      <c r="X17" s="78" t="str">
        <f t="shared" si="14"/>
        <v xml:space="preserve"> </v>
      </c>
      <c r="Y17" s="78" t="str">
        <f t="shared" si="15"/>
        <v xml:space="preserve"> </v>
      </c>
      <c r="Z17" s="78" t="str">
        <f t="shared" si="16"/>
        <v xml:space="preserve"> </v>
      </c>
      <c r="AA17" s="78" t="str">
        <f t="shared" si="17"/>
        <v xml:space="preserve"> </v>
      </c>
      <c r="AB17" s="78" t="str">
        <f t="shared" si="18"/>
        <v xml:space="preserve"> </v>
      </c>
      <c r="AC17" s="800"/>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9"/>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2'!$G18/'Input &amp; Findings'!$G$31</f>
        <v>0</v>
      </c>
      <c r="J18" s="48">
        <f>IF('RTF 2'!$D$9=1,'Lookup Tables'!$J149,IF('RTF 2'!$D$9=2,'Lookup Tables'!$K149,IF('RTF 2'!$D$9=3,'Lookup Tables'!$L149,IF('RTF 2'!$D$9=4,'Lookup Tables'!$M149,'Lookup Tables'!$N149))))</f>
        <v>15</v>
      </c>
      <c r="K18" s="79" t="str">
        <f t="shared" si="1"/>
        <v xml:space="preserve"> </v>
      </c>
      <c r="L18" s="79" t="str">
        <f t="shared" si="2"/>
        <v xml:space="preserve"> </v>
      </c>
      <c r="M18" s="78">
        <f t="shared" si="3"/>
        <v>0</v>
      </c>
      <c r="N18" s="78">
        <f t="shared" si="4"/>
        <v>0</v>
      </c>
      <c r="O18" s="78">
        <f t="shared" si="5"/>
        <v>0</v>
      </c>
      <c r="P18" s="78">
        <f t="shared" si="6"/>
        <v>0</v>
      </c>
      <c r="Q18" s="78">
        <f t="shared" si="7"/>
        <v>0</v>
      </c>
      <c r="R18" s="78" t="str">
        <f t="shared" si="8"/>
        <v xml:space="preserve"> </v>
      </c>
      <c r="S18" s="78" t="str">
        <f t="shared" si="9"/>
        <v xml:space="preserve"> </v>
      </c>
      <c r="T18" s="78" t="str">
        <f t="shared" si="10"/>
        <v xml:space="preserve"> </v>
      </c>
      <c r="U18" s="78" t="str">
        <f t="shared" si="11"/>
        <v xml:space="preserve"> </v>
      </c>
      <c r="V18" s="78" t="str">
        <f t="shared" si="12"/>
        <v xml:space="preserve"> </v>
      </c>
      <c r="W18" s="78" t="str">
        <f t="shared" si="13"/>
        <v xml:space="preserve"> </v>
      </c>
      <c r="X18" s="78" t="str">
        <f t="shared" si="14"/>
        <v xml:space="preserve"> </v>
      </c>
      <c r="Y18" s="78" t="str">
        <f t="shared" si="15"/>
        <v xml:space="preserve"> </v>
      </c>
      <c r="Z18" s="78" t="str">
        <f t="shared" si="16"/>
        <v xml:space="preserve"> </v>
      </c>
      <c r="AA18" s="78" t="str">
        <f t="shared" si="17"/>
        <v xml:space="preserve"> </v>
      </c>
      <c r="AB18" s="78" t="str">
        <f t="shared" si="18"/>
        <v xml:space="preserve"> </v>
      </c>
      <c r="AC18" s="800"/>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9"/>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2'!$G19/'Input &amp; Findings'!$G$31</f>
        <v>0</v>
      </c>
      <c r="J19" s="48">
        <f>IF('RTF 2'!$D$9=1,'Lookup Tables'!$J150,IF('RTF 2'!$D$9=2,'Lookup Tables'!$K150,IF('RTF 2'!$D$9=3,'Lookup Tables'!$L150,IF('RTF 2'!$D$9=4,'Lookup Tables'!$M150,'Lookup Tables'!$N150))))</f>
        <v>15</v>
      </c>
      <c r="K19" s="79" t="str">
        <f t="shared" si="1"/>
        <v xml:space="preserve"> </v>
      </c>
      <c r="L19" s="79" t="str">
        <f t="shared" si="2"/>
        <v xml:space="preserve"> </v>
      </c>
      <c r="M19" s="78">
        <f t="shared" si="3"/>
        <v>0</v>
      </c>
      <c r="N19" s="78">
        <f t="shared" si="4"/>
        <v>0</v>
      </c>
      <c r="O19" s="78">
        <f t="shared" si="5"/>
        <v>0</v>
      </c>
      <c r="P19" s="78">
        <f t="shared" si="6"/>
        <v>0</v>
      </c>
      <c r="Q19" s="78">
        <f t="shared" si="7"/>
        <v>0</v>
      </c>
      <c r="R19" s="78" t="str">
        <f t="shared" si="8"/>
        <v xml:space="preserve"> </v>
      </c>
      <c r="S19" s="78" t="str">
        <f t="shared" si="9"/>
        <v xml:space="preserve"> </v>
      </c>
      <c r="T19" s="78" t="str">
        <f t="shared" si="10"/>
        <v xml:space="preserve"> </v>
      </c>
      <c r="U19" s="78" t="str">
        <f t="shared" si="11"/>
        <v xml:space="preserve"> </v>
      </c>
      <c r="V19" s="78" t="str">
        <f t="shared" si="12"/>
        <v xml:space="preserve"> </v>
      </c>
      <c r="W19" s="78" t="str">
        <f t="shared" si="13"/>
        <v xml:space="preserve"> </v>
      </c>
      <c r="X19" s="78" t="str">
        <f t="shared" si="14"/>
        <v xml:space="preserve"> </v>
      </c>
      <c r="Y19" s="78" t="str">
        <f t="shared" si="15"/>
        <v xml:space="preserve"> </v>
      </c>
      <c r="Z19" s="78" t="str">
        <f t="shared" si="16"/>
        <v xml:space="preserve"> </v>
      </c>
      <c r="AA19" s="78" t="str">
        <f t="shared" si="17"/>
        <v xml:space="preserve"> </v>
      </c>
      <c r="AB19" s="78" t="str">
        <f t="shared" si="18"/>
        <v xml:space="preserve"> </v>
      </c>
      <c r="AC19" s="800"/>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9"/>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2'!$G20/'Input &amp; Findings'!$G$31</f>
        <v>0</v>
      </c>
      <c r="J20" s="48">
        <f>IF('RTF 2'!$D$9=1,'Lookup Tables'!$J151,IF('RTF 2'!$D$9=2,'Lookup Tables'!$K151,IF('RTF 2'!$D$9=3,'Lookup Tables'!$L151,IF('RTF 2'!$D$9=4,'Lookup Tables'!$M151,'Lookup Tables'!$N151))))</f>
        <v>15</v>
      </c>
      <c r="K20" s="79" t="str">
        <f t="shared" si="1"/>
        <v xml:space="preserve"> </v>
      </c>
      <c r="L20" s="79" t="str">
        <f t="shared" si="2"/>
        <v xml:space="preserve"> </v>
      </c>
      <c r="M20" s="78">
        <f t="shared" si="3"/>
        <v>0</v>
      </c>
      <c r="N20" s="78">
        <f t="shared" si="4"/>
        <v>0</v>
      </c>
      <c r="O20" s="78">
        <f t="shared" si="5"/>
        <v>0</v>
      </c>
      <c r="P20" s="78">
        <f t="shared" si="6"/>
        <v>0</v>
      </c>
      <c r="Q20" s="78">
        <f t="shared" si="7"/>
        <v>0</v>
      </c>
      <c r="R20" s="78" t="str">
        <f t="shared" si="8"/>
        <v xml:space="preserve"> </v>
      </c>
      <c r="S20" s="78" t="str">
        <f t="shared" si="9"/>
        <v xml:space="preserve"> </v>
      </c>
      <c r="T20" s="78" t="str">
        <f t="shared" si="10"/>
        <v xml:space="preserve"> </v>
      </c>
      <c r="U20" s="78" t="str">
        <f t="shared" si="11"/>
        <v xml:space="preserve"> </v>
      </c>
      <c r="V20" s="78" t="str">
        <f t="shared" si="12"/>
        <v xml:space="preserve"> </v>
      </c>
      <c r="W20" s="78" t="str">
        <f t="shared" si="13"/>
        <v xml:space="preserve"> </v>
      </c>
      <c r="X20" s="78" t="str">
        <f t="shared" si="14"/>
        <v xml:space="preserve"> </v>
      </c>
      <c r="Y20" s="78" t="str">
        <f t="shared" si="15"/>
        <v xml:space="preserve"> </v>
      </c>
      <c r="Z20" s="78" t="str">
        <f t="shared" si="16"/>
        <v xml:space="preserve"> </v>
      </c>
      <c r="AA20" s="78" t="str">
        <f t="shared" si="17"/>
        <v xml:space="preserve"> </v>
      </c>
      <c r="AB20" s="78" t="str">
        <f t="shared" si="18"/>
        <v xml:space="preserve"> </v>
      </c>
      <c r="AC20" s="800"/>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9"/>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2'!$G21/'Input &amp; Findings'!$G$31</f>
        <v>0</v>
      </c>
      <c r="J21" s="48">
        <f>IF('RTF 2'!$D$9=1,'Lookup Tables'!$J152,IF('RTF 2'!$D$9=2,'Lookup Tables'!$K152,IF('RTF 2'!$D$9=3,'Lookup Tables'!$L152,IF('RTF 2'!$D$9=4,'Lookup Tables'!$M152,'Lookup Tables'!$N152))))</f>
        <v>15</v>
      </c>
      <c r="K21" s="79" t="str">
        <f t="shared" si="1"/>
        <v xml:space="preserve"> </v>
      </c>
      <c r="L21" s="79" t="str">
        <f t="shared" si="2"/>
        <v xml:space="preserve"> </v>
      </c>
      <c r="M21" s="78">
        <f t="shared" si="3"/>
        <v>0</v>
      </c>
      <c r="N21" s="78">
        <f t="shared" si="4"/>
        <v>0</v>
      </c>
      <c r="O21" s="78">
        <f t="shared" si="5"/>
        <v>0</v>
      </c>
      <c r="P21" s="78">
        <f t="shared" si="6"/>
        <v>0</v>
      </c>
      <c r="Q21" s="78">
        <f t="shared" si="7"/>
        <v>0</v>
      </c>
      <c r="R21" s="78" t="str">
        <f t="shared" si="8"/>
        <v xml:space="preserve"> </v>
      </c>
      <c r="S21" s="78" t="str">
        <f t="shared" si="9"/>
        <v xml:space="preserve"> </v>
      </c>
      <c r="T21" s="78" t="str">
        <f t="shared" si="10"/>
        <v xml:space="preserve"> </v>
      </c>
      <c r="U21" s="78" t="str">
        <f t="shared" si="11"/>
        <v xml:space="preserve"> </v>
      </c>
      <c r="V21" s="78" t="str">
        <f t="shared" si="12"/>
        <v xml:space="preserve"> </v>
      </c>
      <c r="W21" s="78" t="str">
        <f t="shared" si="13"/>
        <v xml:space="preserve"> </v>
      </c>
      <c r="X21" s="78" t="str">
        <f t="shared" si="14"/>
        <v xml:space="preserve"> </v>
      </c>
      <c r="Y21" s="78" t="str">
        <f t="shared" si="15"/>
        <v xml:space="preserve"> </v>
      </c>
      <c r="Z21" s="78" t="str">
        <f t="shared" si="16"/>
        <v xml:space="preserve"> </v>
      </c>
      <c r="AA21" s="78" t="str">
        <f t="shared" si="17"/>
        <v xml:space="preserve"> </v>
      </c>
      <c r="AB21" s="78" t="str">
        <f t="shared" si="18"/>
        <v xml:space="preserve"> </v>
      </c>
      <c r="AC21" s="800"/>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9"/>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2'!$G22/'Input &amp; Findings'!$G$31</f>
        <v>0</v>
      </c>
      <c r="J22" s="48">
        <f>IF('RTF 2'!$D$9=1,'Lookup Tables'!$J153,IF('RTF 2'!$D$9=2,'Lookup Tables'!$K153,IF('RTF 2'!$D$9=3,'Lookup Tables'!$L153,IF('RTF 2'!$D$9=4,'Lookup Tables'!$M153,'Lookup Tables'!$N153))))</f>
        <v>15</v>
      </c>
      <c r="K22" s="79" t="str">
        <f t="shared" si="1"/>
        <v xml:space="preserve"> </v>
      </c>
      <c r="L22" s="79" t="str">
        <f t="shared" si="2"/>
        <v xml:space="preserve"> </v>
      </c>
      <c r="M22" s="78">
        <f t="shared" si="3"/>
        <v>0</v>
      </c>
      <c r="N22" s="78">
        <f t="shared" si="4"/>
        <v>0</v>
      </c>
      <c r="O22" s="78">
        <f t="shared" si="5"/>
        <v>0</v>
      </c>
      <c r="P22" s="78">
        <f t="shared" si="6"/>
        <v>0</v>
      </c>
      <c r="Q22" s="78">
        <f t="shared" si="7"/>
        <v>0</v>
      </c>
      <c r="R22" s="78" t="str">
        <f t="shared" si="8"/>
        <v xml:space="preserve"> </v>
      </c>
      <c r="S22" s="78" t="str">
        <f t="shared" si="9"/>
        <v xml:space="preserve"> </v>
      </c>
      <c r="T22" s="78" t="str">
        <f t="shared" si="10"/>
        <v xml:space="preserve"> </v>
      </c>
      <c r="U22" s="78" t="str">
        <f t="shared" si="11"/>
        <v xml:space="preserve"> </v>
      </c>
      <c r="V22" s="78" t="str">
        <f t="shared" si="12"/>
        <v xml:space="preserve"> </v>
      </c>
      <c r="W22" s="78" t="str">
        <f t="shared" si="13"/>
        <v xml:space="preserve"> </v>
      </c>
      <c r="X22" s="78" t="str">
        <f t="shared" si="14"/>
        <v xml:space="preserve"> </v>
      </c>
      <c r="Y22" s="78" t="str">
        <f t="shared" si="15"/>
        <v xml:space="preserve"> </v>
      </c>
      <c r="Z22" s="78" t="str">
        <f t="shared" si="16"/>
        <v xml:space="preserve"> </v>
      </c>
      <c r="AA22" s="78" t="str">
        <f t="shared" si="17"/>
        <v xml:space="preserve"> </v>
      </c>
      <c r="AB22" s="78" t="str">
        <f t="shared" si="18"/>
        <v xml:space="preserve"> </v>
      </c>
      <c r="AC22" s="800"/>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9"/>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2'!$G23/'Input &amp; Findings'!$G$31</f>
        <v>0</v>
      </c>
      <c r="J23" s="48">
        <f>IF('RTF 2'!$D$9=1,'Lookup Tables'!$J154,IF('RTF 2'!$D$9=2,'Lookup Tables'!$K154,IF('RTF 2'!$D$9=3,'Lookup Tables'!$L154,IF('RTF 2'!$D$9=4,'Lookup Tables'!$M154,'Lookup Tables'!$N154))))</f>
        <v>15</v>
      </c>
      <c r="K23" s="79" t="str">
        <f t="shared" si="1"/>
        <v xml:space="preserve"> </v>
      </c>
      <c r="L23" s="79" t="str">
        <f t="shared" si="2"/>
        <v xml:space="preserve"> </v>
      </c>
      <c r="M23" s="78">
        <f t="shared" si="3"/>
        <v>0</v>
      </c>
      <c r="N23" s="78">
        <f t="shared" si="4"/>
        <v>0</v>
      </c>
      <c r="O23" s="78">
        <f t="shared" si="5"/>
        <v>0</v>
      </c>
      <c r="P23" s="78">
        <f t="shared" si="6"/>
        <v>0</v>
      </c>
      <c r="Q23" s="78">
        <f t="shared" si="7"/>
        <v>0</v>
      </c>
      <c r="R23" s="78" t="str">
        <f t="shared" si="8"/>
        <v xml:space="preserve"> </v>
      </c>
      <c r="S23" s="78" t="str">
        <f t="shared" si="9"/>
        <v xml:space="preserve"> </v>
      </c>
      <c r="T23" s="78" t="str">
        <f t="shared" si="10"/>
        <v xml:space="preserve"> </v>
      </c>
      <c r="U23" s="78" t="str">
        <f t="shared" si="11"/>
        <v xml:space="preserve"> </v>
      </c>
      <c r="V23" s="78" t="str">
        <f t="shared" si="12"/>
        <v xml:space="preserve"> </v>
      </c>
      <c r="W23" s="78" t="str">
        <f t="shared" si="13"/>
        <v xml:space="preserve"> </v>
      </c>
      <c r="X23" s="78" t="str">
        <f t="shared" si="14"/>
        <v xml:space="preserve"> </v>
      </c>
      <c r="Y23" s="78" t="str">
        <f t="shared" si="15"/>
        <v xml:space="preserve"> </v>
      </c>
      <c r="Z23" s="78" t="str">
        <f t="shared" si="16"/>
        <v xml:space="preserve"> </v>
      </c>
      <c r="AA23" s="78" t="str">
        <f t="shared" si="17"/>
        <v xml:space="preserve"> </v>
      </c>
      <c r="AB23" s="78" t="str">
        <f t="shared" si="18"/>
        <v xml:space="preserve"> </v>
      </c>
      <c r="AC23" s="800"/>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9"/>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2'!$G24/'Input &amp; Findings'!$G$31</f>
        <v>0</v>
      </c>
      <c r="J24" s="48">
        <f>IF('RTF 2'!$D$9=1,'Lookup Tables'!$J155,IF('RTF 2'!$D$9=2,'Lookup Tables'!$K155,IF('RTF 2'!$D$9=3,'Lookup Tables'!$L155,IF('RTF 2'!$D$9=4,'Lookup Tables'!$M155,'Lookup Tables'!$N155))))</f>
        <v>15</v>
      </c>
      <c r="K24" s="79" t="str">
        <f t="shared" si="1"/>
        <v xml:space="preserve"> </v>
      </c>
      <c r="L24" s="79" t="str">
        <f t="shared" si="2"/>
        <v xml:space="preserve"> </v>
      </c>
      <c r="M24" s="78">
        <f t="shared" si="3"/>
        <v>0</v>
      </c>
      <c r="N24" s="78">
        <f t="shared" si="4"/>
        <v>0</v>
      </c>
      <c r="O24" s="78">
        <f t="shared" si="5"/>
        <v>0</v>
      </c>
      <c r="P24" s="78">
        <f t="shared" si="6"/>
        <v>0</v>
      </c>
      <c r="Q24" s="78">
        <f t="shared" si="7"/>
        <v>0</v>
      </c>
      <c r="R24" s="78" t="str">
        <f t="shared" si="8"/>
        <v xml:space="preserve"> </v>
      </c>
      <c r="S24" s="78" t="str">
        <f t="shared" si="9"/>
        <v xml:space="preserve"> </v>
      </c>
      <c r="T24" s="78" t="str">
        <f t="shared" si="10"/>
        <v xml:space="preserve"> </v>
      </c>
      <c r="U24" s="78" t="str">
        <f t="shared" si="11"/>
        <v xml:space="preserve"> </v>
      </c>
      <c r="V24" s="78" t="str">
        <f t="shared" si="12"/>
        <v xml:space="preserve"> </v>
      </c>
      <c r="W24" s="78" t="str">
        <f t="shared" si="13"/>
        <v xml:space="preserve"> </v>
      </c>
      <c r="X24" s="78" t="str">
        <f t="shared" si="14"/>
        <v xml:space="preserve"> </v>
      </c>
      <c r="Y24" s="78" t="str">
        <f t="shared" si="15"/>
        <v xml:space="preserve"> </v>
      </c>
      <c r="Z24" s="78" t="str">
        <f t="shared" si="16"/>
        <v xml:space="preserve"> </v>
      </c>
      <c r="AA24" s="78" t="str">
        <f t="shared" si="17"/>
        <v xml:space="preserve"> </v>
      </c>
      <c r="AB24" s="78" t="str">
        <f t="shared" si="18"/>
        <v xml:space="preserve"> </v>
      </c>
      <c r="AC24" s="800"/>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9"/>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2'!$G25/'Input &amp; Findings'!$G$31</f>
        <v>0</v>
      </c>
      <c r="J25" s="48">
        <f>IF('RTF 2'!$D$9=1,'Lookup Tables'!$J156,IF('RTF 2'!$D$9=2,'Lookup Tables'!$K156,IF('RTF 2'!$D$9=3,'Lookup Tables'!$L156,IF('RTF 2'!$D$9=4,'Lookup Tables'!$M156,'Lookup Tables'!$N156))))</f>
        <v>15</v>
      </c>
      <c r="K25" s="79" t="str">
        <f t="shared" si="1"/>
        <v xml:space="preserve"> </v>
      </c>
      <c r="L25" s="79" t="str">
        <f t="shared" si="2"/>
        <v xml:space="preserve"> </v>
      </c>
      <c r="M25" s="78">
        <f t="shared" si="3"/>
        <v>0</v>
      </c>
      <c r="N25" s="78">
        <f t="shared" si="4"/>
        <v>0</v>
      </c>
      <c r="O25" s="78">
        <f t="shared" si="5"/>
        <v>0</v>
      </c>
      <c r="P25" s="78">
        <f t="shared" si="6"/>
        <v>0</v>
      </c>
      <c r="Q25" s="78">
        <f t="shared" si="7"/>
        <v>0</v>
      </c>
      <c r="R25" s="78" t="str">
        <f t="shared" si="8"/>
        <v xml:space="preserve"> </v>
      </c>
      <c r="S25" s="78" t="str">
        <f t="shared" si="9"/>
        <v xml:space="preserve"> </v>
      </c>
      <c r="T25" s="78" t="str">
        <f t="shared" si="10"/>
        <v xml:space="preserve"> </v>
      </c>
      <c r="U25" s="78" t="str">
        <f t="shared" si="11"/>
        <v xml:space="preserve"> </v>
      </c>
      <c r="V25" s="78" t="str">
        <f t="shared" si="12"/>
        <v xml:space="preserve"> </v>
      </c>
      <c r="W25" s="78" t="str">
        <f t="shared" si="13"/>
        <v xml:space="preserve"> </v>
      </c>
      <c r="X25" s="78" t="str">
        <f t="shared" si="14"/>
        <v xml:space="preserve"> </v>
      </c>
      <c r="Y25" s="78" t="str">
        <f t="shared" si="15"/>
        <v xml:space="preserve"> </v>
      </c>
      <c r="Z25" s="78" t="str">
        <f t="shared" si="16"/>
        <v xml:space="preserve"> </v>
      </c>
      <c r="AA25" s="78" t="str">
        <f t="shared" si="17"/>
        <v xml:space="preserve"> </v>
      </c>
      <c r="AB25" s="78" t="str">
        <f t="shared" si="18"/>
        <v xml:space="preserve"> </v>
      </c>
      <c r="AC25" s="800"/>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9"/>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2'!$G26/'Input &amp; Findings'!$G$31</f>
        <v>0</v>
      </c>
      <c r="J26" s="48">
        <f>IF('RTF 2'!$D$9=1,'Lookup Tables'!$J157,IF('RTF 2'!$D$9=2,'Lookup Tables'!$K157,IF('RTF 2'!$D$9=3,'Lookup Tables'!$L157,IF('RTF 2'!$D$9=4,'Lookup Tables'!$M157,'Lookup Tables'!$N157))))</f>
        <v>15</v>
      </c>
      <c r="K26" s="79" t="str">
        <f t="shared" si="1"/>
        <v xml:space="preserve"> </v>
      </c>
      <c r="L26" s="79" t="str">
        <f t="shared" si="2"/>
        <v xml:space="preserve"> </v>
      </c>
      <c r="M26" s="78">
        <f t="shared" si="3"/>
        <v>0</v>
      </c>
      <c r="N26" s="78">
        <f t="shared" si="4"/>
        <v>0</v>
      </c>
      <c r="O26" s="78">
        <f t="shared" si="5"/>
        <v>0</v>
      </c>
      <c r="P26" s="78">
        <f t="shared" si="6"/>
        <v>0</v>
      </c>
      <c r="Q26" s="78">
        <f t="shared" si="7"/>
        <v>0</v>
      </c>
      <c r="R26" s="78" t="str">
        <f t="shared" si="8"/>
        <v xml:space="preserve"> </v>
      </c>
      <c r="S26" s="78" t="str">
        <f t="shared" si="9"/>
        <v xml:space="preserve"> </v>
      </c>
      <c r="T26" s="78" t="str">
        <f t="shared" si="10"/>
        <v xml:space="preserve"> </v>
      </c>
      <c r="U26" s="78" t="str">
        <f t="shared" si="11"/>
        <v xml:space="preserve"> </v>
      </c>
      <c r="V26" s="78" t="str">
        <f t="shared" si="12"/>
        <v xml:space="preserve"> </v>
      </c>
      <c r="W26" s="78" t="str">
        <f t="shared" si="13"/>
        <v xml:space="preserve"> </v>
      </c>
      <c r="X26" s="78" t="str">
        <f t="shared" si="14"/>
        <v xml:space="preserve"> </v>
      </c>
      <c r="Y26" s="78" t="str">
        <f t="shared" si="15"/>
        <v xml:space="preserve"> </v>
      </c>
      <c r="Z26" s="78" t="str">
        <f t="shared" si="16"/>
        <v xml:space="preserve"> </v>
      </c>
      <c r="AA26" s="78" t="str">
        <f t="shared" si="17"/>
        <v xml:space="preserve"> </v>
      </c>
      <c r="AB26" s="78" t="str">
        <f t="shared" si="18"/>
        <v xml:space="preserve"> </v>
      </c>
      <c r="AC26" s="800"/>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9"/>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2'!$G27/'Input &amp; Findings'!$G$31</f>
        <v>0</v>
      </c>
      <c r="J27" s="48">
        <f>IF('RTF 2'!$D$9=1,'Lookup Tables'!$J158,IF('RTF 2'!$D$9=2,'Lookup Tables'!$K158,IF('RTF 2'!$D$9=3,'Lookup Tables'!$L158,IF('RTF 2'!$D$9=4,'Lookup Tables'!$M158,'Lookup Tables'!$N158))))</f>
        <v>15</v>
      </c>
      <c r="K27" s="79" t="str">
        <f t="shared" si="1"/>
        <v xml:space="preserve"> </v>
      </c>
      <c r="L27" s="79" t="str">
        <f t="shared" si="2"/>
        <v xml:space="preserve"> </v>
      </c>
      <c r="M27" s="78">
        <f t="shared" si="3"/>
        <v>0</v>
      </c>
      <c r="N27" s="78">
        <f t="shared" si="4"/>
        <v>0</v>
      </c>
      <c r="O27" s="78">
        <f t="shared" si="5"/>
        <v>0</v>
      </c>
      <c r="P27" s="78">
        <f t="shared" si="6"/>
        <v>0</v>
      </c>
      <c r="Q27" s="78">
        <f t="shared" si="7"/>
        <v>0</v>
      </c>
      <c r="R27" s="78" t="str">
        <f t="shared" si="8"/>
        <v xml:space="preserve"> </v>
      </c>
      <c r="S27" s="78" t="str">
        <f t="shared" si="9"/>
        <v xml:space="preserve"> </v>
      </c>
      <c r="T27" s="78" t="str">
        <f t="shared" si="10"/>
        <v xml:space="preserve"> </v>
      </c>
      <c r="U27" s="78" t="str">
        <f t="shared" si="11"/>
        <v xml:space="preserve"> </v>
      </c>
      <c r="V27" s="78" t="str">
        <f t="shared" si="12"/>
        <v xml:space="preserve"> </v>
      </c>
      <c r="W27" s="78" t="str">
        <f t="shared" si="13"/>
        <v xml:space="preserve"> </v>
      </c>
      <c r="X27" s="78" t="str">
        <f t="shared" si="14"/>
        <v xml:space="preserve"> </v>
      </c>
      <c r="Y27" s="78" t="str">
        <f t="shared" si="15"/>
        <v xml:space="preserve"> </v>
      </c>
      <c r="Z27" s="78" t="str">
        <f t="shared" si="16"/>
        <v xml:space="preserve"> </v>
      </c>
      <c r="AA27" s="78" t="str">
        <f t="shared" si="17"/>
        <v xml:space="preserve"> </v>
      </c>
      <c r="AB27" s="78" t="str">
        <f t="shared" si="18"/>
        <v xml:space="preserve"> </v>
      </c>
      <c r="AC27" s="800"/>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9"/>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2'!$G28/'Input &amp; Findings'!$G$31</f>
        <v>0</v>
      </c>
      <c r="J28" s="48">
        <f>IF('RTF 2'!$D$9=1,'Lookup Tables'!$J159,IF('RTF 2'!$D$9=2,'Lookup Tables'!$K159,IF('RTF 2'!$D$9=3,'Lookup Tables'!$L159,IF('RTF 2'!$D$9=4,'Lookup Tables'!$M159,'Lookup Tables'!$N159))))</f>
        <v>15</v>
      </c>
      <c r="K28" s="79" t="str">
        <f t="shared" si="1"/>
        <v xml:space="preserve"> </v>
      </c>
      <c r="L28" s="79" t="str">
        <f t="shared" si="2"/>
        <v xml:space="preserve"> </v>
      </c>
      <c r="M28" s="78">
        <f t="shared" si="3"/>
        <v>0</v>
      </c>
      <c r="N28" s="78">
        <f t="shared" si="4"/>
        <v>0</v>
      </c>
      <c r="O28" s="78">
        <f t="shared" si="5"/>
        <v>0</v>
      </c>
      <c r="P28" s="78">
        <f t="shared" si="6"/>
        <v>0</v>
      </c>
      <c r="Q28" s="78">
        <f t="shared" si="7"/>
        <v>0</v>
      </c>
      <c r="R28" s="78" t="str">
        <f t="shared" si="8"/>
        <v xml:space="preserve"> </v>
      </c>
      <c r="S28" s="78" t="str">
        <f t="shared" si="9"/>
        <v xml:space="preserve"> </v>
      </c>
      <c r="T28" s="78" t="str">
        <f t="shared" si="10"/>
        <v xml:space="preserve"> </v>
      </c>
      <c r="U28" s="78" t="str">
        <f t="shared" si="11"/>
        <v xml:space="preserve"> </v>
      </c>
      <c r="V28" s="78" t="str">
        <f t="shared" si="12"/>
        <v xml:space="preserve"> </v>
      </c>
      <c r="W28" s="78" t="str">
        <f t="shared" si="13"/>
        <v xml:space="preserve"> </v>
      </c>
      <c r="X28" s="78" t="str">
        <f t="shared" si="14"/>
        <v xml:space="preserve"> </v>
      </c>
      <c r="Y28" s="78" t="str">
        <f t="shared" si="15"/>
        <v xml:space="preserve"> </v>
      </c>
      <c r="Z28" s="78" t="str">
        <f t="shared" si="16"/>
        <v xml:space="preserve"> </v>
      </c>
      <c r="AA28" s="78" t="str">
        <f t="shared" si="17"/>
        <v xml:space="preserve"> </v>
      </c>
      <c r="AB28" s="78" t="str">
        <f t="shared" si="18"/>
        <v xml:space="preserve"> </v>
      </c>
      <c r="AC28" s="800"/>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9"/>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2'!$G29/'Input &amp; Findings'!$G$31</f>
        <v>0</v>
      </c>
      <c r="J29" s="48">
        <f>IF('RTF 2'!$D$9=1,'Lookup Tables'!$J160,IF('RTF 2'!$D$9=2,'Lookup Tables'!$K160,IF('RTF 2'!$D$9=3,'Lookup Tables'!$L160,IF('RTF 2'!$D$9=4,'Lookup Tables'!$M160,'Lookup Tables'!$N160))))</f>
        <v>15</v>
      </c>
      <c r="K29" s="79" t="str">
        <f t="shared" si="1"/>
        <v xml:space="preserve"> </v>
      </c>
      <c r="L29" s="79" t="str">
        <f t="shared" si="2"/>
        <v xml:space="preserve"> </v>
      </c>
      <c r="M29" s="78">
        <f t="shared" si="3"/>
        <v>0</v>
      </c>
      <c r="N29" s="78">
        <f t="shared" si="4"/>
        <v>0</v>
      </c>
      <c r="O29" s="78">
        <f t="shared" si="5"/>
        <v>0</v>
      </c>
      <c r="P29" s="78">
        <f t="shared" si="6"/>
        <v>0</v>
      </c>
      <c r="Q29" s="78">
        <f t="shared" si="7"/>
        <v>0</v>
      </c>
      <c r="R29" s="78" t="str">
        <f t="shared" si="8"/>
        <v xml:space="preserve"> </v>
      </c>
      <c r="S29" s="78" t="str">
        <f t="shared" si="9"/>
        <v xml:space="preserve"> </v>
      </c>
      <c r="T29" s="78" t="str">
        <f t="shared" si="10"/>
        <v xml:space="preserve"> </v>
      </c>
      <c r="U29" s="78" t="str">
        <f t="shared" si="11"/>
        <v xml:space="preserve"> </v>
      </c>
      <c r="V29" s="78" t="str">
        <f t="shared" si="12"/>
        <v xml:space="preserve"> </v>
      </c>
      <c r="W29" s="78" t="str">
        <f t="shared" si="13"/>
        <v xml:space="preserve"> </v>
      </c>
      <c r="X29" s="78" t="str">
        <f t="shared" si="14"/>
        <v xml:space="preserve"> </v>
      </c>
      <c r="Y29" s="78" t="str">
        <f t="shared" si="15"/>
        <v xml:space="preserve"> </v>
      </c>
      <c r="Z29" s="78" t="str">
        <f t="shared" si="16"/>
        <v xml:space="preserve"> </v>
      </c>
      <c r="AA29" s="78" t="str">
        <f t="shared" si="17"/>
        <v xml:space="preserve"> </v>
      </c>
      <c r="AB29" s="78" t="str">
        <f t="shared" si="18"/>
        <v xml:space="preserve"> </v>
      </c>
      <c r="AC29" s="800"/>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9"/>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2'!$G30/'Input &amp; Findings'!$G$31</f>
        <v>0</v>
      </c>
      <c r="J30" s="48">
        <f>IF('RTF 2'!$D$9=1,'Lookup Tables'!$J161,IF('RTF 2'!$D$9=2,'Lookup Tables'!$K161,IF('RTF 2'!$D$9=3,'Lookup Tables'!$L161,IF('RTF 2'!$D$9=4,'Lookup Tables'!$M161,'Lookup Tables'!$N161))))</f>
        <v>15</v>
      </c>
      <c r="K30" s="79" t="str">
        <f t="shared" si="1"/>
        <v xml:space="preserve"> </v>
      </c>
      <c r="L30" s="79" t="str">
        <f t="shared" si="2"/>
        <v xml:space="preserve"> </v>
      </c>
      <c r="M30" s="78">
        <f t="shared" si="3"/>
        <v>0</v>
      </c>
      <c r="N30" s="78">
        <f t="shared" si="4"/>
        <v>0</v>
      </c>
      <c r="O30" s="78">
        <f t="shared" si="5"/>
        <v>0</v>
      </c>
      <c r="P30" s="78">
        <f t="shared" si="6"/>
        <v>0</v>
      </c>
      <c r="Q30" s="78">
        <f t="shared" si="7"/>
        <v>0</v>
      </c>
      <c r="R30" s="78" t="str">
        <f t="shared" si="8"/>
        <v xml:space="preserve"> </v>
      </c>
      <c r="S30" s="78" t="str">
        <f t="shared" si="9"/>
        <v xml:space="preserve"> </v>
      </c>
      <c r="T30" s="78" t="str">
        <f t="shared" si="10"/>
        <v xml:space="preserve"> </v>
      </c>
      <c r="U30" s="78" t="str">
        <f t="shared" si="11"/>
        <v xml:space="preserve"> </v>
      </c>
      <c r="V30" s="78" t="str">
        <f t="shared" si="12"/>
        <v xml:space="preserve"> </v>
      </c>
      <c r="W30" s="78" t="str">
        <f t="shared" si="13"/>
        <v xml:space="preserve"> </v>
      </c>
      <c r="X30" s="78" t="str">
        <f t="shared" si="14"/>
        <v xml:space="preserve"> </v>
      </c>
      <c r="Y30" s="78" t="str">
        <f t="shared" si="15"/>
        <v xml:space="preserve"> </v>
      </c>
      <c r="Z30" s="78" t="str">
        <f t="shared" si="16"/>
        <v xml:space="preserve"> </v>
      </c>
      <c r="AA30" s="78" t="str">
        <f t="shared" si="17"/>
        <v xml:space="preserve"> </v>
      </c>
      <c r="AB30" s="78" t="str">
        <f t="shared" si="18"/>
        <v xml:space="preserve"> </v>
      </c>
      <c r="AC30" s="800"/>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9"/>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2'!$G31/'Input &amp; Findings'!$G$31</f>
        <v>0</v>
      </c>
      <c r="J31" s="48">
        <f>IF('RTF 2'!$D$9=1,'Lookup Tables'!$J162,IF('RTF 2'!$D$9=2,'Lookup Tables'!$K162,IF('RTF 2'!$D$9=3,'Lookup Tables'!$L162,IF('RTF 2'!$D$9=4,'Lookup Tables'!$M162,'Lookup Tables'!$N162))))</f>
        <v>15</v>
      </c>
      <c r="K31" s="79" t="str">
        <f t="shared" si="1"/>
        <v xml:space="preserve"> </v>
      </c>
      <c r="L31" s="79" t="str">
        <f t="shared" si="2"/>
        <v xml:space="preserve"> </v>
      </c>
      <c r="M31" s="78">
        <f t="shared" si="3"/>
        <v>0</v>
      </c>
      <c r="N31" s="78">
        <f t="shared" si="4"/>
        <v>0</v>
      </c>
      <c r="O31" s="78">
        <f t="shared" si="5"/>
        <v>0</v>
      </c>
      <c r="P31" s="78">
        <f t="shared" si="6"/>
        <v>0</v>
      </c>
      <c r="Q31" s="78">
        <f t="shared" si="7"/>
        <v>0</v>
      </c>
      <c r="R31" s="78" t="str">
        <f t="shared" si="8"/>
        <v xml:space="preserve"> </v>
      </c>
      <c r="S31" s="78" t="str">
        <f t="shared" si="9"/>
        <v xml:space="preserve"> </v>
      </c>
      <c r="T31" s="78" t="str">
        <f t="shared" si="10"/>
        <v xml:space="preserve"> </v>
      </c>
      <c r="U31" s="78" t="str">
        <f t="shared" si="11"/>
        <v xml:space="preserve"> </v>
      </c>
      <c r="V31" s="78" t="str">
        <f t="shared" si="12"/>
        <v xml:space="preserve"> </v>
      </c>
      <c r="W31" s="78" t="str">
        <f t="shared" si="13"/>
        <v xml:space="preserve"> </v>
      </c>
      <c r="X31" s="78" t="str">
        <f t="shared" si="14"/>
        <v xml:space="preserve"> </v>
      </c>
      <c r="Y31" s="78" t="str">
        <f t="shared" si="15"/>
        <v xml:space="preserve"> </v>
      </c>
      <c r="Z31" s="78" t="str">
        <f t="shared" si="16"/>
        <v xml:space="preserve"> </v>
      </c>
      <c r="AA31" s="78" t="str">
        <f t="shared" si="17"/>
        <v xml:space="preserve"> </v>
      </c>
      <c r="AB31" s="78" t="str">
        <f t="shared" si="18"/>
        <v xml:space="preserve"> </v>
      </c>
      <c r="AC31" s="800"/>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9"/>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2'!$G32/'Input &amp; Findings'!$G$31</f>
        <v>0</v>
      </c>
      <c r="J32" s="48">
        <f>IF('RTF 2'!$D$9=1,'Lookup Tables'!$J163,IF('RTF 2'!$D$9=2,'Lookup Tables'!$K163,IF('RTF 2'!$D$9=3,'Lookup Tables'!$L163,IF('RTF 2'!$D$9=4,'Lookup Tables'!$M163,'Lookup Tables'!$N163))))</f>
        <v>15</v>
      </c>
      <c r="K32" s="79" t="str">
        <f t="shared" si="1"/>
        <v xml:space="preserve"> </v>
      </c>
      <c r="L32" s="79" t="str">
        <f t="shared" si="2"/>
        <v xml:space="preserve"> </v>
      </c>
      <c r="M32" s="78">
        <f t="shared" si="3"/>
        <v>0</v>
      </c>
      <c r="N32" s="78">
        <f t="shared" si="4"/>
        <v>0</v>
      </c>
      <c r="O32" s="78">
        <f t="shared" si="5"/>
        <v>0</v>
      </c>
      <c r="P32" s="78">
        <f t="shared" si="6"/>
        <v>0</v>
      </c>
      <c r="Q32" s="78">
        <f t="shared" si="7"/>
        <v>0</v>
      </c>
      <c r="R32" s="78" t="str">
        <f t="shared" si="8"/>
        <v xml:space="preserve"> </v>
      </c>
      <c r="S32" s="78" t="str">
        <f t="shared" si="9"/>
        <v xml:space="preserve"> </v>
      </c>
      <c r="T32" s="78" t="str">
        <f t="shared" si="10"/>
        <v xml:space="preserve"> </v>
      </c>
      <c r="U32" s="78" t="str">
        <f t="shared" si="11"/>
        <v xml:space="preserve"> </v>
      </c>
      <c r="V32" s="78" t="str">
        <f t="shared" si="12"/>
        <v xml:space="preserve"> </v>
      </c>
      <c r="W32" s="78" t="str">
        <f t="shared" si="13"/>
        <v xml:space="preserve"> </v>
      </c>
      <c r="X32" s="78" t="str">
        <f t="shared" si="14"/>
        <v xml:space="preserve"> </v>
      </c>
      <c r="Y32" s="78" t="str">
        <f t="shared" si="15"/>
        <v xml:space="preserve"> </v>
      </c>
      <c r="Z32" s="78" t="str">
        <f t="shared" si="16"/>
        <v xml:space="preserve"> </v>
      </c>
      <c r="AA32" s="78" t="str">
        <f t="shared" si="17"/>
        <v xml:space="preserve"> </v>
      </c>
      <c r="AB32" s="78" t="str">
        <f t="shared" si="18"/>
        <v xml:space="preserve"> </v>
      </c>
      <c r="AC32" s="800"/>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9"/>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2'!$G33/'Input &amp; Findings'!$G$31</f>
        <v>0</v>
      </c>
      <c r="J33" s="48">
        <f>IF('RTF 2'!$D$9=1,'Lookup Tables'!$J164,IF('RTF 2'!$D$9=2,'Lookup Tables'!$K164,IF('RTF 2'!$D$9=3,'Lookup Tables'!$L164,IF('RTF 2'!$D$9=4,'Lookup Tables'!$M164,'Lookup Tables'!$N164))))</f>
        <v>15</v>
      </c>
      <c r="K33" s="79" t="str">
        <f t="shared" si="1"/>
        <v xml:space="preserve"> </v>
      </c>
      <c r="L33" s="79" t="str">
        <f t="shared" si="2"/>
        <v xml:space="preserve"> </v>
      </c>
      <c r="M33" s="78">
        <f t="shared" si="3"/>
        <v>0</v>
      </c>
      <c r="N33" s="78">
        <f t="shared" si="4"/>
        <v>0</v>
      </c>
      <c r="O33" s="78">
        <f t="shared" si="5"/>
        <v>0</v>
      </c>
      <c r="P33" s="78">
        <f t="shared" si="6"/>
        <v>0</v>
      </c>
      <c r="Q33" s="78">
        <f t="shared" si="7"/>
        <v>0</v>
      </c>
      <c r="R33" s="78" t="str">
        <f t="shared" si="8"/>
        <v xml:space="preserve"> </v>
      </c>
      <c r="S33" s="78" t="str">
        <f t="shared" si="9"/>
        <v xml:space="preserve"> </v>
      </c>
      <c r="T33" s="78" t="str">
        <f t="shared" si="10"/>
        <v xml:space="preserve"> </v>
      </c>
      <c r="U33" s="78" t="str">
        <f t="shared" si="11"/>
        <v xml:space="preserve"> </v>
      </c>
      <c r="V33" s="78" t="str">
        <f t="shared" si="12"/>
        <v xml:space="preserve"> </v>
      </c>
      <c r="W33" s="78" t="str">
        <f t="shared" si="13"/>
        <v xml:space="preserve"> </v>
      </c>
      <c r="X33" s="78" t="str">
        <f t="shared" si="14"/>
        <v xml:space="preserve"> </v>
      </c>
      <c r="Y33" s="78" t="str">
        <f t="shared" si="15"/>
        <v xml:space="preserve"> </v>
      </c>
      <c r="Z33" s="78" t="str">
        <f t="shared" si="16"/>
        <v xml:space="preserve"> </v>
      </c>
      <c r="AA33" s="78" t="str">
        <f t="shared" si="17"/>
        <v xml:space="preserve"> </v>
      </c>
      <c r="AB33" s="78" t="str">
        <f t="shared" si="18"/>
        <v xml:space="preserve"> </v>
      </c>
      <c r="AC33" s="800"/>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9"/>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2'!$G34/'Input &amp; Findings'!$G$31</f>
        <v>0</v>
      </c>
      <c r="J34" s="48">
        <f>IF('RTF 2'!$D$9=1,'Lookup Tables'!$J165,IF('RTF 2'!$D$9=2,'Lookup Tables'!$K165,IF('RTF 2'!$D$9=3,'Lookup Tables'!$L165,IF('RTF 2'!$D$9=4,'Lookup Tables'!$M165,'Lookup Tables'!$N165))))</f>
        <v>15</v>
      </c>
      <c r="K34" s="79" t="str">
        <f t="shared" si="1"/>
        <v xml:space="preserve"> </v>
      </c>
      <c r="L34" s="79" t="str">
        <f t="shared" si="2"/>
        <v xml:space="preserve"> </v>
      </c>
      <c r="M34" s="78">
        <f t="shared" si="3"/>
        <v>0</v>
      </c>
      <c r="N34" s="78">
        <f t="shared" si="4"/>
        <v>0</v>
      </c>
      <c r="O34" s="78">
        <f t="shared" si="5"/>
        <v>0</v>
      </c>
      <c r="P34" s="78">
        <f t="shared" si="6"/>
        <v>0</v>
      </c>
      <c r="Q34" s="78">
        <f t="shared" si="7"/>
        <v>0</v>
      </c>
      <c r="R34" s="78" t="str">
        <f t="shared" si="8"/>
        <v xml:space="preserve"> </v>
      </c>
      <c r="S34" s="78" t="str">
        <f t="shared" si="9"/>
        <v xml:space="preserve"> </v>
      </c>
      <c r="T34" s="78" t="str">
        <f t="shared" si="10"/>
        <v xml:space="preserve"> </v>
      </c>
      <c r="U34" s="78" t="str">
        <f t="shared" si="11"/>
        <v xml:space="preserve"> </v>
      </c>
      <c r="V34" s="78" t="str">
        <f t="shared" si="12"/>
        <v xml:space="preserve"> </v>
      </c>
      <c r="W34" s="78" t="str">
        <f t="shared" si="13"/>
        <v xml:space="preserve"> </v>
      </c>
      <c r="X34" s="78" t="str">
        <f t="shared" si="14"/>
        <v xml:space="preserve"> </v>
      </c>
      <c r="Y34" s="78" t="str">
        <f t="shared" si="15"/>
        <v xml:space="preserve"> </v>
      </c>
      <c r="Z34" s="78" t="str">
        <f t="shared" si="16"/>
        <v xml:space="preserve"> </v>
      </c>
      <c r="AA34" s="78" t="str">
        <f t="shared" si="17"/>
        <v xml:space="preserve"> </v>
      </c>
      <c r="AB34" s="78" t="str">
        <f t="shared" si="18"/>
        <v xml:space="preserve"> </v>
      </c>
      <c r="AC34" s="800"/>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9"/>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2'!$G35/'Input &amp; Findings'!$G$31</f>
        <v>0</v>
      </c>
      <c r="J35" s="48">
        <f>IF('RTF 2'!$D$9=1,'Lookup Tables'!$J166,IF('RTF 2'!$D$9=2,'Lookup Tables'!$K166,IF('RTF 2'!$D$9=3,'Lookup Tables'!$L166,IF('RTF 2'!$D$9=4,'Lookup Tables'!$M166,'Lookup Tables'!$N166))))</f>
        <v>15</v>
      </c>
      <c r="K35" s="79" t="str">
        <f t="shared" si="1"/>
        <v xml:space="preserve"> </v>
      </c>
      <c r="L35" s="79" t="str">
        <f t="shared" si="2"/>
        <v xml:space="preserve"> </v>
      </c>
      <c r="M35" s="78">
        <f t="shared" si="3"/>
        <v>0</v>
      </c>
      <c r="N35" s="78">
        <f t="shared" si="4"/>
        <v>0</v>
      </c>
      <c r="O35" s="78">
        <f t="shared" si="5"/>
        <v>0</v>
      </c>
      <c r="P35" s="78">
        <f t="shared" si="6"/>
        <v>0</v>
      </c>
      <c r="Q35" s="78">
        <f t="shared" si="7"/>
        <v>0</v>
      </c>
      <c r="R35" s="78" t="str">
        <f t="shared" si="8"/>
        <v xml:space="preserve"> </v>
      </c>
      <c r="S35" s="78" t="str">
        <f t="shared" si="9"/>
        <v xml:space="preserve"> </v>
      </c>
      <c r="T35" s="78" t="str">
        <f t="shared" si="10"/>
        <v xml:space="preserve"> </v>
      </c>
      <c r="U35" s="78" t="str">
        <f t="shared" si="11"/>
        <v xml:space="preserve"> </v>
      </c>
      <c r="V35" s="78" t="str">
        <f t="shared" si="12"/>
        <v xml:space="preserve"> </v>
      </c>
      <c r="W35" s="78" t="str">
        <f t="shared" si="13"/>
        <v xml:space="preserve"> </v>
      </c>
      <c r="X35" s="78" t="str">
        <f t="shared" si="14"/>
        <v xml:space="preserve"> </v>
      </c>
      <c r="Y35" s="78" t="str">
        <f t="shared" si="15"/>
        <v xml:space="preserve"> </v>
      </c>
      <c r="Z35" s="78" t="str">
        <f t="shared" si="16"/>
        <v xml:space="preserve"> </v>
      </c>
      <c r="AA35" s="78" t="str">
        <f t="shared" si="17"/>
        <v xml:space="preserve"> </v>
      </c>
      <c r="AB35" s="78" t="str">
        <f t="shared" si="18"/>
        <v xml:space="preserve"> </v>
      </c>
      <c r="AC35" s="800"/>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9"/>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2'!$G36/'Input &amp; Findings'!$G$31</f>
        <v>0</v>
      </c>
      <c r="J36" s="48">
        <f>IF('RTF 2'!$D$9=1,'Lookup Tables'!$J167,IF('RTF 2'!$D$9=2,'Lookup Tables'!$K167,IF('RTF 2'!$D$9=3,'Lookup Tables'!$L167,IF('RTF 2'!$D$9=4,'Lookup Tables'!$M167,'Lookup Tables'!$N167))))</f>
        <v>15</v>
      </c>
      <c r="K36" s="79" t="str">
        <f t="shared" si="1"/>
        <v xml:space="preserve"> </v>
      </c>
      <c r="L36" s="79" t="str">
        <f t="shared" si="2"/>
        <v xml:space="preserve"> </v>
      </c>
      <c r="M36" s="78">
        <f t="shared" si="3"/>
        <v>0</v>
      </c>
      <c r="N36" s="78">
        <f t="shared" si="4"/>
        <v>0</v>
      </c>
      <c r="O36" s="78">
        <f t="shared" si="5"/>
        <v>0</v>
      </c>
      <c r="P36" s="78">
        <f t="shared" si="6"/>
        <v>0</v>
      </c>
      <c r="Q36" s="78">
        <f t="shared" si="7"/>
        <v>0</v>
      </c>
      <c r="R36" s="78" t="str">
        <f t="shared" si="8"/>
        <v xml:space="preserve"> </v>
      </c>
      <c r="S36" s="78" t="str">
        <f t="shared" si="9"/>
        <v xml:space="preserve"> </v>
      </c>
      <c r="T36" s="78" t="str">
        <f t="shared" si="10"/>
        <v xml:space="preserve"> </v>
      </c>
      <c r="U36" s="78" t="str">
        <f t="shared" si="11"/>
        <v xml:space="preserve"> </v>
      </c>
      <c r="V36" s="78" t="str">
        <f t="shared" si="12"/>
        <v xml:space="preserve"> </v>
      </c>
      <c r="W36" s="78" t="str">
        <f t="shared" si="13"/>
        <v xml:space="preserve"> </v>
      </c>
      <c r="X36" s="78" t="str">
        <f t="shared" si="14"/>
        <v xml:space="preserve"> </v>
      </c>
      <c r="Y36" s="78" t="str">
        <f t="shared" si="15"/>
        <v xml:space="preserve"> </v>
      </c>
      <c r="Z36" s="78" t="str">
        <f t="shared" si="16"/>
        <v xml:space="preserve"> </v>
      </c>
      <c r="AA36" s="78" t="str">
        <f t="shared" si="17"/>
        <v xml:space="preserve"> </v>
      </c>
      <c r="AB36" s="78" t="str">
        <f t="shared" si="18"/>
        <v xml:space="preserve"> </v>
      </c>
      <c r="AC36" s="800"/>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9"/>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2'!$G37/'Input &amp; Findings'!$G$31</f>
        <v>0</v>
      </c>
      <c r="J37" s="48">
        <f>IF('RTF 2'!$D$9=1,'Lookup Tables'!$J168,IF('RTF 2'!$D$9=2,'Lookup Tables'!$K168,IF('RTF 2'!$D$9=3,'Lookup Tables'!$L168,IF('RTF 2'!$D$9=4,'Lookup Tables'!$M168,'Lookup Tables'!$N168))))</f>
        <v>15</v>
      </c>
      <c r="K37" s="79" t="str">
        <f t="shared" si="1"/>
        <v xml:space="preserve"> </v>
      </c>
      <c r="L37" s="79" t="str">
        <f t="shared" si="2"/>
        <v xml:space="preserve"> </v>
      </c>
      <c r="M37" s="78">
        <f t="shared" si="3"/>
        <v>0</v>
      </c>
      <c r="N37" s="78">
        <f t="shared" si="4"/>
        <v>0</v>
      </c>
      <c r="O37" s="78">
        <f t="shared" si="5"/>
        <v>0</v>
      </c>
      <c r="P37" s="78">
        <f t="shared" si="6"/>
        <v>0</v>
      </c>
      <c r="Q37" s="78">
        <f t="shared" si="7"/>
        <v>0</v>
      </c>
      <c r="R37" s="78" t="str">
        <f t="shared" si="8"/>
        <v xml:space="preserve"> </v>
      </c>
      <c r="S37" s="78" t="str">
        <f t="shared" si="9"/>
        <v xml:space="preserve"> </v>
      </c>
      <c r="T37" s="78" t="str">
        <f t="shared" si="10"/>
        <v xml:space="preserve"> </v>
      </c>
      <c r="U37" s="78" t="str">
        <f t="shared" si="11"/>
        <v xml:space="preserve"> </v>
      </c>
      <c r="V37" s="78" t="str">
        <f t="shared" si="12"/>
        <v xml:space="preserve"> </v>
      </c>
      <c r="W37" s="78" t="str">
        <f t="shared" si="13"/>
        <v xml:space="preserve"> </v>
      </c>
      <c r="X37" s="78" t="str">
        <f t="shared" si="14"/>
        <v xml:space="preserve"> </v>
      </c>
      <c r="Y37" s="78" t="str">
        <f t="shared" si="15"/>
        <v xml:space="preserve"> </v>
      </c>
      <c r="Z37" s="78" t="str">
        <f t="shared" si="16"/>
        <v xml:space="preserve"> </v>
      </c>
      <c r="AA37" s="78" t="str">
        <f t="shared" si="17"/>
        <v xml:space="preserve"> </v>
      </c>
      <c r="AB37" s="78" t="str">
        <f t="shared" si="18"/>
        <v xml:space="preserve"> </v>
      </c>
      <c r="AC37" s="800"/>
    </row>
    <row r="38" spans="1:29" ht="16.05"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9"/>
        <v>0</v>
      </c>
      <c r="G38" s="78">
        <f>IF($D$8="E-Bound",VLOOKUP($B38,'Data 15'!$A$104:$G$199,3,FALSE),IF($D$8="S-Bound",VLOOKUP($B38,'Data 15'!$H$104:$N$199,3,FALSE),IF($D$8="W-Bound",VLOOKUP($B38,'Data 15'!$O$104:$U$199,3,FALSE),VLOOKUP($B38,'Data 15'!$V$104:$AA$199,3,FALSE))))</f>
        <v>56</v>
      </c>
      <c r="H38" s="79">
        <f>IF($D$8="E-Bound",VLOOKUP($B38,'Data 15'!$A$104:$G$199,4,FALSE),IF($D$8="S-Bound",VLOOKUP($B38,'Data 15'!$H$104:$N$199,4,FALSE),IF($D$8="W-Bound",VLOOKUP($B38,'Data 15'!$O$104:$U$199,4,FALSE),VLOOKUP($B38,'Data 15'!$V$104:$AA$199,4,FALSE))))</f>
        <v>0</v>
      </c>
      <c r="I38" s="78">
        <f>'RTF 2'!$G38/'Input &amp; Findings'!$G$31</f>
        <v>28</v>
      </c>
      <c r="J38" s="48">
        <f>IF('RTF 2'!$D$9=1,'Lookup Tables'!$J169,IF('RTF 2'!$D$9=2,'Lookup Tables'!$K169,IF('RTF 2'!$D$9=3,'Lookup Tables'!$L169,IF('RTF 2'!$D$9=4,'Lookup Tables'!$M169,'Lookup Tables'!$N169))))</f>
        <v>15</v>
      </c>
      <c r="K38" s="79" t="str">
        <f t="shared" si="1"/>
        <v xml:space="preserve"> </v>
      </c>
      <c r="L38" s="79" t="str">
        <f t="shared" si="2"/>
        <v xml:space="preserve"> </v>
      </c>
      <c r="M38" s="78">
        <f t="shared" si="3"/>
        <v>0</v>
      </c>
      <c r="N38" s="78">
        <f t="shared" si="4"/>
        <v>0</v>
      </c>
      <c r="O38" s="78">
        <f t="shared" si="5"/>
        <v>0</v>
      </c>
      <c r="P38" s="78">
        <f t="shared" si="6"/>
        <v>0</v>
      </c>
      <c r="Q38" s="78">
        <f t="shared" si="7"/>
        <v>0</v>
      </c>
      <c r="R38" s="78" t="str">
        <f t="shared" si="8"/>
        <v xml:space="preserve"> </v>
      </c>
      <c r="S38" s="78" t="str">
        <f t="shared" si="9"/>
        <v xml:space="preserve"> </v>
      </c>
      <c r="T38" s="78" t="str">
        <f t="shared" si="10"/>
        <v xml:space="preserve"> </v>
      </c>
      <c r="U38" s="78" t="str">
        <f t="shared" si="11"/>
        <v xml:space="preserve"> </v>
      </c>
      <c r="V38" s="78" t="str">
        <f t="shared" si="12"/>
        <v xml:space="preserve"> </v>
      </c>
      <c r="W38" s="78" t="str">
        <f t="shared" si="13"/>
        <v xml:space="preserve"> </v>
      </c>
      <c r="X38" s="78" t="str">
        <f t="shared" si="14"/>
        <v xml:space="preserve"> </v>
      </c>
      <c r="Y38" s="78" t="str">
        <f t="shared" si="15"/>
        <v xml:space="preserve"> </v>
      </c>
      <c r="Z38" s="78" t="str">
        <f t="shared" si="16"/>
        <v xml:space="preserve"> </v>
      </c>
      <c r="AA38" s="78" t="str">
        <f t="shared" si="17"/>
        <v xml:space="preserve"> </v>
      </c>
      <c r="AB38" s="78" t="str">
        <f t="shared" si="18"/>
        <v xml:space="preserve"> </v>
      </c>
      <c r="AC38" s="800"/>
    </row>
    <row r="39" spans="1:29" ht="16.05"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9"/>
        <v>0</v>
      </c>
      <c r="G39" s="78">
        <f>IF($D$8="E-Bound",VLOOKUP($B39,'Data 15'!$A$104:$G$199,3,FALSE),IF($D$8="S-Bound",VLOOKUP($B39,'Data 15'!$H$104:$N$199,3,FALSE),IF($D$8="W-Bound",VLOOKUP($B39,'Data 15'!$O$104:$U$199,3,FALSE),VLOOKUP($B39,'Data 15'!$V$104:$AA$199,3,FALSE))))</f>
        <v>148</v>
      </c>
      <c r="H39" s="79">
        <f>IF($D$8="E-Bound",VLOOKUP($B39,'Data 15'!$A$104:$G$199,4,FALSE),IF($D$8="S-Bound",VLOOKUP($B39,'Data 15'!$H$104:$N$199,4,FALSE),IF($D$8="W-Bound",VLOOKUP($B39,'Data 15'!$O$104:$U$199,4,FALSE),VLOOKUP($B39,'Data 15'!$V$104:$AA$199,4,FALSE))))</f>
        <v>0</v>
      </c>
      <c r="I39" s="78">
        <f>'RTF 2'!$G39/'Input &amp; Findings'!$G$31</f>
        <v>74</v>
      </c>
      <c r="J39" s="48">
        <f>IF('RTF 2'!$D$9=1,'Lookup Tables'!$J170,IF('RTF 2'!$D$9=2,'Lookup Tables'!$K170,IF('RTF 2'!$D$9=3,'Lookup Tables'!$L170,IF('RTF 2'!$D$9=4,'Lookup Tables'!$M170,'Lookup Tables'!$N170))))</f>
        <v>15</v>
      </c>
      <c r="K39" s="79" t="str">
        <f t="shared" si="1"/>
        <v xml:space="preserve"> </v>
      </c>
      <c r="L39" s="79" t="str">
        <f t="shared" si="2"/>
        <v xml:space="preserve"> </v>
      </c>
      <c r="M39" s="78">
        <f t="shared" si="3"/>
        <v>0</v>
      </c>
      <c r="N39" s="78">
        <f t="shared" si="4"/>
        <v>0</v>
      </c>
      <c r="O39" s="78">
        <f t="shared" si="5"/>
        <v>0</v>
      </c>
      <c r="P39" s="78">
        <f t="shared" si="6"/>
        <v>0</v>
      </c>
      <c r="Q39" s="78">
        <f t="shared" si="7"/>
        <v>0</v>
      </c>
      <c r="R39" s="78" t="str">
        <f t="shared" si="8"/>
        <v xml:space="preserve"> </v>
      </c>
      <c r="S39" s="78" t="str">
        <f t="shared" si="9"/>
        <v xml:space="preserve"> </v>
      </c>
      <c r="T39" s="78" t="str">
        <f t="shared" si="10"/>
        <v xml:space="preserve"> </v>
      </c>
      <c r="U39" s="78" t="str">
        <f t="shared" si="11"/>
        <v xml:space="preserve"> </v>
      </c>
      <c r="V39" s="78" t="str">
        <f t="shared" si="12"/>
        <v xml:space="preserve"> </v>
      </c>
      <c r="W39" s="78" t="str">
        <f t="shared" si="13"/>
        <v xml:space="preserve"> </v>
      </c>
      <c r="X39" s="78" t="str">
        <f t="shared" si="14"/>
        <v xml:space="preserve"> </v>
      </c>
      <c r="Y39" s="78" t="str">
        <f t="shared" si="15"/>
        <v xml:space="preserve"> </v>
      </c>
      <c r="Z39" s="78" t="str">
        <f t="shared" si="16"/>
        <v xml:space="preserve"> </v>
      </c>
      <c r="AA39" s="78" t="str">
        <f t="shared" si="17"/>
        <v xml:space="preserve"> </v>
      </c>
      <c r="AB39" s="78" t="str">
        <f t="shared" si="18"/>
        <v xml:space="preserve"> </v>
      </c>
      <c r="AC39" s="800"/>
    </row>
    <row r="40" spans="1:29" ht="16.05"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9"/>
        <v>0</v>
      </c>
      <c r="G40" s="78">
        <f>IF($D$8="E-Bound",VLOOKUP($B40,'Data 15'!$A$104:$G$199,3,FALSE),IF($D$8="S-Bound",VLOOKUP($B40,'Data 15'!$H$104:$N$199,3,FALSE),IF($D$8="W-Bound",VLOOKUP($B40,'Data 15'!$O$104:$U$199,3,FALSE),VLOOKUP($B40,'Data 15'!$V$104:$AA$199,3,FALSE))))</f>
        <v>237</v>
      </c>
      <c r="H40" s="79">
        <f>IF($D$8="E-Bound",VLOOKUP($B40,'Data 15'!$A$104:$G$199,4,FALSE),IF($D$8="S-Bound",VLOOKUP($B40,'Data 15'!$H$104:$N$199,4,FALSE),IF($D$8="W-Bound",VLOOKUP($B40,'Data 15'!$O$104:$U$199,4,FALSE),VLOOKUP($B40,'Data 15'!$V$104:$AA$199,4,FALSE))))</f>
        <v>0</v>
      </c>
      <c r="I40" s="78">
        <f>'RTF 2'!$G40/'Input &amp; Findings'!$G$31</f>
        <v>118.5</v>
      </c>
      <c r="J40" s="48">
        <f>IF('RTF 2'!$D$9=1,'Lookup Tables'!$J171,IF('RTF 2'!$D$9=2,'Lookup Tables'!$K171,IF('RTF 2'!$D$9=3,'Lookup Tables'!$L171,IF('RTF 2'!$D$9=4,'Lookup Tables'!$M171,'Lookup Tables'!$N171))))</f>
        <v>15</v>
      </c>
      <c r="K40" s="79" t="str">
        <f t="shared" si="1"/>
        <v xml:space="preserve"> </v>
      </c>
      <c r="L40" s="79" t="str">
        <f t="shared" si="2"/>
        <v xml:space="preserve"> </v>
      </c>
      <c r="M40" s="78">
        <f t="shared" si="3"/>
        <v>0</v>
      </c>
      <c r="N40" s="78">
        <f t="shared" si="4"/>
        <v>0</v>
      </c>
      <c r="O40" s="78">
        <f t="shared" si="5"/>
        <v>0</v>
      </c>
      <c r="P40" s="78">
        <f t="shared" si="6"/>
        <v>0</v>
      </c>
      <c r="Q40" s="78">
        <f t="shared" si="7"/>
        <v>0</v>
      </c>
      <c r="R40" s="78" t="str">
        <f t="shared" si="8"/>
        <v xml:space="preserve"> </v>
      </c>
      <c r="S40" s="78" t="str">
        <f t="shared" si="9"/>
        <v xml:space="preserve"> </v>
      </c>
      <c r="T40" s="78" t="str">
        <f t="shared" si="10"/>
        <v xml:space="preserve"> </v>
      </c>
      <c r="U40" s="78" t="str">
        <f t="shared" si="11"/>
        <v xml:space="preserve"> </v>
      </c>
      <c r="V40" s="78" t="str">
        <f t="shared" si="12"/>
        <v xml:space="preserve"> </v>
      </c>
      <c r="W40" s="78" t="str">
        <f t="shared" si="13"/>
        <v xml:space="preserve"> </v>
      </c>
      <c r="X40" s="78" t="str">
        <f t="shared" si="14"/>
        <v xml:space="preserve"> </v>
      </c>
      <c r="Y40" s="78" t="str">
        <f t="shared" si="15"/>
        <v xml:space="preserve"> </v>
      </c>
      <c r="Z40" s="78" t="str">
        <f t="shared" si="16"/>
        <v xml:space="preserve"> </v>
      </c>
      <c r="AA40" s="78" t="str">
        <f t="shared" si="17"/>
        <v xml:space="preserve"> </v>
      </c>
      <c r="AB40" s="78" t="str">
        <f t="shared" si="18"/>
        <v xml:space="preserve"> </v>
      </c>
      <c r="AC40" s="800"/>
    </row>
    <row r="41" spans="1:29" ht="16.05"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9"/>
        <v>0</v>
      </c>
      <c r="G41" s="78">
        <f>IF($D$8="E-Bound",VLOOKUP($B41,'Data 15'!$A$104:$G$199,3,FALSE),IF($D$8="S-Bound",VLOOKUP($B41,'Data 15'!$H$104:$N$199,3,FALSE),IF($D$8="W-Bound",VLOOKUP($B41,'Data 15'!$O$104:$U$199,3,FALSE),VLOOKUP($B41,'Data 15'!$V$104:$AA$199,3,FALSE))))</f>
        <v>355</v>
      </c>
      <c r="H41" s="79">
        <f>IF($D$8="E-Bound",VLOOKUP($B41,'Data 15'!$A$104:$G$199,4,FALSE),IF($D$8="S-Bound",VLOOKUP($B41,'Data 15'!$H$104:$N$199,4,FALSE),IF($D$8="W-Bound",VLOOKUP($B41,'Data 15'!$O$104:$U$199,4,FALSE),VLOOKUP($B41,'Data 15'!$V$104:$AA$199,4,FALSE))))</f>
        <v>0</v>
      </c>
      <c r="I41" s="78">
        <f>'RTF 2'!$G41/'Input &amp; Findings'!$G$31</f>
        <v>177.5</v>
      </c>
      <c r="J41" s="48">
        <f>IF('RTF 2'!$D$9=1,'Lookup Tables'!$J172,IF('RTF 2'!$D$9=2,'Lookup Tables'!$K172,IF('RTF 2'!$D$9=3,'Lookup Tables'!$L172,IF('RTF 2'!$D$9=4,'Lookup Tables'!$M172,'Lookup Tables'!$N172))))</f>
        <v>15</v>
      </c>
      <c r="K41" s="79" t="str">
        <f t="shared" si="1"/>
        <v xml:space="preserve"> </v>
      </c>
      <c r="L41" s="79" t="str">
        <f t="shared" si="2"/>
        <v xml:space="preserve"> </v>
      </c>
      <c r="M41" s="78">
        <f t="shared" si="3"/>
        <v>0</v>
      </c>
      <c r="N41" s="78">
        <f t="shared" si="4"/>
        <v>0</v>
      </c>
      <c r="O41" s="78">
        <f t="shared" si="5"/>
        <v>0</v>
      </c>
      <c r="P41" s="78">
        <f t="shared" si="6"/>
        <v>0</v>
      </c>
      <c r="Q41" s="78">
        <f t="shared" si="7"/>
        <v>0</v>
      </c>
      <c r="R41" s="78" t="str">
        <f t="shared" si="8"/>
        <v xml:space="preserve"> </v>
      </c>
      <c r="S41" s="78" t="str">
        <f t="shared" si="9"/>
        <v xml:space="preserve"> </v>
      </c>
      <c r="T41" s="78" t="str">
        <f t="shared" si="10"/>
        <v xml:space="preserve"> </v>
      </c>
      <c r="U41" s="78" t="str">
        <f t="shared" si="11"/>
        <v xml:space="preserve"> </v>
      </c>
      <c r="V41" s="78" t="str">
        <f t="shared" si="12"/>
        <v xml:space="preserve"> </v>
      </c>
      <c r="W41" s="78" t="str">
        <f t="shared" si="13"/>
        <v xml:space="preserve"> </v>
      </c>
      <c r="X41" s="78" t="str">
        <f t="shared" si="14"/>
        <v xml:space="preserve"> </v>
      </c>
      <c r="Y41" s="78" t="str">
        <f t="shared" si="15"/>
        <v xml:space="preserve"> </v>
      </c>
      <c r="Z41" s="78" t="str">
        <f t="shared" si="16"/>
        <v xml:space="preserve"> </v>
      </c>
      <c r="AA41" s="78" t="str">
        <f t="shared" si="17"/>
        <v xml:space="preserve"> </v>
      </c>
      <c r="AB41" s="78" t="str">
        <f t="shared" si="18"/>
        <v xml:space="preserve"> </v>
      </c>
      <c r="AC41" s="800"/>
    </row>
    <row r="42" spans="1:29" ht="16.05"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0</v>
      </c>
      <c r="F42" s="78">
        <f t="shared" si="19"/>
        <v>0</v>
      </c>
      <c r="G42" s="78">
        <f>IF($D$8="E-Bound",VLOOKUP($B42,'Data 15'!$A$104:$G$199,3,FALSE),IF($D$8="S-Bound",VLOOKUP($B42,'Data 15'!$H$104:$N$199,3,FALSE),IF($D$8="W-Bound",VLOOKUP($B42,'Data 15'!$O$104:$U$199,3,FALSE),VLOOKUP($B42,'Data 15'!$V$104:$AA$199,3,FALSE))))</f>
        <v>392</v>
      </c>
      <c r="H42" s="79">
        <f>IF($D$8="E-Bound",VLOOKUP($B42,'Data 15'!$A$104:$G$199,4,FALSE),IF($D$8="S-Bound",VLOOKUP($B42,'Data 15'!$H$104:$N$199,4,FALSE),IF($D$8="W-Bound",VLOOKUP($B42,'Data 15'!$O$104:$U$199,4,FALSE),VLOOKUP($B42,'Data 15'!$V$104:$AA$199,4,FALSE))))</f>
        <v>0</v>
      </c>
      <c r="I42" s="78">
        <f>'RTF 2'!$G42/'Input &amp; Findings'!$G$31</f>
        <v>196</v>
      </c>
      <c r="J42" s="48">
        <f>IF('RTF 2'!$D$9=1,'Lookup Tables'!$J173,IF('RTF 2'!$D$9=2,'Lookup Tables'!$K173,IF('RTF 2'!$D$9=3,'Lookup Tables'!$L173,IF('RTF 2'!$D$9=4,'Lookup Tables'!$M173,'Lookup Tables'!$N173))))</f>
        <v>15</v>
      </c>
      <c r="K42" s="79" t="str">
        <f t="shared" si="1"/>
        <v xml:space="preserve"> </v>
      </c>
      <c r="L42" s="79" t="str">
        <f t="shared" si="2"/>
        <v xml:space="preserve"> </v>
      </c>
      <c r="M42" s="78">
        <f t="shared" si="3"/>
        <v>0</v>
      </c>
      <c r="N42" s="78">
        <f t="shared" si="4"/>
        <v>0</v>
      </c>
      <c r="O42" s="78">
        <f t="shared" si="5"/>
        <v>0</v>
      </c>
      <c r="P42" s="78">
        <f t="shared" si="6"/>
        <v>0</v>
      </c>
      <c r="Q42" s="78">
        <f t="shared" si="7"/>
        <v>0</v>
      </c>
      <c r="R42" s="78" t="str">
        <f t="shared" si="8"/>
        <v xml:space="preserve"> </v>
      </c>
      <c r="S42" s="78" t="str">
        <f t="shared" si="9"/>
        <v xml:space="preserve"> </v>
      </c>
      <c r="T42" s="78" t="str">
        <f t="shared" si="10"/>
        <v xml:space="preserve"> </v>
      </c>
      <c r="U42" s="78" t="str">
        <f t="shared" si="11"/>
        <v xml:space="preserve"> </v>
      </c>
      <c r="V42" s="78" t="str">
        <f t="shared" si="12"/>
        <v xml:space="preserve"> </v>
      </c>
      <c r="W42" s="78" t="str">
        <f t="shared" si="13"/>
        <v xml:space="preserve"> </v>
      </c>
      <c r="X42" s="78" t="str">
        <f t="shared" si="14"/>
        <v xml:space="preserve"> </v>
      </c>
      <c r="Y42" s="78" t="str">
        <f t="shared" si="15"/>
        <v xml:space="preserve"> </v>
      </c>
      <c r="Z42" s="78" t="str">
        <f t="shared" si="16"/>
        <v xml:space="preserve"> </v>
      </c>
      <c r="AA42" s="78" t="str">
        <f t="shared" si="17"/>
        <v xml:space="preserve"> </v>
      </c>
      <c r="AB42" s="78" t="str">
        <f t="shared" si="18"/>
        <v xml:space="preserve"> </v>
      </c>
      <c r="AC42" s="800"/>
    </row>
    <row r="43" spans="1:29" ht="16.05"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0</v>
      </c>
      <c r="F43" s="78">
        <f t="shared" si="19"/>
        <v>0</v>
      </c>
      <c r="G43" s="78">
        <f>IF($D$8="E-Bound",VLOOKUP($B43,'Data 15'!$A$104:$G$199,3,FALSE),IF($D$8="S-Bound",VLOOKUP($B43,'Data 15'!$H$104:$N$199,3,FALSE),IF($D$8="W-Bound",VLOOKUP($B43,'Data 15'!$O$104:$U$199,3,FALSE),VLOOKUP($B43,'Data 15'!$V$104:$AA$199,3,FALSE))))</f>
        <v>424</v>
      </c>
      <c r="H43" s="79">
        <f>IF($D$8="E-Bound",VLOOKUP($B43,'Data 15'!$A$104:$G$199,4,FALSE),IF($D$8="S-Bound",VLOOKUP($B43,'Data 15'!$H$104:$N$199,4,FALSE),IF($D$8="W-Bound",VLOOKUP($B43,'Data 15'!$O$104:$U$199,4,FALSE),VLOOKUP($B43,'Data 15'!$V$104:$AA$199,4,FALSE))))</f>
        <v>0</v>
      </c>
      <c r="I43" s="78">
        <f>'RTF 2'!$G43/'Input &amp; Findings'!$G$31</f>
        <v>212</v>
      </c>
      <c r="J43" s="48">
        <f>IF('RTF 2'!$D$9=1,'Lookup Tables'!$J174,IF('RTF 2'!$D$9=2,'Lookup Tables'!$K174,IF('RTF 2'!$D$9=3,'Lookup Tables'!$L174,IF('RTF 2'!$D$9=4,'Lookup Tables'!$M174,'Lookup Tables'!$N174))))</f>
        <v>15</v>
      </c>
      <c r="K43" s="79" t="str">
        <f t="shared" si="1"/>
        <v xml:space="preserve"> </v>
      </c>
      <c r="L43" s="79" t="str">
        <f t="shared" si="2"/>
        <v xml:space="preserve"> </v>
      </c>
      <c r="M43" s="78">
        <f t="shared" si="3"/>
        <v>0</v>
      </c>
      <c r="N43" s="78">
        <f t="shared" si="4"/>
        <v>0</v>
      </c>
      <c r="O43" s="78">
        <f t="shared" si="5"/>
        <v>0</v>
      </c>
      <c r="P43" s="78">
        <f t="shared" si="6"/>
        <v>0</v>
      </c>
      <c r="Q43" s="78">
        <f t="shared" si="7"/>
        <v>0</v>
      </c>
      <c r="R43" s="78" t="str">
        <f t="shared" si="8"/>
        <v xml:space="preserve"> </v>
      </c>
      <c r="S43" s="78" t="str">
        <f t="shared" si="9"/>
        <v xml:space="preserve"> </v>
      </c>
      <c r="T43" s="78" t="str">
        <f t="shared" si="10"/>
        <v xml:space="preserve"> </v>
      </c>
      <c r="U43" s="78" t="str">
        <f t="shared" si="11"/>
        <v xml:space="preserve"> </v>
      </c>
      <c r="V43" s="78" t="str">
        <f t="shared" si="12"/>
        <v xml:space="preserve"> </v>
      </c>
      <c r="W43" s="78" t="str">
        <f t="shared" si="13"/>
        <v xml:space="preserve"> </v>
      </c>
      <c r="X43" s="78" t="str">
        <f t="shared" si="14"/>
        <v xml:space="preserve"> </v>
      </c>
      <c r="Y43" s="78" t="str">
        <f t="shared" si="15"/>
        <v xml:space="preserve"> </v>
      </c>
      <c r="Z43" s="78" t="str">
        <f t="shared" si="16"/>
        <v xml:space="preserve"> </v>
      </c>
      <c r="AA43" s="78" t="str">
        <f t="shared" si="17"/>
        <v xml:space="preserve"> </v>
      </c>
      <c r="AB43" s="78" t="str">
        <f t="shared" si="18"/>
        <v xml:space="preserve"> </v>
      </c>
      <c r="AC43" s="800"/>
    </row>
    <row r="44" spans="1:29" ht="16.05"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0</v>
      </c>
      <c r="F44" s="78">
        <f t="shared" si="19"/>
        <v>0</v>
      </c>
      <c r="G44" s="78">
        <f>IF($D$8="E-Bound",VLOOKUP($B44,'Data 15'!$A$104:$G$199,3,FALSE),IF($D$8="S-Bound",VLOOKUP($B44,'Data 15'!$H$104:$N$199,3,FALSE),IF($D$8="W-Bound",VLOOKUP($B44,'Data 15'!$O$104:$U$199,3,FALSE),VLOOKUP($B44,'Data 15'!$V$104:$AA$199,3,FALSE))))</f>
        <v>440</v>
      </c>
      <c r="H44" s="79">
        <f>IF($D$8="E-Bound",VLOOKUP($B44,'Data 15'!$A$104:$G$199,4,FALSE),IF($D$8="S-Bound",VLOOKUP($B44,'Data 15'!$H$104:$N$199,4,FALSE),IF($D$8="W-Bound",VLOOKUP($B44,'Data 15'!$O$104:$U$199,4,FALSE),VLOOKUP($B44,'Data 15'!$V$104:$AA$199,4,FALSE))))</f>
        <v>0</v>
      </c>
      <c r="I44" s="78">
        <f>'RTF 2'!$G44/'Input &amp; Findings'!$G$31</f>
        <v>220</v>
      </c>
      <c r="J44" s="48">
        <f>IF('RTF 2'!$D$9=1,'Lookup Tables'!$J175,IF('RTF 2'!$D$9=2,'Lookup Tables'!$K175,IF('RTF 2'!$D$9=3,'Lookup Tables'!$L175,IF('RTF 2'!$D$9=4,'Lookup Tables'!$M175,'Lookup Tables'!$N175))))</f>
        <v>15</v>
      </c>
      <c r="K44" s="79" t="str">
        <f t="shared" si="1"/>
        <v xml:space="preserve"> </v>
      </c>
      <c r="L44" s="79" t="str">
        <f t="shared" si="2"/>
        <v xml:space="preserve"> </v>
      </c>
      <c r="M44" s="78">
        <f t="shared" si="3"/>
        <v>0</v>
      </c>
      <c r="N44" s="78">
        <f t="shared" si="4"/>
        <v>0</v>
      </c>
      <c r="O44" s="78">
        <f t="shared" si="5"/>
        <v>0</v>
      </c>
      <c r="P44" s="78">
        <f t="shared" si="6"/>
        <v>0</v>
      </c>
      <c r="Q44" s="78">
        <f t="shared" si="7"/>
        <v>0</v>
      </c>
      <c r="R44" s="78" t="str">
        <f t="shared" si="8"/>
        <v xml:space="preserve"> </v>
      </c>
      <c r="S44" s="78" t="str">
        <f t="shared" si="9"/>
        <v xml:space="preserve"> </v>
      </c>
      <c r="T44" s="78" t="str">
        <f t="shared" si="10"/>
        <v xml:space="preserve"> </v>
      </c>
      <c r="U44" s="78" t="str">
        <f t="shared" si="11"/>
        <v xml:space="preserve"> </v>
      </c>
      <c r="V44" s="78" t="str">
        <f t="shared" si="12"/>
        <v xml:space="preserve"> </v>
      </c>
      <c r="W44" s="78" t="str">
        <f t="shared" si="13"/>
        <v xml:space="preserve"> </v>
      </c>
      <c r="X44" s="78" t="str">
        <f t="shared" si="14"/>
        <v xml:space="preserve"> </v>
      </c>
      <c r="Y44" s="78" t="str">
        <f t="shared" si="15"/>
        <v xml:space="preserve"> </v>
      </c>
      <c r="Z44" s="78" t="str">
        <f t="shared" si="16"/>
        <v xml:space="preserve"> </v>
      </c>
      <c r="AA44" s="78" t="str">
        <f t="shared" si="17"/>
        <v xml:space="preserve"> </v>
      </c>
      <c r="AB44" s="78" t="str">
        <f t="shared" si="18"/>
        <v xml:space="preserve"> </v>
      </c>
      <c r="AC44" s="800"/>
    </row>
    <row r="45" spans="1:29" ht="16.05"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0</v>
      </c>
      <c r="F45" s="78">
        <f t="shared" si="19"/>
        <v>0</v>
      </c>
      <c r="G45" s="78">
        <f>IF($D$8="E-Bound",VLOOKUP($B45,'Data 15'!$A$104:$G$199,3,FALSE),IF($D$8="S-Bound",VLOOKUP($B45,'Data 15'!$H$104:$N$199,3,FALSE),IF($D$8="W-Bound",VLOOKUP($B45,'Data 15'!$O$104:$U$199,3,FALSE),VLOOKUP($B45,'Data 15'!$V$104:$AA$199,3,FALSE))))</f>
        <v>444</v>
      </c>
      <c r="H45" s="79">
        <f>IF($D$8="E-Bound",VLOOKUP($B45,'Data 15'!$A$104:$G$199,4,FALSE),IF($D$8="S-Bound",VLOOKUP($B45,'Data 15'!$H$104:$N$199,4,FALSE),IF($D$8="W-Bound",VLOOKUP($B45,'Data 15'!$O$104:$U$199,4,FALSE),VLOOKUP($B45,'Data 15'!$V$104:$AA$199,4,FALSE))))</f>
        <v>0</v>
      </c>
      <c r="I45" s="78">
        <f>'RTF 2'!$G45/'Input &amp; Findings'!$G$31</f>
        <v>222</v>
      </c>
      <c r="J45" s="48">
        <f>IF('RTF 2'!$D$9=1,'Lookup Tables'!$J176,IF('RTF 2'!$D$9=2,'Lookup Tables'!$K176,IF('RTF 2'!$D$9=3,'Lookup Tables'!$L176,IF('RTF 2'!$D$9=4,'Lookup Tables'!$M176,'Lookup Tables'!$N176))))</f>
        <v>15</v>
      </c>
      <c r="K45" s="79" t="str">
        <f t="shared" si="1"/>
        <v xml:space="preserve"> </v>
      </c>
      <c r="L45" s="79" t="str">
        <f t="shared" si="2"/>
        <v xml:space="preserve"> </v>
      </c>
      <c r="M45" s="78">
        <f t="shared" si="3"/>
        <v>0</v>
      </c>
      <c r="N45" s="78">
        <f t="shared" si="4"/>
        <v>0</v>
      </c>
      <c r="O45" s="78">
        <f t="shared" si="5"/>
        <v>0</v>
      </c>
      <c r="P45" s="78">
        <f t="shared" si="6"/>
        <v>0</v>
      </c>
      <c r="Q45" s="78">
        <f t="shared" si="7"/>
        <v>0</v>
      </c>
      <c r="R45" s="78" t="str">
        <f t="shared" si="8"/>
        <v xml:space="preserve"> </v>
      </c>
      <c r="S45" s="78" t="str">
        <f t="shared" si="9"/>
        <v xml:space="preserve"> </v>
      </c>
      <c r="T45" s="78" t="str">
        <f t="shared" si="10"/>
        <v xml:space="preserve"> </v>
      </c>
      <c r="U45" s="78" t="str">
        <f t="shared" si="11"/>
        <v xml:space="preserve"> </v>
      </c>
      <c r="V45" s="78" t="str">
        <f t="shared" si="12"/>
        <v xml:space="preserve"> </v>
      </c>
      <c r="W45" s="78" t="str">
        <f t="shared" si="13"/>
        <v xml:space="preserve"> </v>
      </c>
      <c r="X45" s="78" t="str">
        <f t="shared" si="14"/>
        <v xml:space="preserve"> </v>
      </c>
      <c r="Y45" s="78" t="str">
        <f t="shared" si="15"/>
        <v xml:space="preserve"> </v>
      </c>
      <c r="Z45" s="78" t="str">
        <f t="shared" si="16"/>
        <v xml:space="preserve"> </v>
      </c>
      <c r="AA45" s="78" t="str">
        <f t="shared" si="17"/>
        <v xml:space="preserve"> </v>
      </c>
      <c r="AB45" s="78" t="str">
        <f t="shared" si="18"/>
        <v xml:space="preserve"> </v>
      </c>
      <c r="AC45" s="800"/>
    </row>
    <row r="46" spans="1:29" ht="16.05"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9"/>
        <v>0</v>
      </c>
      <c r="G46" s="78">
        <f>IF($D$8="E-Bound",VLOOKUP($B46,'Data 15'!$A$104:$G$199,3,FALSE),IF($D$8="S-Bound",VLOOKUP($B46,'Data 15'!$H$104:$N$199,3,FALSE),IF($D$8="W-Bound",VLOOKUP($B46,'Data 15'!$O$104:$U$199,3,FALSE),VLOOKUP($B46,'Data 15'!$V$104:$AA$199,3,FALSE))))</f>
        <v>455</v>
      </c>
      <c r="H46" s="79">
        <f>IF($D$8="E-Bound",VLOOKUP($B46,'Data 15'!$A$104:$G$199,4,FALSE),IF($D$8="S-Bound",VLOOKUP($B46,'Data 15'!$H$104:$N$199,4,FALSE),IF($D$8="W-Bound",VLOOKUP($B46,'Data 15'!$O$104:$U$199,4,FALSE),VLOOKUP($B46,'Data 15'!$V$104:$AA$199,4,FALSE))))</f>
        <v>0</v>
      </c>
      <c r="I46" s="78">
        <f>'RTF 2'!$G46/'Input &amp; Findings'!$G$31</f>
        <v>227.5</v>
      </c>
      <c r="J46" s="48">
        <f>IF('RTF 2'!$D$9=1,'Lookup Tables'!$J177,IF('RTF 2'!$D$9=2,'Lookup Tables'!$K177,IF('RTF 2'!$D$9=3,'Lookup Tables'!$L177,IF('RTF 2'!$D$9=4,'Lookup Tables'!$M177,'Lookup Tables'!$N177))))</f>
        <v>15</v>
      </c>
      <c r="K46" s="79" t="str">
        <f t="shared" si="1"/>
        <v xml:space="preserve"> </v>
      </c>
      <c r="L46" s="79" t="str">
        <f t="shared" si="2"/>
        <v xml:space="preserve"> </v>
      </c>
      <c r="M46" s="78">
        <f t="shared" si="3"/>
        <v>0</v>
      </c>
      <c r="N46" s="78">
        <f t="shared" si="4"/>
        <v>0</v>
      </c>
      <c r="O46" s="78">
        <f t="shared" si="5"/>
        <v>0</v>
      </c>
      <c r="P46" s="78">
        <f t="shared" si="6"/>
        <v>0</v>
      </c>
      <c r="Q46" s="78">
        <f t="shared" si="7"/>
        <v>0</v>
      </c>
      <c r="R46" s="78" t="str">
        <f t="shared" si="8"/>
        <v xml:space="preserve"> </v>
      </c>
      <c r="S46" s="78" t="str">
        <f t="shared" si="9"/>
        <v xml:space="preserve"> </v>
      </c>
      <c r="T46" s="78" t="str">
        <f t="shared" si="10"/>
        <v xml:space="preserve"> </v>
      </c>
      <c r="U46" s="78" t="str">
        <f t="shared" si="11"/>
        <v xml:space="preserve"> </v>
      </c>
      <c r="V46" s="78" t="str">
        <f t="shared" si="12"/>
        <v xml:space="preserve"> </v>
      </c>
      <c r="W46" s="78" t="str">
        <f t="shared" si="13"/>
        <v xml:space="preserve"> </v>
      </c>
      <c r="X46" s="78" t="str">
        <f t="shared" si="14"/>
        <v xml:space="preserve"> </v>
      </c>
      <c r="Y46" s="78" t="str">
        <f t="shared" si="15"/>
        <v xml:space="preserve"> </v>
      </c>
      <c r="Z46" s="78" t="str">
        <f t="shared" si="16"/>
        <v xml:space="preserve"> </v>
      </c>
      <c r="AA46" s="78" t="str">
        <f t="shared" si="17"/>
        <v xml:space="preserve"> </v>
      </c>
      <c r="AB46" s="78" t="str">
        <f t="shared" si="18"/>
        <v xml:space="preserve"> </v>
      </c>
      <c r="AC46" s="800"/>
    </row>
    <row r="47" spans="1:29" ht="16.05"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9"/>
        <v>0</v>
      </c>
      <c r="G47" s="78">
        <f>IF($D$8="E-Bound",VLOOKUP($B47,'Data 15'!$A$104:$G$199,3,FALSE),IF($D$8="S-Bound",VLOOKUP($B47,'Data 15'!$H$104:$N$199,3,FALSE),IF($D$8="W-Bound",VLOOKUP($B47,'Data 15'!$O$104:$U$199,3,FALSE),VLOOKUP($B47,'Data 15'!$V$104:$AA$199,3,FALSE))))</f>
        <v>449</v>
      </c>
      <c r="H47" s="79">
        <f>IF($D$8="E-Bound",VLOOKUP($B47,'Data 15'!$A$104:$G$199,4,FALSE),IF($D$8="S-Bound",VLOOKUP($B47,'Data 15'!$H$104:$N$199,4,FALSE),IF($D$8="W-Bound",VLOOKUP($B47,'Data 15'!$O$104:$U$199,4,FALSE),VLOOKUP($B47,'Data 15'!$V$104:$AA$199,4,FALSE))))</f>
        <v>0</v>
      </c>
      <c r="I47" s="78">
        <f>'RTF 2'!$G47/'Input &amp; Findings'!$G$31</f>
        <v>224.5</v>
      </c>
      <c r="J47" s="48">
        <f>IF('RTF 2'!$D$9=1,'Lookup Tables'!$J178,IF('RTF 2'!$D$9=2,'Lookup Tables'!$K178,IF('RTF 2'!$D$9=3,'Lookup Tables'!$L178,IF('RTF 2'!$D$9=4,'Lookup Tables'!$M178,'Lookup Tables'!$N178))))</f>
        <v>15</v>
      </c>
      <c r="K47" s="79" t="str">
        <f t="shared" si="1"/>
        <v xml:space="preserve"> </v>
      </c>
      <c r="L47" s="79" t="str">
        <f t="shared" si="2"/>
        <v xml:space="preserve"> </v>
      </c>
      <c r="M47" s="78">
        <f t="shared" si="3"/>
        <v>0</v>
      </c>
      <c r="N47" s="78">
        <f t="shared" si="4"/>
        <v>0</v>
      </c>
      <c r="O47" s="78">
        <f t="shared" si="5"/>
        <v>0</v>
      </c>
      <c r="P47" s="78">
        <f t="shared" si="6"/>
        <v>0</v>
      </c>
      <c r="Q47" s="78">
        <f t="shared" si="7"/>
        <v>0</v>
      </c>
      <c r="R47" s="78" t="str">
        <f t="shared" si="8"/>
        <v xml:space="preserve"> </v>
      </c>
      <c r="S47" s="78" t="str">
        <f t="shared" si="9"/>
        <v xml:space="preserve"> </v>
      </c>
      <c r="T47" s="78" t="str">
        <f t="shared" si="10"/>
        <v xml:space="preserve"> </v>
      </c>
      <c r="U47" s="78" t="str">
        <f t="shared" si="11"/>
        <v xml:space="preserve"> </v>
      </c>
      <c r="V47" s="78" t="str">
        <f t="shared" si="12"/>
        <v xml:space="preserve"> </v>
      </c>
      <c r="W47" s="78" t="str">
        <f t="shared" si="13"/>
        <v xml:space="preserve"> </v>
      </c>
      <c r="X47" s="78" t="str">
        <f t="shared" si="14"/>
        <v xml:space="preserve"> </v>
      </c>
      <c r="Y47" s="78" t="str">
        <f t="shared" si="15"/>
        <v xml:space="preserve"> </v>
      </c>
      <c r="Z47" s="78" t="str">
        <f t="shared" si="16"/>
        <v xml:space="preserve"> </v>
      </c>
      <c r="AA47" s="78" t="str">
        <f t="shared" si="17"/>
        <v xml:space="preserve"> </v>
      </c>
      <c r="AB47" s="78" t="str">
        <f t="shared" si="18"/>
        <v xml:space="preserve"> </v>
      </c>
      <c r="AC47" s="800"/>
    </row>
    <row r="48" spans="1:29" ht="16.05"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9"/>
        <v>0</v>
      </c>
      <c r="G48" s="78">
        <f>IF($D$8="E-Bound",VLOOKUP($B48,'Data 15'!$A$104:$G$199,3,FALSE),IF($D$8="S-Bound",VLOOKUP($B48,'Data 15'!$H$104:$N$199,3,FALSE),IF($D$8="W-Bound",VLOOKUP($B48,'Data 15'!$O$104:$U$199,3,FALSE),VLOOKUP($B48,'Data 15'!$V$104:$AA$199,3,FALSE))))</f>
        <v>465</v>
      </c>
      <c r="H48" s="79">
        <f>IF($D$8="E-Bound",VLOOKUP($B48,'Data 15'!$A$104:$G$199,4,FALSE),IF($D$8="S-Bound",VLOOKUP($B48,'Data 15'!$H$104:$N$199,4,FALSE),IF($D$8="W-Bound",VLOOKUP($B48,'Data 15'!$O$104:$U$199,4,FALSE),VLOOKUP($B48,'Data 15'!$V$104:$AA$199,4,FALSE))))</f>
        <v>0</v>
      </c>
      <c r="I48" s="78">
        <f>'RTF 2'!$G48/'Input &amp; Findings'!$G$31</f>
        <v>232.5</v>
      </c>
      <c r="J48" s="48">
        <f>IF('RTF 2'!$D$9=1,'Lookup Tables'!$J179,IF('RTF 2'!$D$9=2,'Lookup Tables'!$K179,IF('RTF 2'!$D$9=3,'Lookup Tables'!$L179,IF('RTF 2'!$D$9=4,'Lookup Tables'!$M179,'Lookup Tables'!$N179))))</f>
        <v>15</v>
      </c>
      <c r="K48" s="79" t="str">
        <f t="shared" si="1"/>
        <v xml:space="preserve"> </v>
      </c>
      <c r="L48" s="79" t="str">
        <f t="shared" si="2"/>
        <v xml:space="preserve"> </v>
      </c>
      <c r="M48" s="78">
        <f t="shared" si="3"/>
        <v>0</v>
      </c>
      <c r="N48" s="78">
        <f t="shared" si="4"/>
        <v>0</v>
      </c>
      <c r="O48" s="78">
        <f t="shared" si="5"/>
        <v>0</v>
      </c>
      <c r="P48" s="78">
        <f t="shared" si="6"/>
        <v>0</v>
      </c>
      <c r="Q48" s="78">
        <f t="shared" si="7"/>
        <v>0</v>
      </c>
      <c r="R48" s="78" t="str">
        <f t="shared" si="8"/>
        <v xml:space="preserve"> </v>
      </c>
      <c r="S48" s="78" t="str">
        <f t="shared" si="9"/>
        <v xml:space="preserve"> </v>
      </c>
      <c r="T48" s="78" t="str">
        <f t="shared" si="10"/>
        <v xml:space="preserve"> </v>
      </c>
      <c r="U48" s="78" t="str">
        <f t="shared" si="11"/>
        <v xml:space="preserve"> </v>
      </c>
      <c r="V48" s="78" t="str">
        <f t="shared" si="12"/>
        <v xml:space="preserve"> </v>
      </c>
      <c r="W48" s="78" t="str">
        <f t="shared" si="13"/>
        <v xml:space="preserve"> </v>
      </c>
      <c r="X48" s="78" t="str">
        <f t="shared" si="14"/>
        <v xml:space="preserve"> </v>
      </c>
      <c r="Y48" s="78" t="str">
        <f t="shared" si="15"/>
        <v xml:space="preserve"> </v>
      </c>
      <c r="Z48" s="78" t="str">
        <f t="shared" si="16"/>
        <v xml:space="preserve"> </v>
      </c>
      <c r="AA48" s="78" t="str">
        <f t="shared" si="17"/>
        <v xml:space="preserve"> </v>
      </c>
      <c r="AB48" s="78" t="str">
        <f t="shared" si="18"/>
        <v xml:space="preserve"> </v>
      </c>
      <c r="AC48" s="800"/>
    </row>
    <row r="49" spans="1:29" ht="16.05"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9"/>
        <v>0</v>
      </c>
      <c r="G49" s="78">
        <f>IF($D$8="E-Bound",VLOOKUP($B49,'Data 15'!$A$104:$G$199,3,FALSE),IF($D$8="S-Bound",VLOOKUP($B49,'Data 15'!$H$104:$N$199,3,FALSE),IF($D$8="W-Bound",VLOOKUP($B49,'Data 15'!$O$104:$U$199,3,FALSE),VLOOKUP($B49,'Data 15'!$V$104:$AA$199,3,FALSE))))</f>
        <v>441</v>
      </c>
      <c r="H49" s="79">
        <f>IF($D$8="E-Bound",VLOOKUP($B49,'Data 15'!$A$104:$G$199,4,FALSE),IF($D$8="S-Bound",VLOOKUP($B49,'Data 15'!$H$104:$N$199,4,FALSE),IF($D$8="W-Bound",VLOOKUP($B49,'Data 15'!$O$104:$U$199,4,FALSE),VLOOKUP($B49,'Data 15'!$V$104:$AA$199,4,FALSE))))</f>
        <v>0</v>
      </c>
      <c r="I49" s="78">
        <f>'RTF 2'!$G49/'Input &amp; Findings'!$G$31</f>
        <v>220.5</v>
      </c>
      <c r="J49" s="48">
        <f>IF('RTF 2'!$D$9=1,'Lookup Tables'!$J180,IF('RTF 2'!$D$9=2,'Lookup Tables'!$K180,IF('RTF 2'!$D$9=3,'Lookup Tables'!$L180,IF('RTF 2'!$D$9=4,'Lookup Tables'!$M180,'Lookup Tables'!$N180))))</f>
        <v>15</v>
      </c>
      <c r="K49" s="79" t="str">
        <f t="shared" si="1"/>
        <v xml:space="preserve"> </v>
      </c>
      <c r="L49" s="79" t="str">
        <f t="shared" si="2"/>
        <v xml:space="preserve"> </v>
      </c>
      <c r="M49" s="78">
        <f t="shared" si="3"/>
        <v>0</v>
      </c>
      <c r="N49" s="78">
        <f t="shared" si="4"/>
        <v>0</v>
      </c>
      <c r="O49" s="78">
        <f t="shared" si="5"/>
        <v>0</v>
      </c>
      <c r="P49" s="78">
        <f t="shared" si="6"/>
        <v>0</v>
      </c>
      <c r="Q49" s="78">
        <f t="shared" si="7"/>
        <v>0</v>
      </c>
      <c r="R49" s="78" t="str">
        <f t="shared" si="8"/>
        <v xml:space="preserve"> </v>
      </c>
      <c r="S49" s="78" t="str">
        <f t="shared" si="9"/>
        <v xml:space="preserve"> </v>
      </c>
      <c r="T49" s="78" t="str">
        <f t="shared" si="10"/>
        <v xml:space="preserve"> </v>
      </c>
      <c r="U49" s="78" t="str">
        <f t="shared" si="11"/>
        <v xml:space="preserve"> </v>
      </c>
      <c r="V49" s="78" t="str">
        <f t="shared" si="12"/>
        <v xml:space="preserve"> </v>
      </c>
      <c r="W49" s="78" t="str">
        <f t="shared" si="13"/>
        <v xml:space="preserve"> </v>
      </c>
      <c r="X49" s="78" t="str">
        <f t="shared" si="14"/>
        <v xml:space="preserve"> </v>
      </c>
      <c r="Y49" s="78" t="str">
        <f t="shared" si="15"/>
        <v xml:space="preserve"> </v>
      </c>
      <c r="Z49" s="78" t="str">
        <f t="shared" si="16"/>
        <v xml:space="preserve"> </v>
      </c>
      <c r="AA49" s="78" t="str">
        <f t="shared" si="17"/>
        <v xml:space="preserve"> </v>
      </c>
      <c r="AB49" s="78" t="str">
        <f t="shared" si="18"/>
        <v xml:space="preserve"> </v>
      </c>
      <c r="AC49" s="800"/>
    </row>
    <row r="50" spans="1:29" ht="16.05"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9"/>
        <v>0</v>
      </c>
      <c r="G50" s="78">
        <f>IF($D$8="E-Bound",VLOOKUP($B50,'Data 15'!$A$104:$G$199,3,FALSE),IF($D$8="S-Bound",VLOOKUP($B50,'Data 15'!$H$104:$N$199,3,FALSE),IF($D$8="W-Bound",VLOOKUP($B50,'Data 15'!$O$104:$U$199,3,FALSE),VLOOKUP($B50,'Data 15'!$V$104:$AA$199,3,FALSE))))</f>
        <v>469</v>
      </c>
      <c r="H50" s="79">
        <f>IF($D$8="E-Bound",VLOOKUP($B50,'Data 15'!$A$104:$G$199,4,FALSE),IF($D$8="S-Bound",VLOOKUP($B50,'Data 15'!$H$104:$N$199,4,FALSE),IF($D$8="W-Bound",VLOOKUP($B50,'Data 15'!$O$104:$U$199,4,FALSE),VLOOKUP($B50,'Data 15'!$V$104:$AA$199,4,FALSE))))</f>
        <v>0</v>
      </c>
      <c r="I50" s="78">
        <f>'RTF 2'!$G50/'Input &amp; Findings'!$G$31</f>
        <v>234.5</v>
      </c>
      <c r="J50" s="48">
        <f>IF('RTF 2'!$D$9=1,'Lookup Tables'!$J181,IF('RTF 2'!$D$9=2,'Lookup Tables'!$K181,IF('RTF 2'!$D$9=3,'Lookup Tables'!$L181,IF('RTF 2'!$D$9=4,'Lookup Tables'!$M181,'Lookup Tables'!$N181))))</f>
        <v>15</v>
      </c>
      <c r="K50" s="79" t="str">
        <f t="shared" si="1"/>
        <v xml:space="preserve"> </v>
      </c>
      <c r="L50" s="79" t="str">
        <f t="shared" si="2"/>
        <v xml:space="preserve"> </v>
      </c>
      <c r="M50" s="78">
        <f t="shared" si="3"/>
        <v>0</v>
      </c>
      <c r="N50" s="78">
        <f t="shared" si="4"/>
        <v>0</v>
      </c>
      <c r="O50" s="78">
        <f t="shared" si="5"/>
        <v>0</v>
      </c>
      <c r="P50" s="78">
        <f t="shared" si="6"/>
        <v>0</v>
      </c>
      <c r="Q50" s="78">
        <f t="shared" si="7"/>
        <v>0</v>
      </c>
      <c r="R50" s="78" t="str">
        <f t="shared" si="8"/>
        <v xml:space="preserve"> </v>
      </c>
      <c r="S50" s="78" t="str">
        <f t="shared" si="9"/>
        <v xml:space="preserve"> </v>
      </c>
      <c r="T50" s="78" t="str">
        <f t="shared" si="10"/>
        <v xml:space="preserve"> </v>
      </c>
      <c r="U50" s="78" t="str">
        <f t="shared" si="11"/>
        <v xml:space="preserve"> </v>
      </c>
      <c r="V50" s="78" t="str">
        <f t="shared" si="12"/>
        <v xml:space="preserve"> </v>
      </c>
      <c r="W50" s="78" t="str">
        <f t="shared" si="13"/>
        <v xml:space="preserve"> </v>
      </c>
      <c r="X50" s="78" t="str">
        <f t="shared" si="14"/>
        <v xml:space="preserve"> </v>
      </c>
      <c r="Y50" s="78" t="str">
        <f t="shared" si="15"/>
        <v xml:space="preserve"> </v>
      </c>
      <c r="Z50" s="78" t="str">
        <f t="shared" si="16"/>
        <v xml:space="preserve"> </v>
      </c>
      <c r="AA50" s="78" t="str">
        <f t="shared" si="17"/>
        <v xml:space="preserve"> </v>
      </c>
      <c r="AB50" s="78" t="str">
        <f t="shared" si="18"/>
        <v xml:space="preserve"> </v>
      </c>
      <c r="AC50" s="800"/>
    </row>
    <row r="51" spans="1:29" ht="16.05"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9"/>
        <v>0</v>
      </c>
      <c r="G51" s="78">
        <f>IF($D$8="E-Bound",VLOOKUP($B51,'Data 15'!$A$104:$G$199,3,FALSE),IF($D$8="S-Bound",VLOOKUP($B51,'Data 15'!$H$104:$N$199,3,FALSE),IF($D$8="W-Bound",VLOOKUP($B51,'Data 15'!$O$104:$U$199,3,FALSE),VLOOKUP($B51,'Data 15'!$V$104:$AA$199,3,FALSE))))</f>
        <v>474</v>
      </c>
      <c r="H51" s="79">
        <f>IF($D$8="E-Bound",VLOOKUP($B51,'Data 15'!$A$104:$G$199,4,FALSE),IF($D$8="S-Bound",VLOOKUP($B51,'Data 15'!$H$104:$N$199,4,FALSE),IF($D$8="W-Bound",VLOOKUP($B51,'Data 15'!$O$104:$U$199,4,FALSE),VLOOKUP($B51,'Data 15'!$V$104:$AA$199,4,FALSE))))</f>
        <v>0</v>
      </c>
      <c r="I51" s="78">
        <f>'RTF 2'!$G51/'Input &amp; Findings'!$G$31</f>
        <v>237</v>
      </c>
      <c r="J51" s="48">
        <f>IF('RTF 2'!$D$9=1,'Lookup Tables'!$J182,IF('RTF 2'!$D$9=2,'Lookup Tables'!$K182,IF('RTF 2'!$D$9=3,'Lookup Tables'!$L182,IF('RTF 2'!$D$9=4,'Lookup Tables'!$M182,'Lookup Tables'!$N182))))</f>
        <v>15</v>
      </c>
      <c r="K51" s="79" t="str">
        <f t="shared" si="1"/>
        <v xml:space="preserve"> </v>
      </c>
      <c r="L51" s="79" t="str">
        <f t="shared" si="2"/>
        <v xml:space="preserve"> </v>
      </c>
      <c r="M51" s="78">
        <f t="shared" si="3"/>
        <v>0</v>
      </c>
      <c r="N51" s="78">
        <f t="shared" si="4"/>
        <v>0</v>
      </c>
      <c r="O51" s="78">
        <f t="shared" si="5"/>
        <v>0</v>
      </c>
      <c r="P51" s="78">
        <f t="shared" si="6"/>
        <v>0</v>
      </c>
      <c r="Q51" s="78">
        <f t="shared" si="7"/>
        <v>0</v>
      </c>
      <c r="R51" s="78" t="str">
        <f t="shared" si="8"/>
        <v xml:space="preserve"> </v>
      </c>
      <c r="S51" s="78" t="str">
        <f t="shared" si="9"/>
        <v xml:space="preserve"> </v>
      </c>
      <c r="T51" s="78" t="str">
        <f t="shared" si="10"/>
        <v xml:space="preserve"> </v>
      </c>
      <c r="U51" s="78" t="str">
        <f t="shared" si="11"/>
        <v xml:space="preserve"> </v>
      </c>
      <c r="V51" s="78" t="str">
        <f t="shared" si="12"/>
        <v xml:space="preserve"> </v>
      </c>
      <c r="W51" s="78" t="str">
        <f t="shared" si="13"/>
        <v xml:space="preserve"> </v>
      </c>
      <c r="X51" s="78" t="str">
        <f t="shared" si="14"/>
        <v xml:space="preserve"> </v>
      </c>
      <c r="Y51" s="78" t="str">
        <f t="shared" si="15"/>
        <v xml:space="preserve"> </v>
      </c>
      <c r="Z51" s="78" t="str">
        <f t="shared" si="16"/>
        <v xml:space="preserve"> </v>
      </c>
      <c r="AA51" s="78" t="str">
        <f t="shared" si="17"/>
        <v xml:space="preserve"> </v>
      </c>
      <c r="AB51" s="78" t="str">
        <f t="shared" si="18"/>
        <v xml:space="preserve"> </v>
      </c>
      <c r="AC51" s="800"/>
    </row>
    <row r="52" spans="1:29" ht="16.05"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9"/>
        <v>0</v>
      </c>
      <c r="G52" s="78">
        <f>IF($D$8="E-Bound",VLOOKUP($B52,'Data 15'!$A$104:$G$199,3,FALSE),IF($D$8="S-Bound",VLOOKUP($B52,'Data 15'!$H$104:$N$199,3,FALSE),IF($D$8="W-Bound",VLOOKUP($B52,'Data 15'!$O$104:$U$199,3,FALSE),VLOOKUP($B52,'Data 15'!$V$104:$AA$199,3,FALSE))))</f>
        <v>457</v>
      </c>
      <c r="H52" s="79">
        <f>IF($D$8="E-Bound",VLOOKUP($B52,'Data 15'!$A$104:$G$199,4,FALSE),IF($D$8="S-Bound",VLOOKUP($B52,'Data 15'!$H$104:$N$199,4,FALSE),IF($D$8="W-Bound",VLOOKUP($B52,'Data 15'!$O$104:$U$199,4,FALSE),VLOOKUP($B52,'Data 15'!$V$104:$AA$199,4,FALSE))))</f>
        <v>0</v>
      </c>
      <c r="I52" s="78">
        <f>'RTF 2'!$G52/'Input &amp; Findings'!$G$31</f>
        <v>228.5</v>
      </c>
      <c r="J52" s="48">
        <f>IF('RTF 2'!$D$9=1,'Lookup Tables'!$J183,IF('RTF 2'!$D$9=2,'Lookup Tables'!$K183,IF('RTF 2'!$D$9=3,'Lookup Tables'!$L183,IF('RTF 2'!$D$9=4,'Lookup Tables'!$M183,'Lookup Tables'!$N183))))</f>
        <v>15</v>
      </c>
      <c r="K52" s="79" t="str">
        <f t="shared" si="1"/>
        <v xml:space="preserve"> </v>
      </c>
      <c r="L52" s="79" t="str">
        <f t="shared" si="2"/>
        <v xml:space="preserve"> </v>
      </c>
      <c r="M52" s="78">
        <f t="shared" si="3"/>
        <v>0</v>
      </c>
      <c r="N52" s="78">
        <f t="shared" si="4"/>
        <v>0</v>
      </c>
      <c r="O52" s="78">
        <f t="shared" si="5"/>
        <v>0</v>
      </c>
      <c r="P52" s="78">
        <f t="shared" si="6"/>
        <v>0</v>
      </c>
      <c r="Q52" s="78">
        <f t="shared" si="7"/>
        <v>0</v>
      </c>
      <c r="R52" s="78" t="str">
        <f t="shared" si="8"/>
        <v xml:space="preserve"> </v>
      </c>
      <c r="S52" s="78" t="str">
        <f t="shared" si="9"/>
        <v xml:space="preserve"> </v>
      </c>
      <c r="T52" s="78" t="str">
        <f t="shared" si="10"/>
        <v xml:space="preserve"> </v>
      </c>
      <c r="U52" s="78" t="str">
        <f t="shared" si="11"/>
        <v xml:space="preserve"> </v>
      </c>
      <c r="V52" s="78" t="str">
        <f t="shared" si="12"/>
        <v xml:space="preserve"> </v>
      </c>
      <c r="W52" s="78" t="str">
        <f t="shared" si="13"/>
        <v xml:space="preserve"> </v>
      </c>
      <c r="X52" s="78" t="str">
        <f t="shared" si="14"/>
        <v xml:space="preserve"> </v>
      </c>
      <c r="Y52" s="78" t="str">
        <f t="shared" si="15"/>
        <v xml:space="preserve"> </v>
      </c>
      <c r="Z52" s="78" t="str">
        <f t="shared" si="16"/>
        <v xml:space="preserve"> </v>
      </c>
      <c r="AA52" s="78" t="str">
        <f t="shared" si="17"/>
        <v xml:space="preserve"> </v>
      </c>
      <c r="AB52" s="78" t="str">
        <f t="shared" si="18"/>
        <v xml:space="preserve"> </v>
      </c>
      <c r="AC52" s="800"/>
    </row>
    <row r="53" spans="1:29" ht="16.05"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9"/>
        <v>0</v>
      </c>
      <c r="G53" s="78">
        <f>IF($D$8="E-Bound",VLOOKUP($B53,'Data 15'!$A$104:$G$199,3,FALSE),IF($D$8="S-Bound",VLOOKUP($B53,'Data 15'!$H$104:$N$199,3,FALSE),IF($D$8="W-Bound",VLOOKUP($B53,'Data 15'!$O$104:$U$199,3,FALSE),VLOOKUP($B53,'Data 15'!$V$104:$AA$199,3,FALSE))))</f>
        <v>475</v>
      </c>
      <c r="H53" s="79">
        <f>IF($D$8="E-Bound",VLOOKUP($B53,'Data 15'!$A$104:$G$199,4,FALSE),IF($D$8="S-Bound",VLOOKUP($B53,'Data 15'!$H$104:$N$199,4,FALSE),IF($D$8="W-Bound",VLOOKUP($B53,'Data 15'!$O$104:$U$199,4,FALSE),VLOOKUP($B53,'Data 15'!$V$104:$AA$199,4,FALSE))))</f>
        <v>0</v>
      </c>
      <c r="I53" s="78">
        <f>'RTF 2'!$G53/'Input &amp; Findings'!$G$31</f>
        <v>237.5</v>
      </c>
      <c r="J53" s="48">
        <f>IF('RTF 2'!$D$9=1,'Lookup Tables'!$J184,IF('RTF 2'!$D$9=2,'Lookup Tables'!$K184,IF('RTF 2'!$D$9=3,'Lookup Tables'!$L184,IF('RTF 2'!$D$9=4,'Lookup Tables'!$M184,'Lookup Tables'!$N184))))</f>
        <v>15</v>
      </c>
      <c r="K53" s="79" t="str">
        <f t="shared" si="1"/>
        <v xml:space="preserve"> </v>
      </c>
      <c r="L53" s="79" t="str">
        <f t="shared" si="2"/>
        <v xml:space="preserve"> </v>
      </c>
      <c r="M53" s="78">
        <f t="shared" si="3"/>
        <v>0</v>
      </c>
      <c r="N53" s="78">
        <f t="shared" si="4"/>
        <v>0</v>
      </c>
      <c r="O53" s="78">
        <f t="shared" si="5"/>
        <v>0</v>
      </c>
      <c r="P53" s="78">
        <f t="shared" si="6"/>
        <v>0</v>
      </c>
      <c r="Q53" s="78">
        <f t="shared" si="7"/>
        <v>0</v>
      </c>
      <c r="R53" s="78" t="str">
        <f t="shared" si="8"/>
        <v xml:space="preserve"> </v>
      </c>
      <c r="S53" s="78" t="str">
        <f t="shared" si="9"/>
        <v xml:space="preserve"> </v>
      </c>
      <c r="T53" s="78" t="str">
        <f t="shared" si="10"/>
        <v xml:space="preserve"> </v>
      </c>
      <c r="U53" s="78" t="str">
        <f t="shared" si="11"/>
        <v xml:space="preserve"> </v>
      </c>
      <c r="V53" s="78" t="str">
        <f t="shared" si="12"/>
        <v xml:space="preserve"> </v>
      </c>
      <c r="W53" s="78" t="str">
        <f t="shared" si="13"/>
        <v xml:space="preserve"> </v>
      </c>
      <c r="X53" s="78" t="str">
        <f t="shared" si="14"/>
        <v xml:space="preserve"> </v>
      </c>
      <c r="Y53" s="78" t="str">
        <f t="shared" si="15"/>
        <v xml:space="preserve"> </v>
      </c>
      <c r="Z53" s="78" t="str">
        <f t="shared" si="16"/>
        <v xml:space="preserve"> </v>
      </c>
      <c r="AA53" s="78" t="str">
        <f t="shared" si="17"/>
        <v xml:space="preserve"> </v>
      </c>
      <c r="AB53" s="78" t="str">
        <f t="shared" si="18"/>
        <v xml:space="preserve"> </v>
      </c>
      <c r="AC53" s="800"/>
    </row>
    <row r="54" spans="1:29" ht="16.05"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9"/>
        <v>0</v>
      </c>
      <c r="G54" s="78">
        <f>IF($D$8="E-Bound",VLOOKUP($B54,'Data 15'!$A$104:$G$199,3,FALSE),IF($D$8="S-Bound",VLOOKUP($B54,'Data 15'!$H$104:$N$199,3,FALSE),IF($D$8="W-Bound",VLOOKUP($B54,'Data 15'!$O$104:$U$199,3,FALSE),VLOOKUP($B54,'Data 15'!$V$104:$AA$199,3,FALSE))))</f>
        <v>465</v>
      </c>
      <c r="H54" s="79">
        <f>IF($D$8="E-Bound",VLOOKUP($B54,'Data 15'!$A$104:$G$199,4,FALSE),IF($D$8="S-Bound",VLOOKUP($B54,'Data 15'!$H$104:$N$199,4,FALSE),IF($D$8="W-Bound",VLOOKUP($B54,'Data 15'!$O$104:$U$199,4,FALSE),VLOOKUP($B54,'Data 15'!$V$104:$AA$199,4,FALSE))))</f>
        <v>0</v>
      </c>
      <c r="I54" s="78">
        <f>'RTF 2'!$G54/'Input &amp; Findings'!$G$31</f>
        <v>232.5</v>
      </c>
      <c r="J54" s="48">
        <f>IF('RTF 2'!$D$9=1,'Lookup Tables'!$J185,IF('RTF 2'!$D$9=2,'Lookup Tables'!$K185,IF('RTF 2'!$D$9=3,'Lookup Tables'!$L185,IF('RTF 2'!$D$9=4,'Lookup Tables'!$M185,'Lookup Tables'!$N185))))</f>
        <v>15</v>
      </c>
      <c r="K54" s="79" t="str">
        <f t="shared" si="1"/>
        <v xml:space="preserve"> </v>
      </c>
      <c r="L54" s="79" t="str">
        <f t="shared" si="2"/>
        <v xml:space="preserve"> </v>
      </c>
      <c r="M54" s="78">
        <f t="shared" si="3"/>
        <v>0</v>
      </c>
      <c r="N54" s="78">
        <f t="shared" si="4"/>
        <v>0</v>
      </c>
      <c r="O54" s="78">
        <f t="shared" si="5"/>
        <v>0</v>
      </c>
      <c r="P54" s="78">
        <f t="shared" si="6"/>
        <v>0</v>
      </c>
      <c r="Q54" s="78">
        <f t="shared" si="7"/>
        <v>0</v>
      </c>
      <c r="R54" s="78" t="str">
        <f t="shared" si="8"/>
        <v xml:space="preserve"> </v>
      </c>
      <c r="S54" s="78" t="str">
        <f t="shared" si="9"/>
        <v xml:space="preserve"> </v>
      </c>
      <c r="T54" s="78" t="str">
        <f t="shared" si="10"/>
        <v xml:space="preserve"> </v>
      </c>
      <c r="U54" s="78" t="str">
        <f t="shared" si="11"/>
        <v xml:space="preserve"> </v>
      </c>
      <c r="V54" s="78" t="str">
        <f t="shared" si="12"/>
        <v xml:space="preserve"> </v>
      </c>
      <c r="W54" s="78" t="str">
        <f t="shared" si="13"/>
        <v xml:space="preserve"> </v>
      </c>
      <c r="X54" s="78" t="str">
        <f t="shared" si="14"/>
        <v xml:space="preserve"> </v>
      </c>
      <c r="Y54" s="78" t="str">
        <f t="shared" si="15"/>
        <v xml:space="preserve"> </v>
      </c>
      <c r="Z54" s="78" t="str">
        <f t="shared" si="16"/>
        <v xml:space="preserve"> </v>
      </c>
      <c r="AA54" s="78" t="str">
        <f t="shared" si="17"/>
        <v xml:space="preserve"> </v>
      </c>
      <c r="AB54" s="78" t="str">
        <f t="shared" si="18"/>
        <v xml:space="preserve"> </v>
      </c>
      <c r="AC54" s="800"/>
    </row>
    <row r="55" spans="1:29" ht="16.05"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9"/>
        <v>0</v>
      </c>
      <c r="G55" s="78">
        <f>IF($D$8="E-Bound",VLOOKUP($B55,'Data 15'!$A$104:$G$199,3,FALSE),IF($D$8="S-Bound",VLOOKUP($B55,'Data 15'!$H$104:$N$199,3,FALSE),IF($D$8="W-Bound",VLOOKUP($B55,'Data 15'!$O$104:$U$199,3,FALSE),VLOOKUP($B55,'Data 15'!$V$104:$AA$199,3,FALSE))))</f>
        <v>475</v>
      </c>
      <c r="H55" s="79">
        <f>IF($D$8="E-Bound",VLOOKUP($B55,'Data 15'!$A$104:$G$199,4,FALSE),IF($D$8="S-Bound",VLOOKUP($B55,'Data 15'!$H$104:$N$199,4,FALSE),IF($D$8="W-Bound",VLOOKUP($B55,'Data 15'!$O$104:$U$199,4,FALSE),VLOOKUP($B55,'Data 15'!$V$104:$AA$199,4,FALSE))))</f>
        <v>0</v>
      </c>
      <c r="I55" s="78">
        <f>'RTF 2'!$G55/'Input &amp; Findings'!$G$31</f>
        <v>237.5</v>
      </c>
      <c r="J55" s="48">
        <f>IF('RTF 2'!$D$9=1,'Lookup Tables'!$J186,IF('RTF 2'!$D$9=2,'Lookup Tables'!$K186,IF('RTF 2'!$D$9=3,'Lookup Tables'!$L186,IF('RTF 2'!$D$9=4,'Lookup Tables'!$M186,'Lookup Tables'!$N186))))</f>
        <v>15</v>
      </c>
      <c r="K55" s="79" t="str">
        <f t="shared" si="1"/>
        <v xml:space="preserve"> </v>
      </c>
      <c r="L55" s="79" t="str">
        <f t="shared" si="2"/>
        <v xml:space="preserve"> </v>
      </c>
      <c r="M55" s="78">
        <f t="shared" si="3"/>
        <v>0</v>
      </c>
      <c r="N55" s="78">
        <f t="shared" si="4"/>
        <v>0</v>
      </c>
      <c r="O55" s="78">
        <f t="shared" si="5"/>
        <v>0</v>
      </c>
      <c r="P55" s="78">
        <f t="shared" si="6"/>
        <v>0</v>
      </c>
      <c r="Q55" s="78">
        <f t="shared" si="7"/>
        <v>0</v>
      </c>
      <c r="R55" s="78" t="str">
        <f t="shared" si="8"/>
        <v xml:space="preserve"> </v>
      </c>
      <c r="S55" s="78" t="str">
        <f t="shared" si="9"/>
        <v xml:space="preserve"> </v>
      </c>
      <c r="T55" s="78" t="str">
        <f t="shared" si="10"/>
        <v xml:space="preserve"> </v>
      </c>
      <c r="U55" s="78" t="str">
        <f t="shared" si="11"/>
        <v xml:space="preserve"> </v>
      </c>
      <c r="V55" s="78" t="str">
        <f t="shared" si="12"/>
        <v xml:space="preserve"> </v>
      </c>
      <c r="W55" s="78" t="str">
        <f t="shared" si="13"/>
        <v xml:space="preserve"> </v>
      </c>
      <c r="X55" s="78" t="str">
        <f t="shared" si="14"/>
        <v xml:space="preserve"> </v>
      </c>
      <c r="Y55" s="78" t="str">
        <f t="shared" si="15"/>
        <v xml:space="preserve"> </v>
      </c>
      <c r="Z55" s="78" t="str">
        <f t="shared" si="16"/>
        <v xml:space="preserve"> </v>
      </c>
      <c r="AA55" s="78" t="str">
        <f t="shared" si="17"/>
        <v xml:space="preserve"> </v>
      </c>
      <c r="AB55" s="78" t="str">
        <f t="shared" si="18"/>
        <v xml:space="preserve"> </v>
      </c>
      <c r="AC55" s="800"/>
    </row>
    <row r="56" spans="1:29" ht="16.05"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0</v>
      </c>
      <c r="F56" s="78">
        <f t="shared" si="19"/>
        <v>0</v>
      </c>
      <c r="G56" s="78">
        <f>IF($D$8="E-Bound",VLOOKUP($B56,'Data 15'!$A$104:$G$199,3,FALSE),IF($D$8="S-Bound",VLOOKUP($B56,'Data 15'!$H$104:$N$199,3,FALSE),IF($D$8="W-Bound",VLOOKUP($B56,'Data 15'!$O$104:$U$199,3,FALSE),VLOOKUP($B56,'Data 15'!$V$104:$AA$199,3,FALSE))))</f>
        <v>506</v>
      </c>
      <c r="H56" s="79">
        <f>IF($D$8="E-Bound",VLOOKUP($B56,'Data 15'!$A$104:$G$199,4,FALSE),IF($D$8="S-Bound",VLOOKUP($B56,'Data 15'!$H$104:$N$199,4,FALSE),IF($D$8="W-Bound",VLOOKUP($B56,'Data 15'!$O$104:$U$199,4,FALSE),VLOOKUP($B56,'Data 15'!$V$104:$AA$199,4,FALSE))))</f>
        <v>0</v>
      </c>
      <c r="I56" s="78">
        <f>'RTF 2'!$G56/'Input &amp; Findings'!$G$31</f>
        <v>253</v>
      </c>
      <c r="J56" s="48">
        <f>IF('RTF 2'!$D$9=1,'Lookup Tables'!$J187,IF('RTF 2'!$D$9=2,'Lookup Tables'!$K187,IF('RTF 2'!$D$9=3,'Lookup Tables'!$L187,IF('RTF 2'!$D$9=4,'Lookup Tables'!$M187,'Lookup Tables'!$N187))))</f>
        <v>15</v>
      </c>
      <c r="K56" s="79" t="str">
        <f t="shared" si="1"/>
        <v xml:space="preserve"> </v>
      </c>
      <c r="L56" s="79" t="str">
        <f t="shared" si="2"/>
        <v xml:space="preserve"> </v>
      </c>
      <c r="M56" s="78">
        <f t="shared" si="3"/>
        <v>0</v>
      </c>
      <c r="N56" s="78">
        <f t="shared" si="4"/>
        <v>0</v>
      </c>
      <c r="O56" s="78">
        <f t="shared" si="5"/>
        <v>0</v>
      </c>
      <c r="P56" s="78">
        <f t="shared" si="6"/>
        <v>0</v>
      </c>
      <c r="Q56" s="78">
        <f t="shared" si="7"/>
        <v>0</v>
      </c>
      <c r="R56" s="78" t="str">
        <f t="shared" si="8"/>
        <v xml:space="preserve"> </v>
      </c>
      <c r="S56" s="78" t="str">
        <f t="shared" si="9"/>
        <v xml:space="preserve"> </v>
      </c>
      <c r="T56" s="78" t="str">
        <f t="shared" si="10"/>
        <v xml:space="preserve"> </v>
      </c>
      <c r="U56" s="78" t="str">
        <f t="shared" si="11"/>
        <v xml:space="preserve"> </v>
      </c>
      <c r="V56" s="78" t="str">
        <f t="shared" si="12"/>
        <v xml:space="preserve"> </v>
      </c>
      <c r="W56" s="78" t="str">
        <f t="shared" si="13"/>
        <v xml:space="preserve"> </v>
      </c>
      <c r="X56" s="78" t="str">
        <f t="shared" si="14"/>
        <v xml:space="preserve"> </v>
      </c>
      <c r="Y56" s="78" t="str">
        <f t="shared" si="15"/>
        <v xml:space="preserve"> </v>
      </c>
      <c r="Z56" s="78" t="str">
        <f t="shared" si="16"/>
        <v xml:space="preserve"> </v>
      </c>
      <c r="AA56" s="78" t="str">
        <f t="shared" si="17"/>
        <v xml:space="preserve"> </v>
      </c>
      <c r="AB56" s="78" t="str">
        <f t="shared" si="18"/>
        <v xml:space="preserve"> </v>
      </c>
      <c r="AC56" s="800"/>
    </row>
    <row r="57" spans="1:29" ht="16.05"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0</v>
      </c>
      <c r="F57" s="78">
        <f t="shared" si="19"/>
        <v>0</v>
      </c>
      <c r="G57" s="78">
        <f>IF($D$8="E-Bound",VLOOKUP($B57,'Data 15'!$A$104:$G$199,3,FALSE),IF($D$8="S-Bound",VLOOKUP($B57,'Data 15'!$H$104:$N$199,3,FALSE),IF($D$8="W-Bound",VLOOKUP($B57,'Data 15'!$O$104:$U$199,3,FALSE),VLOOKUP($B57,'Data 15'!$V$104:$AA$199,3,FALSE))))</f>
        <v>524</v>
      </c>
      <c r="H57" s="79">
        <f>IF($D$8="E-Bound",VLOOKUP($B57,'Data 15'!$A$104:$G$199,4,FALSE),IF($D$8="S-Bound",VLOOKUP($B57,'Data 15'!$H$104:$N$199,4,FALSE),IF($D$8="W-Bound",VLOOKUP($B57,'Data 15'!$O$104:$U$199,4,FALSE),VLOOKUP($B57,'Data 15'!$V$104:$AA$199,4,FALSE))))</f>
        <v>0</v>
      </c>
      <c r="I57" s="78">
        <f>'RTF 2'!$G57/'Input &amp; Findings'!$G$31</f>
        <v>262</v>
      </c>
      <c r="J57" s="48">
        <f>IF('RTF 2'!$D$9=1,'Lookup Tables'!$J188,IF('RTF 2'!$D$9=2,'Lookup Tables'!$K188,IF('RTF 2'!$D$9=3,'Lookup Tables'!$L188,IF('RTF 2'!$D$9=4,'Lookup Tables'!$M188,'Lookup Tables'!$N188))))</f>
        <v>15</v>
      </c>
      <c r="K57" s="79" t="str">
        <f t="shared" si="1"/>
        <v xml:space="preserve"> </v>
      </c>
      <c r="L57" s="79" t="str">
        <f t="shared" si="2"/>
        <v xml:space="preserve"> </v>
      </c>
      <c r="M57" s="78">
        <f t="shared" si="3"/>
        <v>0</v>
      </c>
      <c r="N57" s="78">
        <f t="shared" si="4"/>
        <v>0</v>
      </c>
      <c r="O57" s="78">
        <f t="shared" si="5"/>
        <v>0</v>
      </c>
      <c r="P57" s="78">
        <f t="shared" si="6"/>
        <v>0</v>
      </c>
      <c r="Q57" s="78">
        <f t="shared" si="7"/>
        <v>0</v>
      </c>
      <c r="R57" s="78" t="str">
        <f t="shared" si="8"/>
        <v xml:space="preserve"> </v>
      </c>
      <c r="S57" s="78" t="str">
        <f t="shared" si="9"/>
        <v xml:space="preserve"> </v>
      </c>
      <c r="T57" s="78" t="str">
        <f t="shared" si="10"/>
        <v xml:space="preserve"> </v>
      </c>
      <c r="U57" s="78" t="str">
        <f t="shared" si="11"/>
        <v xml:space="preserve"> </v>
      </c>
      <c r="V57" s="78" t="str">
        <f t="shared" si="12"/>
        <v xml:space="preserve"> </v>
      </c>
      <c r="W57" s="78" t="str">
        <f t="shared" si="13"/>
        <v xml:space="preserve"> </v>
      </c>
      <c r="X57" s="78" t="str">
        <f t="shared" si="14"/>
        <v xml:space="preserve"> </v>
      </c>
      <c r="Y57" s="78" t="str">
        <f t="shared" si="15"/>
        <v xml:space="preserve"> </v>
      </c>
      <c r="Z57" s="78" t="str">
        <f t="shared" si="16"/>
        <v xml:space="preserve"> </v>
      </c>
      <c r="AA57" s="78" t="str">
        <f t="shared" si="17"/>
        <v xml:space="preserve"> </v>
      </c>
      <c r="AB57" s="78" t="str">
        <f t="shared" si="18"/>
        <v xml:space="preserve"> </v>
      </c>
      <c r="AC57" s="800"/>
    </row>
    <row r="58" spans="1:29" ht="16.05"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0</v>
      </c>
      <c r="F58" s="78">
        <f t="shared" si="19"/>
        <v>0</v>
      </c>
      <c r="G58" s="78">
        <f>IF($D$8="E-Bound",VLOOKUP($B58,'Data 15'!$A$104:$G$199,3,FALSE),IF($D$8="S-Bound",VLOOKUP($B58,'Data 15'!$H$104:$N$199,3,FALSE),IF($D$8="W-Bound",VLOOKUP($B58,'Data 15'!$O$104:$U$199,3,FALSE),VLOOKUP($B58,'Data 15'!$V$104:$AA$199,3,FALSE))))</f>
        <v>552</v>
      </c>
      <c r="H58" s="79">
        <f>IF($D$8="E-Bound",VLOOKUP($B58,'Data 15'!$A$104:$G$199,4,FALSE),IF($D$8="S-Bound",VLOOKUP($B58,'Data 15'!$H$104:$N$199,4,FALSE),IF($D$8="W-Bound",VLOOKUP($B58,'Data 15'!$O$104:$U$199,4,FALSE),VLOOKUP($B58,'Data 15'!$V$104:$AA$199,4,FALSE))))</f>
        <v>0</v>
      </c>
      <c r="I58" s="78">
        <f>'RTF 2'!$G58/'Input &amp; Findings'!$G$31</f>
        <v>276</v>
      </c>
      <c r="J58" s="48">
        <f>IF('RTF 2'!$D$9=1,'Lookup Tables'!$J189,IF('RTF 2'!$D$9=2,'Lookup Tables'!$K189,IF('RTF 2'!$D$9=3,'Lookup Tables'!$L189,IF('RTF 2'!$D$9=4,'Lookup Tables'!$M189,'Lookup Tables'!$N189))))</f>
        <v>15</v>
      </c>
      <c r="K58" s="79" t="str">
        <f t="shared" si="1"/>
        <v xml:space="preserve"> </v>
      </c>
      <c r="L58" s="79" t="str">
        <f t="shared" si="2"/>
        <v xml:space="preserve"> </v>
      </c>
      <c r="M58" s="78">
        <f t="shared" si="3"/>
        <v>0</v>
      </c>
      <c r="N58" s="78">
        <f t="shared" si="4"/>
        <v>0</v>
      </c>
      <c r="O58" s="78">
        <f t="shared" si="5"/>
        <v>0</v>
      </c>
      <c r="P58" s="78">
        <f t="shared" si="6"/>
        <v>0</v>
      </c>
      <c r="Q58" s="78">
        <f t="shared" si="7"/>
        <v>0</v>
      </c>
      <c r="R58" s="78" t="str">
        <f t="shared" si="8"/>
        <v xml:space="preserve"> </v>
      </c>
      <c r="S58" s="78" t="str">
        <f t="shared" si="9"/>
        <v xml:space="preserve"> </v>
      </c>
      <c r="T58" s="78" t="str">
        <f t="shared" si="10"/>
        <v xml:space="preserve"> </v>
      </c>
      <c r="U58" s="78" t="str">
        <f t="shared" si="11"/>
        <v xml:space="preserve"> </v>
      </c>
      <c r="V58" s="78" t="str">
        <f t="shared" si="12"/>
        <v xml:space="preserve"> </v>
      </c>
      <c r="W58" s="78" t="str">
        <f t="shared" si="13"/>
        <v xml:space="preserve"> </v>
      </c>
      <c r="X58" s="78" t="str">
        <f t="shared" si="14"/>
        <v xml:space="preserve"> </v>
      </c>
      <c r="Y58" s="78" t="str">
        <f t="shared" si="15"/>
        <v xml:space="preserve"> </v>
      </c>
      <c r="Z58" s="78" t="str">
        <f t="shared" si="16"/>
        <v xml:space="preserve"> </v>
      </c>
      <c r="AA58" s="78" t="str">
        <f t="shared" si="17"/>
        <v xml:space="preserve"> </v>
      </c>
      <c r="AB58" s="78" t="str">
        <f t="shared" si="18"/>
        <v xml:space="preserve"> </v>
      </c>
      <c r="AC58" s="800"/>
    </row>
    <row r="59" spans="1:29" ht="16.05"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0</v>
      </c>
      <c r="F59" s="78">
        <f t="shared" si="19"/>
        <v>0</v>
      </c>
      <c r="G59" s="78">
        <f>IF($D$8="E-Bound",VLOOKUP($B59,'Data 15'!$A$104:$G$199,3,FALSE),IF($D$8="S-Bound",VLOOKUP($B59,'Data 15'!$H$104:$N$199,3,FALSE),IF($D$8="W-Bound",VLOOKUP($B59,'Data 15'!$O$104:$U$199,3,FALSE),VLOOKUP($B59,'Data 15'!$V$104:$AA$199,3,FALSE))))</f>
        <v>569</v>
      </c>
      <c r="H59" s="79">
        <f>IF($D$8="E-Bound",VLOOKUP($B59,'Data 15'!$A$104:$G$199,4,FALSE),IF($D$8="S-Bound",VLOOKUP($B59,'Data 15'!$H$104:$N$199,4,FALSE),IF($D$8="W-Bound",VLOOKUP($B59,'Data 15'!$O$104:$U$199,4,FALSE),VLOOKUP($B59,'Data 15'!$V$104:$AA$199,4,FALSE))))</f>
        <v>0</v>
      </c>
      <c r="I59" s="78">
        <f>'RTF 2'!$G59/'Input &amp; Findings'!$G$31</f>
        <v>284.5</v>
      </c>
      <c r="J59" s="48">
        <f>IF('RTF 2'!$D$9=1,'Lookup Tables'!$J190,IF('RTF 2'!$D$9=2,'Lookup Tables'!$K190,IF('RTF 2'!$D$9=3,'Lookup Tables'!$L190,IF('RTF 2'!$D$9=4,'Lookup Tables'!$M190,'Lookup Tables'!$N190))))</f>
        <v>15</v>
      </c>
      <c r="K59" s="79" t="str">
        <f t="shared" si="1"/>
        <v xml:space="preserve"> </v>
      </c>
      <c r="L59" s="79" t="str">
        <f t="shared" si="2"/>
        <v xml:space="preserve"> </v>
      </c>
      <c r="M59" s="78">
        <f t="shared" si="3"/>
        <v>0</v>
      </c>
      <c r="N59" s="78">
        <f t="shared" si="4"/>
        <v>0</v>
      </c>
      <c r="O59" s="78">
        <f t="shared" si="5"/>
        <v>0</v>
      </c>
      <c r="P59" s="78">
        <f t="shared" si="6"/>
        <v>0</v>
      </c>
      <c r="Q59" s="78">
        <f t="shared" si="7"/>
        <v>0</v>
      </c>
      <c r="R59" s="78" t="str">
        <f t="shared" si="8"/>
        <v xml:space="preserve"> </v>
      </c>
      <c r="S59" s="78" t="str">
        <f t="shared" si="9"/>
        <v xml:space="preserve"> </v>
      </c>
      <c r="T59" s="78" t="str">
        <f t="shared" si="10"/>
        <v xml:space="preserve"> </v>
      </c>
      <c r="U59" s="78" t="str">
        <f t="shared" si="11"/>
        <v xml:space="preserve"> </v>
      </c>
      <c r="V59" s="78" t="str">
        <f t="shared" si="12"/>
        <v xml:space="preserve"> </v>
      </c>
      <c r="W59" s="78" t="str">
        <f t="shared" si="13"/>
        <v xml:space="preserve"> </v>
      </c>
      <c r="X59" s="78" t="str">
        <f t="shared" si="14"/>
        <v xml:space="preserve"> </v>
      </c>
      <c r="Y59" s="78" t="str">
        <f t="shared" si="15"/>
        <v xml:space="preserve"> </v>
      </c>
      <c r="Z59" s="78" t="str">
        <f t="shared" si="16"/>
        <v xml:space="preserve"> </v>
      </c>
      <c r="AA59" s="78" t="str">
        <f t="shared" si="17"/>
        <v xml:space="preserve"> </v>
      </c>
      <c r="AB59" s="78" t="str">
        <f t="shared" si="18"/>
        <v xml:space="preserve"> </v>
      </c>
      <c r="AC59" s="800"/>
    </row>
    <row r="60" spans="1:29" ht="16.05"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9"/>
        <v>0</v>
      </c>
      <c r="G60" s="78">
        <f>IF($D$8="E-Bound",VLOOKUP($B60,'Data 15'!$A$104:$G$199,3,FALSE),IF($D$8="S-Bound",VLOOKUP($B60,'Data 15'!$H$104:$N$199,3,FALSE),IF($D$8="W-Bound",VLOOKUP($B60,'Data 15'!$O$104:$U$199,3,FALSE),VLOOKUP($B60,'Data 15'!$V$104:$AA$199,3,FALSE))))</f>
        <v>605</v>
      </c>
      <c r="H60" s="79">
        <f>IF($D$8="E-Bound",VLOOKUP($B60,'Data 15'!$A$104:$G$199,4,FALSE),IF($D$8="S-Bound",VLOOKUP($B60,'Data 15'!$H$104:$N$199,4,FALSE),IF($D$8="W-Bound",VLOOKUP($B60,'Data 15'!$O$104:$U$199,4,FALSE),VLOOKUP($B60,'Data 15'!$V$104:$AA$199,4,FALSE))))</f>
        <v>0</v>
      </c>
      <c r="I60" s="78">
        <f>'RTF 2'!$G60/'Input &amp; Findings'!$G$31</f>
        <v>302.5</v>
      </c>
      <c r="J60" s="48">
        <f>IF('RTF 2'!$D$9=1,'Lookup Tables'!$J191,IF('RTF 2'!$D$9=2,'Lookup Tables'!$K191,IF('RTF 2'!$D$9=3,'Lookup Tables'!$L191,IF('RTF 2'!$D$9=4,'Lookup Tables'!$M191,'Lookup Tables'!$N191))))</f>
        <v>15</v>
      </c>
      <c r="K60" s="79" t="str">
        <f t="shared" si="1"/>
        <v xml:space="preserve"> </v>
      </c>
      <c r="L60" s="79" t="str">
        <f t="shared" si="2"/>
        <v xml:space="preserve"> </v>
      </c>
      <c r="M60" s="78">
        <f t="shared" si="3"/>
        <v>0</v>
      </c>
      <c r="N60" s="78">
        <f t="shared" si="4"/>
        <v>0</v>
      </c>
      <c r="O60" s="78">
        <f t="shared" si="5"/>
        <v>0</v>
      </c>
      <c r="P60" s="78">
        <f t="shared" si="6"/>
        <v>0</v>
      </c>
      <c r="Q60" s="78">
        <f t="shared" si="7"/>
        <v>0</v>
      </c>
      <c r="R60" s="78" t="str">
        <f t="shared" si="8"/>
        <v xml:space="preserve"> </v>
      </c>
      <c r="S60" s="78" t="str">
        <f t="shared" si="9"/>
        <v xml:space="preserve"> </v>
      </c>
      <c r="T60" s="78" t="str">
        <f t="shared" si="10"/>
        <v xml:space="preserve"> </v>
      </c>
      <c r="U60" s="78" t="str">
        <f t="shared" si="11"/>
        <v xml:space="preserve"> </v>
      </c>
      <c r="V60" s="78" t="str">
        <f t="shared" si="12"/>
        <v xml:space="preserve"> </v>
      </c>
      <c r="W60" s="78" t="str">
        <f t="shared" si="13"/>
        <v xml:space="preserve"> </v>
      </c>
      <c r="X60" s="78" t="str">
        <f t="shared" si="14"/>
        <v xml:space="preserve"> </v>
      </c>
      <c r="Y60" s="78" t="str">
        <f t="shared" si="15"/>
        <v xml:space="preserve"> </v>
      </c>
      <c r="Z60" s="78" t="str">
        <f t="shared" si="16"/>
        <v xml:space="preserve"> </v>
      </c>
      <c r="AA60" s="78" t="str">
        <f t="shared" si="17"/>
        <v xml:space="preserve"> </v>
      </c>
      <c r="AB60" s="78" t="str">
        <f t="shared" si="18"/>
        <v xml:space="preserve"> </v>
      </c>
      <c r="AC60" s="800"/>
    </row>
    <row r="61" spans="1:29" ht="16.05"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9"/>
        <v>0</v>
      </c>
      <c r="G61" s="78">
        <f>IF($D$8="E-Bound",VLOOKUP($B61,'Data 15'!$A$104:$G$199,3,FALSE),IF($D$8="S-Bound",VLOOKUP($B61,'Data 15'!$H$104:$N$199,3,FALSE),IF($D$8="W-Bound",VLOOKUP($B61,'Data 15'!$O$104:$U$199,3,FALSE),VLOOKUP($B61,'Data 15'!$V$104:$AA$199,3,FALSE))))</f>
        <v>618</v>
      </c>
      <c r="H61" s="79">
        <f>IF($D$8="E-Bound",VLOOKUP($B61,'Data 15'!$A$104:$G$199,4,FALSE),IF($D$8="S-Bound",VLOOKUP($B61,'Data 15'!$H$104:$N$199,4,FALSE),IF($D$8="W-Bound",VLOOKUP($B61,'Data 15'!$O$104:$U$199,4,FALSE),VLOOKUP($B61,'Data 15'!$V$104:$AA$199,4,FALSE))))</f>
        <v>0</v>
      </c>
      <c r="I61" s="78">
        <f>'RTF 2'!$G61/'Input &amp; Findings'!$G$31</f>
        <v>309</v>
      </c>
      <c r="J61" s="48">
        <f>IF('RTF 2'!$D$9=1,'Lookup Tables'!$J192,IF('RTF 2'!$D$9=2,'Lookup Tables'!$K192,IF('RTF 2'!$D$9=3,'Lookup Tables'!$L192,IF('RTF 2'!$D$9=4,'Lookup Tables'!$M192,'Lookup Tables'!$N192))))</f>
        <v>15</v>
      </c>
      <c r="K61" s="79" t="str">
        <f t="shared" si="1"/>
        <v xml:space="preserve"> </v>
      </c>
      <c r="L61" s="79" t="str">
        <f t="shared" si="2"/>
        <v xml:space="preserve"> </v>
      </c>
      <c r="M61" s="78">
        <f t="shared" si="3"/>
        <v>0</v>
      </c>
      <c r="N61" s="78">
        <f t="shared" si="4"/>
        <v>0</v>
      </c>
      <c r="O61" s="78">
        <f t="shared" si="5"/>
        <v>0</v>
      </c>
      <c r="P61" s="78">
        <f t="shared" si="6"/>
        <v>0</v>
      </c>
      <c r="Q61" s="78">
        <f t="shared" si="7"/>
        <v>0</v>
      </c>
      <c r="R61" s="78" t="str">
        <f t="shared" si="8"/>
        <v xml:space="preserve"> </v>
      </c>
      <c r="S61" s="78" t="str">
        <f t="shared" si="9"/>
        <v xml:space="preserve"> </v>
      </c>
      <c r="T61" s="78" t="str">
        <f t="shared" si="10"/>
        <v xml:space="preserve"> </v>
      </c>
      <c r="U61" s="78" t="str">
        <f t="shared" si="11"/>
        <v xml:space="preserve"> </v>
      </c>
      <c r="V61" s="78" t="str">
        <f t="shared" si="12"/>
        <v xml:space="preserve"> </v>
      </c>
      <c r="W61" s="78" t="str">
        <f t="shared" si="13"/>
        <v xml:space="preserve"> </v>
      </c>
      <c r="X61" s="78" t="str">
        <f t="shared" si="14"/>
        <v xml:space="preserve"> </v>
      </c>
      <c r="Y61" s="78" t="str">
        <f t="shared" si="15"/>
        <v xml:space="preserve"> </v>
      </c>
      <c r="Z61" s="78" t="str">
        <f t="shared" si="16"/>
        <v xml:space="preserve"> </v>
      </c>
      <c r="AA61" s="78" t="str">
        <f t="shared" si="17"/>
        <v xml:space="preserve"> </v>
      </c>
      <c r="AB61" s="78" t="str">
        <f t="shared" si="18"/>
        <v xml:space="preserve"> </v>
      </c>
      <c r="AC61" s="800"/>
    </row>
    <row r="62" spans="1:29" ht="16.05"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9"/>
        <v>0</v>
      </c>
      <c r="G62" s="78">
        <f>IF($D$8="E-Bound",VLOOKUP($B62,'Data 15'!$A$104:$G$199,3,FALSE),IF($D$8="S-Bound",VLOOKUP($B62,'Data 15'!$H$104:$N$199,3,FALSE),IF($D$8="W-Bound",VLOOKUP($B62,'Data 15'!$O$104:$U$199,3,FALSE),VLOOKUP($B62,'Data 15'!$V$104:$AA$199,3,FALSE))))</f>
        <v>641</v>
      </c>
      <c r="H62" s="79">
        <f>IF($D$8="E-Bound",VLOOKUP($B62,'Data 15'!$A$104:$G$199,4,FALSE),IF($D$8="S-Bound",VLOOKUP($B62,'Data 15'!$H$104:$N$199,4,FALSE),IF($D$8="W-Bound",VLOOKUP($B62,'Data 15'!$O$104:$U$199,4,FALSE),VLOOKUP($B62,'Data 15'!$V$104:$AA$199,4,FALSE))))</f>
        <v>0</v>
      </c>
      <c r="I62" s="78">
        <f>'RTF 2'!$G62/'Input &amp; Findings'!$G$31</f>
        <v>320.5</v>
      </c>
      <c r="J62" s="48">
        <f>IF('RTF 2'!$D$9=1,'Lookup Tables'!$J193,IF('RTF 2'!$D$9=2,'Lookup Tables'!$K193,IF('RTF 2'!$D$9=3,'Lookup Tables'!$L193,IF('RTF 2'!$D$9=4,'Lookup Tables'!$M193,'Lookup Tables'!$N193))))</f>
        <v>15</v>
      </c>
      <c r="K62" s="79" t="str">
        <f t="shared" si="1"/>
        <v xml:space="preserve"> </v>
      </c>
      <c r="L62" s="79" t="str">
        <f t="shared" si="2"/>
        <v xml:space="preserve"> </v>
      </c>
      <c r="M62" s="78">
        <f t="shared" si="3"/>
        <v>0</v>
      </c>
      <c r="N62" s="78">
        <f t="shared" si="4"/>
        <v>0</v>
      </c>
      <c r="O62" s="78">
        <f t="shared" si="5"/>
        <v>0</v>
      </c>
      <c r="P62" s="78">
        <f t="shared" si="6"/>
        <v>0</v>
      </c>
      <c r="Q62" s="78">
        <f t="shared" si="7"/>
        <v>0</v>
      </c>
      <c r="R62" s="78" t="str">
        <f t="shared" si="8"/>
        <v xml:space="preserve"> </v>
      </c>
      <c r="S62" s="78" t="str">
        <f t="shared" si="9"/>
        <v xml:space="preserve"> </v>
      </c>
      <c r="T62" s="78" t="str">
        <f t="shared" si="10"/>
        <v xml:space="preserve"> </v>
      </c>
      <c r="U62" s="78" t="str">
        <f t="shared" si="11"/>
        <v xml:space="preserve"> </v>
      </c>
      <c r="V62" s="78" t="str">
        <f t="shared" si="12"/>
        <v xml:space="preserve"> </v>
      </c>
      <c r="W62" s="78" t="str">
        <f t="shared" si="13"/>
        <v xml:space="preserve"> </v>
      </c>
      <c r="X62" s="78" t="str">
        <f t="shared" si="14"/>
        <v xml:space="preserve"> </v>
      </c>
      <c r="Y62" s="78" t="str">
        <f t="shared" si="15"/>
        <v xml:space="preserve"> </v>
      </c>
      <c r="Z62" s="78" t="str">
        <f t="shared" si="16"/>
        <v xml:space="preserve"> </v>
      </c>
      <c r="AA62" s="78" t="str">
        <f t="shared" si="17"/>
        <v xml:space="preserve"> </v>
      </c>
      <c r="AB62" s="78" t="str">
        <f t="shared" si="18"/>
        <v xml:space="preserve"> </v>
      </c>
      <c r="AC62" s="800"/>
    </row>
    <row r="63" spans="1:29" ht="16.05"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9"/>
        <v>0</v>
      </c>
      <c r="G63" s="78">
        <f>IF($D$8="E-Bound",VLOOKUP($B63,'Data 15'!$A$104:$G$199,3,FALSE),IF($D$8="S-Bound",VLOOKUP($B63,'Data 15'!$H$104:$N$199,3,FALSE),IF($D$8="W-Bound",VLOOKUP($B63,'Data 15'!$O$104:$U$199,3,FALSE),VLOOKUP($B63,'Data 15'!$V$104:$AA$199,3,FALSE))))</f>
        <v>634</v>
      </c>
      <c r="H63" s="79">
        <f>IF($D$8="E-Bound",VLOOKUP($B63,'Data 15'!$A$104:$G$199,4,FALSE),IF($D$8="S-Bound",VLOOKUP($B63,'Data 15'!$H$104:$N$199,4,FALSE),IF($D$8="W-Bound",VLOOKUP($B63,'Data 15'!$O$104:$U$199,4,FALSE),VLOOKUP($B63,'Data 15'!$V$104:$AA$199,4,FALSE))))</f>
        <v>0</v>
      </c>
      <c r="I63" s="78">
        <f>'RTF 2'!$G63/'Input &amp; Findings'!$G$31</f>
        <v>317</v>
      </c>
      <c r="J63" s="48">
        <f>IF('RTF 2'!$D$9=1,'Lookup Tables'!$J194,IF('RTF 2'!$D$9=2,'Lookup Tables'!$K194,IF('RTF 2'!$D$9=3,'Lookup Tables'!$L194,IF('RTF 2'!$D$9=4,'Lookup Tables'!$M194,'Lookup Tables'!$N194))))</f>
        <v>15</v>
      </c>
      <c r="K63" s="79" t="str">
        <f t="shared" si="1"/>
        <v xml:space="preserve"> </v>
      </c>
      <c r="L63" s="79" t="str">
        <f t="shared" si="2"/>
        <v xml:space="preserve"> </v>
      </c>
      <c r="M63" s="78">
        <f t="shared" si="3"/>
        <v>0</v>
      </c>
      <c r="N63" s="78">
        <f t="shared" si="4"/>
        <v>0</v>
      </c>
      <c r="O63" s="78">
        <f t="shared" si="5"/>
        <v>0</v>
      </c>
      <c r="P63" s="78">
        <f t="shared" si="6"/>
        <v>0</v>
      </c>
      <c r="Q63" s="78">
        <f t="shared" si="7"/>
        <v>0</v>
      </c>
      <c r="R63" s="78" t="str">
        <f t="shared" si="8"/>
        <v xml:space="preserve"> </v>
      </c>
      <c r="S63" s="78" t="str">
        <f t="shared" si="9"/>
        <v xml:space="preserve"> </v>
      </c>
      <c r="T63" s="78" t="str">
        <f t="shared" si="10"/>
        <v xml:space="preserve"> </v>
      </c>
      <c r="U63" s="78" t="str">
        <f t="shared" si="11"/>
        <v xml:space="preserve"> </v>
      </c>
      <c r="V63" s="78" t="str">
        <f t="shared" si="12"/>
        <v xml:space="preserve"> </v>
      </c>
      <c r="W63" s="78" t="str">
        <f t="shared" si="13"/>
        <v xml:space="preserve"> </v>
      </c>
      <c r="X63" s="78" t="str">
        <f t="shared" si="14"/>
        <v xml:space="preserve"> </v>
      </c>
      <c r="Y63" s="78" t="str">
        <f t="shared" si="15"/>
        <v xml:space="preserve"> </v>
      </c>
      <c r="Z63" s="78" t="str">
        <f t="shared" si="16"/>
        <v xml:space="preserve"> </v>
      </c>
      <c r="AA63" s="78" t="str">
        <f t="shared" si="17"/>
        <v xml:space="preserve"> </v>
      </c>
      <c r="AB63" s="78" t="str">
        <f t="shared" si="18"/>
        <v xml:space="preserve"> </v>
      </c>
      <c r="AC63" s="800"/>
    </row>
    <row r="64" spans="1:29" ht="16.05"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9"/>
        <v>0</v>
      </c>
      <c r="G64" s="78">
        <f>IF($D$8="E-Bound",VLOOKUP($B64,'Data 15'!$A$104:$G$199,3,FALSE),IF($D$8="S-Bound",VLOOKUP($B64,'Data 15'!$H$104:$N$199,3,FALSE),IF($D$8="W-Bound",VLOOKUP($B64,'Data 15'!$O$104:$U$199,3,FALSE),VLOOKUP($B64,'Data 15'!$V$104:$AA$199,3,FALSE))))</f>
        <v>617</v>
      </c>
      <c r="H64" s="79">
        <f>IF($D$8="E-Bound",VLOOKUP($B64,'Data 15'!$A$104:$G$199,4,FALSE),IF($D$8="S-Bound",VLOOKUP($B64,'Data 15'!$H$104:$N$199,4,FALSE),IF($D$8="W-Bound",VLOOKUP($B64,'Data 15'!$O$104:$U$199,4,FALSE),VLOOKUP($B64,'Data 15'!$V$104:$AA$199,4,FALSE))))</f>
        <v>0</v>
      </c>
      <c r="I64" s="78">
        <f>'RTF 2'!$G64/'Input &amp; Findings'!$G$31</f>
        <v>308.5</v>
      </c>
      <c r="J64" s="48">
        <f>IF('RTF 2'!$D$9=1,'Lookup Tables'!$J195,IF('RTF 2'!$D$9=2,'Lookup Tables'!$K195,IF('RTF 2'!$D$9=3,'Lookup Tables'!$L195,IF('RTF 2'!$D$9=4,'Lookup Tables'!$M195,'Lookup Tables'!$N195))))</f>
        <v>15</v>
      </c>
      <c r="K64" s="79" t="str">
        <f t="shared" si="1"/>
        <v xml:space="preserve"> </v>
      </c>
      <c r="L64" s="79" t="str">
        <f t="shared" si="2"/>
        <v xml:space="preserve"> </v>
      </c>
      <c r="M64" s="78">
        <f t="shared" si="3"/>
        <v>0</v>
      </c>
      <c r="N64" s="78">
        <f t="shared" si="4"/>
        <v>0</v>
      </c>
      <c r="O64" s="78">
        <f t="shared" si="5"/>
        <v>0</v>
      </c>
      <c r="P64" s="78">
        <f t="shared" si="6"/>
        <v>0</v>
      </c>
      <c r="Q64" s="78">
        <f t="shared" si="7"/>
        <v>0</v>
      </c>
      <c r="R64" s="78" t="str">
        <f t="shared" si="8"/>
        <v xml:space="preserve"> </v>
      </c>
      <c r="S64" s="78" t="str">
        <f t="shared" si="9"/>
        <v xml:space="preserve"> </v>
      </c>
      <c r="T64" s="78" t="str">
        <f t="shared" si="10"/>
        <v xml:space="preserve"> </v>
      </c>
      <c r="U64" s="78" t="str">
        <f t="shared" si="11"/>
        <v xml:space="preserve"> </v>
      </c>
      <c r="V64" s="78" t="str">
        <f t="shared" si="12"/>
        <v xml:space="preserve"> </v>
      </c>
      <c r="W64" s="78" t="str">
        <f t="shared" si="13"/>
        <v xml:space="preserve"> </v>
      </c>
      <c r="X64" s="78" t="str">
        <f t="shared" si="14"/>
        <v xml:space="preserve"> </v>
      </c>
      <c r="Y64" s="78" t="str">
        <f t="shared" si="15"/>
        <v xml:space="preserve"> </v>
      </c>
      <c r="Z64" s="78" t="str">
        <f t="shared" si="16"/>
        <v xml:space="preserve"> </v>
      </c>
      <c r="AA64" s="78" t="str">
        <f t="shared" si="17"/>
        <v xml:space="preserve"> </v>
      </c>
      <c r="AB64" s="78" t="str">
        <f t="shared" si="18"/>
        <v xml:space="preserve"> </v>
      </c>
      <c r="AC64" s="800"/>
    </row>
    <row r="65" spans="1:29" ht="16.05"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9"/>
        <v>0</v>
      </c>
      <c r="G65" s="78">
        <f>IF($D$8="E-Bound",VLOOKUP($B65,'Data 15'!$A$104:$G$199,3,FALSE),IF($D$8="S-Bound",VLOOKUP($B65,'Data 15'!$H$104:$N$199,3,FALSE),IF($D$8="W-Bound",VLOOKUP($B65,'Data 15'!$O$104:$U$199,3,FALSE),VLOOKUP($B65,'Data 15'!$V$104:$AA$199,3,FALSE))))</f>
        <v>640</v>
      </c>
      <c r="H65" s="79">
        <f>IF($D$8="E-Bound",VLOOKUP($B65,'Data 15'!$A$104:$G$199,4,FALSE),IF($D$8="S-Bound",VLOOKUP($B65,'Data 15'!$H$104:$N$199,4,FALSE),IF($D$8="W-Bound",VLOOKUP($B65,'Data 15'!$O$104:$U$199,4,FALSE),VLOOKUP($B65,'Data 15'!$V$104:$AA$199,4,FALSE))))</f>
        <v>0</v>
      </c>
      <c r="I65" s="78">
        <f>'RTF 2'!$G65/'Input &amp; Findings'!$G$31</f>
        <v>320</v>
      </c>
      <c r="J65" s="48">
        <f>IF('RTF 2'!$D$9=1,'Lookup Tables'!$J196,IF('RTF 2'!$D$9=2,'Lookup Tables'!$K196,IF('RTF 2'!$D$9=3,'Lookup Tables'!$L196,IF('RTF 2'!$D$9=4,'Lookup Tables'!$M196,'Lookup Tables'!$N196))))</f>
        <v>15</v>
      </c>
      <c r="K65" s="79" t="str">
        <f t="shared" si="1"/>
        <v xml:space="preserve"> </v>
      </c>
      <c r="L65" s="79" t="str">
        <f t="shared" si="2"/>
        <v xml:space="preserve"> </v>
      </c>
      <c r="M65" s="78">
        <f t="shared" si="3"/>
        <v>0</v>
      </c>
      <c r="N65" s="78">
        <f t="shared" si="4"/>
        <v>0</v>
      </c>
      <c r="O65" s="78">
        <f t="shared" si="5"/>
        <v>0</v>
      </c>
      <c r="P65" s="78">
        <f t="shared" si="6"/>
        <v>0</v>
      </c>
      <c r="Q65" s="78">
        <f t="shared" si="7"/>
        <v>0</v>
      </c>
      <c r="R65" s="78" t="str">
        <f t="shared" si="8"/>
        <v xml:space="preserve"> </v>
      </c>
      <c r="S65" s="78" t="str">
        <f t="shared" si="9"/>
        <v xml:space="preserve"> </v>
      </c>
      <c r="T65" s="78" t="str">
        <f t="shared" si="10"/>
        <v xml:space="preserve"> </v>
      </c>
      <c r="U65" s="78" t="str">
        <f t="shared" si="11"/>
        <v xml:space="preserve"> </v>
      </c>
      <c r="V65" s="78" t="str">
        <f t="shared" si="12"/>
        <v xml:space="preserve"> </v>
      </c>
      <c r="W65" s="78" t="str">
        <f t="shared" si="13"/>
        <v xml:space="preserve"> </v>
      </c>
      <c r="X65" s="78" t="str">
        <f t="shared" si="14"/>
        <v xml:space="preserve"> </v>
      </c>
      <c r="Y65" s="78" t="str">
        <f t="shared" si="15"/>
        <v xml:space="preserve"> </v>
      </c>
      <c r="Z65" s="78" t="str">
        <f t="shared" si="16"/>
        <v xml:space="preserve"> </v>
      </c>
      <c r="AA65" s="78" t="str">
        <f t="shared" si="17"/>
        <v xml:space="preserve"> </v>
      </c>
      <c r="AB65" s="78" t="str">
        <f t="shared" si="18"/>
        <v xml:space="preserve"> </v>
      </c>
      <c r="AC65" s="800"/>
    </row>
    <row r="66" spans="1:29" ht="16.05"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9"/>
        <v>0</v>
      </c>
      <c r="G66" s="78">
        <f>IF($D$8="E-Bound",VLOOKUP($B66,'Data 15'!$A$104:$G$199,3,FALSE),IF($D$8="S-Bound",VLOOKUP($B66,'Data 15'!$H$104:$N$199,3,FALSE),IF($D$8="W-Bound",VLOOKUP($B66,'Data 15'!$O$104:$U$199,3,FALSE),VLOOKUP($B66,'Data 15'!$V$104:$AA$199,3,FALSE))))</f>
        <v>640</v>
      </c>
      <c r="H66" s="79">
        <f>IF($D$8="E-Bound",VLOOKUP($B66,'Data 15'!$A$104:$G$199,4,FALSE),IF($D$8="S-Bound",VLOOKUP($B66,'Data 15'!$H$104:$N$199,4,FALSE),IF($D$8="W-Bound",VLOOKUP($B66,'Data 15'!$O$104:$U$199,4,FALSE),VLOOKUP($B66,'Data 15'!$V$104:$AA$199,4,FALSE))))</f>
        <v>0</v>
      </c>
      <c r="I66" s="78">
        <f>'RTF 2'!$G66/'Input &amp; Findings'!$G$31</f>
        <v>320</v>
      </c>
      <c r="J66" s="48">
        <f>IF('RTF 2'!$D$9=1,'Lookup Tables'!$J197,IF('RTF 2'!$D$9=2,'Lookup Tables'!$K197,IF('RTF 2'!$D$9=3,'Lookup Tables'!$L197,IF('RTF 2'!$D$9=4,'Lookup Tables'!$M197,'Lookup Tables'!$N197))))</f>
        <v>15</v>
      </c>
      <c r="K66" s="79" t="str">
        <f t="shared" si="1"/>
        <v xml:space="preserve"> </v>
      </c>
      <c r="L66" s="79" t="str">
        <f t="shared" si="2"/>
        <v xml:space="preserve"> </v>
      </c>
      <c r="M66" s="78">
        <f t="shared" si="3"/>
        <v>0</v>
      </c>
      <c r="N66" s="78">
        <f t="shared" si="4"/>
        <v>0</v>
      </c>
      <c r="O66" s="78">
        <f t="shared" si="5"/>
        <v>0</v>
      </c>
      <c r="P66" s="78">
        <f t="shared" si="6"/>
        <v>0</v>
      </c>
      <c r="Q66" s="78">
        <f t="shared" si="7"/>
        <v>0</v>
      </c>
      <c r="R66" s="78" t="str">
        <f t="shared" si="8"/>
        <v xml:space="preserve"> </v>
      </c>
      <c r="S66" s="78" t="str">
        <f t="shared" si="9"/>
        <v xml:space="preserve"> </v>
      </c>
      <c r="T66" s="78" t="str">
        <f t="shared" si="10"/>
        <v xml:space="preserve"> </v>
      </c>
      <c r="U66" s="78" t="str">
        <f t="shared" si="11"/>
        <v xml:space="preserve"> </v>
      </c>
      <c r="V66" s="78" t="str">
        <f t="shared" si="12"/>
        <v xml:space="preserve"> </v>
      </c>
      <c r="W66" s="78" t="str">
        <f t="shared" si="13"/>
        <v xml:space="preserve"> </v>
      </c>
      <c r="X66" s="78" t="str">
        <f t="shared" si="14"/>
        <v xml:space="preserve"> </v>
      </c>
      <c r="Y66" s="78" t="str">
        <f t="shared" si="15"/>
        <v xml:space="preserve"> </v>
      </c>
      <c r="Z66" s="78" t="str">
        <f t="shared" si="16"/>
        <v xml:space="preserve"> </v>
      </c>
      <c r="AA66" s="78" t="str">
        <f t="shared" si="17"/>
        <v xml:space="preserve"> </v>
      </c>
      <c r="AB66" s="78" t="str">
        <f t="shared" si="18"/>
        <v xml:space="preserve"> </v>
      </c>
      <c r="AC66" s="800"/>
    </row>
    <row r="67" spans="1:29" ht="16.05"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9"/>
        <v>0</v>
      </c>
      <c r="G67" s="78">
        <f>IF($D$8="E-Bound",VLOOKUP($B67,'Data 15'!$A$104:$G$199,3,FALSE),IF($D$8="S-Bound",VLOOKUP($B67,'Data 15'!$H$104:$N$199,3,FALSE),IF($D$8="W-Bound",VLOOKUP($B67,'Data 15'!$O$104:$U$199,3,FALSE),VLOOKUP($B67,'Data 15'!$V$104:$AA$199,3,FALSE))))</f>
        <v>649</v>
      </c>
      <c r="H67" s="79">
        <f>IF($D$8="E-Bound",VLOOKUP($B67,'Data 15'!$A$104:$G$199,4,FALSE),IF($D$8="S-Bound",VLOOKUP($B67,'Data 15'!$H$104:$N$199,4,FALSE),IF($D$8="W-Bound",VLOOKUP($B67,'Data 15'!$O$104:$U$199,4,FALSE),VLOOKUP($B67,'Data 15'!$V$104:$AA$199,4,FALSE))))</f>
        <v>0</v>
      </c>
      <c r="I67" s="78">
        <f>'RTF 2'!$G67/'Input &amp; Findings'!$G$31</f>
        <v>324.5</v>
      </c>
      <c r="J67" s="48">
        <f>IF('RTF 2'!$D$9=1,'Lookup Tables'!$J198,IF('RTF 2'!$D$9=2,'Lookup Tables'!$K198,IF('RTF 2'!$D$9=3,'Lookup Tables'!$L198,IF('RTF 2'!$D$9=4,'Lookup Tables'!$M198,'Lookup Tables'!$N198))))</f>
        <v>15</v>
      </c>
      <c r="K67" s="79" t="str">
        <f t="shared" si="1"/>
        <v xml:space="preserve"> </v>
      </c>
      <c r="L67" s="79" t="str">
        <f t="shared" si="2"/>
        <v xml:space="preserve"> </v>
      </c>
      <c r="M67" s="78">
        <f t="shared" si="3"/>
        <v>0</v>
      </c>
      <c r="N67" s="78">
        <f t="shared" si="4"/>
        <v>0</v>
      </c>
      <c r="O67" s="78">
        <f t="shared" si="5"/>
        <v>0</v>
      </c>
      <c r="P67" s="78">
        <f t="shared" si="6"/>
        <v>0</v>
      </c>
      <c r="Q67" s="78">
        <f t="shared" si="7"/>
        <v>0</v>
      </c>
      <c r="R67" s="78" t="str">
        <f t="shared" si="8"/>
        <v xml:space="preserve"> </v>
      </c>
      <c r="S67" s="78" t="str">
        <f t="shared" si="9"/>
        <v xml:space="preserve"> </v>
      </c>
      <c r="T67" s="78" t="str">
        <f t="shared" si="10"/>
        <v xml:space="preserve"> </v>
      </c>
      <c r="U67" s="78" t="str">
        <f t="shared" si="11"/>
        <v xml:space="preserve"> </v>
      </c>
      <c r="V67" s="78" t="str">
        <f t="shared" si="12"/>
        <v xml:space="preserve"> </v>
      </c>
      <c r="W67" s="78" t="str">
        <f t="shared" si="13"/>
        <v xml:space="preserve"> </v>
      </c>
      <c r="X67" s="78" t="str">
        <f t="shared" si="14"/>
        <v xml:space="preserve"> </v>
      </c>
      <c r="Y67" s="78" t="str">
        <f t="shared" si="15"/>
        <v xml:space="preserve"> </v>
      </c>
      <c r="Z67" s="78" t="str">
        <f t="shared" si="16"/>
        <v xml:space="preserve"> </v>
      </c>
      <c r="AA67" s="78" t="str">
        <f t="shared" si="17"/>
        <v xml:space="preserve"> </v>
      </c>
      <c r="AB67" s="78" t="str">
        <f t="shared" si="18"/>
        <v xml:space="preserve"> </v>
      </c>
      <c r="AC67" s="800"/>
    </row>
    <row r="68" spans="1:29" ht="16.05"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9"/>
        <v>0</v>
      </c>
      <c r="G68" s="78">
        <f>IF($D$8="E-Bound",VLOOKUP($B68,'Data 15'!$A$104:$G$199,3,FALSE),IF($D$8="S-Bound",VLOOKUP($B68,'Data 15'!$H$104:$N$199,3,FALSE),IF($D$8="W-Bound",VLOOKUP($B68,'Data 15'!$O$104:$U$199,3,FALSE),VLOOKUP($B68,'Data 15'!$V$104:$AA$199,3,FALSE))))</f>
        <v>677</v>
      </c>
      <c r="H68" s="79">
        <f>IF($D$8="E-Bound",VLOOKUP($B68,'Data 15'!$A$104:$G$199,4,FALSE),IF($D$8="S-Bound",VLOOKUP($B68,'Data 15'!$H$104:$N$199,4,FALSE),IF($D$8="W-Bound",VLOOKUP($B68,'Data 15'!$O$104:$U$199,4,FALSE),VLOOKUP($B68,'Data 15'!$V$104:$AA$199,4,FALSE))))</f>
        <v>0</v>
      </c>
      <c r="I68" s="78">
        <f>'RTF 2'!$G68/'Input &amp; Findings'!$G$31</f>
        <v>338.5</v>
      </c>
      <c r="J68" s="48">
        <f>IF('RTF 2'!$D$9=1,'Lookup Tables'!$J199,IF('RTF 2'!$D$9=2,'Lookup Tables'!$K199,IF('RTF 2'!$D$9=3,'Lookup Tables'!$L199,IF('RTF 2'!$D$9=4,'Lookup Tables'!$M199,'Lookup Tables'!$N199))))</f>
        <v>15</v>
      </c>
      <c r="K68" s="79" t="str">
        <f t="shared" si="1"/>
        <v xml:space="preserve"> </v>
      </c>
      <c r="L68" s="79" t="str">
        <f t="shared" si="2"/>
        <v xml:space="preserve"> </v>
      </c>
      <c r="M68" s="78">
        <f t="shared" si="3"/>
        <v>0</v>
      </c>
      <c r="N68" s="78">
        <f t="shared" si="4"/>
        <v>0</v>
      </c>
      <c r="O68" s="78">
        <f t="shared" si="5"/>
        <v>0</v>
      </c>
      <c r="P68" s="78">
        <f t="shared" si="6"/>
        <v>0</v>
      </c>
      <c r="Q68" s="78">
        <f t="shared" si="7"/>
        <v>0</v>
      </c>
      <c r="R68" s="78" t="str">
        <f t="shared" si="8"/>
        <v xml:space="preserve"> </v>
      </c>
      <c r="S68" s="78" t="str">
        <f t="shared" si="9"/>
        <v xml:space="preserve"> </v>
      </c>
      <c r="T68" s="78" t="str">
        <f t="shared" si="10"/>
        <v xml:space="preserve"> </v>
      </c>
      <c r="U68" s="78" t="str">
        <f t="shared" si="11"/>
        <v xml:space="preserve"> </v>
      </c>
      <c r="V68" s="78" t="str">
        <f t="shared" si="12"/>
        <v xml:space="preserve"> </v>
      </c>
      <c r="W68" s="78" t="str">
        <f t="shared" si="13"/>
        <v xml:space="preserve"> </v>
      </c>
      <c r="X68" s="78" t="str">
        <f t="shared" si="14"/>
        <v xml:space="preserve"> </v>
      </c>
      <c r="Y68" s="78" t="str">
        <f t="shared" si="15"/>
        <v xml:space="preserve"> </v>
      </c>
      <c r="Z68" s="78" t="str">
        <f t="shared" si="16"/>
        <v xml:space="preserve"> </v>
      </c>
      <c r="AA68" s="78" t="str">
        <f t="shared" si="17"/>
        <v xml:space="preserve"> </v>
      </c>
      <c r="AB68" s="78" t="str">
        <f t="shared" si="18"/>
        <v xml:space="preserve"> </v>
      </c>
      <c r="AC68" s="800"/>
    </row>
    <row r="69" spans="1:29" ht="16.05"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9"/>
        <v>0</v>
      </c>
      <c r="G69" s="78">
        <f>IF($D$8="E-Bound",VLOOKUP($B69,'Data 15'!$A$104:$G$199,3,FALSE),IF($D$8="S-Bound",VLOOKUP($B69,'Data 15'!$H$104:$N$199,3,FALSE),IF($D$8="W-Bound",VLOOKUP($B69,'Data 15'!$O$104:$U$199,3,FALSE),VLOOKUP($B69,'Data 15'!$V$104:$AA$199,3,FALSE))))</f>
        <v>719</v>
      </c>
      <c r="H69" s="79">
        <f>IF($D$8="E-Bound",VLOOKUP($B69,'Data 15'!$A$104:$G$199,4,FALSE),IF($D$8="S-Bound",VLOOKUP($B69,'Data 15'!$H$104:$N$199,4,FALSE),IF($D$8="W-Bound",VLOOKUP($B69,'Data 15'!$O$104:$U$199,4,FALSE),VLOOKUP($B69,'Data 15'!$V$104:$AA$199,4,FALSE))))</f>
        <v>0</v>
      </c>
      <c r="I69" s="78">
        <f>'RTF 2'!$G69/'Input &amp; Findings'!$G$31</f>
        <v>359.5</v>
      </c>
      <c r="J69" s="48">
        <f>IF('RTF 2'!$D$9=1,'Lookup Tables'!$J200,IF('RTF 2'!$D$9=2,'Lookup Tables'!$K200,IF('RTF 2'!$D$9=3,'Lookup Tables'!$L200,IF('RTF 2'!$D$9=4,'Lookup Tables'!$M200,'Lookup Tables'!$N200))))</f>
        <v>15</v>
      </c>
      <c r="K69" s="79" t="str">
        <f t="shared" si="1"/>
        <v xml:space="preserve"> </v>
      </c>
      <c r="L69" s="79" t="str">
        <f t="shared" si="2"/>
        <v xml:space="preserve"> </v>
      </c>
      <c r="M69" s="78">
        <f t="shared" si="3"/>
        <v>0</v>
      </c>
      <c r="N69" s="78">
        <f t="shared" si="4"/>
        <v>0</v>
      </c>
      <c r="O69" s="78">
        <f t="shared" si="5"/>
        <v>0</v>
      </c>
      <c r="P69" s="78">
        <f t="shared" si="6"/>
        <v>0</v>
      </c>
      <c r="Q69" s="78">
        <f t="shared" si="7"/>
        <v>0</v>
      </c>
      <c r="R69" s="78" t="str">
        <f t="shared" si="8"/>
        <v xml:space="preserve"> </v>
      </c>
      <c r="S69" s="78" t="str">
        <f t="shared" si="9"/>
        <v xml:space="preserve"> </v>
      </c>
      <c r="T69" s="78" t="str">
        <f t="shared" si="10"/>
        <v xml:space="preserve"> </v>
      </c>
      <c r="U69" s="78" t="str">
        <f t="shared" si="11"/>
        <v xml:space="preserve"> </v>
      </c>
      <c r="V69" s="78" t="str">
        <f t="shared" si="12"/>
        <v xml:space="preserve"> </v>
      </c>
      <c r="W69" s="78" t="str">
        <f t="shared" si="13"/>
        <v xml:space="preserve"> </v>
      </c>
      <c r="X69" s="78" t="str">
        <f t="shared" si="14"/>
        <v xml:space="preserve"> </v>
      </c>
      <c r="Y69" s="78" t="str">
        <f t="shared" si="15"/>
        <v xml:space="preserve"> </v>
      </c>
      <c r="Z69" s="78" t="str">
        <f t="shared" si="16"/>
        <v xml:space="preserve"> </v>
      </c>
      <c r="AA69" s="78" t="str">
        <f t="shared" si="17"/>
        <v xml:space="preserve"> </v>
      </c>
      <c r="AB69" s="78" t="str">
        <f t="shared" si="18"/>
        <v xml:space="preserve"> </v>
      </c>
      <c r="AC69" s="800"/>
    </row>
    <row r="70" spans="1:29" ht="16.05"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9"/>
        <v>0</v>
      </c>
      <c r="G70" s="78">
        <f>IF($D$8="E-Bound",VLOOKUP($B70,'Data 15'!$A$104:$G$199,3,FALSE),IF($D$8="S-Bound",VLOOKUP($B70,'Data 15'!$H$104:$N$199,3,FALSE),IF($D$8="W-Bound",VLOOKUP($B70,'Data 15'!$O$104:$U$199,3,FALSE),VLOOKUP($B70,'Data 15'!$V$104:$AA$199,3,FALSE))))</f>
        <v>750</v>
      </c>
      <c r="H70" s="79">
        <f>IF($D$8="E-Bound",VLOOKUP($B70,'Data 15'!$A$104:$G$199,4,FALSE),IF($D$8="S-Bound",VLOOKUP($B70,'Data 15'!$H$104:$N$199,4,FALSE),IF($D$8="W-Bound",VLOOKUP($B70,'Data 15'!$O$104:$U$199,4,FALSE),VLOOKUP($B70,'Data 15'!$V$104:$AA$199,4,FALSE))))</f>
        <v>0</v>
      </c>
      <c r="I70" s="78">
        <f>'RTF 2'!$G70/'Input &amp; Findings'!$G$31</f>
        <v>375</v>
      </c>
      <c r="J70" s="48">
        <f>IF('RTF 2'!$D$9=1,'Lookup Tables'!$J201,IF('RTF 2'!$D$9=2,'Lookup Tables'!$K201,IF('RTF 2'!$D$9=3,'Lookup Tables'!$L201,IF('RTF 2'!$D$9=4,'Lookup Tables'!$M201,'Lookup Tables'!$N201))))</f>
        <v>15</v>
      </c>
      <c r="K70" s="79" t="str">
        <f t="shared" si="1"/>
        <v xml:space="preserve"> </v>
      </c>
      <c r="L70" s="79" t="str">
        <f t="shared" si="2"/>
        <v xml:space="preserve"> </v>
      </c>
      <c r="M70" s="78">
        <f t="shared" si="3"/>
        <v>0</v>
      </c>
      <c r="N70" s="78">
        <f t="shared" si="4"/>
        <v>0</v>
      </c>
      <c r="O70" s="78">
        <f t="shared" si="5"/>
        <v>0</v>
      </c>
      <c r="P70" s="78">
        <f t="shared" si="6"/>
        <v>0</v>
      </c>
      <c r="Q70" s="78">
        <f t="shared" si="7"/>
        <v>0</v>
      </c>
      <c r="R70" s="78" t="str">
        <f t="shared" si="8"/>
        <v xml:space="preserve"> </v>
      </c>
      <c r="S70" s="78" t="str">
        <f t="shared" si="9"/>
        <v xml:space="preserve"> </v>
      </c>
      <c r="T70" s="78" t="str">
        <f t="shared" si="10"/>
        <v xml:space="preserve"> </v>
      </c>
      <c r="U70" s="78" t="str">
        <f t="shared" si="11"/>
        <v xml:space="preserve"> </v>
      </c>
      <c r="V70" s="78" t="str">
        <f t="shared" si="12"/>
        <v xml:space="preserve"> </v>
      </c>
      <c r="W70" s="78" t="str">
        <f t="shared" si="13"/>
        <v xml:space="preserve"> </v>
      </c>
      <c r="X70" s="78" t="str">
        <f t="shared" si="14"/>
        <v xml:space="preserve"> </v>
      </c>
      <c r="Y70" s="78" t="str">
        <f t="shared" si="15"/>
        <v xml:space="preserve"> </v>
      </c>
      <c r="Z70" s="78" t="str">
        <f t="shared" si="16"/>
        <v xml:space="preserve"> </v>
      </c>
      <c r="AA70" s="78" t="str">
        <f t="shared" si="17"/>
        <v xml:space="preserve"> </v>
      </c>
      <c r="AB70" s="78" t="str">
        <f t="shared" si="18"/>
        <v xml:space="preserve"> </v>
      </c>
      <c r="AC70" s="800"/>
    </row>
    <row r="71" spans="1:29" ht="16.05"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9"/>
        <v>0</v>
      </c>
      <c r="G71" s="78">
        <f>IF($D$8="E-Bound",VLOOKUP($B71,'Data 15'!$A$104:$G$199,3,FALSE),IF($D$8="S-Bound",VLOOKUP($B71,'Data 15'!$H$104:$N$199,3,FALSE),IF($D$8="W-Bound",VLOOKUP($B71,'Data 15'!$O$104:$U$199,3,FALSE),VLOOKUP($B71,'Data 15'!$V$104:$AA$199,3,FALSE))))</f>
        <v>821</v>
      </c>
      <c r="H71" s="79">
        <f>IF($D$8="E-Bound",VLOOKUP($B71,'Data 15'!$A$104:$G$199,4,FALSE),IF($D$8="S-Bound",VLOOKUP($B71,'Data 15'!$H$104:$N$199,4,FALSE),IF($D$8="W-Bound",VLOOKUP($B71,'Data 15'!$O$104:$U$199,4,FALSE),VLOOKUP($B71,'Data 15'!$V$104:$AA$199,4,FALSE))))</f>
        <v>0</v>
      </c>
      <c r="I71" s="78">
        <f>'RTF 2'!$G71/'Input &amp; Findings'!$G$31</f>
        <v>410.5</v>
      </c>
      <c r="J71" s="48">
        <f>IF('RTF 2'!$D$9=1,'Lookup Tables'!$J202,IF('RTF 2'!$D$9=2,'Lookup Tables'!$K202,IF('RTF 2'!$D$9=3,'Lookup Tables'!$L202,IF('RTF 2'!$D$9=4,'Lookup Tables'!$M202,'Lookup Tables'!$N202))))</f>
        <v>15</v>
      </c>
      <c r="K71" s="79" t="str">
        <f t="shared" si="1"/>
        <v xml:space="preserve"> </v>
      </c>
      <c r="L71" s="79" t="str">
        <f t="shared" si="2"/>
        <v xml:space="preserve"> </v>
      </c>
      <c r="M71" s="78">
        <f t="shared" si="3"/>
        <v>0</v>
      </c>
      <c r="N71" s="78">
        <f t="shared" si="4"/>
        <v>0</v>
      </c>
      <c r="O71" s="78">
        <f t="shared" si="5"/>
        <v>0</v>
      </c>
      <c r="P71" s="78">
        <f t="shared" si="6"/>
        <v>0</v>
      </c>
      <c r="Q71" s="78">
        <f t="shared" si="7"/>
        <v>0</v>
      </c>
      <c r="R71" s="78" t="str">
        <f t="shared" si="8"/>
        <v xml:space="preserve"> </v>
      </c>
      <c r="S71" s="78" t="str">
        <f t="shared" si="9"/>
        <v xml:space="preserve"> </v>
      </c>
      <c r="T71" s="78" t="str">
        <f t="shared" si="10"/>
        <v xml:space="preserve"> </v>
      </c>
      <c r="U71" s="78" t="str">
        <f t="shared" si="11"/>
        <v xml:space="preserve"> </v>
      </c>
      <c r="V71" s="78" t="str">
        <f t="shared" si="12"/>
        <v xml:space="preserve"> </v>
      </c>
      <c r="W71" s="78" t="str">
        <f t="shared" si="13"/>
        <v xml:space="preserve"> </v>
      </c>
      <c r="X71" s="78" t="str">
        <f t="shared" si="14"/>
        <v xml:space="preserve"> </v>
      </c>
      <c r="Y71" s="78" t="str">
        <f t="shared" si="15"/>
        <v xml:space="preserve"> </v>
      </c>
      <c r="Z71" s="78" t="str">
        <f t="shared" si="16"/>
        <v xml:space="preserve"> </v>
      </c>
      <c r="AA71" s="78" t="str">
        <f t="shared" si="17"/>
        <v xml:space="preserve"> </v>
      </c>
      <c r="AB71" s="78" t="str">
        <f t="shared" si="18"/>
        <v xml:space="preserve"> </v>
      </c>
      <c r="AC71" s="800"/>
    </row>
    <row r="72" spans="1:29" ht="16.05"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9"/>
        <v>0</v>
      </c>
      <c r="G72" s="78">
        <f>IF($D$8="E-Bound",VLOOKUP($B72,'Data 15'!$A$104:$G$199,3,FALSE),IF($D$8="S-Bound",VLOOKUP($B72,'Data 15'!$H$104:$N$199,3,FALSE),IF($D$8="W-Bound",VLOOKUP($B72,'Data 15'!$O$104:$U$199,3,FALSE),VLOOKUP($B72,'Data 15'!$V$104:$AA$199,3,FALSE))))</f>
        <v>861</v>
      </c>
      <c r="H72" s="79">
        <f>IF($D$8="E-Bound",VLOOKUP($B72,'Data 15'!$A$104:$G$199,4,FALSE),IF($D$8="S-Bound",VLOOKUP($B72,'Data 15'!$H$104:$N$199,4,FALSE),IF($D$8="W-Bound",VLOOKUP($B72,'Data 15'!$O$104:$U$199,4,FALSE),VLOOKUP($B72,'Data 15'!$V$104:$AA$199,4,FALSE))))</f>
        <v>0</v>
      </c>
      <c r="I72" s="78">
        <f>'RTF 2'!$G72/'Input &amp; Findings'!$G$31</f>
        <v>430.5</v>
      </c>
      <c r="J72" s="48">
        <f>IF('RTF 2'!$D$9=1,'Lookup Tables'!$J203,IF('RTF 2'!$D$9=2,'Lookup Tables'!$K203,IF('RTF 2'!$D$9=3,'Lookup Tables'!$L203,IF('RTF 2'!$D$9=4,'Lookup Tables'!$M203,'Lookup Tables'!$N203))))</f>
        <v>15</v>
      </c>
      <c r="K72" s="79" t="str">
        <f t="shared" si="1"/>
        <v xml:space="preserve"> </v>
      </c>
      <c r="L72" s="79" t="str">
        <f t="shared" si="2"/>
        <v xml:space="preserve"> </v>
      </c>
      <c r="M72" s="78">
        <f t="shared" si="3"/>
        <v>0</v>
      </c>
      <c r="N72" s="78">
        <f t="shared" si="4"/>
        <v>0</v>
      </c>
      <c r="O72" s="78">
        <f t="shared" si="5"/>
        <v>0</v>
      </c>
      <c r="P72" s="78">
        <f t="shared" si="6"/>
        <v>0</v>
      </c>
      <c r="Q72" s="78">
        <f t="shared" si="7"/>
        <v>0</v>
      </c>
      <c r="R72" s="78" t="str">
        <f t="shared" si="8"/>
        <v xml:space="preserve"> </v>
      </c>
      <c r="S72" s="78" t="str">
        <f t="shared" si="9"/>
        <v xml:space="preserve"> </v>
      </c>
      <c r="T72" s="78" t="str">
        <f t="shared" si="10"/>
        <v xml:space="preserve"> </v>
      </c>
      <c r="U72" s="78" t="str">
        <f t="shared" si="11"/>
        <v xml:space="preserve"> </v>
      </c>
      <c r="V72" s="78" t="str">
        <f t="shared" si="12"/>
        <v xml:space="preserve"> </v>
      </c>
      <c r="W72" s="78" t="str">
        <f t="shared" si="13"/>
        <v xml:space="preserve"> </v>
      </c>
      <c r="X72" s="78" t="str">
        <f t="shared" si="14"/>
        <v xml:space="preserve"> </v>
      </c>
      <c r="Y72" s="78" t="str">
        <f t="shared" si="15"/>
        <v xml:space="preserve"> </v>
      </c>
      <c r="Z72" s="78" t="str">
        <f t="shared" si="16"/>
        <v xml:space="preserve"> </v>
      </c>
      <c r="AA72" s="78" t="str">
        <f t="shared" si="17"/>
        <v xml:space="preserve"> </v>
      </c>
      <c r="AB72" s="78" t="str">
        <f t="shared" si="18"/>
        <v xml:space="preserve"> </v>
      </c>
      <c r="AC72" s="800"/>
    </row>
    <row r="73" spans="1:29" ht="16.05"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9"/>
        <v>0</v>
      </c>
      <c r="G73" s="78">
        <f>IF($D$8="E-Bound",VLOOKUP($B73,'Data 15'!$A$104:$G$199,3,FALSE),IF($D$8="S-Bound",VLOOKUP($B73,'Data 15'!$H$104:$N$199,3,FALSE),IF($D$8="W-Bound",VLOOKUP($B73,'Data 15'!$O$104:$U$199,3,FALSE),VLOOKUP($B73,'Data 15'!$V$104:$AA$199,3,FALSE))))</f>
        <v>871</v>
      </c>
      <c r="H73" s="79">
        <f>IF($D$8="E-Bound",VLOOKUP($B73,'Data 15'!$A$104:$G$199,4,FALSE),IF($D$8="S-Bound",VLOOKUP($B73,'Data 15'!$H$104:$N$199,4,FALSE),IF($D$8="W-Bound",VLOOKUP($B73,'Data 15'!$O$104:$U$199,4,FALSE),VLOOKUP($B73,'Data 15'!$V$104:$AA$199,4,FALSE))))</f>
        <v>0</v>
      </c>
      <c r="I73" s="78">
        <f>'RTF 2'!$G73/'Input &amp; Findings'!$G$31</f>
        <v>435.5</v>
      </c>
      <c r="J73" s="48">
        <f>IF('RTF 2'!$D$9=1,'Lookup Tables'!$J204,IF('RTF 2'!$D$9=2,'Lookup Tables'!$K204,IF('RTF 2'!$D$9=3,'Lookup Tables'!$L204,IF('RTF 2'!$D$9=4,'Lookup Tables'!$M204,'Lookup Tables'!$N204))))</f>
        <v>15</v>
      </c>
      <c r="K73" s="79" t="str">
        <f t="shared" si="1"/>
        <v xml:space="preserve"> </v>
      </c>
      <c r="L73" s="79" t="str">
        <f t="shared" si="2"/>
        <v xml:space="preserve"> </v>
      </c>
      <c r="M73" s="78">
        <f t="shared" si="3"/>
        <v>0</v>
      </c>
      <c r="N73" s="78">
        <f t="shared" si="4"/>
        <v>0</v>
      </c>
      <c r="O73" s="78">
        <f t="shared" si="5"/>
        <v>0</v>
      </c>
      <c r="P73" s="78">
        <f t="shared" si="6"/>
        <v>0</v>
      </c>
      <c r="Q73" s="78">
        <f t="shared" si="7"/>
        <v>0</v>
      </c>
      <c r="R73" s="78" t="str">
        <f t="shared" si="8"/>
        <v xml:space="preserve"> </v>
      </c>
      <c r="S73" s="78" t="str">
        <f t="shared" si="9"/>
        <v xml:space="preserve"> </v>
      </c>
      <c r="T73" s="78" t="str">
        <f t="shared" si="10"/>
        <v xml:space="preserve"> </v>
      </c>
      <c r="U73" s="78" t="str">
        <f t="shared" si="11"/>
        <v xml:space="preserve"> </v>
      </c>
      <c r="V73" s="78" t="str">
        <f t="shared" si="12"/>
        <v xml:space="preserve"> </v>
      </c>
      <c r="W73" s="78" t="str">
        <f t="shared" si="13"/>
        <v xml:space="preserve"> </v>
      </c>
      <c r="X73" s="78" t="str">
        <f t="shared" si="14"/>
        <v xml:space="preserve"> </v>
      </c>
      <c r="Y73" s="78" t="str">
        <f t="shared" si="15"/>
        <v xml:space="preserve"> </v>
      </c>
      <c r="Z73" s="78" t="str">
        <f t="shared" si="16"/>
        <v xml:space="preserve"> </v>
      </c>
      <c r="AA73" s="78" t="str">
        <f t="shared" si="17"/>
        <v xml:space="preserve"> </v>
      </c>
      <c r="AB73" s="78" t="str">
        <f t="shared" si="18"/>
        <v xml:space="preserve"> </v>
      </c>
      <c r="AC73" s="800"/>
    </row>
    <row r="74" spans="1:29" ht="16.05"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9"/>
        <v>0</v>
      </c>
      <c r="G74" s="78">
        <f>IF($D$8="E-Bound",VLOOKUP($B74,'Data 15'!$A$104:$G$199,3,FALSE),IF($D$8="S-Bound",VLOOKUP($B74,'Data 15'!$H$104:$N$199,3,FALSE),IF($D$8="W-Bound",VLOOKUP($B74,'Data 15'!$O$104:$U$199,3,FALSE),VLOOKUP($B74,'Data 15'!$V$104:$AA$199,3,FALSE))))</f>
        <v>875</v>
      </c>
      <c r="H74" s="79">
        <f>IF($D$8="E-Bound",VLOOKUP($B74,'Data 15'!$A$104:$G$199,4,FALSE),IF($D$8="S-Bound",VLOOKUP($B74,'Data 15'!$H$104:$N$199,4,FALSE),IF($D$8="W-Bound",VLOOKUP($B74,'Data 15'!$O$104:$U$199,4,FALSE),VLOOKUP($B74,'Data 15'!$V$104:$AA$199,4,FALSE))))</f>
        <v>0</v>
      </c>
      <c r="I74" s="78">
        <f>'RTF 2'!$G74/'Input &amp; Findings'!$G$31</f>
        <v>437.5</v>
      </c>
      <c r="J74" s="48">
        <f>IF('RTF 2'!$D$9=1,'Lookup Tables'!$J205,IF('RTF 2'!$D$9=2,'Lookup Tables'!$K205,IF('RTF 2'!$D$9=3,'Lookup Tables'!$L205,IF('RTF 2'!$D$9=4,'Lookup Tables'!$M205,'Lookup Tables'!$N205))))</f>
        <v>15</v>
      </c>
      <c r="K74" s="79" t="str">
        <f t="shared" si="1"/>
        <v xml:space="preserve"> </v>
      </c>
      <c r="L74" s="79" t="str">
        <f t="shared" si="2"/>
        <v xml:space="preserve"> </v>
      </c>
      <c r="M74" s="78">
        <f t="shared" si="3"/>
        <v>0</v>
      </c>
      <c r="N74" s="78">
        <f t="shared" si="4"/>
        <v>0</v>
      </c>
      <c r="O74" s="78">
        <f t="shared" si="5"/>
        <v>0</v>
      </c>
      <c r="P74" s="78">
        <f t="shared" si="6"/>
        <v>0</v>
      </c>
      <c r="Q74" s="78">
        <f t="shared" si="7"/>
        <v>0</v>
      </c>
      <c r="R74" s="78" t="str">
        <f t="shared" si="8"/>
        <v xml:space="preserve"> </v>
      </c>
      <c r="S74" s="78" t="str">
        <f t="shared" si="9"/>
        <v xml:space="preserve"> </v>
      </c>
      <c r="T74" s="78" t="str">
        <f t="shared" si="10"/>
        <v xml:space="preserve"> </v>
      </c>
      <c r="U74" s="78" t="str">
        <f t="shared" si="11"/>
        <v xml:space="preserve"> </v>
      </c>
      <c r="V74" s="78" t="str">
        <f t="shared" si="12"/>
        <v xml:space="preserve"> </v>
      </c>
      <c r="W74" s="78" t="str">
        <f t="shared" si="13"/>
        <v xml:space="preserve"> </v>
      </c>
      <c r="X74" s="78" t="str">
        <f t="shared" si="14"/>
        <v xml:space="preserve"> </v>
      </c>
      <c r="Y74" s="78" t="str">
        <f t="shared" si="15"/>
        <v xml:space="preserve"> </v>
      </c>
      <c r="Z74" s="78" t="str">
        <f t="shared" si="16"/>
        <v xml:space="preserve"> </v>
      </c>
      <c r="AA74" s="78" t="str">
        <f t="shared" si="17"/>
        <v xml:space="preserve"> </v>
      </c>
      <c r="AB74" s="78" t="str">
        <f t="shared" si="18"/>
        <v xml:space="preserve"> </v>
      </c>
      <c r="AC74" s="800"/>
    </row>
    <row r="75" spans="1:29" ht="16.05"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9"/>
        <v>0</v>
      </c>
      <c r="G75" s="78">
        <f>IF($D$8="E-Bound",VLOOKUP($B75,'Data 15'!$A$104:$G$199,3,FALSE),IF($D$8="S-Bound",VLOOKUP($B75,'Data 15'!$H$104:$N$199,3,FALSE),IF($D$8="W-Bound",VLOOKUP($B75,'Data 15'!$O$104:$U$199,3,FALSE),VLOOKUP($B75,'Data 15'!$V$104:$AA$199,3,FALSE))))</f>
        <v>907</v>
      </c>
      <c r="H75" s="79">
        <f>IF($D$8="E-Bound",VLOOKUP($B75,'Data 15'!$A$104:$G$199,4,FALSE),IF($D$8="S-Bound",VLOOKUP($B75,'Data 15'!$H$104:$N$199,4,FALSE),IF($D$8="W-Bound",VLOOKUP($B75,'Data 15'!$O$104:$U$199,4,FALSE),VLOOKUP($B75,'Data 15'!$V$104:$AA$199,4,FALSE))))</f>
        <v>0</v>
      </c>
      <c r="I75" s="78">
        <f>'RTF 2'!$G75/'Input &amp; Findings'!$G$31</f>
        <v>453.5</v>
      </c>
      <c r="J75" s="48">
        <f>IF('RTF 2'!$D$9=1,'Lookup Tables'!$J206,IF('RTF 2'!$D$9=2,'Lookup Tables'!$K206,IF('RTF 2'!$D$9=3,'Lookup Tables'!$L206,IF('RTF 2'!$D$9=4,'Lookup Tables'!$M206,'Lookup Tables'!$N206))))</f>
        <v>15</v>
      </c>
      <c r="K75" s="79" t="str">
        <f t="shared" si="1"/>
        <v xml:space="preserve"> </v>
      </c>
      <c r="L75" s="79" t="str">
        <f t="shared" si="2"/>
        <v xml:space="preserve"> </v>
      </c>
      <c r="M75" s="78">
        <f t="shared" si="3"/>
        <v>0</v>
      </c>
      <c r="N75" s="78">
        <f t="shared" si="4"/>
        <v>0</v>
      </c>
      <c r="O75" s="78">
        <f t="shared" si="5"/>
        <v>0</v>
      </c>
      <c r="P75" s="78">
        <f t="shared" si="6"/>
        <v>0</v>
      </c>
      <c r="Q75" s="78">
        <f t="shared" si="7"/>
        <v>0</v>
      </c>
      <c r="R75" s="78" t="str">
        <f t="shared" si="8"/>
        <v xml:space="preserve"> </v>
      </c>
      <c r="S75" s="78" t="str">
        <f t="shared" si="9"/>
        <v xml:space="preserve"> </v>
      </c>
      <c r="T75" s="78" t="str">
        <f t="shared" si="10"/>
        <v xml:space="preserve"> </v>
      </c>
      <c r="U75" s="78" t="str">
        <f t="shared" si="11"/>
        <v xml:space="preserve"> </v>
      </c>
      <c r="V75" s="78" t="str">
        <f t="shared" si="12"/>
        <v xml:space="preserve"> </v>
      </c>
      <c r="W75" s="78" t="str">
        <f t="shared" si="13"/>
        <v xml:space="preserve"> </v>
      </c>
      <c r="X75" s="78" t="str">
        <f t="shared" si="14"/>
        <v xml:space="preserve"> </v>
      </c>
      <c r="Y75" s="78" t="str">
        <f t="shared" si="15"/>
        <v xml:space="preserve"> </v>
      </c>
      <c r="Z75" s="78" t="str">
        <f t="shared" si="16"/>
        <v xml:space="preserve"> </v>
      </c>
      <c r="AA75" s="78" t="str">
        <f t="shared" si="17"/>
        <v xml:space="preserve"> </v>
      </c>
      <c r="AB75" s="78" t="str">
        <f t="shared" si="18"/>
        <v xml:space="preserve"> </v>
      </c>
      <c r="AC75" s="800"/>
    </row>
    <row r="76" spans="1:29" ht="16.05"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9"/>
        <v>0</v>
      </c>
      <c r="G76" s="78">
        <f>IF($D$8="E-Bound",VLOOKUP($B76,'Data 15'!$A$104:$G$199,3,FALSE),IF($D$8="S-Bound",VLOOKUP($B76,'Data 15'!$H$104:$N$199,3,FALSE),IF($D$8="W-Bound",VLOOKUP($B76,'Data 15'!$O$104:$U$199,3,FALSE),VLOOKUP($B76,'Data 15'!$V$104:$AA$199,3,FALSE))))</f>
        <v>954</v>
      </c>
      <c r="H76" s="79">
        <f>IF($D$8="E-Bound",VLOOKUP($B76,'Data 15'!$A$104:$G$199,4,FALSE),IF($D$8="S-Bound",VLOOKUP($B76,'Data 15'!$H$104:$N$199,4,FALSE),IF($D$8="W-Bound",VLOOKUP($B76,'Data 15'!$O$104:$U$199,4,FALSE),VLOOKUP($B76,'Data 15'!$V$104:$AA$199,4,FALSE))))</f>
        <v>0</v>
      </c>
      <c r="I76" s="78">
        <f>'RTF 2'!$G76/'Input &amp; Findings'!$G$31</f>
        <v>477</v>
      </c>
      <c r="J76" s="48">
        <f>IF('RTF 2'!$D$9=1,'Lookup Tables'!$J207,IF('RTF 2'!$D$9=2,'Lookup Tables'!$K207,IF('RTF 2'!$D$9=3,'Lookup Tables'!$L207,IF('RTF 2'!$D$9=4,'Lookup Tables'!$M207,'Lookup Tables'!$N207))))</f>
        <v>15</v>
      </c>
      <c r="K76" s="79" t="str">
        <f t="shared" si="1"/>
        <v xml:space="preserve"> </v>
      </c>
      <c r="L76" s="79" t="str">
        <f t="shared" si="2"/>
        <v xml:space="preserve"> </v>
      </c>
      <c r="M76" s="78">
        <f t="shared" si="3"/>
        <v>0</v>
      </c>
      <c r="N76" s="78">
        <f t="shared" si="4"/>
        <v>0</v>
      </c>
      <c r="O76" s="78">
        <f t="shared" si="5"/>
        <v>0</v>
      </c>
      <c r="P76" s="78">
        <f t="shared" si="6"/>
        <v>0</v>
      </c>
      <c r="Q76" s="78">
        <f t="shared" si="7"/>
        <v>0</v>
      </c>
      <c r="R76" s="78" t="str">
        <f t="shared" si="8"/>
        <v xml:space="preserve"> </v>
      </c>
      <c r="S76" s="78" t="str">
        <f t="shared" si="9"/>
        <v xml:space="preserve"> </v>
      </c>
      <c r="T76" s="78" t="str">
        <f t="shared" si="10"/>
        <v xml:space="preserve"> </v>
      </c>
      <c r="U76" s="78" t="str">
        <f t="shared" si="11"/>
        <v xml:space="preserve"> </v>
      </c>
      <c r="V76" s="78" t="str">
        <f t="shared" si="12"/>
        <v xml:space="preserve"> </v>
      </c>
      <c r="W76" s="78" t="str">
        <f t="shared" si="13"/>
        <v xml:space="preserve"> </v>
      </c>
      <c r="X76" s="78" t="str">
        <f t="shared" si="14"/>
        <v xml:space="preserve"> </v>
      </c>
      <c r="Y76" s="78" t="str">
        <f t="shared" si="15"/>
        <v xml:space="preserve"> </v>
      </c>
      <c r="Z76" s="78" t="str">
        <f t="shared" si="16"/>
        <v xml:space="preserve"> </v>
      </c>
      <c r="AA76" s="78" t="str">
        <f t="shared" si="17"/>
        <v xml:space="preserve"> </v>
      </c>
      <c r="AB76" s="78" t="str">
        <f t="shared" si="18"/>
        <v xml:space="preserve"> </v>
      </c>
      <c r="AC76" s="800"/>
    </row>
    <row r="77" spans="1:29" ht="16.05"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9"/>
        <v>0</v>
      </c>
      <c r="G77" s="78">
        <f>IF($D$8="E-Bound",VLOOKUP($B77,'Data 15'!$A$104:$G$199,3,FALSE),IF($D$8="S-Bound",VLOOKUP($B77,'Data 15'!$H$104:$N$199,3,FALSE),IF($D$8="W-Bound",VLOOKUP($B77,'Data 15'!$O$104:$U$199,3,FALSE),VLOOKUP($B77,'Data 15'!$V$104:$AA$199,3,FALSE))))</f>
        <v>971</v>
      </c>
      <c r="H77" s="79">
        <f>IF($D$8="E-Bound",VLOOKUP($B77,'Data 15'!$A$104:$G$199,4,FALSE),IF($D$8="S-Bound",VLOOKUP($B77,'Data 15'!$H$104:$N$199,4,FALSE),IF($D$8="W-Bound",VLOOKUP($B77,'Data 15'!$O$104:$U$199,4,FALSE),VLOOKUP($B77,'Data 15'!$V$104:$AA$199,4,FALSE))))</f>
        <v>0</v>
      </c>
      <c r="I77" s="78">
        <f>'RTF 2'!$G77/'Input &amp; Findings'!$G$31</f>
        <v>485.5</v>
      </c>
      <c r="J77" s="48">
        <f>IF('RTF 2'!$D$9=1,'Lookup Tables'!$J208,IF('RTF 2'!$D$9=2,'Lookup Tables'!$K208,IF('RTF 2'!$D$9=3,'Lookup Tables'!$L208,IF('RTF 2'!$D$9=4,'Lookup Tables'!$M208,'Lookup Tables'!$N208))))</f>
        <v>15</v>
      </c>
      <c r="K77" s="79" t="str">
        <f t="shared" si="1"/>
        <v xml:space="preserve"> </v>
      </c>
      <c r="L77" s="79" t="str">
        <f t="shared" si="2"/>
        <v xml:space="preserve"> </v>
      </c>
      <c r="M77" s="78">
        <f t="shared" si="3"/>
        <v>0</v>
      </c>
      <c r="N77" s="78">
        <f t="shared" si="4"/>
        <v>0</v>
      </c>
      <c r="O77" s="78">
        <f t="shared" si="5"/>
        <v>0</v>
      </c>
      <c r="P77" s="78">
        <f t="shared" si="6"/>
        <v>0</v>
      </c>
      <c r="Q77" s="78">
        <f t="shared" si="7"/>
        <v>0</v>
      </c>
      <c r="R77" s="78" t="str">
        <f t="shared" si="8"/>
        <v xml:space="preserve"> </v>
      </c>
      <c r="S77" s="78" t="str">
        <f t="shared" si="9"/>
        <v xml:space="preserve"> </v>
      </c>
      <c r="T77" s="78" t="str">
        <f t="shared" si="10"/>
        <v xml:space="preserve"> </v>
      </c>
      <c r="U77" s="78" t="str">
        <f t="shared" si="11"/>
        <v xml:space="preserve"> </v>
      </c>
      <c r="V77" s="78" t="str">
        <f t="shared" si="12"/>
        <v xml:space="preserve"> </v>
      </c>
      <c r="W77" s="78" t="str">
        <f t="shared" si="13"/>
        <v xml:space="preserve"> </v>
      </c>
      <c r="X77" s="78" t="str">
        <f t="shared" si="14"/>
        <v xml:space="preserve"> </v>
      </c>
      <c r="Y77" s="78" t="str">
        <f t="shared" si="15"/>
        <v xml:space="preserve"> </v>
      </c>
      <c r="Z77" s="78" t="str">
        <f t="shared" si="16"/>
        <v xml:space="preserve"> </v>
      </c>
      <c r="AA77" s="78" t="str">
        <f t="shared" si="17"/>
        <v xml:space="preserve"> </v>
      </c>
      <c r="AB77" s="78" t="str">
        <f t="shared" si="18"/>
        <v xml:space="preserve"> </v>
      </c>
      <c r="AC77" s="800"/>
    </row>
    <row r="78" spans="1:29" ht="16.05"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9"/>
        <v>0</v>
      </c>
      <c r="G78" s="78">
        <f>IF($D$8="E-Bound",VLOOKUP($B78,'Data 15'!$A$104:$G$199,3,FALSE),IF($D$8="S-Bound",VLOOKUP($B78,'Data 15'!$H$104:$N$199,3,FALSE),IF($D$8="W-Bound",VLOOKUP($B78,'Data 15'!$O$104:$U$199,3,FALSE),VLOOKUP($B78,'Data 15'!$V$104:$AA$199,3,FALSE))))</f>
        <v>1004</v>
      </c>
      <c r="H78" s="79">
        <f>IF($D$8="E-Bound",VLOOKUP($B78,'Data 15'!$A$104:$G$199,4,FALSE),IF($D$8="S-Bound",VLOOKUP($B78,'Data 15'!$H$104:$N$199,4,FALSE),IF($D$8="W-Bound",VLOOKUP($B78,'Data 15'!$O$104:$U$199,4,FALSE),VLOOKUP($B78,'Data 15'!$V$104:$AA$199,4,FALSE))))</f>
        <v>0</v>
      </c>
      <c r="I78" s="78">
        <f>'RTF 2'!$G78/'Input &amp; Findings'!$G$31</f>
        <v>502</v>
      </c>
      <c r="J78" s="48">
        <f>IF('RTF 2'!$D$9=1,'Lookup Tables'!$J209,IF('RTF 2'!$D$9=2,'Lookup Tables'!$K209,IF('RTF 2'!$D$9=3,'Lookup Tables'!$L209,IF('RTF 2'!$D$9=4,'Lookup Tables'!$M209,'Lookup Tables'!$N209))))</f>
        <v>15</v>
      </c>
      <c r="K78" s="79" t="str">
        <f t="shared" ref="K78:K108" si="20">IF((C78+D78+E78)=0," ",IF(C78+D78+E78&lt;2400,(VLOOKUP(ROUNDDOWN(I78+H78,-2),$A$113:$C$136,3,FALSE)),100))</f>
        <v xml:space="preserve"> </v>
      </c>
      <c r="L78" s="79" t="str">
        <f t="shared" ref="L78:L108" si="21">IF((C78+D78+E78)=0," ",(J78-K78))</f>
        <v xml:space="preserve"> </v>
      </c>
      <c r="M78" s="78">
        <f t="shared" ref="M78:M108" si="22">IF(E78=0,0,IF($J$1="Yes",((1-(L78/100))*E78),E78))</f>
        <v>0</v>
      </c>
      <c r="N78" s="78">
        <f t="shared" ref="N78:N108" si="23">IF(E78=0,F78,(M78+D78+C78))</f>
        <v>0</v>
      </c>
      <c r="O78" s="78">
        <f t="shared" ref="O78:O108" si="24">C78</f>
        <v>0</v>
      </c>
      <c r="P78" s="78">
        <f t="shared" ref="P78:P108" si="25">D78</f>
        <v>0</v>
      </c>
      <c r="Q78" s="78">
        <f t="shared" ref="Q78:Q108" si="26">E78</f>
        <v>0</v>
      </c>
      <c r="R78" s="78" t="str">
        <f t="shared" ref="R78:R108" si="27">IF(F78=0," ",F78)</f>
        <v xml:space="preserve"> </v>
      </c>
      <c r="S78" s="78" t="str">
        <f t="shared" ref="S78:S108" si="28">IF((C78+D78+E78)=0," ",(0.7*R78))</f>
        <v xml:space="preserve"> </v>
      </c>
      <c r="T78" s="78" t="str">
        <f t="shared" ref="T78:T108" si="29">IF((C78+D78+E78)=0," ",(0.35*R78))</f>
        <v xml:space="preserve"> </v>
      </c>
      <c r="U78" s="78" t="str">
        <f t="shared" ref="U78:U108" si="30">IF((C78+D78+E78)=0," ",(3*P78))</f>
        <v xml:space="preserve"> </v>
      </c>
      <c r="V78" s="78" t="str">
        <f t="shared" ref="V78:V108" si="31">IF((C78+D78+E78)=0," ",(P78/3))</f>
        <v xml:space="preserve"> </v>
      </c>
      <c r="W78" s="78" t="str">
        <f t="shared" ref="W78:W108" si="32">IF((D78+C78+E78)=0," ",(P78+O78))</f>
        <v xml:space="preserve"> </v>
      </c>
      <c r="X78" s="78" t="str">
        <f t="shared" ref="X78:X108" si="33">IF((C78+D78+E78)=0," ",(P78+Q78))</f>
        <v xml:space="preserve"> </v>
      </c>
      <c r="Y78" s="78" t="str">
        <f t="shared" ref="Y78:Y108" si="34">IF((C78+D78+E78)=0," ",(3*Q78))</f>
        <v xml:space="preserve"> </v>
      </c>
      <c r="Z78" s="78" t="str">
        <f t="shared" ref="Z78:Z108" si="35">IF((C78+D78+E78)=0," ",(3*O78))</f>
        <v xml:space="preserve"> </v>
      </c>
      <c r="AA78" s="78" t="str">
        <f t="shared" ref="AA78:AA108" si="36">IF((C78+D78+E78)=0," ",(P78/2))</f>
        <v xml:space="preserve"> </v>
      </c>
      <c r="AB78" s="78" t="str">
        <f t="shared" ref="AB78:AB108" si="37">IF((C78+D78+E78)=0," ",(P78/4))</f>
        <v xml:space="preserve"> </v>
      </c>
      <c r="AC78" s="800"/>
    </row>
    <row r="79" spans="1:29" ht="16.05"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8">C79+D79+E79</f>
        <v>0</v>
      </c>
      <c r="G79" s="78">
        <f>IF($D$8="E-Bound",VLOOKUP($B79,'Data 15'!$A$104:$G$199,3,FALSE),IF($D$8="S-Bound",VLOOKUP($B79,'Data 15'!$H$104:$N$199,3,FALSE),IF($D$8="W-Bound",VLOOKUP($B79,'Data 15'!$O$104:$U$199,3,FALSE),VLOOKUP($B79,'Data 15'!$V$104:$AA$199,3,FALSE))))</f>
        <v>993</v>
      </c>
      <c r="H79" s="79">
        <f>IF($D$8="E-Bound",VLOOKUP($B79,'Data 15'!$A$104:$G$199,4,FALSE),IF($D$8="S-Bound",VLOOKUP($B79,'Data 15'!$H$104:$N$199,4,FALSE),IF($D$8="W-Bound",VLOOKUP($B79,'Data 15'!$O$104:$U$199,4,FALSE),VLOOKUP($B79,'Data 15'!$V$104:$AA$199,4,FALSE))))</f>
        <v>0</v>
      </c>
      <c r="I79" s="78">
        <f>'RTF 2'!$G79/'Input &amp; Findings'!$G$31</f>
        <v>496.5</v>
      </c>
      <c r="J79" s="48">
        <f>IF('RTF 2'!$D$9=1,'Lookup Tables'!$J210,IF('RTF 2'!$D$9=2,'Lookup Tables'!$K210,IF('RTF 2'!$D$9=3,'Lookup Tables'!$L210,IF('RTF 2'!$D$9=4,'Lookup Tables'!$M210,'Lookup Tables'!$N210))))</f>
        <v>15</v>
      </c>
      <c r="K79" s="79" t="str">
        <f t="shared" si="20"/>
        <v xml:space="preserve"> </v>
      </c>
      <c r="L79" s="79" t="str">
        <f t="shared" si="21"/>
        <v xml:space="preserve"> </v>
      </c>
      <c r="M79" s="78">
        <f t="shared" si="22"/>
        <v>0</v>
      </c>
      <c r="N79" s="78">
        <f t="shared" si="23"/>
        <v>0</v>
      </c>
      <c r="O79" s="78">
        <f t="shared" si="24"/>
        <v>0</v>
      </c>
      <c r="P79" s="78">
        <f t="shared" si="25"/>
        <v>0</v>
      </c>
      <c r="Q79" s="78">
        <f t="shared" si="26"/>
        <v>0</v>
      </c>
      <c r="R79" s="78" t="str">
        <f t="shared" si="27"/>
        <v xml:space="preserve"> </v>
      </c>
      <c r="S79" s="78" t="str">
        <f t="shared" si="28"/>
        <v xml:space="preserve"> </v>
      </c>
      <c r="T79" s="78" t="str">
        <f t="shared" si="29"/>
        <v xml:space="preserve"> </v>
      </c>
      <c r="U79" s="78" t="str">
        <f t="shared" si="30"/>
        <v xml:space="preserve"> </v>
      </c>
      <c r="V79" s="78" t="str">
        <f t="shared" si="31"/>
        <v xml:space="preserve"> </v>
      </c>
      <c r="W79" s="78" t="str">
        <f t="shared" si="32"/>
        <v xml:space="preserve"> </v>
      </c>
      <c r="X79" s="78" t="str">
        <f t="shared" si="33"/>
        <v xml:space="preserve"> </v>
      </c>
      <c r="Y79" s="78" t="str">
        <f t="shared" si="34"/>
        <v xml:space="preserve"> </v>
      </c>
      <c r="Z79" s="78" t="str">
        <f t="shared" si="35"/>
        <v xml:space="preserve"> </v>
      </c>
      <c r="AA79" s="78" t="str">
        <f t="shared" si="36"/>
        <v xml:space="preserve"> </v>
      </c>
      <c r="AB79" s="78" t="str">
        <f t="shared" si="37"/>
        <v xml:space="preserve"> </v>
      </c>
      <c r="AC79" s="800"/>
    </row>
    <row r="80" spans="1:29" ht="16.05"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8"/>
        <v>0</v>
      </c>
      <c r="G80" s="78">
        <f>IF($D$8="E-Bound",VLOOKUP($B80,'Data 15'!$A$104:$G$199,3,FALSE),IF($D$8="S-Bound",VLOOKUP($B80,'Data 15'!$H$104:$N$199,3,FALSE),IF($D$8="W-Bound",VLOOKUP($B80,'Data 15'!$O$104:$U$199,3,FALSE),VLOOKUP($B80,'Data 15'!$V$104:$AA$199,3,FALSE))))</f>
        <v>997</v>
      </c>
      <c r="H80" s="79">
        <f>IF($D$8="E-Bound",VLOOKUP($B80,'Data 15'!$A$104:$G$199,4,FALSE),IF($D$8="S-Bound",VLOOKUP($B80,'Data 15'!$H$104:$N$199,4,FALSE),IF($D$8="W-Bound",VLOOKUP($B80,'Data 15'!$O$104:$U$199,4,FALSE),VLOOKUP($B80,'Data 15'!$V$104:$AA$199,4,FALSE))))</f>
        <v>0</v>
      </c>
      <c r="I80" s="78">
        <f>'RTF 2'!$G80/'Input &amp; Findings'!$G$31</f>
        <v>498.5</v>
      </c>
      <c r="J80" s="48">
        <f>IF('RTF 2'!$D$9=1,'Lookup Tables'!$J211,IF('RTF 2'!$D$9=2,'Lookup Tables'!$K211,IF('RTF 2'!$D$9=3,'Lookup Tables'!$L211,IF('RTF 2'!$D$9=4,'Lookup Tables'!$M211,'Lookup Tables'!$N211))))</f>
        <v>15</v>
      </c>
      <c r="K80" s="79" t="str">
        <f t="shared" si="20"/>
        <v xml:space="preserve"> </v>
      </c>
      <c r="L80" s="79" t="str">
        <f t="shared" si="21"/>
        <v xml:space="preserve"> </v>
      </c>
      <c r="M80" s="78">
        <f t="shared" si="22"/>
        <v>0</v>
      </c>
      <c r="N80" s="78">
        <f t="shared" si="23"/>
        <v>0</v>
      </c>
      <c r="O80" s="78">
        <f t="shared" si="24"/>
        <v>0</v>
      </c>
      <c r="P80" s="78">
        <f t="shared" si="25"/>
        <v>0</v>
      </c>
      <c r="Q80" s="78">
        <f t="shared" si="26"/>
        <v>0</v>
      </c>
      <c r="R80" s="78" t="str">
        <f t="shared" si="27"/>
        <v xml:space="preserve"> </v>
      </c>
      <c r="S80" s="78" t="str">
        <f t="shared" si="28"/>
        <v xml:space="preserve"> </v>
      </c>
      <c r="T80" s="78" t="str">
        <f t="shared" si="29"/>
        <v xml:space="preserve"> </v>
      </c>
      <c r="U80" s="78" t="str">
        <f t="shared" si="30"/>
        <v xml:space="preserve"> </v>
      </c>
      <c r="V80" s="78" t="str">
        <f t="shared" si="31"/>
        <v xml:space="preserve"> </v>
      </c>
      <c r="W80" s="78" t="str">
        <f t="shared" si="32"/>
        <v xml:space="preserve"> </v>
      </c>
      <c r="X80" s="78" t="str">
        <f t="shared" si="33"/>
        <v xml:space="preserve"> </v>
      </c>
      <c r="Y80" s="78" t="str">
        <f t="shared" si="34"/>
        <v xml:space="preserve"> </v>
      </c>
      <c r="Z80" s="78" t="str">
        <f t="shared" si="35"/>
        <v xml:space="preserve"> </v>
      </c>
      <c r="AA80" s="78" t="str">
        <f t="shared" si="36"/>
        <v xml:space="preserve"> </v>
      </c>
      <c r="AB80" s="78" t="str">
        <f t="shared" si="37"/>
        <v xml:space="preserve"> </v>
      </c>
      <c r="AC80" s="800"/>
    </row>
    <row r="81" spans="1:29" ht="16.05"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8"/>
        <v>0</v>
      </c>
      <c r="G81" s="78">
        <f>IF($D$8="E-Bound",VLOOKUP($B81,'Data 15'!$A$104:$G$199,3,FALSE),IF($D$8="S-Bound",VLOOKUP($B81,'Data 15'!$H$104:$N$199,3,FALSE),IF($D$8="W-Bound",VLOOKUP($B81,'Data 15'!$O$104:$U$199,3,FALSE),VLOOKUP($B81,'Data 15'!$V$104:$AA$199,3,FALSE))))</f>
        <v>996</v>
      </c>
      <c r="H81" s="79">
        <f>IF($D$8="E-Bound",VLOOKUP($B81,'Data 15'!$A$104:$G$199,4,FALSE),IF($D$8="S-Bound",VLOOKUP($B81,'Data 15'!$H$104:$N$199,4,FALSE),IF($D$8="W-Bound",VLOOKUP($B81,'Data 15'!$O$104:$U$199,4,FALSE),VLOOKUP($B81,'Data 15'!$V$104:$AA$199,4,FALSE))))</f>
        <v>0</v>
      </c>
      <c r="I81" s="78">
        <f>'RTF 2'!$G81/'Input &amp; Findings'!$G$31</f>
        <v>498</v>
      </c>
      <c r="J81" s="48">
        <f>IF('RTF 2'!$D$9=1,'Lookup Tables'!$J212,IF('RTF 2'!$D$9=2,'Lookup Tables'!$K212,IF('RTF 2'!$D$9=3,'Lookup Tables'!$L212,IF('RTF 2'!$D$9=4,'Lookup Tables'!$M212,'Lookup Tables'!$N212))))</f>
        <v>15</v>
      </c>
      <c r="K81" s="79" t="str">
        <f t="shared" si="20"/>
        <v xml:space="preserve"> </v>
      </c>
      <c r="L81" s="79" t="str">
        <f t="shared" si="21"/>
        <v xml:space="preserve"> </v>
      </c>
      <c r="M81" s="78">
        <f t="shared" si="22"/>
        <v>0</v>
      </c>
      <c r="N81" s="78">
        <f t="shared" si="23"/>
        <v>0</v>
      </c>
      <c r="O81" s="78">
        <f t="shared" si="24"/>
        <v>0</v>
      </c>
      <c r="P81" s="78">
        <f t="shared" si="25"/>
        <v>0</v>
      </c>
      <c r="Q81" s="78">
        <f t="shared" si="26"/>
        <v>0</v>
      </c>
      <c r="R81" s="78" t="str">
        <f t="shared" si="27"/>
        <v xml:space="preserve"> </v>
      </c>
      <c r="S81" s="78" t="str">
        <f t="shared" si="28"/>
        <v xml:space="preserve"> </v>
      </c>
      <c r="T81" s="78" t="str">
        <f t="shared" si="29"/>
        <v xml:space="preserve"> </v>
      </c>
      <c r="U81" s="78" t="str">
        <f t="shared" si="30"/>
        <v xml:space="preserve"> </v>
      </c>
      <c r="V81" s="78" t="str">
        <f t="shared" si="31"/>
        <v xml:space="preserve"> </v>
      </c>
      <c r="W81" s="78" t="str">
        <f t="shared" si="32"/>
        <v xml:space="preserve"> </v>
      </c>
      <c r="X81" s="78" t="str">
        <f t="shared" si="33"/>
        <v xml:space="preserve"> </v>
      </c>
      <c r="Y81" s="78" t="str">
        <f t="shared" si="34"/>
        <v xml:space="preserve"> </v>
      </c>
      <c r="Z81" s="78" t="str">
        <f t="shared" si="35"/>
        <v xml:space="preserve"> </v>
      </c>
      <c r="AA81" s="78" t="str">
        <f t="shared" si="36"/>
        <v xml:space="preserve"> </v>
      </c>
      <c r="AB81" s="78" t="str">
        <f t="shared" si="37"/>
        <v xml:space="preserve"> </v>
      </c>
      <c r="AC81" s="800"/>
    </row>
    <row r="82" spans="1:29" ht="16.05"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8"/>
        <v>0</v>
      </c>
      <c r="G82" s="78">
        <f>IF($D$8="E-Bound",VLOOKUP($B82,'Data 15'!$A$104:$G$199,3,FALSE),IF($D$8="S-Bound",VLOOKUP($B82,'Data 15'!$H$104:$N$199,3,FALSE),IF($D$8="W-Bound",VLOOKUP($B82,'Data 15'!$O$104:$U$199,3,FALSE),VLOOKUP($B82,'Data 15'!$V$104:$AA$199,3,FALSE))))</f>
        <v>962</v>
      </c>
      <c r="H82" s="79">
        <f>IF($D$8="E-Bound",VLOOKUP($B82,'Data 15'!$A$104:$G$199,4,FALSE),IF($D$8="S-Bound",VLOOKUP($B82,'Data 15'!$H$104:$N$199,4,FALSE),IF($D$8="W-Bound",VLOOKUP($B82,'Data 15'!$O$104:$U$199,4,FALSE),VLOOKUP($B82,'Data 15'!$V$104:$AA$199,4,FALSE))))</f>
        <v>0</v>
      </c>
      <c r="I82" s="78">
        <f>'RTF 2'!$G82/'Input &amp; Findings'!$G$31</f>
        <v>481</v>
      </c>
      <c r="J82" s="48">
        <f>IF('RTF 2'!$D$9=1,'Lookup Tables'!$J213,IF('RTF 2'!$D$9=2,'Lookup Tables'!$K213,IF('RTF 2'!$D$9=3,'Lookup Tables'!$L213,IF('RTF 2'!$D$9=4,'Lookup Tables'!$M213,'Lookup Tables'!$N213))))</f>
        <v>15</v>
      </c>
      <c r="K82" s="79" t="str">
        <f t="shared" si="20"/>
        <v xml:space="preserve"> </v>
      </c>
      <c r="L82" s="79" t="str">
        <f t="shared" si="21"/>
        <v xml:space="preserve"> </v>
      </c>
      <c r="M82" s="78">
        <f t="shared" si="22"/>
        <v>0</v>
      </c>
      <c r="N82" s="78">
        <f t="shared" si="23"/>
        <v>0</v>
      </c>
      <c r="O82" s="78">
        <f t="shared" si="24"/>
        <v>0</v>
      </c>
      <c r="P82" s="78">
        <f t="shared" si="25"/>
        <v>0</v>
      </c>
      <c r="Q82" s="78">
        <f t="shared" si="26"/>
        <v>0</v>
      </c>
      <c r="R82" s="78" t="str">
        <f t="shared" si="27"/>
        <v xml:space="preserve"> </v>
      </c>
      <c r="S82" s="78" t="str">
        <f t="shared" si="28"/>
        <v xml:space="preserve"> </v>
      </c>
      <c r="T82" s="78" t="str">
        <f t="shared" si="29"/>
        <v xml:space="preserve"> </v>
      </c>
      <c r="U82" s="78" t="str">
        <f t="shared" si="30"/>
        <v xml:space="preserve"> </v>
      </c>
      <c r="V82" s="78" t="str">
        <f t="shared" si="31"/>
        <v xml:space="preserve"> </v>
      </c>
      <c r="W82" s="78" t="str">
        <f t="shared" si="32"/>
        <v xml:space="preserve"> </v>
      </c>
      <c r="X82" s="78" t="str">
        <f t="shared" si="33"/>
        <v xml:space="preserve"> </v>
      </c>
      <c r="Y82" s="78" t="str">
        <f t="shared" si="34"/>
        <v xml:space="preserve"> </v>
      </c>
      <c r="Z82" s="78" t="str">
        <f t="shared" si="35"/>
        <v xml:space="preserve"> </v>
      </c>
      <c r="AA82" s="78" t="str">
        <f t="shared" si="36"/>
        <v xml:space="preserve"> </v>
      </c>
      <c r="AB82" s="78" t="str">
        <f t="shared" si="37"/>
        <v xml:space="preserve"> </v>
      </c>
      <c r="AC82" s="800"/>
    </row>
    <row r="83" spans="1:29" ht="16.05"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8"/>
        <v>0</v>
      </c>
      <c r="G83" s="78">
        <f>IF($D$8="E-Bound",VLOOKUP($B83,'Data 15'!$A$104:$G$199,3,FALSE),IF($D$8="S-Bound",VLOOKUP($B83,'Data 15'!$H$104:$N$199,3,FALSE),IF($D$8="W-Bound",VLOOKUP($B83,'Data 15'!$O$104:$U$199,3,FALSE),VLOOKUP($B83,'Data 15'!$V$104:$AA$199,3,FALSE))))</f>
        <v>900</v>
      </c>
      <c r="H83" s="79">
        <f>IF($D$8="E-Bound",VLOOKUP($B83,'Data 15'!$A$104:$G$199,4,FALSE),IF($D$8="S-Bound",VLOOKUP($B83,'Data 15'!$H$104:$N$199,4,FALSE),IF($D$8="W-Bound",VLOOKUP($B83,'Data 15'!$O$104:$U$199,4,FALSE),VLOOKUP($B83,'Data 15'!$V$104:$AA$199,4,FALSE))))</f>
        <v>0</v>
      </c>
      <c r="I83" s="78">
        <f>'RTF 2'!$G83/'Input &amp; Findings'!$G$31</f>
        <v>450</v>
      </c>
      <c r="J83" s="48">
        <f>IF('RTF 2'!$D$9=1,'Lookup Tables'!$J214,IF('RTF 2'!$D$9=2,'Lookup Tables'!$K214,IF('RTF 2'!$D$9=3,'Lookup Tables'!$L214,IF('RTF 2'!$D$9=4,'Lookup Tables'!$M214,'Lookup Tables'!$N214))))</f>
        <v>15</v>
      </c>
      <c r="K83" s="79" t="str">
        <f t="shared" si="20"/>
        <v xml:space="preserve"> </v>
      </c>
      <c r="L83" s="79" t="str">
        <f t="shared" si="21"/>
        <v xml:space="preserve"> </v>
      </c>
      <c r="M83" s="78">
        <f t="shared" si="22"/>
        <v>0</v>
      </c>
      <c r="N83" s="78">
        <f t="shared" si="23"/>
        <v>0</v>
      </c>
      <c r="O83" s="78">
        <f t="shared" si="24"/>
        <v>0</v>
      </c>
      <c r="P83" s="78">
        <f t="shared" si="25"/>
        <v>0</v>
      </c>
      <c r="Q83" s="78">
        <f t="shared" si="26"/>
        <v>0</v>
      </c>
      <c r="R83" s="78" t="str">
        <f t="shared" si="27"/>
        <v xml:space="preserve"> </v>
      </c>
      <c r="S83" s="78" t="str">
        <f t="shared" si="28"/>
        <v xml:space="preserve"> </v>
      </c>
      <c r="T83" s="78" t="str">
        <f t="shared" si="29"/>
        <v xml:space="preserve"> </v>
      </c>
      <c r="U83" s="78" t="str">
        <f t="shared" si="30"/>
        <v xml:space="preserve"> </v>
      </c>
      <c r="V83" s="78" t="str">
        <f t="shared" si="31"/>
        <v xml:space="preserve"> </v>
      </c>
      <c r="W83" s="78" t="str">
        <f t="shared" si="32"/>
        <v xml:space="preserve"> </v>
      </c>
      <c r="X83" s="78" t="str">
        <f t="shared" si="33"/>
        <v xml:space="preserve"> </v>
      </c>
      <c r="Y83" s="78" t="str">
        <f t="shared" si="34"/>
        <v xml:space="preserve"> </v>
      </c>
      <c r="Z83" s="78" t="str">
        <f t="shared" si="35"/>
        <v xml:space="preserve"> </v>
      </c>
      <c r="AA83" s="78" t="str">
        <f t="shared" si="36"/>
        <v xml:space="preserve"> </v>
      </c>
      <c r="AB83" s="78" t="str">
        <f t="shared" si="37"/>
        <v xml:space="preserve"> </v>
      </c>
      <c r="AC83" s="800"/>
    </row>
    <row r="84" spans="1:29" ht="16.05"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8"/>
        <v>0</v>
      </c>
      <c r="G84" s="78">
        <f>IF($D$8="E-Bound",VLOOKUP($B84,'Data 15'!$A$104:$G$199,3,FALSE),IF($D$8="S-Bound",VLOOKUP($B84,'Data 15'!$H$104:$N$199,3,FALSE),IF($D$8="W-Bound",VLOOKUP($B84,'Data 15'!$O$104:$U$199,3,FALSE),VLOOKUP($B84,'Data 15'!$V$104:$AA$199,3,FALSE))))</f>
        <v>822</v>
      </c>
      <c r="H84" s="79">
        <f>IF($D$8="E-Bound",VLOOKUP($B84,'Data 15'!$A$104:$G$199,4,FALSE),IF($D$8="S-Bound",VLOOKUP($B84,'Data 15'!$H$104:$N$199,4,FALSE),IF($D$8="W-Bound",VLOOKUP($B84,'Data 15'!$O$104:$U$199,4,FALSE),VLOOKUP($B84,'Data 15'!$V$104:$AA$199,4,FALSE))))</f>
        <v>0</v>
      </c>
      <c r="I84" s="78">
        <f>'RTF 2'!$G84/'Input &amp; Findings'!$G$31</f>
        <v>411</v>
      </c>
      <c r="J84" s="48">
        <f>IF('RTF 2'!$D$9=1,'Lookup Tables'!$J215,IF('RTF 2'!$D$9=2,'Lookup Tables'!$K215,IF('RTF 2'!$D$9=3,'Lookup Tables'!$L215,IF('RTF 2'!$D$9=4,'Lookup Tables'!$M215,'Lookup Tables'!$N215))))</f>
        <v>15</v>
      </c>
      <c r="K84" s="79" t="str">
        <f t="shared" si="20"/>
        <v xml:space="preserve"> </v>
      </c>
      <c r="L84" s="79" t="str">
        <f t="shared" si="21"/>
        <v xml:space="preserve"> </v>
      </c>
      <c r="M84" s="78">
        <f t="shared" si="22"/>
        <v>0</v>
      </c>
      <c r="N84" s="78">
        <f t="shared" si="23"/>
        <v>0</v>
      </c>
      <c r="O84" s="78">
        <f t="shared" si="24"/>
        <v>0</v>
      </c>
      <c r="P84" s="78">
        <f t="shared" si="25"/>
        <v>0</v>
      </c>
      <c r="Q84" s="78">
        <f t="shared" si="26"/>
        <v>0</v>
      </c>
      <c r="R84" s="78" t="str">
        <f t="shared" si="27"/>
        <v xml:space="preserve"> </v>
      </c>
      <c r="S84" s="78" t="str">
        <f t="shared" si="28"/>
        <v xml:space="preserve"> </v>
      </c>
      <c r="T84" s="78" t="str">
        <f t="shared" si="29"/>
        <v xml:space="preserve"> </v>
      </c>
      <c r="U84" s="78" t="str">
        <f t="shared" si="30"/>
        <v xml:space="preserve"> </v>
      </c>
      <c r="V84" s="78" t="str">
        <f t="shared" si="31"/>
        <v xml:space="preserve"> </v>
      </c>
      <c r="W84" s="78" t="str">
        <f t="shared" si="32"/>
        <v xml:space="preserve"> </v>
      </c>
      <c r="X84" s="78" t="str">
        <f t="shared" si="33"/>
        <v xml:space="preserve"> </v>
      </c>
      <c r="Y84" s="78" t="str">
        <f t="shared" si="34"/>
        <v xml:space="preserve"> </v>
      </c>
      <c r="Z84" s="78" t="str">
        <f t="shared" si="35"/>
        <v xml:space="preserve"> </v>
      </c>
      <c r="AA84" s="78" t="str">
        <f t="shared" si="36"/>
        <v xml:space="preserve"> </v>
      </c>
      <c r="AB84" s="78" t="str">
        <f t="shared" si="37"/>
        <v xml:space="preserve"> </v>
      </c>
      <c r="AC84" s="800"/>
    </row>
    <row r="85" spans="1:29" ht="16.05"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8"/>
        <v>0</v>
      </c>
      <c r="G85" s="78">
        <f>IF($D$8="E-Bound",VLOOKUP($B85,'Data 15'!$A$104:$G$199,3,FALSE),IF($D$8="S-Bound",VLOOKUP($B85,'Data 15'!$H$104:$N$199,3,FALSE),IF($D$8="W-Bound",VLOOKUP($B85,'Data 15'!$O$104:$U$199,3,FALSE),VLOOKUP($B85,'Data 15'!$V$104:$AA$199,3,FALSE))))</f>
        <v>739</v>
      </c>
      <c r="H85" s="79">
        <f>IF($D$8="E-Bound",VLOOKUP($B85,'Data 15'!$A$104:$G$199,4,FALSE),IF($D$8="S-Bound",VLOOKUP($B85,'Data 15'!$H$104:$N$199,4,FALSE),IF($D$8="W-Bound",VLOOKUP($B85,'Data 15'!$O$104:$U$199,4,FALSE),VLOOKUP($B85,'Data 15'!$V$104:$AA$199,4,FALSE))))</f>
        <v>0</v>
      </c>
      <c r="I85" s="78">
        <f>'RTF 2'!$G85/'Input &amp; Findings'!$G$31</f>
        <v>369.5</v>
      </c>
      <c r="J85" s="48">
        <f>IF('RTF 2'!$D$9=1,'Lookup Tables'!$J216,IF('RTF 2'!$D$9=2,'Lookup Tables'!$K216,IF('RTF 2'!$D$9=3,'Lookup Tables'!$L216,IF('RTF 2'!$D$9=4,'Lookup Tables'!$M216,'Lookup Tables'!$N216))))</f>
        <v>15</v>
      </c>
      <c r="K85" s="79" t="str">
        <f t="shared" si="20"/>
        <v xml:space="preserve"> </v>
      </c>
      <c r="L85" s="79" t="str">
        <f t="shared" si="21"/>
        <v xml:space="preserve"> </v>
      </c>
      <c r="M85" s="78">
        <f t="shared" si="22"/>
        <v>0</v>
      </c>
      <c r="N85" s="78">
        <f t="shared" si="23"/>
        <v>0</v>
      </c>
      <c r="O85" s="78">
        <f t="shared" si="24"/>
        <v>0</v>
      </c>
      <c r="P85" s="78">
        <f t="shared" si="25"/>
        <v>0</v>
      </c>
      <c r="Q85" s="78">
        <f t="shared" si="26"/>
        <v>0</v>
      </c>
      <c r="R85" s="78" t="str">
        <f t="shared" si="27"/>
        <v xml:space="preserve"> </v>
      </c>
      <c r="S85" s="78" t="str">
        <f t="shared" si="28"/>
        <v xml:space="preserve"> </v>
      </c>
      <c r="T85" s="78" t="str">
        <f t="shared" si="29"/>
        <v xml:space="preserve"> </v>
      </c>
      <c r="U85" s="78" t="str">
        <f t="shared" si="30"/>
        <v xml:space="preserve"> </v>
      </c>
      <c r="V85" s="78" t="str">
        <f t="shared" si="31"/>
        <v xml:space="preserve"> </v>
      </c>
      <c r="W85" s="78" t="str">
        <f t="shared" si="32"/>
        <v xml:space="preserve"> </v>
      </c>
      <c r="X85" s="78" t="str">
        <f t="shared" si="33"/>
        <v xml:space="preserve"> </v>
      </c>
      <c r="Y85" s="78" t="str">
        <f t="shared" si="34"/>
        <v xml:space="preserve"> </v>
      </c>
      <c r="Z85" s="78" t="str">
        <f t="shared" si="35"/>
        <v xml:space="preserve"> </v>
      </c>
      <c r="AA85" s="78" t="str">
        <f t="shared" si="36"/>
        <v xml:space="preserve"> </v>
      </c>
      <c r="AB85" s="78" t="str">
        <f t="shared" si="37"/>
        <v xml:space="preserve"> </v>
      </c>
      <c r="AC85" s="800"/>
    </row>
    <row r="86" spans="1:29" ht="16.05"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8"/>
        <v>0</v>
      </c>
      <c r="G86" s="78">
        <f>IF($D$8="E-Bound",VLOOKUP($B86,'Data 15'!$A$104:$G$199,3,FALSE),IF($D$8="S-Bound",VLOOKUP($B86,'Data 15'!$H$104:$N$199,3,FALSE),IF($D$8="W-Bound",VLOOKUP($B86,'Data 15'!$O$104:$U$199,3,FALSE),VLOOKUP($B86,'Data 15'!$V$104:$AA$199,3,FALSE))))</f>
        <v>532</v>
      </c>
      <c r="H86" s="79">
        <f>IF($D$8="E-Bound",VLOOKUP($B86,'Data 15'!$A$104:$G$199,4,FALSE),IF($D$8="S-Bound",VLOOKUP($B86,'Data 15'!$H$104:$N$199,4,FALSE),IF($D$8="W-Bound",VLOOKUP($B86,'Data 15'!$O$104:$U$199,4,FALSE),VLOOKUP($B86,'Data 15'!$V$104:$AA$199,4,FALSE))))</f>
        <v>0</v>
      </c>
      <c r="I86" s="78">
        <f>'RTF 2'!$G86/'Input &amp; Findings'!$G$31</f>
        <v>266</v>
      </c>
      <c r="J86" s="48">
        <f>IF('RTF 2'!$D$9=1,'Lookup Tables'!$J217,IF('RTF 2'!$D$9=2,'Lookup Tables'!$K217,IF('RTF 2'!$D$9=3,'Lookup Tables'!$L217,IF('RTF 2'!$D$9=4,'Lookup Tables'!$M217,'Lookup Tables'!$N217))))</f>
        <v>15</v>
      </c>
      <c r="K86" s="79" t="str">
        <f t="shared" si="20"/>
        <v xml:space="preserve"> </v>
      </c>
      <c r="L86" s="79" t="str">
        <f t="shared" si="21"/>
        <v xml:space="preserve"> </v>
      </c>
      <c r="M86" s="78">
        <f t="shared" si="22"/>
        <v>0</v>
      </c>
      <c r="N86" s="78">
        <f t="shared" si="23"/>
        <v>0</v>
      </c>
      <c r="O86" s="78">
        <f t="shared" si="24"/>
        <v>0</v>
      </c>
      <c r="P86" s="78">
        <f t="shared" si="25"/>
        <v>0</v>
      </c>
      <c r="Q86" s="78">
        <f t="shared" si="26"/>
        <v>0</v>
      </c>
      <c r="R86" s="78" t="str">
        <f t="shared" si="27"/>
        <v xml:space="preserve"> </v>
      </c>
      <c r="S86" s="78" t="str">
        <f t="shared" si="28"/>
        <v xml:space="preserve"> </v>
      </c>
      <c r="T86" s="78" t="str">
        <f t="shared" si="29"/>
        <v xml:space="preserve"> </v>
      </c>
      <c r="U86" s="78" t="str">
        <f t="shared" si="30"/>
        <v xml:space="preserve"> </v>
      </c>
      <c r="V86" s="78" t="str">
        <f t="shared" si="31"/>
        <v xml:space="preserve"> </v>
      </c>
      <c r="W86" s="78" t="str">
        <f t="shared" si="32"/>
        <v xml:space="preserve"> </v>
      </c>
      <c r="X86" s="78" t="str">
        <f t="shared" si="33"/>
        <v xml:space="preserve"> </v>
      </c>
      <c r="Y86" s="78" t="str">
        <f t="shared" si="34"/>
        <v xml:space="preserve"> </v>
      </c>
      <c r="Z86" s="78" t="str">
        <f t="shared" si="35"/>
        <v xml:space="preserve"> </v>
      </c>
      <c r="AA86" s="78" t="str">
        <f t="shared" si="36"/>
        <v xml:space="preserve"> </v>
      </c>
      <c r="AB86" s="78" t="str">
        <f t="shared" si="37"/>
        <v xml:space="preserve"> </v>
      </c>
      <c r="AC86" s="800"/>
    </row>
    <row r="87" spans="1:29" ht="16.05"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8"/>
        <v>0</v>
      </c>
      <c r="G87" s="78">
        <f>IF($D$8="E-Bound",VLOOKUP($B87,'Data 15'!$A$104:$G$199,3,FALSE),IF($D$8="S-Bound",VLOOKUP($B87,'Data 15'!$H$104:$N$199,3,FALSE),IF($D$8="W-Bound",VLOOKUP($B87,'Data 15'!$O$104:$U$199,3,FALSE),VLOOKUP($B87,'Data 15'!$V$104:$AA$199,3,FALSE))))</f>
        <v>350</v>
      </c>
      <c r="H87" s="79">
        <f>IF($D$8="E-Bound",VLOOKUP($B87,'Data 15'!$A$104:$G$199,4,FALSE),IF($D$8="S-Bound",VLOOKUP($B87,'Data 15'!$H$104:$N$199,4,FALSE),IF($D$8="W-Bound",VLOOKUP($B87,'Data 15'!$O$104:$U$199,4,FALSE),VLOOKUP($B87,'Data 15'!$V$104:$AA$199,4,FALSE))))</f>
        <v>0</v>
      </c>
      <c r="I87" s="78">
        <f>'RTF 2'!$G87/'Input &amp; Findings'!$G$31</f>
        <v>175</v>
      </c>
      <c r="J87" s="48">
        <f>IF('RTF 2'!$D$9=1,'Lookup Tables'!$J218,IF('RTF 2'!$D$9=2,'Lookup Tables'!$K218,IF('RTF 2'!$D$9=3,'Lookup Tables'!$L218,IF('RTF 2'!$D$9=4,'Lookup Tables'!$M218,'Lookup Tables'!$N218))))</f>
        <v>15</v>
      </c>
      <c r="K87" s="79" t="str">
        <f t="shared" si="20"/>
        <v xml:space="preserve"> </v>
      </c>
      <c r="L87" s="79" t="str">
        <f t="shared" si="21"/>
        <v xml:space="preserve"> </v>
      </c>
      <c r="M87" s="78">
        <f t="shared" si="22"/>
        <v>0</v>
      </c>
      <c r="N87" s="78">
        <f t="shared" si="23"/>
        <v>0</v>
      </c>
      <c r="O87" s="78">
        <f t="shared" si="24"/>
        <v>0</v>
      </c>
      <c r="P87" s="78">
        <f t="shared" si="25"/>
        <v>0</v>
      </c>
      <c r="Q87" s="78">
        <f t="shared" si="26"/>
        <v>0</v>
      </c>
      <c r="R87" s="78" t="str">
        <f t="shared" si="27"/>
        <v xml:space="preserve"> </v>
      </c>
      <c r="S87" s="78" t="str">
        <f t="shared" si="28"/>
        <v xml:space="preserve"> </v>
      </c>
      <c r="T87" s="78" t="str">
        <f t="shared" si="29"/>
        <v xml:space="preserve"> </v>
      </c>
      <c r="U87" s="78" t="str">
        <f t="shared" si="30"/>
        <v xml:space="preserve"> </v>
      </c>
      <c r="V87" s="78" t="str">
        <f t="shared" si="31"/>
        <v xml:space="preserve"> </v>
      </c>
      <c r="W87" s="78" t="str">
        <f t="shared" si="32"/>
        <v xml:space="preserve"> </v>
      </c>
      <c r="X87" s="78" t="str">
        <f t="shared" si="33"/>
        <v xml:space="preserve"> </v>
      </c>
      <c r="Y87" s="78" t="str">
        <f t="shared" si="34"/>
        <v xml:space="preserve"> </v>
      </c>
      <c r="Z87" s="78" t="str">
        <f t="shared" si="35"/>
        <v xml:space="preserve"> </v>
      </c>
      <c r="AA87" s="78" t="str">
        <f t="shared" si="36"/>
        <v xml:space="preserve"> </v>
      </c>
      <c r="AB87" s="78" t="str">
        <f t="shared" si="37"/>
        <v xml:space="preserve"> </v>
      </c>
      <c r="AC87" s="800"/>
    </row>
    <row r="88" spans="1:29" ht="16.05"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8"/>
        <v>0</v>
      </c>
      <c r="G88" s="78">
        <f>IF($D$8="E-Bound",VLOOKUP($B88,'Data 15'!$A$104:$G$199,3,FALSE),IF($D$8="S-Bound",VLOOKUP($B88,'Data 15'!$H$104:$N$199,3,FALSE),IF($D$8="W-Bound",VLOOKUP($B88,'Data 15'!$O$104:$U$199,3,FALSE),VLOOKUP($B88,'Data 15'!$V$104:$AA$199,3,FALSE))))</f>
        <v>155</v>
      </c>
      <c r="H88" s="79">
        <f>IF($D$8="E-Bound",VLOOKUP($B88,'Data 15'!$A$104:$G$199,4,FALSE),IF($D$8="S-Bound",VLOOKUP($B88,'Data 15'!$H$104:$N$199,4,FALSE),IF($D$8="W-Bound",VLOOKUP($B88,'Data 15'!$O$104:$U$199,4,FALSE),VLOOKUP($B88,'Data 15'!$V$104:$AA$199,4,FALSE))))</f>
        <v>0</v>
      </c>
      <c r="I88" s="78">
        <f>'RTF 2'!$G88/'Input &amp; Findings'!$G$31</f>
        <v>77.5</v>
      </c>
      <c r="J88" s="48">
        <f>IF('RTF 2'!$D$9=1,'Lookup Tables'!$J219,IF('RTF 2'!$D$9=2,'Lookup Tables'!$K219,IF('RTF 2'!$D$9=3,'Lookup Tables'!$L219,IF('RTF 2'!$D$9=4,'Lookup Tables'!$M219,'Lookup Tables'!$N219))))</f>
        <v>15</v>
      </c>
      <c r="K88" s="79" t="str">
        <f t="shared" si="20"/>
        <v xml:space="preserve"> </v>
      </c>
      <c r="L88" s="79" t="str">
        <f t="shared" si="21"/>
        <v xml:space="preserve"> </v>
      </c>
      <c r="M88" s="78">
        <f t="shared" si="22"/>
        <v>0</v>
      </c>
      <c r="N88" s="78">
        <f t="shared" si="23"/>
        <v>0</v>
      </c>
      <c r="O88" s="78">
        <f t="shared" si="24"/>
        <v>0</v>
      </c>
      <c r="P88" s="78">
        <f t="shared" si="25"/>
        <v>0</v>
      </c>
      <c r="Q88" s="78">
        <f t="shared" si="26"/>
        <v>0</v>
      </c>
      <c r="R88" s="78" t="str">
        <f t="shared" si="27"/>
        <v xml:space="preserve"> </v>
      </c>
      <c r="S88" s="78" t="str">
        <f t="shared" si="28"/>
        <v xml:space="preserve"> </v>
      </c>
      <c r="T88" s="78" t="str">
        <f t="shared" si="29"/>
        <v xml:space="preserve"> </v>
      </c>
      <c r="U88" s="78" t="str">
        <f t="shared" si="30"/>
        <v xml:space="preserve"> </v>
      </c>
      <c r="V88" s="78" t="str">
        <f t="shared" si="31"/>
        <v xml:space="preserve"> </v>
      </c>
      <c r="W88" s="78" t="str">
        <f t="shared" si="32"/>
        <v xml:space="preserve"> </v>
      </c>
      <c r="X88" s="78" t="str">
        <f t="shared" si="33"/>
        <v xml:space="preserve"> </v>
      </c>
      <c r="Y88" s="78" t="str">
        <f t="shared" si="34"/>
        <v xml:space="preserve"> </v>
      </c>
      <c r="Z88" s="78" t="str">
        <f t="shared" si="35"/>
        <v xml:space="preserve"> </v>
      </c>
      <c r="AA88" s="78" t="str">
        <f t="shared" si="36"/>
        <v xml:space="preserve"> </v>
      </c>
      <c r="AB88" s="78" t="str">
        <f t="shared" si="37"/>
        <v xml:space="preserve"> </v>
      </c>
      <c r="AC88" s="800"/>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8"/>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2'!$G89/'Input &amp; Findings'!$G$31</f>
        <v>0</v>
      </c>
      <c r="J89" s="48">
        <f>IF('RTF 2'!$D$9=1,'Lookup Tables'!$J220,IF('RTF 2'!$D$9=2,'Lookup Tables'!$K220,IF('RTF 2'!$D$9=3,'Lookup Tables'!$L220,IF('RTF 2'!$D$9=4,'Lookup Tables'!$M220,'Lookup Tables'!$N220))))</f>
        <v>15</v>
      </c>
      <c r="K89" s="79" t="str">
        <f t="shared" si="20"/>
        <v xml:space="preserve"> </v>
      </c>
      <c r="L89" s="79" t="str">
        <f t="shared" si="21"/>
        <v xml:space="preserve"> </v>
      </c>
      <c r="M89" s="78">
        <f t="shared" si="22"/>
        <v>0</v>
      </c>
      <c r="N89" s="78">
        <f t="shared" si="23"/>
        <v>0</v>
      </c>
      <c r="O89" s="78">
        <f t="shared" si="24"/>
        <v>0</v>
      </c>
      <c r="P89" s="78">
        <f t="shared" si="25"/>
        <v>0</v>
      </c>
      <c r="Q89" s="78">
        <f t="shared" si="26"/>
        <v>0</v>
      </c>
      <c r="R89" s="78" t="str">
        <f t="shared" si="27"/>
        <v xml:space="preserve"> </v>
      </c>
      <c r="S89" s="78" t="str">
        <f t="shared" si="28"/>
        <v xml:space="preserve"> </v>
      </c>
      <c r="T89" s="78" t="str">
        <f t="shared" si="29"/>
        <v xml:space="preserve"> </v>
      </c>
      <c r="U89" s="78" t="str">
        <f t="shared" si="30"/>
        <v xml:space="preserve"> </v>
      </c>
      <c r="V89" s="78" t="str">
        <f t="shared" si="31"/>
        <v xml:space="preserve"> </v>
      </c>
      <c r="W89" s="78" t="str">
        <f t="shared" si="32"/>
        <v xml:space="preserve"> </v>
      </c>
      <c r="X89" s="78" t="str">
        <f t="shared" si="33"/>
        <v xml:space="preserve"> </v>
      </c>
      <c r="Y89" s="78" t="str">
        <f t="shared" si="34"/>
        <v xml:space="preserve"> </v>
      </c>
      <c r="Z89" s="78" t="str">
        <f t="shared" si="35"/>
        <v xml:space="preserve"> </v>
      </c>
      <c r="AA89" s="78" t="str">
        <f t="shared" si="36"/>
        <v xml:space="preserve"> </v>
      </c>
      <c r="AB89" s="78" t="str">
        <f t="shared" si="37"/>
        <v xml:space="preserve"> </v>
      </c>
      <c r="AC89" s="800"/>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8"/>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2'!$G90/'Input &amp; Findings'!$G$31</f>
        <v>0</v>
      </c>
      <c r="J90" s="48">
        <f>IF('RTF 2'!$D$9=1,'Lookup Tables'!$J221,IF('RTF 2'!$D$9=2,'Lookup Tables'!$K221,IF('RTF 2'!$D$9=3,'Lookup Tables'!$L221,IF('RTF 2'!$D$9=4,'Lookup Tables'!$M221,'Lookup Tables'!$N221))))</f>
        <v>15</v>
      </c>
      <c r="K90" s="79" t="str">
        <f t="shared" si="20"/>
        <v xml:space="preserve"> </v>
      </c>
      <c r="L90" s="79" t="str">
        <f t="shared" si="21"/>
        <v xml:space="preserve"> </v>
      </c>
      <c r="M90" s="78">
        <f t="shared" si="22"/>
        <v>0</v>
      </c>
      <c r="N90" s="78">
        <f t="shared" si="23"/>
        <v>0</v>
      </c>
      <c r="O90" s="78">
        <f t="shared" si="24"/>
        <v>0</v>
      </c>
      <c r="P90" s="78">
        <f t="shared" si="25"/>
        <v>0</v>
      </c>
      <c r="Q90" s="78">
        <f t="shared" si="26"/>
        <v>0</v>
      </c>
      <c r="R90" s="78" t="str">
        <f t="shared" si="27"/>
        <v xml:space="preserve"> </v>
      </c>
      <c r="S90" s="78" t="str">
        <f t="shared" si="28"/>
        <v xml:space="preserve"> </v>
      </c>
      <c r="T90" s="78" t="str">
        <f t="shared" si="29"/>
        <v xml:space="preserve"> </v>
      </c>
      <c r="U90" s="78" t="str">
        <f t="shared" si="30"/>
        <v xml:space="preserve"> </v>
      </c>
      <c r="V90" s="78" t="str">
        <f t="shared" si="31"/>
        <v xml:space="preserve"> </v>
      </c>
      <c r="W90" s="78" t="str">
        <f t="shared" si="32"/>
        <v xml:space="preserve"> </v>
      </c>
      <c r="X90" s="78" t="str">
        <f t="shared" si="33"/>
        <v xml:space="preserve"> </v>
      </c>
      <c r="Y90" s="78" t="str">
        <f t="shared" si="34"/>
        <v xml:space="preserve"> </v>
      </c>
      <c r="Z90" s="78" t="str">
        <f t="shared" si="35"/>
        <v xml:space="preserve"> </v>
      </c>
      <c r="AA90" s="78" t="str">
        <f t="shared" si="36"/>
        <v xml:space="preserve"> </v>
      </c>
      <c r="AB90" s="78" t="str">
        <f t="shared" si="37"/>
        <v xml:space="preserve"> </v>
      </c>
      <c r="AC90" s="800"/>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8"/>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2'!$G91/'Input &amp; Findings'!$G$31</f>
        <v>0</v>
      </c>
      <c r="J91" s="48">
        <f>IF('RTF 2'!$D$9=1,'Lookup Tables'!$J222,IF('RTF 2'!$D$9=2,'Lookup Tables'!$K222,IF('RTF 2'!$D$9=3,'Lookup Tables'!$L222,IF('RTF 2'!$D$9=4,'Lookup Tables'!$M222,'Lookup Tables'!$N222))))</f>
        <v>15</v>
      </c>
      <c r="K91" s="79" t="str">
        <f t="shared" si="20"/>
        <v xml:space="preserve"> </v>
      </c>
      <c r="L91" s="79" t="str">
        <f t="shared" si="21"/>
        <v xml:space="preserve"> </v>
      </c>
      <c r="M91" s="78">
        <f t="shared" si="22"/>
        <v>0</v>
      </c>
      <c r="N91" s="78">
        <f t="shared" si="23"/>
        <v>0</v>
      </c>
      <c r="O91" s="78">
        <f t="shared" si="24"/>
        <v>0</v>
      </c>
      <c r="P91" s="78">
        <f t="shared" si="25"/>
        <v>0</v>
      </c>
      <c r="Q91" s="78">
        <f t="shared" si="26"/>
        <v>0</v>
      </c>
      <c r="R91" s="78" t="str">
        <f t="shared" si="27"/>
        <v xml:space="preserve"> </v>
      </c>
      <c r="S91" s="78" t="str">
        <f t="shared" si="28"/>
        <v xml:space="preserve"> </v>
      </c>
      <c r="T91" s="78" t="str">
        <f t="shared" si="29"/>
        <v xml:space="preserve"> </v>
      </c>
      <c r="U91" s="78" t="str">
        <f t="shared" si="30"/>
        <v xml:space="preserve"> </v>
      </c>
      <c r="V91" s="78" t="str">
        <f t="shared" si="31"/>
        <v xml:space="preserve"> </v>
      </c>
      <c r="W91" s="78" t="str">
        <f t="shared" si="32"/>
        <v xml:space="preserve"> </v>
      </c>
      <c r="X91" s="78" t="str">
        <f t="shared" si="33"/>
        <v xml:space="preserve"> </v>
      </c>
      <c r="Y91" s="78" t="str">
        <f t="shared" si="34"/>
        <v xml:space="preserve"> </v>
      </c>
      <c r="Z91" s="78" t="str">
        <f t="shared" si="35"/>
        <v xml:space="preserve"> </v>
      </c>
      <c r="AA91" s="78" t="str">
        <f t="shared" si="36"/>
        <v xml:space="preserve"> </v>
      </c>
      <c r="AB91" s="78" t="str">
        <f t="shared" si="37"/>
        <v xml:space="preserve"> </v>
      </c>
      <c r="AC91" s="800"/>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8"/>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2'!$G92/'Input &amp; Findings'!$G$31</f>
        <v>0</v>
      </c>
      <c r="J92" s="48">
        <f>IF('RTF 2'!$D$9=1,'Lookup Tables'!$J223,IF('RTF 2'!$D$9=2,'Lookup Tables'!$K223,IF('RTF 2'!$D$9=3,'Lookup Tables'!$L223,IF('RTF 2'!$D$9=4,'Lookup Tables'!$M223,'Lookup Tables'!$N223))))</f>
        <v>15</v>
      </c>
      <c r="K92" s="79" t="str">
        <f t="shared" si="20"/>
        <v xml:space="preserve"> </v>
      </c>
      <c r="L92" s="79" t="str">
        <f t="shared" si="21"/>
        <v xml:space="preserve"> </v>
      </c>
      <c r="M92" s="78">
        <f t="shared" si="22"/>
        <v>0</v>
      </c>
      <c r="N92" s="78">
        <f t="shared" si="23"/>
        <v>0</v>
      </c>
      <c r="O92" s="78">
        <f t="shared" si="24"/>
        <v>0</v>
      </c>
      <c r="P92" s="78">
        <f t="shared" si="25"/>
        <v>0</v>
      </c>
      <c r="Q92" s="78">
        <f t="shared" si="26"/>
        <v>0</v>
      </c>
      <c r="R92" s="78" t="str">
        <f t="shared" si="27"/>
        <v xml:space="preserve"> </v>
      </c>
      <c r="S92" s="78" t="str">
        <f t="shared" si="28"/>
        <v xml:space="preserve"> </v>
      </c>
      <c r="T92" s="78" t="str">
        <f t="shared" si="29"/>
        <v xml:space="preserve"> </v>
      </c>
      <c r="U92" s="78" t="str">
        <f t="shared" si="30"/>
        <v xml:space="preserve"> </v>
      </c>
      <c r="V92" s="78" t="str">
        <f t="shared" si="31"/>
        <v xml:space="preserve"> </v>
      </c>
      <c r="W92" s="78" t="str">
        <f t="shared" si="32"/>
        <v xml:space="preserve"> </v>
      </c>
      <c r="X92" s="78" t="str">
        <f t="shared" si="33"/>
        <v xml:space="preserve"> </v>
      </c>
      <c r="Y92" s="78" t="str">
        <f t="shared" si="34"/>
        <v xml:space="preserve"> </v>
      </c>
      <c r="Z92" s="78" t="str">
        <f t="shared" si="35"/>
        <v xml:space="preserve"> </v>
      </c>
      <c r="AA92" s="78" t="str">
        <f t="shared" si="36"/>
        <v xml:space="preserve"> </v>
      </c>
      <c r="AB92" s="78" t="str">
        <f t="shared" si="37"/>
        <v xml:space="preserve"> </v>
      </c>
      <c r="AC92" s="800"/>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8"/>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2'!$G93/'Input &amp; Findings'!$G$31</f>
        <v>0</v>
      </c>
      <c r="J93" s="48">
        <f>IF('RTF 2'!$D$9=1,'Lookup Tables'!$J224,IF('RTF 2'!$D$9=2,'Lookup Tables'!$K224,IF('RTF 2'!$D$9=3,'Lookup Tables'!$L224,IF('RTF 2'!$D$9=4,'Lookup Tables'!$M224,'Lookup Tables'!$N224))))</f>
        <v>15</v>
      </c>
      <c r="K93" s="79" t="str">
        <f t="shared" si="20"/>
        <v xml:space="preserve"> </v>
      </c>
      <c r="L93" s="79" t="str">
        <f t="shared" si="21"/>
        <v xml:space="preserve"> </v>
      </c>
      <c r="M93" s="78">
        <f t="shared" si="22"/>
        <v>0</v>
      </c>
      <c r="N93" s="78">
        <f t="shared" si="23"/>
        <v>0</v>
      </c>
      <c r="O93" s="78">
        <f t="shared" si="24"/>
        <v>0</v>
      </c>
      <c r="P93" s="78">
        <f t="shared" si="25"/>
        <v>0</v>
      </c>
      <c r="Q93" s="78">
        <f t="shared" si="26"/>
        <v>0</v>
      </c>
      <c r="R93" s="78" t="str">
        <f t="shared" si="27"/>
        <v xml:space="preserve"> </v>
      </c>
      <c r="S93" s="78" t="str">
        <f t="shared" si="28"/>
        <v xml:space="preserve"> </v>
      </c>
      <c r="T93" s="78" t="str">
        <f t="shared" si="29"/>
        <v xml:space="preserve"> </v>
      </c>
      <c r="U93" s="78" t="str">
        <f t="shared" si="30"/>
        <v xml:space="preserve"> </v>
      </c>
      <c r="V93" s="78" t="str">
        <f t="shared" si="31"/>
        <v xml:space="preserve"> </v>
      </c>
      <c r="W93" s="78" t="str">
        <f t="shared" si="32"/>
        <v xml:space="preserve"> </v>
      </c>
      <c r="X93" s="78" t="str">
        <f t="shared" si="33"/>
        <v xml:space="preserve"> </v>
      </c>
      <c r="Y93" s="78" t="str">
        <f t="shared" si="34"/>
        <v xml:space="preserve"> </v>
      </c>
      <c r="Z93" s="78" t="str">
        <f t="shared" si="35"/>
        <v xml:space="preserve"> </v>
      </c>
      <c r="AA93" s="78" t="str">
        <f t="shared" si="36"/>
        <v xml:space="preserve"> </v>
      </c>
      <c r="AB93" s="78" t="str">
        <f t="shared" si="37"/>
        <v xml:space="preserve"> </v>
      </c>
      <c r="AC93" s="800"/>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8"/>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2'!$G94/'Input &amp; Findings'!$G$31</f>
        <v>0</v>
      </c>
      <c r="J94" s="48">
        <f>IF('RTF 2'!$D$9=1,'Lookup Tables'!$J225,IF('RTF 2'!$D$9=2,'Lookup Tables'!$K225,IF('RTF 2'!$D$9=3,'Lookup Tables'!$L225,IF('RTF 2'!$D$9=4,'Lookup Tables'!$M225,'Lookup Tables'!$N225))))</f>
        <v>15</v>
      </c>
      <c r="K94" s="79" t="str">
        <f t="shared" si="20"/>
        <v xml:space="preserve"> </v>
      </c>
      <c r="L94" s="79" t="str">
        <f t="shared" si="21"/>
        <v xml:space="preserve"> </v>
      </c>
      <c r="M94" s="78">
        <f t="shared" si="22"/>
        <v>0</v>
      </c>
      <c r="N94" s="78">
        <f t="shared" si="23"/>
        <v>0</v>
      </c>
      <c r="O94" s="78">
        <f t="shared" si="24"/>
        <v>0</v>
      </c>
      <c r="P94" s="78">
        <f t="shared" si="25"/>
        <v>0</v>
      </c>
      <c r="Q94" s="78">
        <f t="shared" si="26"/>
        <v>0</v>
      </c>
      <c r="R94" s="78" t="str">
        <f t="shared" si="27"/>
        <v xml:space="preserve"> </v>
      </c>
      <c r="S94" s="78" t="str">
        <f t="shared" si="28"/>
        <v xml:space="preserve"> </v>
      </c>
      <c r="T94" s="78" t="str">
        <f t="shared" si="29"/>
        <v xml:space="preserve"> </v>
      </c>
      <c r="U94" s="78" t="str">
        <f t="shared" si="30"/>
        <v xml:space="preserve"> </v>
      </c>
      <c r="V94" s="78" t="str">
        <f t="shared" si="31"/>
        <v xml:space="preserve"> </v>
      </c>
      <c r="W94" s="78" t="str">
        <f t="shared" si="32"/>
        <v xml:space="preserve"> </v>
      </c>
      <c r="X94" s="78" t="str">
        <f t="shared" si="33"/>
        <v xml:space="preserve"> </v>
      </c>
      <c r="Y94" s="78" t="str">
        <f t="shared" si="34"/>
        <v xml:space="preserve"> </v>
      </c>
      <c r="Z94" s="78" t="str">
        <f t="shared" si="35"/>
        <v xml:space="preserve"> </v>
      </c>
      <c r="AA94" s="78" t="str">
        <f t="shared" si="36"/>
        <v xml:space="preserve"> </v>
      </c>
      <c r="AB94" s="78" t="str">
        <f t="shared" si="37"/>
        <v xml:space="preserve"> </v>
      </c>
      <c r="AC94" s="800"/>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8"/>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2'!$G95/'Input &amp; Findings'!$G$31</f>
        <v>0</v>
      </c>
      <c r="J95" s="48">
        <f>IF('RTF 2'!$D$9=1,'Lookup Tables'!$J226,IF('RTF 2'!$D$9=2,'Lookup Tables'!$K226,IF('RTF 2'!$D$9=3,'Lookup Tables'!$L226,IF('RTF 2'!$D$9=4,'Lookup Tables'!$M226,'Lookup Tables'!$N226))))</f>
        <v>15</v>
      </c>
      <c r="K95" s="79" t="str">
        <f t="shared" si="20"/>
        <v xml:space="preserve"> </v>
      </c>
      <c r="L95" s="79" t="str">
        <f t="shared" si="21"/>
        <v xml:space="preserve"> </v>
      </c>
      <c r="M95" s="78">
        <f t="shared" si="22"/>
        <v>0</v>
      </c>
      <c r="N95" s="78">
        <f t="shared" si="23"/>
        <v>0</v>
      </c>
      <c r="O95" s="78">
        <f t="shared" si="24"/>
        <v>0</v>
      </c>
      <c r="P95" s="78">
        <f t="shared" si="25"/>
        <v>0</v>
      </c>
      <c r="Q95" s="78">
        <f t="shared" si="26"/>
        <v>0</v>
      </c>
      <c r="R95" s="78" t="str">
        <f t="shared" si="27"/>
        <v xml:space="preserve"> </v>
      </c>
      <c r="S95" s="78" t="str">
        <f t="shared" si="28"/>
        <v xml:space="preserve"> </v>
      </c>
      <c r="T95" s="78" t="str">
        <f t="shared" si="29"/>
        <v xml:space="preserve"> </v>
      </c>
      <c r="U95" s="78" t="str">
        <f t="shared" si="30"/>
        <v xml:space="preserve"> </v>
      </c>
      <c r="V95" s="78" t="str">
        <f t="shared" si="31"/>
        <v xml:space="preserve"> </v>
      </c>
      <c r="W95" s="78" t="str">
        <f t="shared" si="32"/>
        <v xml:space="preserve"> </v>
      </c>
      <c r="X95" s="78" t="str">
        <f t="shared" si="33"/>
        <v xml:space="preserve"> </v>
      </c>
      <c r="Y95" s="78" t="str">
        <f t="shared" si="34"/>
        <v xml:space="preserve"> </v>
      </c>
      <c r="Z95" s="78" t="str">
        <f t="shared" si="35"/>
        <v xml:space="preserve"> </v>
      </c>
      <c r="AA95" s="78" t="str">
        <f t="shared" si="36"/>
        <v xml:space="preserve"> </v>
      </c>
      <c r="AB95" s="78" t="str">
        <f t="shared" si="37"/>
        <v xml:space="preserve"> </v>
      </c>
      <c r="AC95" s="800"/>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8"/>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2'!$G96/'Input &amp; Findings'!$G$31</f>
        <v>0</v>
      </c>
      <c r="J96" s="48">
        <f>IF('RTF 2'!$D$9=1,'Lookup Tables'!$J227,IF('RTF 2'!$D$9=2,'Lookup Tables'!$K227,IF('RTF 2'!$D$9=3,'Lookup Tables'!$L227,IF('RTF 2'!$D$9=4,'Lookup Tables'!$M227,'Lookup Tables'!$N227))))</f>
        <v>15</v>
      </c>
      <c r="K96" s="79" t="str">
        <f t="shared" si="20"/>
        <v xml:space="preserve"> </v>
      </c>
      <c r="L96" s="79" t="str">
        <f t="shared" si="21"/>
        <v xml:space="preserve"> </v>
      </c>
      <c r="M96" s="78">
        <f t="shared" si="22"/>
        <v>0</v>
      </c>
      <c r="N96" s="78">
        <f t="shared" si="23"/>
        <v>0</v>
      </c>
      <c r="O96" s="78">
        <f t="shared" si="24"/>
        <v>0</v>
      </c>
      <c r="P96" s="78">
        <f t="shared" si="25"/>
        <v>0</v>
      </c>
      <c r="Q96" s="78">
        <f t="shared" si="26"/>
        <v>0</v>
      </c>
      <c r="R96" s="78" t="str">
        <f t="shared" si="27"/>
        <v xml:space="preserve"> </v>
      </c>
      <c r="S96" s="78" t="str">
        <f t="shared" si="28"/>
        <v xml:space="preserve"> </v>
      </c>
      <c r="T96" s="78" t="str">
        <f t="shared" si="29"/>
        <v xml:space="preserve"> </v>
      </c>
      <c r="U96" s="78" t="str">
        <f t="shared" si="30"/>
        <v xml:space="preserve"> </v>
      </c>
      <c r="V96" s="78" t="str">
        <f t="shared" si="31"/>
        <v xml:space="preserve"> </v>
      </c>
      <c r="W96" s="78" t="str">
        <f t="shared" si="32"/>
        <v xml:space="preserve"> </v>
      </c>
      <c r="X96" s="78" t="str">
        <f t="shared" si="33"/>
        <v xml:space="preserve"> </v>
      </c>
      <c r="Y96" s="78" t="str">
        <f t="shared" si="34"/>
        <v xml:space="preserve"> </v>
      </c>
      <c r="Z96" s="78" t="str">
        <f t="shared" si="35"/>
        <v xml:space="preserve"> </v>
      </c>
      <c r="AA96" s="78" t="str">
        <f t="shared" si="36"/>
        <v xml:space="preserve"> </v>
      </c>
      <c r="AB96" s="78" t="str">
        <f t="shared" si="37"/>
        <v xml:space="preserve"> </v>
      </c>
      <c r="AC96" s="800"/>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8"/>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2'!$G97/'Input &amp; Findings'!$G$31</f>
        <v>0</v>
      </c>
      <c r="J97" s="48">
        <f>IF('RTF 2'!$D$9=1,'Lookup Tables'!$J228,IF('RTF 2'!$D$9=2,'Lookup Tables'!$K228,IF('RTF 2'!$D$9=3,'Lookup Tables'!$L228,IF('RTF 2'!$D$9=4,'Lookup Tables'!$M228,'Lookup Tables'!$N228))))</f>
        <v>15</v>
      </c>
      <c r="K97" s="79" t="str">
        <f t="shared" si="20"/>
        <v xml:space="preserve"> </v>
      </c>
      <c r="L97" s="79" t="str">
        <f t="shared" si="21"/>
        <v xml:space="preserve"> </v>
      </c>
      <c r="M97" s="78">
        <f t="shared" si="22"/>
        <v>0</v>
      </c>
      <c r="N97" s="78">
        <f t="shared" si="23"/>
        <v>0</v>
      </c>
      <c r="O97" s="78">
        <f t="shared" si="24"/>
        <v>0</v>
      </c>
      <c r="P97" s="78">
        <f t="shared" si="25"/>
        <v>0</v>
      </c>
      <c r="Q97" s="78">
        <f t="shared" si="26"/>
        <v>0</v>
      </c>
      <c r="R97" s="78" t="str">
        <f t="shared" si="27"/>
        <v xml:space="preserve"> </v>
      </c>
      <c r="S97" s="78" t="str">
        <f t="shared" si="28"/>
        <v xml:space="preserve"> </v>
      </c>
      <c r="T97" s="78" t="str">
        <f t="shared" si="29"/>
        <v xml:space="preserve"> </v>
      </c>
      <c r="U97" s="78" t="str">
        <f t="shared" si="30"/>
        <v xml:space="preserve"> </v>
      </c>
      <c r="V97" s="78" t="str">
        <f t="shared" si="31"/>
        <v xml:space="preserve"> </v>
      </c>
      <c r="W97" s="78" t="str">
        <f t="shared" si="32"/>
        <v xml:space="preserve"> </v>
      </c>
      <c r="X97" s="78" t="str">
        <f t="shared" si="33"/>
        <v xml:space="preserve"> </v>
      </c>
      <c r="Y97" s="78" t="str">
        <f t="shared" si="34"/>
        <v xml:space="preserve"> </v>
      </c>
      <c r="Z97" s="78" t="str">
        <f t="shared" si="35"/>
        <v xml:space="preserve"> </v>
      </c>
      <c r="AA97" s="78" t="str">
        <f t="shared" si="36"/>
        <v xml:space="preserve"> </v>
      </c>
      <c r="AB97" s="78" t="str">
        <f t="shared" si="37"/>
        <v xml:space="preserve"> </v>
      </c>
      <c r="AC97" s="800"/>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8"/>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2'!$G98/'Input &amp; Findings'!$G$31</f>
        <v>0</v>
      </c>
      <c r="J98" s="48">
        <f>IF('RTF 2'!$D$9=1,'Lookup Tables'!$J229,IF('RTF 2'!$D$9=2,'Lookup Tables'!$K229,IF('RTF 2'!$D$9=3,'Lookup Tables'!$L229,IF('RTF 2'!$D$9=4,'Lookup Tables'!$M229,'Lookup Tables'!$N229))))</f>
        <v>15</v>
      </c>
      <c r="K98" s="79" t="str">
        <f t="shared" si="20"/>
        <v xml:space="preserve"> </v>
      </c>
      <c r="L98" s="79" t="str">
        <f t="shared" si="21"/>
        <v xml:space="preserve"> </v>
      </c>
      <c r="M98" s="78">
        <f t="shared" si="22"/>
        <v>0</v>
      </c>
      <c r="N98" s="78">
        <f t="shared" si="23"/>
        <v>0</v>
      </c>
      <c r="O98" s="78">
        <f t="shared" si="24"/>
        <v>0</v>
      </c>
      <c r="P98" s="78">
        <f t="shared" si="25"/>
        <v>0</v>
      </c>
      <c r="Q98" s="78">
        <f t="shared" si="26"/>
        <v>0</v>
      </c>
      <c r="R98" s="78" t="str">
        <f t="shared" si="27"/>
        <v xml:space="preserve"> </v>
      </c>
      <c r="S98" s="78" t="str">
        <f t="shared" si="28"/>
        <v xml:space="preserve"> </v>
      </c>
      <c r="T98" s="78" t="str">
        <f t="shared" si="29"/>
        <v xml:space="preserve"> </v>
      </c>
      <c r="U98" s="78" t="str">
        <f t="shared" si="30"/>
        <v xml:space="preserve"> </v>
      </c>
      <c r="V98" s="78" t="str">
        <f t="shared" si="31"/>
        <v xml:space="preserve"> </v>
      </c>
      <c r="W98" s="78" t="str">
        <f t="shared" si="32"/>
        <v xml:space="preserve"> </v>
      </c>
      <c r="X98" s="78" t="str">
        <f t="shared" si="33"/>
        <v xml:space="preserve"> </v>
      </c>
      <c r="Y98" s="78" t="str">
        <f t="shared" si="34"/>
        <v xml:space="preserve"> </v>
      </c>
      <c r="Z98" s="78" t="str">
        <f t="shared" si="35"/>
        <v xml:space="preserve"> </v>
      </c>
      <c r="AA98" s="78" t="str">
        <f t="shared" si="36"/>
        <v xml:space="preserve"> </v>
      </c>
      <c r="AB98" s="78" t="str">
        <f t="shared" si="37"/>
        <v xml:space="preserve"> </v>
      </c>
      <c r="AC98" s="800"/>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8"/>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2'!$G99/'Input &amp; Findings'!$G$31</f>
        <v>0</v>
      </c>
      <c r="J99" s="48">
        <f>IF('RTF 2'!$D$9=1,'Lookup Tables'!$J230,IF('RTF 2'!$D$9=2,'Lookup Tables'!$K230,IF('RTF 2'!$D$9=3,'Lookup Tables'!$L230,IF('RTF 2'!$D$9=4,'Lookup Tables'!$M230,'Lookup Tables'!$N230))))</f>
        <v>15</v>
      </c>
      <c r="K99" s="79" t="str">
        <f t="shared" si="20"/>
        <v xml:space="preserve"> </v>
      </c>
      <c r="L99" s="79" t="str">
        <f t="shared" si="21"/>
        <v xml:space="preserve"> </v>
      </c>
      <c r="M99" s="78">
        <f t="shared" si="22"/>
        <v>0</v>
      </c>
      <c r="N99" s="78">
        <f t="shared" si="23"/>
        <v>0</v>
      </c>
      <c r="O99" s="78">
        <f t="shared" si="24"/>
        <v>0</v>
      </c>
      <c r="P99" s="78">
        <f t="shared" si="25"/>
        <v>0</v>
      </c>
      <c r="Q99" s="78">
        <f t="shared" si="26"/>
        <v>0</v>
      </c>
      <c r="R99" s="78" t="str">
        <f t="shared" si="27"/>
        <v xml:space="preserve"> </v>
      </c>
      <c r="S99" s="78" t="str">
        <f t="shared" si="28"/>
        <v xml:space="preserve"> </v>
      </c>
      <c r="T99" s="78" t="str">
        <f t="shared" si="29"/>
        <v xml:space="preserve"> </v>
      </c>
      <c r="U99" s="78" t="str">
        <f t="shared" si="30"/>
        <v xml:space="preserve"> </v>
      </c>
      <c r="V99" s="78" t="str">
        <f t="shared" si="31"/>
        <v xml:space="preserve"> </v>
      </c>
      <c r="W99" s="78" t="str">
        <f t="shared" si="32"/>
        <v xml:space="preserve"> </v>
      </c>
      <c r="X99" s="78" t="str">
        <f t="shared" si="33"/>
        <v xml:space="preserve"> </v>
      </c>
      <c r="Y99" s="78" t="str">
        <f t="shared" si="34"/>
        <v xml:space="preserve"> </v>
      </c>
      <c r="Z99" s="78" t="str">
        <f t="shared" si="35"/>
        <v xml:space="preserve"> </v>
      </c>
      <c r="AA99" s="78" t="str">
        <f t="shared" si="36"/>
        <v xml:space="preserve"> </v>
      </c>
      <c r="AB99" s="78" t="str">
        <f t="shared" si="37"/>
        <v xml:space="preserve"> </v>
      </c>
      <c r="AC99" s="800"/>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8"/>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2'!$G100/'Input &amp; Findings'!$G$31</f>
        <v>0</v>
      </c>
      <c r="J100" s="48">
        <f>IF('RTF 2'!$D$9=1,'Lookup Tables'!$J231,IF('RTF 2'!$D$9=2,'Lookup Tables'!$K231,IF('RTF 2'!$D$9=3,'Lookup Tables'!$L231,IF('RTF 2'!$D$9=4,'Lookup Tables'!$M231,'Lookup Tables'!$N231))))</f>
        <v>15</v>
      </c>
      <c r="K100" s="79" t="str">
        <f t="shared" si="20"/>
        <v xml:space="preserve"> </v>
      </c>
      <c r="L100" s="79" t="str">
        <f t="shared" si="21"/>
        <v xml:space="preserve"> </v>
      </c>
      <c r="M100" s="78">
        <f t="shared" si="22"/>
        <v>0</v>
      </c>
      <c r="N100" s="78">
        <f t="shared" si="23"/>
        <v>0</v>
      </c>
      <c r="O100" s="78">
        <f t="shared" si="24"/>
        <v>0</v>
      </c>
      <c r="P100" s="78">
        <f t="shared" si="25"/>
        <v>0</v>
      </c>
      <c r="Q100" s="78">
        <f t="shared" si="26"/>
        <v>0</v>
      </c>
      <c r="R100" s="78" t="str">
        <f t="shared" si="27"/>
        <v xml:space="preserve"> </v>
      </c>
      <c r="S100" s="78" t="str">
        <f t="shared" si="28"/>
        <v xml:space="preserve"> </v>
      </c>
      <c r="T100" s="78" t="str">
        <f t="shared" si="29"/>
        <v xml:space="preserve"> </v>
      </c>
      <c r="U100" s="78" t="str">
        <f t="shared" si="30"/>
        <v xml:space="preserve"> </v>
      </c>
      <c r="V100" s="78" t="str">
        <f t="shared" si="31"/>
        <v xml:space="preserve"> </v>
      </c>
      <c r="W100" s="78" t="str">
        <f t="shared" si="32"/>
        <v xml:space="preserve"> </v>
      </c>
      <c r="X100" s="78" t="str">
        <f t="shared" si="33"/>
        <v xml:space="preserve"> </v>
      </c>
      <c r="Y100" s="78" t="str">
        <f t="shared" si="34"/>
        <v xml:space="preserve"> </v>
      </c>
      <c r="Z100" s="78" t="str">
        <f t="shared" si="35"/>
        <v xml:space="preserve"> </v>
      </c>
      <c r="AA100" s="78" t="str">
        <f t="shared" si="36"/>
        <v xml:space="preserve"> </v>
      </c>
      <c r="AB100" s="78" t="str">
        <f t="shared" si="37"/>
        <v xml:space="preserve"> </v>
      </c>
      <c r="AC100" s="800"/>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8"/>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2'!$G101/'Input &amp; Findings'!$G$31</f>
        <v>0</v>
      </c>
      <c r="J101" s="48">
        <f>IF('RTF 2'!$D$9=1,'Lookup Tables'!$J232,IF('RTF 2'!$D$9=2,'Lookup Tables'!$K232,IF('RTF 2'!$D$9=3,'Lookup Tables'!$L232,IF('RTF 2'!$D$9=4,'Lookup Tables'!$M232,'Lookup Tables'!$N232))))</f>
        <v>15</v>
      </c>
      <c r="K101" s="79" t="str">
        <f t="shared" si="20"/>
        <v xml:space="preserve"> </v>
      </c>
      <c r="L101" s="79" t="str">
        <f t="shared" si="21"/>
        <v xml:space="preserve"> </v>
      </c>
      <c r="M101" s="78">
        <f t="shared" si="22"/>
        <v>0</v>
      </c>
      <c r="N101" s="78">
        <f t="shared" si="23"/>
        <v>0</v>
      </c>
      <c r="O101" s="78">
        <f t="shared" si="24"/>
        <v>0</v>
      </c>
      <c r="P101" s="78">
        <f t="shared" si="25"/>
        <v>0</v>
      </c>
      <c r="Q101" s="78">
        <f t="shared" si="26"/>
        <v>0</v>
      </c>
      <c r="R101" s="78" t="str">
        <f t="shared" si="27"/>
        <v xml:space="preserve"> </v>
      </c>
      <c r="S101" s="78" t="str">
        <f t="shared" si="28"/>
        <v xml:space="preserve"> </v>
      </c>
      <c r="T101" s="78" t="str">
        <f t="shared" si="29"/>
        <v xml:space="preserve"> </v>
      </c>
      <c r="U101" s="78" t="str">
        <f t="shared" si="30"/>
        <v xml:space="preserve"> </v>
      </c>
      <c r="V101" s="78" t="str">
        <f t="shared" si="31"/>
        <v xml:space="preserve"> </v>
      </c>
      <c r="W101" s="78" t="str">
        <f t="shared" si="32"/>
        <v xml:space="preserve"> </v>
      </c>
      <c r="X101" s="78" t="str">
        <f t="shared" si="33"/>
        <v xml:space="preserve"> </v>
      </c>
      <c r="Y101" s="78" t="str">
        <f t="shared" si="34"/>
        <v xml:space="preserve"> </v>
      </c>
      <c r="Z101" s="78" t="str">
        <f t="shared" si="35"/>
        <v xml:space="preserve"> </v>
      </c>
      <c r="AA101" s="78" t="str">
        <f t="shared" si="36"/>
        <v xml:space="preserve"> </v>
      </c>
      <c r="AB101" s="78" t="str">
        <f t="shared" si="37"/>
        <v xml:space="preserve"> </v>
      </c>
      <c r="AC101" s="800"/>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8"/>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2'!$G102/'Input &amp; Findings'!$G$31</f>
        <v>0</v>
      </c>
      <c r="J102" s="48">
        <f>IF('RTF 2'!$D$9=1,'Lookup Tables'!$J233,IF('RTF 2'!$D$9=2,'Lookup Tables'!$K233,IF('RTF 2'!$D$9=3,'Lookup Tables'!$L233,IF('RTF 2'!$D$9=4,'Lookup Tables'!$M233,'Lookup Tables'!$N233))))</f>
        <v>15</v>
      </c>
      <c r="K102" s="79" t="str">
        <f t="shared" si="20"/>
        <v xml:space="preserve"> </v>
      </c>
      <c r="L102" s="79" t="str">
        <f t="shared" si="21"/>
        <v xml:space="preserve"> </v>
      </c>
      <c r="M102" s="78">
        <f t="shared" si="22"/>
        <v>0</v>
      </c>
      <c r="N102" s="78">
        <f t="shared" si="23"/>
        <v>0</v>
      </c>
      <c r="O102" s="78">
        <f t="shared" si="24"/>
        <v>0</v>
      </c>
      <c r="P102" s="78">
        <f t="shared" si="25"/>
        <v>0</v>
      </c>
      <c r="Q102" s="78">
        <f t="shared" si="26"/>
        <v>0</v>
      </c>
      <c r="R102" s="78" t="str">
        <f t="shared" si="27"/>
        <v xml:space="preserve"> </v>
      </c>
      <c r="S102" s="78" t="str">
        <f t="shared" si="28"/>
        <v xml:space="preserve"> </v>
      </c>
      <c r="T102" s="78" t="str">
        <f t="shared" si="29"/>
        <v xml:space="preserve"> </v>
      </c>
      <c r="U102" s="78" t="str">
        <f t="shared" si="30"/>
        <v xml:space="preserve"> </v>
      </c>
      <c r="V102" s="78" t="str">
        <f t="shared" si="31"/>
        <v xml:space="preserve"> </v>
      </c>
      <c r="W102" s="78" t="str">
        <f t="shared" si="32"/>
        <v xml:space="preserve"> </v>
      </c>
      <c r="X102" s="78" t="str">
        <f t="shared" si="33"/>
        <v xml:space="preserve"> </v>
      </c>
      <c r="Y102" s="78" t="str">
        <f t="shared" si="34"/>
        <v xml:space="preserve"> </v>
      </c>
      <c r="Z102" s="78" t="str">
        <f t="shared" si="35"/>
        <v xml:space="preserve"> </v>
      </c>
      <c r="AA102" s="78" t="str">
        <f t="shared" si="36"/>
        <v xml:space="preserve"> </v>
      </c>
      <c r="AB102" s="78" t="str">
        <f t="shared" si="37"/>
        <v xml:space="preserve"> </v>
      </c>
      <c r="AC102" s="800"/>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8"/>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2'!$G103/'Input &amp; Findings'!$G$31</f>
        <v>0</v>
      </c>
      <c r="J103" s="48">
        <f>IF('RTF 2'!$D$9=1,'Lookup Tables'!$J234,IF('RTF 2'!$D$9=2,'Lookup Tables'!$K234,IF('RTF 2'!$D$9=3,'Lookup Tables'!$L234,IF('RTF 2'!$D$9=4,'Lookup Tables'!$M234,'Lookup Tables'!$N234))))</f>
        <v>15</v>
      </c>
      <c r="K103" s="79" t="str">
        <f t="shared" si="20"/>
        <v xml:space="preserve"> </v>
      </c>
      <c r="L103" s="79" t="str">
        <f t="shared" si="21"/>
        <v xml:space="preserve"> </v>
      </c>
      <c r="M103" s="78">
        <f t="shared" si="22"/>
        <v>0</v>
      </c>
      <c r="N103" s="78">
        <f t="shared" si="23"/>
        <v>0</v>
      </c>
      <c r="O103" s="78">
        <f t="shared" si="24"/>
        <v>0</v>
      </c>
      <c r="P103" s="78">
        <f t="shared" si="25"/>
        <v>0</v>
      </c>
      <c r="Q103" s="78">
        <f t="shared" si="26"/>
        <v>0</v>
      </c>
      <c r="R103" s="78" t="str">
        <f t="shared" si="27"/>
        <v xml:space="preserve"> </v>
      </c>
      <c r="S103" s="78" t="str">
        <f t="shared" si="28"/>
        <v xml:space="preserve"> </v>
      </c>
      <c r="T103" s="78" t="str">
        <f t="shared" si="29"/>
        <v xml:space="preserve"> </v>
      </c>
      <c r="U103" s="78" t="str">
        <f t="shared" si="30"/>
        <v xml:space="preserve"> </v>
      </c>
      <c r="V103" s="78" t="str">
        <f t="shared" si="31"/>
        <v xml:space="preserve"> </v>
      </c>
      <c r="W103" s="78" t="str">
        <f t="shared" si="32"/>
        <v xml:space="preserve"> </v>
      </c>
      <c r="X103" s="78" t="str">
        <f t="shared" si="33"/>
        <v xml:space="preserve"> </v>
      </c>
      <c r="Y103" s="78" t="str">
        <f t="shared" si="34"/>
        <v xml:space="preserve"> </v>
      </c>
      <c r="Z103" s="78" t="str">
        <f t="shared" si="35"/>
        <v xml:space="preserve"> </v>
      </c>
      <c r="AA103" s="78" t="str">
        <f t="shared" si="36"/>
        <v xml:space="preserve"> </v>
      </c>
      <c r="AB103" s="78" t="str">
        <f t="shared" si="37"/>
        <v xml:space="preserve"> </v>
      </c>
      <c r="AC103" s="800"/>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8"/>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2'!$G104/'Input &amp; Findings'!$G$31</f>
        <v>0</v>
      </c>
      <c r="J104" s="48">
        <f>IF('RTF 2'!$D$9=1,'Lookup Tables'!$J235,IF('RTF 2'!$D$9=2,'Lookup Tables'!$K235,IF('RTF 2'!$D$9=3,'Lookup Tables'!$L235,IF('RTF 2'!$D$9=4,'Lookup Tables'!$M235,'Lookup Tables'!$N235))))</f>
        <v>15</v>
      </c>
      <c r="K104" s="79" t="str">
        <f t="shared" si="20"/>
        <v xml:space="preserve"> </v>
      </c>
      <c r="L104" s="79" t="str">
        <f t="shared" si="21"/>
        <v xml:space="preserve"> </v>
      </c>
      <c r="M104" s="78">
        <f t="shared" si="22"/>
        <v>0</v>
      </c>
      <c r="N104" s="78">
        <f t="shared" si="23"/>
        <v>0</v>
      </c>
      <c r="O104" s="78">
        <f t="shared" si="24"/>
        <v>0</v>
      </c>
      <c r="P104" s="78">
        <f t="shared" si="25"/>
        <v>0</v>
      </c>
      <c r="Q104" s="78">
        <f t="shared" si="26"/>
        <v>0</v>
      </c>
      <c r="R104" s="78" t="str">
        <f t="shared" si="27"/>
        <v xml:space="preserve"> </v>
      </c>
      <c r="S104" s="78" t="str">
        <f t="shared" si="28"/>
        <v xml:space="preserve"> </v>
      </c>
      <c r="T104" s="78" t="str">
        <f t="shared" si="29"/>
        <v xml:space="preserve"> </v>
      </c>
      <c r="U104" s="78" t="str">
        <f t="shared" si="30"/>
        <v xml:space="preserve"> </v>
      </c>
      <c r="V104" s="78" t="str">
        <f t="shared" si="31"/>
        <v xml:space="preserve"> </v>
      </c>
      <c r="W104" s="78" t="str">
        <f t="shared" si="32"/>
        <v xml:space="preserve"> </v>
      </c>
      <c r="X104" s="78" t="str">
        <f t="shared" si="33"/>
        <v xml:space="preserve"> </v>
      </c>
      <c r="Y104" s="78" t="str">
        <f t="shared" si="34"/>
        <v xml:space="preserve"> </v>
      </c>
      <c r="Z104" s="78" t="str">
        <f t="shared" si="35"/>
        <v xml:space="preserve"> </v>
      </c>
      <c r="AA104" s="78" t="str">
        <f t="shared" si="36"/>
        <v xml:space="preserve"> </v>
      </c>
      <c r="AB104" s="78" t="str">
        <f t="shared" si="37"/>
        <v xml:space="preserve"> </v>
      </c>
      <c r="AC104" s="800"/>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8"/>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2'!$G105/'Input &amp; Findings'!$G$31</f>
        <v>0</v>
      </c>
      <c r="J105" s="48">
        <f>IF('RTF 2'!$D$9=1,'Lookup Tables'!$J236,IF('RTF 2'!$D$9=2,'Lookup Tables'!$K236,IF('RTF 2'!$D$9=3,'Lookup Tables'!$L236,IF('RTF 2'!$D$9=4,'Lookup Tables'!$M236,'Lookup Tables'!$N236))))</f>
        <v>15</v>
      </c>
      <c r="K105" s="79" t="str">
        <f t="shared" si="20"/>
        <v xml:space="preserve"> </v>
      </c>
      <c r="L105" s="79" t="str">
        <f t="shared" si="21"/>
        <v xml:space="preserve"> </v>
      </c>
      <c r="M105" s="78">
        <f>IF(E105=0,0,IF($J$1="Yes",((1-(L105/100))*E105),E105))</f>
        <v>0</v>
      </c>
      <c r="N105" s="78">
        <f t="shared" si="23"/>
        <v>0</v>
      </c>
      <c r="O105" s="78">
        <f t="shared" si="24"/>
        <v>0</v>
      </c>
      <c r="P105" s="78">
        <f t="shared" si="25"/>
        <v>0</v>
      </c>
      <c r="Q105" s="78">
        <f t="shared" si="26"/>
        <v>0</v>
      </c>
      <c r="R105" s="78" t="str">
        <f t="shared" si="27"/>
        <v xml:space="preserve"> </v>
      </c>
      <c r="S105" s="78" t="str">
        <f t="shared" si="28"/>
        <v xml:space="preserve"> </v>
      </c>
      <c r="T105" s="78" t="str">
        <f t="shared" si="29"/>
        <v xml:space="preserve"> </v>
      </c>
      <c r="U105" s="78" t="str">
        <f t="shared" si="30"/>
        <v xml:space="preserve"> </v>
      </c>
      <c r="V105" s="78" t="str">
        <f t="shared" si="31"/>
        <v xml:space="preserve"> </v>
      </c>
      <c r="W105" s="78" t="str">
        <f t="shared" si="32"/>
        <v xml:space="preserve"> </v>
      </c>
      <c r="X105" s="78" t="str">
        <f t="shared" si="33"/>
        <v xml:space="preserve"> </v>
      </c>
      <c r="Y105" s="78" t="str">
        <f t="shared" si="34"/>
        <v xml:space="preserve"> </v>
      </c>
      <c r="Z105" s="78" t="str">
        <f t="shared" si="35"/>
        <v xml:space="preserve"> </v>
      </c>
      <c r="AA105" s="78" t="str">
        <f t="shared" si="36"/>
        <v xml:space="preserve"> </v>
      </c>
      <c r="AB105" s="78" t="str">
        <f t="shared" si="37"/>
        <v xml:space="preserve"> </v>
      </c>
      <c r="AC105" s="800"/>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8"/>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2'!$G106/'Input &amp; Findings'!$G$31</f>
        <v>0</v>
      </c>
      <c r="J106" s="48">
        <f>IF('RTF 2'!$D$9=1,'Lookup Tables'!$J237,IF('RTF 2'!$D$9=2,'Lookup Tables'!$K237,IF('RTF 2'!$D$9=3,'Lookup Tables'!$L237,IF('RTF 2'!$D$9=4,'Lookup Tables'!$M237,'Lookup Tables'!$N237))))</f>
        <v>15</v>
      </c>
      <c r="K106" s="79" t="str">
        <f t="shared" si="20"/>
        <v xml:space="preserve"> </v>
      </c>
      <c r="L106" s="79" t="str">
        <f t="shared" si="21"/>
        <v xml:space="preserve"> </v>
      </c>
      <c r="M106" s="78">
        <f t="shared" si="22"/>
        <v>0</v>
      </c>
      <c r="N106" s="78">
        <f t="shared" si="23"/>
        <v>0</v>
      </c>
      <c r="O106" s="78">
        <f t="shared" si="24"/>
        <v>0</v>
      </c>
      <c r="P106" s="78">
        <f t="shared" si="25"/>
        <v>0</v>
      </c>
      <c r="Q106" s="78">
        <f t="shared" si="26"/>
        <v>0</v>
      </c>
      <c r="R106" s="78" t="str">
        <f t="shared" si="27"/>
        <v xml:space="preserve"> </v>
      </c>
      <c r="S106" s="78" t="str">
        <f t="shared" si="28"/>
        <v xml:space="preserve"> </v>
      </c>
      <c r="T106" s="78" t="str">
        <f t="shared" si="29"/>
        <v xml:space="preserve"> </v>
      </c>
      <c r="U106" s="78" t="str">
        <f t="shared" si="30"/>
        <v xml:space="preserve"> </v>
      </c>
      <c r="V106" s="78" t="str">
        <f t="shared" si="31"/>
        <v xml:space="preserve"> </v>
      </c>
      <c r="W106" s="78" t="str">
        <f t="shared" si="32"/>
        <v xml:space="preserve"> </v>
      </c>
      <c r="X106" s="78" t="str">
        <f t="shared" si="33"/>
        <v xml:space="preserve"> </v>
      </c>
      <c r="Y106" s="78" t="str">
        <f t="shared" si="34"/>
        <v xml:space="preserve"> </v>
      </c>
      <c r="Z106" s="78" t="str">
        <f t="shared" si="35"/>
        <v xml:space="preserve"> </v>
      </c>
      <c r="AA106" s="78" t="str">
        <f t="shared" si="36"/>
        <v xml:space="preserve"> </v>
      </c>
      <c r="AB106" s="78" t="str">
        <f t="shared" si="37"/>
        <v xml:space="preserve"> </v>
      </c>
      <c r="AC106" s="800"/>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8"/>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2'!$G107/'Input &amp; Findings'!$G$31</f>
        <v>0</v>
      </c>
      <c r="J107" s="48">
        <f>IF('RTF 2'!$D$9=1,'Lookup Tables'!$J238,IF('RTF 2'!$D$9=2,'Lookup Tables'!$K238,IF('RTF 2'!$D$9=3,'Lookup Tables'!$L238,IF('RTF 2'!$D$9=4,'Lookup Tables'!$M238,'Lookup Tables'!$N238))))</f>
        <v>15</v>
      </c>
      <c r="K107" s="79" t="str">
        <f t="shared" si="20"/>
        <v xml:space="preserve"> </v>
      </c>
      <c r="L107" s="79" t="str">
        <f t="shared" si="21"/>
        <v xml:space="preserve"> </v>
      </c>
      <c r="M107" s="78">
        <f t="shared" si="22"/>
        <v>0</v>
      </c>
      <c r="N107" s="78">
        <f t="shared" si="23"/>
        <v>0</v>
      </c>
      <c r="O107" s="78">
        <f t="shared" si="24"/>
        <v>0</v>
      </c>
      <c r="P107" s="78">
        <f t="shared" si="25"/>
        <v>0</v>
      </c>
      <c r="Q107" s="78">
        <f t="shared" si="26"/>
        <v>0</v>
      </c>
      <c r="R107" s="78" t="str">
        <f t="shared" si="27"/>
        <v xml:space="preserve"> </v>
      </c>
      <c r="S107" s="78" t="str">
        <f t="shared" si="28"/>
        <v xml:space="preserve"> </v>
      </c>
      <c r="T107" s="78" t="str">
        <f t="shared" si="29"/>
        <v xml:space="preserve"> </v>
      </c>
      <c r="U107" s="78" t="str">
        <f t="shared" si="30"/>
        <v xml:space="preserve"> </v>
      </c>
      <c r="V107" s="78" t="str">
        <f t="shared" si="31"/>
        <v xml:space="preserve"> </v>
      </c>
      <c r="W107" s="78" t="str">
        <f t="shared" si="32"/>
        <v xml:space="preserve"> </v>
      </c>
      <c r="X107" s="78" t="str">
        <f t="shared" si="33"/>
        <v xml:space="preserve"> </v>
      </c>
      <c r="Y107" s="78" t="str">
        <f t="shared" si="34"/>
        <v xml:space="preserve"> </v>
      </c>
      <c r="Z107" s="78" t="str">
        <f t="shared" si="35"/>
        <v xml:space="preserve"> </v>
      </c>
      <c r="AA107" s="78" t="str">
        <f t="shared" si="36"/>
        <v xml:space="preserve"> </v>
      </c>
      <c r="AB107" s="78" t="str">
        <f t="shared" si="37"/>
        <v xml:space="preserve"> </v>
      </c>
      <c r="AC107" s="800"/>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8"/>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2'!$G108/'Input &amp; Findings'!$G$31</f>
        <v>0</v>
      </c>
      <c r="J108" s="48">
        <f>IF('RTF 2'!$D$9=1,'Lookup Tables'!$J239,IF('RTF 2'!$D$9=2,'Lookup Tables'!$K239,IF('RTF 2'!$D$9=3,'Lookup Tables'!$L239,IF('RTF 2'!$D$9=4,'Lookup Tables'!$M239,'Lookup Tables'!$N239))))</f>
        <v>15</v>
      </c>
      <c r="K108" s="79" t="str">
        <f t="shared" si="20"/>
        <v xml:space="preserve"> </v>
      </c>
      <c r="L108" s="79" t="str">
        <f t="shared" si="21"/>
        <v xml:space="preserve"> </v>
      </c>
      <c r="M108" s="78">
        <f t="shared" si="22"/>
        <v>0</v>
      </c>
      <c r="N108" s="78">
        <f t="shared" si="23"/>
        <v>0</v>
      </c>
      <c r="O108" s="78">
        <f t="shared" si="24"/>
        <v>0</v>
      </c>
      <c r="P108" s="78">
        <f t="shared" si="25"/>
        <v>0</v>
      </c>
      <c r="Q108" s="78">
        <f t="shared" si="26"/>
        <v>0</v>
      </c>
      <c r="R108" s="78" t="str">
        <f t="shared" si="27"/>
        <v xml:space="preserve"> </v>
      </c>
      <c r="S108" s="78" t="str">
        <f t="shared" si="28"/>
        <v xml:space="preserve"> </v>
      </c>
      <c r="T108" s="78" t="str">
        <f t="shared" si="29"/>
        <v xml:space="preserve"> </v>
      </c>
      <c r="U108" s="78" t="str">
        <f t="shared" si="30"/>
        <v xml:space="preserve"> </v>
      </c>
      <c r="V108" s="78" t="str">
        <f t="shared" si="31"/>
        <v xml:space="preserve"> </v>
      </c>
      <c r="W108" s="78" t="str">
        <f t="shared" si="32"/>
        <v xml:space="preserve"> </v>
      </c>
      <c r="X108" s="78" t="str">
        <f t="shared" si="33"/>
        <v xml:space="preserve"> </v>
      </c>
      <c r="Y108" s="78" t="str">
        <f t="shared" si="34"/>
        <v xml:space="preserve"> </v>
      </c>
      <c r="Z108" s="78" t="str">
        <f t="shared" si="35"/>
        <v xml:space="preserve"> </v>
      </c>
      <c r="AA108" s="78" t="str">
        <f t="shared" si="36"/>
        <v xml:space="preserve"> </v>
      </c>
      <c r="AB108" s="78" t="str">
        <f t="shared" si="37"/>
        <v xml:space="preserve"> </v>
      </c>
      <c r="AC108" s="800"/>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800"/>
    </row>
    <row r="110" spans="1:29" x14ac:dyDescent="0.25">
      <c r="B110" s="84"/>
      <c r="AC110" s="800"/>
    </row>
    <row r="111" spans="1:29" x14ac:dyDescent="0.25">
      <c r="A111" s="798" t="s">
        <v>70</v>
      </c>
      <c r="B111" s="807"/>
      <c r="C111" s="807"/>
      <c r="D111" s="799"/>
      <c r="AC111" s="800"/>
    </row>
    <row r="112" spans="1:29" x14ac:dyDescent="0.25">
      <c r="A112" s="798" t="s">
        <v>71</v>
      </c>
      <c r="B112" s="799"/>
      <c r="C112" s="798" t="s">
        <v>72</v>
      </c>
      <c r="D112" s="799"/>
      <c r="AC112" s="800"/>
    </row>
    <row r="113" spans="1:29" x14ac:dyDescent="0.25">
      <c r="A113" s="85">
        <v>0</v>
      </c>
      <c r="B113" s="61">
        <v>99</v>
      </c>
      <c r="C113" s="86">
        <v>0</v>
      </c>
      <c r="D113" s="87"/>
      <c r="AC113" s="800"/>
    </row>
    <row r="114" spans="1:29" x14ac:dyDescent="0.25">
      <c r="A114" s="85">
        <v>100</v>
      </c>
      <c r="B114" s="88">
        <v>199</v>
      </c>
      <c r="C114" s="86">
        <v>0</v>
      </c>
      <c r="D114" s="87"/>
      <c r="AC114" s="800"/>
    </row>
    <row r="115" spans="1:29" x14ac:dyDescent="0.25">
      <c r="A115" s="85">
        <v>200</v>
      </c>
      <c r="B115" s="88">
        <v>299</v>
      </c>
      <c r="C115" s="86">
        <v>0</v>
      </c>
      <c r="D115" s="87"/>
      <c r="AC115" s="800"/>
    </row>
    <row r="116" spans="1:29" x14ac:dyDescent="0.25">
      <c r="A116" s="61">
        <v>300</v>
      </c>
      <c r="B116" s="88">
        <v>399</v>
      </c>
      <c r="C116" s="86">
        <v>0</v>
      </c>
      <c r="D116" s="87"/>
      <c r="AC116" s="800"/>
    </row>
    <row r="117" spans="1:29" x14ac:dyDescent="0.25">
      <c r="A117" s="85">
        <v>400</v>
      </c>
      <c r="B117" s="88">
        <v>499</v>
      </c>
      <c r="C117" s="86">
        <v>5</v>
      </c>
      <c r="D117" s="87"/>
      <c r="AC117" s="800"/>
    </row>
    <row r="118" spans="1:29" x14ac:dyDescent="0.25">
      <c r="A118" s="85">
        <v>500</v>
      </c>
      <c r="B118" s="88">
        <v>599</v>
      </c>
      <c r="C118" s="86">
        <v>10</v>
      </c>
      <c r="D118" s="87"/>
      <c r="AC118" s="800"/>
    </row>
    <row r="119" spans="1:29" x14ac:dyDescent="0.25">
      <c r="A119" s="85">
        <v>600</v>
      </c>
      <c r="B119" s="88">
        <v>699</v>
      </c>
      <c r="C119" s="86">
        <v>15</v>
      </c>
      <c r="D119" s="87"/>
      <c r="AC119" s="800"/>
    </row>
    <row r="120" spans="1:29" x14ac:dyDescent="0.25">
      <c r="A120" s="85">
        <v>700</v>
      </c>
      <c r="B120" s="88">
        <v>799</v>
      </c>
      <c r="C120" s="86">
        <v>20</v>
      </c>
      <c r="D120" s="87"/>
      <c r="AC120" s="800"/>
    </row>
    <row r="121" spans="1:29" x14ac:dyDescent="0.25">
      <c r="A121" s="85">
        <v>800</v>
      </c>
      <c r="B121" s="88">
        <v>899</v>
      </c>
      <c r="C121" s="86">
        <v>25</v>
      </c>
      <c r="D121" s="87"/>
      <c r="K121" s="89"/>
      <c r="AC121" s="800"/>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800"/>
    </row>
    <row r="123" spans="1:29" x14ac:dyDescent="0.25">
      <c r="A123" s="85">
        <v>1000</v>
      </c>
      <c r="B123" s="88">
        <v>1099</v>
      </c>
      <c r="C123" s="86">
        <v>35</v>
      </c>
      <c r="D123" s="87"/>
      <c r="E123" s="90" t="s">
        <v>73</v>
      </c>
      <c r="AC123" s="800"/>
    </row>
    <row r="124" spans="1:29" x14ac:dyDescent="0.25">
      <c r="A124" s="85">
        <v>1100</v>
      </c>
      <c r="B124" s="88">
        <v>1199</v>
      </c>
      <c r="C124" s="86">
        <v>40</v>
      </c>
      <c r="D124" s="87"/>
      <c r="E124" s="61" t="s">
        <v>74</v>
      </c>
      <c r="O124" s="89" t="s">
        <v>75</v>
      </c>
      <c r="AC124" s="800"/>
    </row>
    <row r="125" spans="1:29" x14ac:dyDescent="0.25">
      <c r="A125" s="85">
        <v>1200</v>
      </c>
      <c r="B125" s="88">
        <v>1299</v>
      </c>
      <c r="C125" s="86">
        <v>45</v>
      </c>
      <c r="D125" s="87"/>
      <c r="E125" s="61" t="s">
        <v>76</v>
      </c>
      <c r="O125" s="89" t="s">
        <v>77</v>
      </c>
      <c r="AC125" s="800"/>
    </row>
    <row r="126" spans="1:29" x14ac:dyDescent="0.25">
      <c r="A126" s="85">
        <v>1300</v>
      </c>
      <c r="B126" s="88">
        <v>1399</v>
      </c>
      <c r="C126" s="86">
        <v>50</v>
      </c>
      <c r="D126" s="87"/>
      <c r="E126" s="61" t="s">
        <v>78</v>
      </c>
      <c r="AC126" s="800"/>
    </row>
    <row r="127" spans="1:29" x14ac:dyDescent="0.25">
      <c r="A127" s="85">
        <v>1400</v>
      </c>
      <c r="B127" s="88">
        <v>1499</v>
      </c>
      <c r="C127" s="86">
        <v>55</v>
      </c>
      <c r="D127" s="87"/>
      <c r="E127" s="61" t="s">
        <v>79</v>
      </c>
      <c r="AC127" s="800"/>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K7:K11"/>
    <mergeCell ref="A7:A11"/>
    <mergeCell ref="L7:L11"/>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1" zoomScaleNormal="100" workbookViewId="0">
      <selection activeCell="B171" sqref="B171"/>
    </sheetView>
  </sheetViews>
  <sheetFormatPr defaultColWidth="9.21875" defaultRowHeight="13.2" x14ac:dyDescent="0.25"/>
  <cols>
    <col min="1" max="1" width="14.77734375" style="51" bestFit="1" customWidth="1"/>
    <col min="2" max="7" width="9.21875" style="51" bestFit="1" customWidth="1"/>
    <col min="8" max="8" width="14.77734375" style="51" bestFit="1" customWidth="1"/>
    <col min="9" max="14" width="9.21875" style="51" bestFit="1" customWidth="1"/>
    <col min="15" max="15" width="14.77734375" style="51" bestFit="1" customWidth="1"/>
    <col min="16" max="21" width="9.21875" style="51" bestFit="1" customWidth="1"/>
    <col min="22" max="22" width="14.77734375" style="51" bestFit="1" customWidth="1"/>
    <col min="23" max="28" width="9.21875" style="51" bestFit="1" customWidth="1"/>
    <col min="29" max="16384" width="9.21875" style="51"/>
  </cols>
  <sheetData>
    <row r="1" spans="1:55" ht="15" x14ac:dyDescent="0.25">
      <c r="B1" s="814" t="s">
        <v>95</v>
      </c>
      <c r="C1" s="815"/>
      <c r="D1" s="815"/>
      <c r="E1" s="815"/>
      <c r="F1" s="815"/>
      <c r="G1" s="815"/>
      <c r="I1" s="814" t="s">
        <v>94</v>
      </c>
      <c r="J1" s="815"/>
      <c r="K1" s="815"/>
      <c r="L1" s="815"/>
      <c r="M1" s="815"/>
      <c r="N1" s="815"/>
      <c r="P1" s="814" t="s">
        <v>96</v>
      </c>
      <c r="Q1" s="815"/>
      <c r="R1" s="815"/>
      <c r="S1" s="815"/>
      <c r="T1" s="815"/>
      <c r="U1" s="815"/>
      <c r="W1" s="814" t="s">
        <v>98</v>
      </c>
      <c r="X1" s="815"/>
      <c r="Y1" s="815"/>
      <c r="Z1" s="815"/>
      <c r="AA1" s="815"/>
      <c r="AB1" s="815"/>
      <c r="AF1" s="814"/>
      <c r="AG1" s="815"/>
      <c r="AH1" s="815"/>
      <c r="AI1" s="815"/>
      <c r="AJ1" s="815"/>
      <c r="AK1" s="815"/>
      <c r="AL1" s="814"/>
      <c r="AM1" s="815"/>
      <c r="AN1" s="815"/>
      <c r="AO1" s="815"/>
      <c r="AP1" s="815"/>
      <c r="AQ1" s="815"/>
      <c r="AR1" s="814"/>
      <c r="AS1" s="815"/>
      <c r="AT1" s="815"/>
      <c r="AU1" s="815"/>
      <c r="AV1" s="815"/>
      <c r="AW1" s="815"/>
      <c r="AX1" s="814"/>
      <c r="AY1" s="815"/>
      <c r="AZ1" s="815"/>
      <c r="BA1" s="815"/>
      <c r="BB1" s="815"/>
      <c r="BC1" s="815"/>
    </row>
    <row r="2" spans="1:55" ht="13.8" x14ac:dyDescent="0.25">
      <c r="A2" s="51" t="str">
        <f>'Data 15'!A102</f>
        <v>Hourly Totals</v>
      </c>
      <c r="B2" s="816" t="s">
        <v>93</v>
      </c>
      <c r="C2" s="816"/>
      <c r="D2" s="816"/>
      <c r="E2" s="816"/>
      <c r="F2" s="816"/>
      <c r="G2" s="816"/>
      <c r="H2" s="51" t="str">
        <f>'Data 15'!H102</f>
        <v>Hourly Totals</v>
      </c>
      <c r="I2" s="816" t="s">
        <v>40</v>
      </c>
      <c r="J2" s="816"/>
      <c r="K2" s="816"/>
      <c r="L2" s="816"/>
      <c r="M2" s="816"/>
      <c r="N2" s="816"/>
      <c r="O2" s="51" t="str">
        <f>'Data 15'!O102</f>
        <v>Hourly Totals</v>
      </c>
      <c r="P2" s="816" t="s">
        <v>97</v>
      </c>
      <c r="Q2" s="816"/>
      <c r="R2" s="816"/>
      <c r="S2" s="816"/>
      <c r="T2" s="816"/>
      <c r="U2" s="816"/>
      <c r="V2" s="58" t="str">
        <f>'Data 15'!V102</f>
        <v>Hourly Totals</v>
      </c>
      <c r="W2" s="816" t="s">
        <v>39</v>
      </c>
      <c r="X2" s="816"/>
      <c r="Y2" s="816"/>
      <c r="Z2" s="816"/>
      <c r="AA2" s="816"/>
      <c r="AB2" s="816"/>
      <c r="AE2" s="817"/>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row>
    <row r="3" spans="1:55" ht="26.4" x14ac:dyDescent="0.25">
      <c r="A3" s="51" t="str">
        <f>'Data 15'!A103</f>
        <v>Starting time</v>
      </c>
      <c r="B3" s="55" t="s">
        <v>88</v>
      </c>
      <c r="C3" s="55" t="s">
        <v>89</v>
      </c>
      <c r="D3" s="55" t="s">
        <v>25</v>
      </c>
      <c r="E3" s="55" t="s">
        <v>90</v>
      </c>
      <c r="F3" s="55" t="s">
        <v>91</v>
      </c>
      <c r="G3" s="56" t="s">
        <v>92</v>
      </c>
      <c r="H3" s="51" t="str">
        <f>'Data 15'!H103</f>
        <v>Starting time</v>
      </c>
      <c r="I3" s="55" t="s">
        <v>88</v>
      </c>
      <c r="J3" s="55" t="s">
        <v>89</v>
      </c>
      <c r="K3" s="55" t="s">
        <v>25</v>
      </c>
      <c r="L3" s="55" t="s">
        <v>90</v>
      </c>
      <c r="M3" s="55" t="s">
        <v>91</v>
      </c>
      <c r="N3" s="56" t="s">
        <v>92</v>
      </c>
      <c r="O3" s="51" t="str">
        <f>'Data 15'!O103</f>
        <v>Starting time</v>
      </c>
      <c r="P3" s="55" t="s">
        <v>88</v>
      </c>
      <c r="Q3" s="55" t="s">
        <v>89</v>
      </c>
      <c r="R3" s="55" t="s">
        <v>25</v>
      </c>
      <c r="S3" s="55" t="s">
        <v>90</v>
      </c>
      <c r="T3" s="55" t="s">
        <v>91</v>
      </c>
      <c r="U3" s="56" t="s">
        <v>92</v>
      </c>
      <c r="V3" s="58" t="str">
        <f>'Data 15'!V103</f>
        <v>Starting time</v>
      </c>
      <c r="W3" s="55" t="s">
        <v>88</v>
      </c>
      <c r="X3" s="55" t="s">
        <v>89</v>
      </c>
      <c r="Y3" s="55" t="s">
        <v>25</v>
      </c>
      <c r="Z3" s="55" t="s">
        <v>90</v>
      </c>
      <c r="AA3" s="55" t="s">
        <v>91</v>
      </c>
      <c r="AB3" s="56" t="s">
        <v>92</v>
      </c>
      <c r="AE3" s="818"/>
      <c r="AF3" s="55"/>
      <c r="AG3" s="55"/>
      <c r="AH3" s="55"/>
      <c r="AI3" s="55"/>
      <c r="AJ3" s="55"/>
      <c r="AK3" s="56"/>
      <c r="AL3" s="55"/>
      <c r="AM3" s="55"/>
      <c r="AN3" s="55"/>
      <c r="AO3" s="55"/>
      <c r="AP3" s="55"/>
      <c r="AQ3" s="56"/>
      <c r="AR3" s="55"/>
      <c r="AS3" s="55"/>
      <c r="AT3" s="55"/>
      <c r="AU3" s="55"/>
      <c r="AV3" s="55"/>
      <c r="AW3" s="56"/>
      <c r="AX3" s="55"/>
      <c r="AY3" s="55"/>
      <c r="AZ3" s="55"/>
      <c r="BA3" s="55"/>
      <c r="BB3" s="55"/>
      <c r="BC3" s="56"/>
    </row>
    <row r="4" spans="1:55" x14ac:dyDescent="0.25">
      <c r="A4" s="58">
        <f>'Data 15'!A104</f>
        <v>0</v>
      </c>
      <c r="B4" s="51">
        <f>ROUNDUP(IF(AND(OR('Input &amp; Findings'!$G$39="S-Bound",'Input &amp; Findings'!$G$40="S-Bound"),'RTF 1'!$D$8="S-Bound"),'RTF 1'!$M13,IF(AND(OR('Input &amp; Findings'!$G$39="S-Bound",'Input &amp; Findings'!$G$40="S-Bound"),'RTF 2'!$D$8="S-Bound"),'RTF 2'!$M13,'Data 15'!B104)),0)</f>
        <v>0</v>
      </c>
      <c r="C4" s="51">
        <f>'Data 15'!C104</f>
        <v>0</v>
      </c>
      <c r="D4" s="51">
        <f>'Data 15'!D104</f>
        <v>0</v>
      </c>
      <c r="E4" s="51">
        <f>'Data 15'!E104</f>
        <v>0</v>
      </c>
      <c r="F4" s="51">
        <f>'Data 15'!F104</f>
        <v>0</v>
      </c>
      <c r="G4" s="51">
        <f>SUM(B4:E4)</f>
        <v>0</v>
      </c>
      <c r="H4" s="58">
        <f>'Data 15'!H104</f>
        <v>0</v>
      </c>
      <c r="I4" s="51">
        <f>ROUNDUP(IF(AND(OR('Input &amp; Findings'!$G$39="W-Bound",'Input &amp; Findings'!$G$40="W-Bound"),'RTF 1'!$D$8="W-Bound"),'RTF 1'!$M13,IF(AND(OR('Input &amp; Findings'!$G$39="W-Bound",'Input &amp; Findings'!$G$40="W-Bound"),'RTF 2'!$D$8="W-Bound"),'RTF 2'!$M13,'Data 15'!I104)),0)</f>
        <v>0</v>
      </c>
      <c r="J4" s="51">
        <f>'Data 15'!J104</f>
        <v>0</v>
      </c>
      <c r="K4" s="51">
        <f>'Data 15'!K104</f>
        <v>0</v>
      </c>
      <c r="L4" s="51">
        <f>'Data 15'!L104</f>
        <v>0</v>
      </c>
      <c r="M4" s="51">
        <f>'Data 15'!M104</f>
        <v>0</v>
      </c>
      <c r="N4" s="51">
        <f>SUM(I4:L4)</f>
        <v>0</v>
      </c>
      <c r="O4" s="58">
        <f>'Data 15'!O104</f>
        <v>0</v>
      </c>
      <c r="P4" s="51">
        <f>ROUNDUP(IF(AND(OR('Input &amp; Findings'!$G$39="N-Bound",'Input &amp; Findings'!$G$40="N-Bound"),'RTF 1'!$D$8="N-Bound"),'RTF 1'!$M13,IF(AND(OR('Input &amp; Findings'!$G$39="N-Bound",'Input &amp; Findings'!$G$40="N-Bound"),'RTF 2'!$D$8="N-Bound"),'RTF 2'!$M13,'Data 15'!P104)),0)</f>
        <v>0</v>
      </c>
      <c r="Q4" s="51">
        <f>'Data 15'!Q104</f>
        <v>0</v>
      </c>
      <c r="R4" s="51">
        <f>'Data 15'!R104</f>
        <v>0</v>
      </c>
      <c r="S4" s="51">
        <f>'Data 15'!S104</f>
        <v>0</v>
      </c>
      <c r="T4" s="51">
        <f>'Data 15'!T104</f>
        <v>0</v>
      </c>
      <c r="U4" s="51">
        <f>SUM(P4:S4)</f>
        <v>0</v>
      </c>
      <c r="V4" s="58">
        <f>'Data 15'!V104</f>
        <v>0</v>
      </c>
      <c r="W4" s="51">
        <f>ROUNDUP(IF(AND(OR('Input &amp; Findings'!$G$39="E-Bound",'Input &amp; Findings'!$G$40="E-Bound"),'RTF 1'!$D$8="E-Bound"),'RTF 1'!$M13,IF(AND(OR('Input &amp; Findings'!$G$39="E-Bound",'Input &amp; Findings'!$G$40="E-Bound"),'RTF 2'!$D$8="E-Bound"),'RTF 2'!$M13,'Data 15'!W104)),0)</f>
        <v>0</v>
      </c>
      <c r="X4" s="51">
        <f>'Data 15'!X104</f>
        <v>0</v>
      </c>
      <c r="Y4" s="51">
        <f>'Data 15'!Y104</f>
        <v>0</v>
      </c>
      <c r="Z4" s="51">
        <f>'Data 15'!Z104</f>
        <v>0</v>
      </c>
      <c r="AA4" s="51">
        <f>'Data 15'!AA104</f>
        <v>0</v>
      </c>
      <c r="AB4" s="51">
        <f>SUM(W4:Z4)</f>
        <v>0</v>
      </c>
      <c r="AC4" s="58">
        <f>'Data 15'!AC104</f>
        <v>0</v>
      </c>
      <c r="AE4" s="57"/>
    </row>
    <row r="5" spans="1:55" x14ac:dyDescent="0.25">
      <c r="A5" s="58">
        <f>'Data 15'!A105</f>
        <v>1.0416666666666666E-2</v>
      </c>
      <c r="B5" s="51">
        <f>ROUNDUP(IF(AND(OR('Input &amp; Findings'!$G$39="S-Bound",'Input &amp; Findings'!$G$40="S-Bound"),'RTF 1'!$D$8="S-Bound"),'RTF 1'!$M14,IF(AND(OR('Input &amp; Findings'!$G$39="S-Bound",'Input &amp; Findings'!$G$40="S-Bound"),'RTF 2'!$D$8="S-Bound"),'RTF 2'!$M14,'Data 15'!B105)),0)</f>
        <v>0</v>
      </c>
      <c r="C5" s="51">
        <f>'Data 15'!C105</f>
        <v>0</v>
      </c>
      <c r="D5" s="51">
        <f>'Data 15'!D105</f>
        <v>0</v>
      </c>
      <c r="E5" s="51">
        <f>'Data 15'!E105</f>
        <v>0</v>
      </c>
      <c r="F5" s="51">
        <f>'Data 15'!F105</f>
        <v>0</v>
      </c>
      <c r="G5" s="51">
        <f t="shared" ref="G5:G68" si="0">SUM(B5:E5)</f>
        <v>0</v>
      </c>
      <c r="H5" s="58">
        <f>'Data 15'!H105</f>
        <v>1.0416666666666666E-2</v>
      </c>
      <c r="I5" s="51">
        <f>ROUNDUP(IF(AND(OR('Input &amp; Findings'!$G$39="W-Bound",'Input &amp; Findings'!$G$40="W-Bound"),'RTF 1'!$D$8="W-Bound"),'RTF 1'!$M14,IF(AND(OR('Input &amp; Findings'!$G$39="W-Bound",'Input &amp; Findings'!$G$40="W-Bound"),'RTF 2'!$D$8="W-Bound"),'RTF 2'!$M14,'Data 15'!I105)),0)</f>
        <v>0</v>
      </c>
      <c r="J5" s="51">
        <f>'Data 15'!J105</f>
        <v>0</v>
      </c>
      <c r="K5" s="51">
        <f>'Data 15'!K105</f>
        <v>0</v>
      </c>
      <c r="L5" s="51">
        <f>'Data 15'!L105</f>
        <v>0</v>
      </c>
      <c r="M5" s="51">
        <f>'Data 15'!M105</f>
        <v>0</v>
      </c>
      <c r="N5" s="51">
        <f t="shared" ref="N5:N68" si="1">SUM(I5:L5)</f>
        <v>0</v>
      </c>
      <c r="O5" s="58">
        <f>'Data 15'!O105</f>
        <v>1.0416666666666666E-2</v>
      </c>
      <c r="P5" s="51">
        <f>ROUNDUP(IF(AND(OR('Input &amp; Findings'!$G$39="N-Bound",'Input &amp; Findings'!$G$40="N-Bound"),'RTF 1'!$D$8="N-Bound"),'RTF 1'!$M14,IF(AND(OR('Input &amp; Findings'!$G$39="N-Bound",'Input &amp; Findings'!$G$40="N-Bound"),'RTF 2'!$D$8="N-Bound"),'RTF 2'!$M14,'Data 15'!P105)),0)</f>
        <v>0</v>
      </c>
      <c r="Q5" s="51">
        <f>'Data 15'!Q105</f>
        <v>0</v>
      </c>
      <c r="R5" s="51">
        <f>'Data 15'!R105</f>
        <v>0</v>
      </c>
      <c r="S5" s="51">
        <f>'Data 15'!S105</f>
        <v>0</v>
      </c>
      <c r="T5" s="51">
        <f>'Data 15'!T105</f>
        <v>0</v>
      </c>
      <c r="U5" s="51">
        <f t="shared" ref="U5:U68" si="2">SUM(P5:S5)</f>
        <v>0</v>
      </c>
      <c r="V5" s="58">
        <f>'Data 15'!V105</f>
        <v>1.0416666666666666E-2</v>
      </c>
      <c r="W5" s="51">
        <f>ROUNDUP(IF(AND(OR('Input &amp; Findings'!$G$39="E-Bound",'Input &amp; Findings'!$G$40="E-Bound"),'RTF 1'!$D$8="E-Bound"),'RTF 1'!$M14,IF(AND(OR('Input &amp; Findings'!$G$39="E-Bound",'Input &amp; Findings'!$G$40="E-Bound"),'RTF 2'!$D$8="E-Bound"),'RTF 2'!$M14,'Data 15'!W105)),0)</f>
        <v>0</v>
      </c>
      <c r="X5" s="51">
        <f>'Data 15'!X105</f>
        <v>0</v>
      </c>
      <c r="Y5" s="51">
        <f>'Data 15'!Y105</f>
        <v>0</v>
      </c>
      <c r="Z5" s="51">
        <f>'Data 15'!Z105</f>
        <v>0</v>
      </c>
      <c r="AA5" s="51">
        <f>'Data 15'!AA105</f>
        <v>0</v>
      </c>
      <c r="AB5" s="51">
        <f t="shared" ref="AB5:AB68" si="3">SUM(W5:Z5)</f>
        <v>0</v>
      </c>
      <c r="AC5" s="58">
        <f>'Data 15'!AC105</f>
        <v>1.0416666666666666E-2</v>
      </c>
      <c r="AE5" s="57"/>
    </row>
    <row r="6" spans="1:55" x14ac:dyDescent="0.25">
      <c r="A6" s="58">
        <f>'Data 15'!A106</f>
        <v>2.0833333333333301E-2</v>
      </c>
      <c r="B6" s="51">
        <f>ROUNDUP(IF(AND(OR('Input &amp; Findings'!$G$39="S-Bound",'Input &amp; Findings'!$G$40="S-Bound"),'RTF 1'!$D$8="S-Bound"),'RTF 1'!$M15,IF(AND(OR('Input &amp; Findings'!$G$39="S-Bound",'Input &amp; Findings'!$G$40="S-Bound"),'RTF 2'!$D$8="S-Bound"),'RTF 2'!$M15,'Data 15'!B106)),0)</f>
        <v>0</v>
      </c>
      <c r="C6" s="51">
        <f>'Data 15'!C106</f>
        <v>0</v>
      </c>
      <c r="D6" s="51">
        <f>'Data 15'!D106</f>
        <v>0</v>
      </c>
      <c r="E6" s="51">
        <f>'Data 15'!E106</f>
        <v>0</v>
      </c>
      <c r="F6" s="51">
        <f>'Data 15'!F106</f>
        <v>0</v>
      </c>
      <c r="G6" s="51">
        <f t="shared" si="0"/>
        <v>0</v>
      </c>
      <c r="H6" s="58">
        <f>'Data 15'!H106</f>
        <v>2.0833333333333301E-2</v>
      </c>
      <c r="I6" s="51">
        <f>ROUNDUP(IF(AND(OR('Input &amp; Findings'!$G$39="W-Bound",'Input &amp; Findings'!$G$40="W-Bound"),'RTF 1'!$D$8="W-Bound"),'RTF 1'!$M15,IF(AND(OR('Input &amp; Findings'!$G$39="W-Bound",'Input &amp; Findings'!$G$40="W-Bound"),'RTF 2'!$D$8="W-Bound"),'RTF 2'!$M15,'Data 15'!I106)),0)</f>
        <v>0</v>
      </c>
      <c r="J6" s="51">
        <f>'Data 15'!J106</f>
        <v>0</v>
      </c>
      <c r="K6" s="51">
        <f>'Data 15'!K106</f>
        <v>0</v>
      </c>
      <c r="L6" s="51">
        <f>'Data 15'!L106</f>
        <v>0</v>
      </c>
      <c r="M6" s="51">
        <f>'Data 15'!M106</f>
        <v>0</v>
      </c>
      <c r="N6" s="51">
        <f t="shared" si="1"/>
        <v>0</v>
      </c>
      <c r="O6" s="58">
        <f>'Data 15'!O106</f>
        <v>2.0833333333333301E-2</v>
      </c>
      <c r="P6" s="51">
        <f>ROUNDUP(IF(AND(OR('Input &amp; Findings'!$G$39="N-Bound",'Input &amp; Findings'!$G$40="N-Bound"),'RTF 1'!$D$8="N-Bound"),'RTF 1'!$M15,IF(AND(OR('Input &amp; Findings'!$G$39="N-Bound",'Input &amp; Findings'!$G$40="N-Bound"),'RTF 2'!$D$8="N-Bound"),'RTF 2'!$M15,'Data 15'!P106)),0)</f>
        <v>0</v>
      </c>
      <c r="Q6" s="51">
        <f>'Data 15'!Q106</f>
        <v>0</v>
      </c>
      <c r="R6" s="51">
        <f>'Data 15'!R106</f>
        <v>0</v>
      </c>
      <c r="S6" s="51">
        <f>'Data 15'!S106</f>
        <v>0</v>
      </c>
      <c r="T6" s="51">
        <f>'Data 15'!T106</f>
        <v>0</v>
      </c>
      <c r="U6" s="51">
        <f t="shared" si="2"/>
        <v>0</v>
      </c>
      <c r="V6" s="58">
        <f>'Data 15'!V106</f>
        <v>2.0833333333333301E-2</v>
      </c>
      <c r="W6" s="51">
        <f>ROUNDUP(IF(AND(OR('Input &amp; Findings'!$G$39="E-Bound",'Input &amp; Findings'!$G$40="E-Bound"),'RTF 1'!$D$8="E-Bound"),'RTF 1'!$M15,IF(AND(OR('Input &amp; Findings'!$G$39="E-Bound",'Input &amp; Findings'!$G$40="E-Bound"),'RTF 2'!$D$8="E-Bound"),'RTF 2'!$M15,'Data 15'!W106)),0)</f>
        <v>0</v>
      </c>
      <c r="X6" s="51">
        <f>'Data 15'!X106</f>
        <v>0</v>
      </c>
      <c r="Y6" s="51">
        <f>'Data 15'!Y106</f>
        <v>0</v>
      </c>
      <c r="Z6" s="51">
        <f>'Data 15'!Z106</f>
        <v>0</v>
      </c>
      <c r="AA6" s="51">
        <f>'Data 15'!AA106</f>
        <v>0</v>
      </c>
      <c r="AB6" s="51">
        <f t="shared" si="3"/>
        <v>0</v>
      </c>
      <c r="AC6" s="58">
        <f>'Data 15'!AC106</f>
        <v>2.0833333333333301E-2</v>
      </c>
      <c r="AE6" s="57"/>
    </row>
    <row r="7" spans="1:55" x14ac:dyDescent="0.25">
      <c r="A7" s="58">
        <f>'Data 15'!A107</f>
        <v>3.125E-2</v>
      </c>
      <c r="B7" s="51">
        <f>ROUNDUP(IF(AND(OR('Input &amp; Findings'!$G$39="S-Bound",'Input &amp; Findings'!$G$40="S-Bound"),'RTF 1'!$D$8="S-Bound"),'RTF 1'!$M16,IF(AND(OR('Input &amp; Findings'!$G$39="S-Bound",'Input &amp; Findings'!$G$40="S-Bound"),'RTF 2'!$D$8="S-Bound"),'RTF 2'!$M16,'Data 15'!B107)),0)</f>
        <v>0</v>
      </c>
      <c r="C7" s="51">
        <f>'Data 15'!C107</f>
        <v>0</v>
      </c>
      <c r="D7" s="51">
        <f>'Data 15'!D107</f>
        <v>0</v>
      </c>
      <c r="E7" s="51">
        <f>'Data 15'!E107</f>
        <v>0</v>
      </c>
      <c r="F7" s="51">
        <f>'Data 15'!F107</f>
        <v>0</v>
      </c>
      <c r="G7" s="51">
        <f t="shared" si="0"/>
        <v>0</v>
      </c>
      <c r="H7" s="58">
        <f>'Data 15'!H107</f>
        <v>3.125E-2</v>
      </c>
      <c r="I7" s="51">
        <f>ROUNDUP(IF(AND(OR('Input &amp; Findings'!$G$39="W-Bound",'Input &amp; Findings'!$G$40="W-Bound"),'RTF 1'!$D$8="W-Bound"),'RTF 1'!$M16,IF(AND(OR('Input &amp; Findings'!$G$39="W-Bound",'Input &amp; Findings'!$G$40="W-Bound"),'RTF 2'!$D$8="W-Bound"),'RTF 2'!$M16,'Data 15'!I107)),0)</f>
        <v>0</v>
      </c>
      <c r="J7" s="51">
        <f>'Data 15'!J107</f>
        <v>0</v>
      </c>
      <c r="K7" s="51">
        <f>'Data 15'!K107</f>
        <v>0</v>
      </c>
      <c r="L7" s="51">
        <f>'Data 15'!L107</f>
        <v>0</v>
      </c>
      <c r="M7" s="51">
        <f>'Data 15'!M107</f>
        <v>0</v>
      </c>
      <c r="N7" s="51">
        <f t="shared" si="1"/>
        <v>0</v>
      </c>
      <c r="O7" s="58">
        <f>'Data 15'!O107</f>
        <v>3.125E-2</v>
      </c>
      <c r="P7" s="51">
        <f>ROUNDUP(IF(AND(OR('Input &amp; Findings'!$G$39="N-Bound",'Input &amp; Findings'!$G$40="N-Bound"),'RTF 1'!$D$8="N-Bound"),'RTF 1'!$M16,IF(AND(OR('Input &amp; Findings'!$G$39="N-Bound",'Input &amp; Findings'!$G$40="N-Bound"),'RTF 2'!$D$8="N-Bound"),'RTF 2'!$M16,'Data 15'!P107)),0)</f>
        <v>0</v>
      </c>
      <c r="Q7" s="51">
        <f>'Data 15'!Q107</f>
        <v>0</v>
      </c>
      <c r="R7" s="51">
        <f>'Data 15'!R107</f>
        <v>0</v>
      </c>
      <c r="S7" s="51">
        <f>'Data 15'!S107</f>
        <v>0</v>
      </c>
      <c r="T7" s="51">
        <f>'Data 15'!T107</f>
        <v>0</v>
      </c>
      <c r="U7" s="51">
        <f t="shared" si="2"/>
        <v>0</v>
      </c>
      <c r="V7" s="58">
        <f>'Data 15'!V107</f>
        <v>3.125E-2</v>
      </c>
      <c r="W7" s="51">
        <f>ROUNDUP(IF(AND(OR('Input &amp; Findings'!$G$39="E-Bound",'Input &amp; Findings'!$G$40="E-Bound"),'RTF 1'!$D$8="E-Bound"),'RTF 1'!$M16,IF(AND(OR('Input &amp; Findings'!$G$39="E-Bound",'Input &amp; Findings'!$G$40="E-Bound"),'RTF 2'!$D$8="E-Bound"),'RTF 2'!$M16,'Data 15'!W107)),0)</f>
        <v>0</v>
      </c>
      <c r="X7" s="51">
        <f>'Data 15'!X107</f>
        <v>0</v>
      </c>
      <c r="Y7" s="51">
        <f>'Data 15'!Y107</f>
        <v>0</v>
      </c>
      <c r="Z7" s="51">
        <f>'Data 15'!Z107</f>
        <v>0</v>
      </c>
      <c r="AA7" s="51">
        <f>'Data 15'!AA107</f>
        <v>0</v>
      </c>
      <c r="AB7" s="51">
        <f t="shared" si="3"/>
        <v>0</v>
      </c>
      <c r="AC7" s="58">
        <f>'Data 15'!AC107</f>
        <v>3.125E-2</v>
      </c>
      <c r="AE7" s="57"/>
    </row>
    <row r="8" spans="1:55" x14ac:dyDescent="0.25">
      <c r="A8" s="58">
        <f>'Data 15'!A108</f>
        <v>4.1666666666666699E-2</v>
      </c>
      <c r="B8" s="51">
        <f>ROUNDUP(IF(AND(OR('Input &amp; Findings'!$G$39="S-Bound",'Input &amp; Findings'!$G$40="S-Bound"),'RTF 1'!$D$8="S-Bound"),'RTF 1'!$M17,IF(AND(OR('Input &amp; Findings'!$G$39="S-Bound",'Input &amp; Findings'!$G$40="S-Bound"),'RTF 2'!$D$8="S-Bound"),'RTF 2'!$M17,'Data 15'!B108)),0)</f>
        <v>0</v>
      </c>
      <c r="C8" s="51">
        <f>'Data 15'!C108</f>
        <v>0</v>
      </c>
      <c r="D8" s="51">
        <f>'Data 15'!D108</f>
        <v>0</v>
      </c>
      <c r="E8" s="51">
        <f>'Data 15'!E108</f>
        <v>0</v>
      </c>
      <c r="F8" s="51">
        <f>'Data 15'!F108</f>
        <v>0</v>
      </c>
      <c r="G8" s="51">
        <f t="shared" si="0"/>
        <v>0</v>
      </c>
      <c r="H8" s="58">
        <f>'Data 15'!H108</f>
        <v>4.1666666666666699E-2</v>
      </c>
      <c r="I8" s="51">
        <f>ROUNDUP(IF(AND(OR('Input &amp; Findings'!$G$39="W-Bound",'Input &amp; Findings'!$G$40="W-Bound"),'RTF 1'!$D$8="W-Bound"),'RTF 1'!$M17,IF(AND(OR('Input &amp; Findings'!$G$39="W-Bound",'Input &amp; Findings'!$G$40="W-Bound"),'RTF 2'!$D$8="W-Bound"),'RTF 2'!$M17,'Data 15'!I108)),0)</f>
        <v>0</v>
      </c>
      <c r="J8" s="51">
        <f>'Data 15'!J108</f>
        <v>0</v>
      </c>
      <c r="K8" s="51">
        <f>'Data 15'!K108</f>
        <v>0</v>
      </c>
      <c r="L8" s="51">
        <f>'Data 15'!L108</f>
        <v>0</v>
      </c>
      <c r="M8" s="51">
        <f>'Data 15'!M108</f>
        <v>0</v>
      </c>
      <c r="N8" s="51">
        <f t="shared" si="1"/>
        <v>0</v>
      </c>
      <c r="O8" s="58">
        <f>'Data 15'!O108</f>
        <v>4.1666666666666699E-2</v>
      </c>
      <c r="P8" s="51">
        <f>ROUNDUP(IF(AND(OR('Input &amp; Findings'!$G$39="N-Bound",'Input &amp; Findings'!$G$40="N-Bound"),'RTF 1'!$D$8="N-Bound"),'RTF 1'!$M17,IF(AND(OR('Input &amp; Findings'!$G$39="N-Bound",'Input &amp; Findings'!$G$40="N-Bound"),'RTF 2'!$D$8="N-Bound"),'RTF 2'!$M17,'Data 15'!P108)),0)</f>
        <v>0</v>
      </c>
      <c r="Q8" s="51">
        <f>'Data 15'!Q108</f>
        <v>0</v>
      </c>
      <c r="R8" s="51">
        <f>'Data 15'!R108</f>
        <v>0</v>
      </c>
      <c r="S8" s="51">
        <f>'Data 15'!S108</f>
        <v>0</v>
      </c>
      <c r="T8" s="51">
        <f>'Data 15'!T108</f>
        <v>0</v>
      </c>
      <c r="U8" s="51">
        <f t="shared" si="2"/>
        <v>0</v>
      </c>
      <c r="V8" s="58">
        <f>'Data 15'!V108</f>
        <v>4.1666666666666699E-2</v>
      </c>
      <c r="W8" s="51">
        <f>ROUNDUP(IF(AND(OR('Input &amp; Findings'!$G$39="E-Bound",'Input &amp; Findings'!$G$40="E-Bound"),'RTF 1'!$D$8="E-Bound"),'RTF 1'!$M17,IF(AND(OR('Input &amp; Findings'!$G$39="E-Bound",'Input &amp; Findings'!$G$40="E-Bound"),'RTF 2'!$D$8="E-Bound"),'RTF 2'!$M17,'Data 15'!W108)),0)</f>
        <v>0</v>
      </c>
      <c r="X8" s="51">
        <f>'Data 15'!X108</f>
        <v>0</v>
      </c>
      <c r="Y8" s="51">
        <f>'Data 15'!Y108</f>
        <v>0</v>
      </c>
      <c r="Z8" s="51">
        <f>'Data 15'!Z108</f>
        <v>0</v>
      </c>
      <c r="AA8" s="51">
        <f>'Data 15'!AA108</f>
        <v>0</v>
      </c>
      <c r="AB8" s="51">
        <f t="shared" si="3"/>
        <v>0</v>
      </c>
      <c r="AC8" s="58">
        <f>'Data 15'!AC108</f>
        <v>4.1666666666666699E-2</v>
      </c>
      <c r="AE8" s="57"/>
    </row>
    <row r="9" spans="1:55" x14ac:dyDescent="0.25">
      <c r="A9" s="58">
        <f>'Data 15'!A109</f>
        <v>5.2083333333333301E-2</v>
      </c>
      <c r="B9" s="51">
        <f>ROUNDUP(IF(AND(OR('Input &amp; Findings'!$G$39="S-Bound",'Input &amp; Findings'!$G$40="S-Bound"),'RTF 1'!$D$8="S-Bound"),'RTF 1'!$M18,IF(AND(OR('Input &amp; Findings'!$G$39="S-Bound",'Input &amp; Findings'!$G$40="S-Bound"),'RTF 2'!$D$8="S-Bound"),'RTF 2'!$M18,'Data 15'!B109)),0)</f>
        <v>0</v>
      </c>
      <c r="C9" s="51">
        <f>'Data 15'!C109</f>
        <v>0</v>
      </c>
      <c r="D9" s="51">
        <f>'Data 15'!D109</f>
        <v>0</v>
      </c>
      <c r="E9" s="51">
        <f>'Data 15'!E109</f>
        <v>0</v>
      </c>
      <c r="F9" s="51">
        <f>'Data 15'!F109</f>
        <v>0</v>
      </c>
      <c r="G9" s="51">
        <f t="shared" si="0"/>
        <v>0</v>
      </c>
      <c r="H9" s="58">
        <f>'Data 15'!H109</f>
        <v>5.2083333333333301E-2</v>
      </c>
      <c r="I9" s="51">
        <f>ROUNDUP(IF(AND(OR('Input &amp; Findings'!$G$39="W-Bound",'Input &amp; Findings'!$G$40="W-Bound"),'RTF 1'!$D$8="W-Bound"),'RTF 1'!$M18,IF(AND(OR('Input &amp; Findings'!$G$39="W-Bound",'Input &amp; Findings'!$G$40="W-Bound"),'RTF 2'!$D$8="W-Bound"),'RTF 2'!$M18,'Data 15'!I109)),0)</f>
        <v>0</v>
      </c>
      <c r="J9" s="51">
        <f>'Data 15'!J109</f>
        <v>0</v>
      </c>
      <c r="K9" s="51">
        <f>'Data 15'!K109</f>
        <v>0</v>
      </c>
      <c r="L9" s="51">
        <f>'Data 15'!L109</f>
        <v>0</v>
      </c>
      <c r="M9" s="51">
        <f>'Data 15'!M109</f>
        <v>0</v>
      </c>
      <c r="N9" s="51">
        <f t="shared" si="1"/>
        <v>0</v>
      </c>
      <c r="O9" s="58">
        <f>'Data 15'!O109</f>
        <v>5.2083333333333301E-2</v>
      </c>
      <c r="P9" s="51">
        <f>ROUNDUP(IF(AND(OR('Input &amp; Findings'!$G$39="N-Bound",'Input &amp; Findings'!$G$40="N-Bound"),'RTF 1'!$D$8="N-Bound"),'RTF 1'!$M18,IF(AND(OR('Input &amp; Findings'!$G$39="N-Bound",'Input &amp; Findings'!$G$40="N-Bound"),'RTF 2'!$D$8="N-Bound"),'RTF 2'!$M18,'Data 15'!P109)),0)</f>
        <v>0</v>
      </c>
      <c r="Q9" s="51">
        <f>'Data 15'!Q109</f>
        <v>0</v>
      </c>
      <c r="R9" s="51">
        <f>'Data 15'!R109</f>
        <v>0</v>
      </c>
      <c r="S9" s="51">
        <f>'Data 15'!S109</f>
        <v>0</v>
      </c>
      <c r="T9" s="51">
        <f>'Data 15'!T109</f>
        <v>0</v>
      </c>
      <c r="U9" s="51">
        <f t="shared" si="2"/>
        <v>0</v>
      </c>
      <c r="V9" s="58">
        <f>'Data 15'!V109</f>
        <v>5.2083333333333301E-2</v>
      </c>
      <c r="W9" s="51">
        <f>ROUNDUP(IF(AND(OR('Input &amp; Findings'!$G$39="E-Bound",'Input &amp; Findings'!$G$40="E-Bound"),'RTF 1'!$D$8="E-Bound"),'RTF 1'!$M18,IF(AND(OR('Input &amp; Findings'!$G$39="E-Bound",'Input &amp; Findings'!$G$40="E-Bound"),'RTF 2'!$D$8="E-Bound"),'RTF 2'!$M18,'Data 15'!W109)),0)</f>
        <v>0</v>
      </c>
      <c r="X9" s="51">
        <f>'Data 15'!X109</f>
        <v>0</v>
      </c>
      <c r="Y9" s="51">
        <f>'Data 15'!Y109</f>
        <v>0</v>
      </c>
      <c r="Z9" s="51">
        <f>'Data 15'!Z109</f>
        <v>0</v>
      </c>
      <c r="AA9" s="51">
        <f>'Data 15'!AA109</f>
        <v>0</v>
      </c>
      <c r="AB9" s="51">
        <f t="shared" si="3"/>
        <v>0</v>
      </c>
      <c r="AC9" s="58">
        <f>'Data 15'!AC109</f>
        <v>5.2083333333333301E-2</v>
      </c>
      <c r="AE9" s="57"/>
    </row>
    <row r="10" spans="1:55" x14ac:dyDescent="0.25">
      <c r="A10" s="58">
        <f>'Data 15'!A110</f>
        <v>6.25E-2</v>
      </c>
      <c r="B10" s="51">
        <f>ROUNDUP(IF(AND(OR('Input &amp; Findings'!$G$39="S-Bound",'Input &amp; Findings'!$G$40="S-Bound"),'RTF 1'!$D$8="S-Bound"),'RTF 1'!$M19,IF(AND(OR('Input &amp; Findings'!$G$39="S-Bound",'Input &amp; Findings'!$G$40="S-Bound"),'RTF 2'!$D$8="S-Bound"),'RTF 2'!$M19,'Data 15'!B110)),0)</f>
        <v>0</v>
      </c>
      <c r="C10" s="51">
        <f>'Data 15'!C110</f>
        <v>0</v>
      </c>
      <c r="D10" s="51">
        <f>'Data 15'!D110</f>
        <v>0</v>
      </c>
      <c r="E10" s="51">
        <f>'Data 15'!E110</f>
        <v>0</v>
      </c>
      <c r="F10" s="51">
        <f>'Data 15'!F110</f>
        <v>0</v>
      </c>
      <c r="G10" s="51">
        <f t="shared" si="0"/>
        <v>0</v>
      </c>
      <c r="H10" s="58">
        <f>'Data 15'!H110</f>
        <v>6.25E-2</v>
      </c>
      <c r="I10" s="51">
        <f>ROUNDUP(IF(AND(OR('Input &amp; Findings'!$G$39="W-Bound",'Input &amp; Findings'!$G$40="W-Bound"),'RTF 1'!$D$8="W-Bound"),'RTF 1'!$M19,IF(AND(OR('Input &amp; Findings'!$G$39="W-Bound",'Input &amp; Findings'!$G$40="W-Bound"),'RTF 2'!$D$8="W-Bound"),'RTF 2'!$M19,'Data 15'!I110)),0)</f>
        <v>0</v>
      </c>
      <c r="J10" s="51">
        <f>'Data 15'!J110</f>
        <v>0</v>
      </c>
      <c r="K10" s="51">
        <f>'Data 15'!K110</f>
        <v>0</v>
      </c>
      <c r="L10" s="51">
        <f>'Data 15'!L110</f>
        <v>0</v>
      </c>
      <c r="M10" s="51">
        <f>'Data 15'!M110</f>
        <v>0</v>
      </c>
      <c r="N10" s="51">
        <f t="shared" si="1"/>
        <v>0</v>
      </c>
      <c r="O10" s="58">
        <f>'Data 15'!O110</f>
        <v>6.25E-2</v>
      </c>
      <c r="P10" s="51">
        <f>ROUNDUP(IF(AND(OR('Input &amp; Findings'!$G$39="N-Bound",'Input &amp; Findings'!$G$40="N-Bound"),'RTF 1'!$D$8="N-Bound"),'RTF 1'!$M19,IF(AND(OR('Input &amp; Findings'!$G$39="N-Bound",'Input &amp; Findings'!$G$40="N-Bound"),'RTF 2'!$D$8="N-Bound"),'RTF 2'!$M19,'Data 15'!P110)),0)</f>
        <v>0</v>
      </c>
      <c r="Q10" s="51">
        <f>'Data 15'!Q110</f>
        <v>0</v>
      </c>
      <c r="R10" s="51">
        <f>'Data 15'!R110</f>
        <v>0</v>
      </c>
      <c r="S10" s="51">
        <f>'Data 15'!S110</f>
        <v>0</v>
      </c>
      <c r="T10" s="51">
        <f>'Data 15'!T110</f>
        <v>0</v>
      </c>
      <c r="U10" s="51">
        <f t="shared" si="2"/>
        <v>0</v>
      </c>
      <c r="V10" s="58">
        <f>'Data 15'!V110</f>
        <v>6.25E-2</v>
      </c>
      <c r="W10" s="51">
        <f>ROUNDUP(IF(AND(OR('Input &amp; Findings'!$G$39="E-Bound",'Input &amp; Findings'!$G$40="E-Bound"),'RTF 1'!$D$8="E-Bound"),'RTF 1'!$M19,IF(AND(OR('Input &amp; Findings'!$G$39="E-Bound",'Input &amp; Findings'!$G$40="E-Bound"),'RTF 2'!$D$8="E-Bound"),'RTF 2'!$M19,'Data 15'!W110)),0)</f>
        <v>0</v>
      </c>
      <c r="X10" s="51">
        <f>'Data 15'!X110</f>
        <v>0</v>
      </c>
      <c r="Y10" s="51">
        <f>'Data 15'!Y110</f>
        <v>0</v>
      </c>
      <c r="Z10" s="51">
        <f>'Data 15'!Z110</f>
        <v>0</v>
      </c>
      <c r="AA10" s="51">
        <f>'Data 15'!AA110</f>
        <v>0</v>
      </c>
      <c r="AB10" s="51">
        <f t="shared" si="3"/>
        <v>0</v>
      </c>
      <c r="AC10" s="58">
        <f>'Data 15'!AC110</f>
        <v>6.25E-2</v>
      </c>
      <c r="AE10" s="57"/>
    </row>
    <row r="11" spans="1:55" x14ac:dyDescent="0.25">
      <c r="A11" s="58">
        <f>'Data 15'!A111</f>
        <v>7.2916666666666699E-2</v>
      </c>
      <c r="B11" s="51">
        <f>ROUNDUP(IF(AND(OR('Input &amp; Findings'!$G$39="S-Bound",'Input &amp; Findings'!$G$40="S-Bound"),'RTF 1'!$D$8="S-Bound"),'RTF 1'!$M20,IF(AND(OR('Input &amp; Findings'!$G$39="S-Bound",'Input &amp; Findings'!$G$40="S-Bound"),'RTF 2'!$D$8="S-Bound"),'RTF 2'!$M20,'Data 15'!B111)),0)</f>
        <v>0</v>
      </c>
      <c r="C11" s="51">
        <f>'Data 15'!C111</f>
        <v>0</v>
      </c>
      <c r="D11" s="51">
        <f>'Data 15'!D111</f>
        <v>0</v>
      </c>
      <c r="E11" s="51">
        <f>'Data 15'!E111</f>
        <v>0</v>
      </c>
      <c r="F11" s="51">
        <f>'Data 15'!F111</f>
        <v>0</v>
      </c>
      <c r="G11" s="51">
        <f t="shared" si="0"/>
        <v>0</v>
      </c>
      <c r="H11" s="58">
        <f>'Data 15'!H111</f>
        <v>7.2916666666666699E-2</v>
      </c>
      <c r="I11" s="51">
        <f>ROUNDUP(IF(AND(OR('Input &amp; Findings'!$G$39="W-Bound",'Input &amp; Findings'!$G$40="W-Bound"),'RTF 1'!$D$8="W-Bound"),'RTF 1'!$M20,IF(AND(OR('Input &amp; Findings'!$G$39="W-Bound",'Input &amp; Findings'!$G$40="W-Bound"),'RTF 2'!$D$8="W-Bound"),'RTF 2'!$M20,'Data 15'!I111)),0)</f>
        <v>0</v>
      </c>
      <c r="J11" s="51">
        <f>'Data 15'!J111</f>
        <v>0</v>
      </c>
      <c r="K11" s="51">
        <f>'Data 15'!K111</f>
        <v>0</v>
      </c>
      <c r="L11" s="51">
        <f>'Data 15'!L111</f>
        <v>0</v>
      </c>
      <c r="M11" s="51">
        <f>'Data 15'!M111</f>
        <v>0</v>
      </c>
      <c r="N11" s="51">
        <f t="shared" si="1"/>
        <v>0</v>
      </c>
      <c r="O11" s="58">
        <f>'Data 15'!O111</f>
        <v>7.2916666666666699E-2</v>
      </c>
      <c r="P11" s="51">
        <f>ROUNDUP(IF(AND(OR('Input &amp; Findings'!$G$39="N-Bound",'Input &amp; Findings'!$G$40="N-Bound"),'RTF 1'!$D$8="N-Bound"),'RTF 1'!$M20,IF(AND(OR('Input &amp; Findings'!$G$39="N-Bound",'Input &amp; Findings'!$G$40="N-Bound"),'RTF 2'!$D$8="N-Bound"),'RTF 2'!$M20,'Data 15'!P111)),0)</f>
        <v>0</v>
      </c>
      <c r="Q11" s="51">
        <f>'Data 15'!Q111</f>
        <v>0</v>
      </c>
      <c r="R11" s="51">
        <f>'Data 15'!R111</f>
        <v>0</v>
      </c>
      <c r="S11" s="51">
        <f>'Data 15'!S111</f>
        <v>0</v>
      </c>
      <c r="T11" s="51">
        <f>'Data 15'!T111</f>
        <v>0</v>
      </c>
      <c r="U11" s="51">
        <f t="shared" si="2"/>
        <v>0</v>
      </c>
      <c r="V11" s="58">
        <f>'Data 15'!V111</f>
        <v>7.2916666666666699E-2</v>
      </c>
      <c r="W11" s="51">
        <f>ROUNDUP(IF(AND(OR('Input &amp; Findings'!$G$39="E-Bound",'Input &amp; Findings'!$G$40="E-Bound"),'RTF 1'!$D$8="E-Bound"),'RTF 1'!$M20,IF(AND(OR('Input &amp; Findings'!$G$39="E-Bound",'Input &amp; Findings'!$G$40="E-Bound"),'RTF 2'!$D$8="E-Bound"),'RTF 2'!$M20,'Data 15'!W111)),0)</f>
        <v>0</v>
      </c>
      <c r="X11" s="51">
        <f>'Data 15'!X111</f>
        <v>0</v>
      </c>
      <c r="Y11" s="51">
        <f>'Data 15'!Y111</f>
        <v>0</v>
      </c>
      <c r="Z11" s="51">
        <f>'Data 15'!Z111</f>
        <v>0</v>
      </c>
      <c r="AA11" s="51">
        <f>'Data 15'!AA111</f>
        <v>0</v>
      </c>
      <c r="AB11" s="51">
        <f t="shared" si="3"/>
        <v>0</v>
      </c>
      <c r="AC11" s="58">
        <f>'Data 15'!AC111</f>
        <v>7.2916666666666699E-2</v>
      </c>
      <c r="AE11" s="57"/>
    </row>
    <row r="12" spans="1:55" x14ac:dyDescent="0.25">
      <c r="A12" s="58">
        <f>'Data 15'!A112</f>
        <v>8.3333333333333301E-2</v>
      </c>
      <c r="B12" s="51">
        <f>ROUNDUP(IF(AND(OR('Input &amp; Findings'!$G$39="S-Bound",'Input &amp; Findings'!$G$40="S-Bound"),'RTF 1'!$D$8="S-Bound"),'RTF 1'!$M21,IF(AND(OR('Input &amp; Findings'!$G$39="S-Bound",'Input &amp; Findings'!$G$40="S-Bound"),'RTF 2'!$D$8="S-Bound"),'RTF 2'!$M21,'Data 15'!B112)),0)</f>
        <v>0</v>
      </c>
      <c r="C12" s="51">
        <f>'Data 15'!C112</f>
        <v>0</v>
      </c>
      <c r="D12" s="51">
        <f>'Data 15'!D112</f>
        <v>0</v>
      </c>
      <c r="E12" s="51">
        <f>'Data 15'!E112</f>
        <v>0</v>
      </c>
      <c r="F12" s="51">
        <f>'Data 15'!F112</f>
        <v>0</v>
      </c>
      <c r="G12" s="51">
        <f t="shared" si="0"/>
        <v>0</v>
      </c>
      <c r="H12" s="58">
        <f>'Data 15'!H112</f>
        <v>8.3333333333333301E-2</v>
      </c>
      <c r="I12" s="51">
        <f>ROUNDUP(IF(AND(OR('Input &amp; Findings'!$G$39="W-Bound",'Input &amp; Findings'!$G$40="W-Bound"),'RTF 1'!$D$8="W-Bound"),'RTF 1'!$M21,IF(AND(OR('Input &amp; Findings'!$G$39="W-Bound",'Input &amp; Findings'!$G$40="W-Bound"),'RTF 2'!$D$8="W-Bound"),'RTF 2'!$M21,'Data 15'!I112)),0)</f>
        <v>0</v>
      </c>
      <c r="J12" s="51">
        <f>'Data 15'!J112</f>
        <v>0</v>
      </c>
      <c r="K12" s="51">
        <f>'Data 15'!K112</f>
        <v>0</v>
      </c>
      <c r="L12" s="51">
        <f>'Data 15'!L112</f>
        <v>0</v>
      </c>
      <c r="M12" s="51">
        <f>'Data 15'!M112</f>
        <v>0</v>
      </c>
      <c r="N12" s="51">
        <f t="shared" si="1"/>
        <v>0</v>
      </c>
      <c r="O12" s="58">
        <f>'Data 15'!O112</f>
        <v>8.3333333333333301E-2</v>
      </c>
      <c r="P12" s="51">
        <f>ROUNDUP(IF(AND(OR('Input &amp; Findings'!$G$39="N-Bound",'Input &amp; Findings'!$G$40="N-Bound"),'RTF 1'!$D$8="N-Bound"),'RTF 1'!$M21,IF(AND(OR('Input &amp; Findings'!$G$39="N-Bound",'Input &amp; Findings'!$G$40="N-Bound"),'RTF 2'!$D$8="N-Bound"),'RTF 2'!$M21,'Data 15'!P112)),0)</f>
        <v>0</v>
      </c>
      <c r="Q12" s="51">
        <f>'Data 15'!Q112</f>
        <v>0</v>
      </c>
      <c r="R12" s="51">
        <f>'Data 15'!R112</f>
        <v>0</v>
      </c>
      <c r="S12" s="51">
        <f>'Data 15'!S112</f>
        <v>0</v>
      </c>
      <c r="T12" s="51">
        <f>'Data 15'!T112</f>
        <v>0</v>
      </c>
      <c r="U12" s="51">
        <f t="shared" si="2"/>
        <v>0</v>
      </c>
      <c r="V12" s="58">
        <f>'Data 15'!V112</f>
        <v>8.3333333333333301E-2</v>
      </c>
      <c r="W12" s="51">
        <f>ROUNDUP(IF(AND(OR('Input &amp; Findings'!$G$39="E-Bound",'Input &amp; Findings'!$G$40="E-Bound"),'RTF 1'!$D$8="E-Bound"),'RTF 1'!$M21,IF(AND(OR('Input &amp; Findings'!$G$39="E-Bound",'Input &amp; Findings'!$G$40="E-Bound"),'RTF 2'!$D$8="E-Bound"),'RTF 2'!$M21,'Data 15'!W112)),0)</f>
        <v>0</v>
      </c>
      <c r="X12" s="51">
        <f>'Data 15'!X112</f>
        <v>0</v>
      </c>
      <c r="Y12" s="51">
        <f>'Data 15'!Y112</f>
        <v>0</v>
      </c>
      <c r="Z12" s="51">
        <f>'Data 15'!Z112</f>
        <v>0</v>
      </c>
      <c r="AA12" s="51">
        <f>'Data 15'!AA112</f>
        <v>0</v>
      </c>
      <c r="AB12" s="51">
        <f t="shared" si="3"/>
        <v>0</v>
      </c>
      <c r="AC12" s="58">
        <f>'Data 15'!AC112</f>
        <v>8.3333333333333301E-2</v>
      </c>
      <c r="AE12" s="57"/>
    </row>
    <row r="13" spans="1:55" x14ac:dyDescent="0.25">
      <c r="A13" s="58">
        <f>'Data 15'!A113</f>
        <v>9.375E-2</v>
      </c>
      <c r="B13" s="51">
        <f>ROUNDUP(IF(AND(OR('Input &amp; Findings'!$G$39="S-Bound",'Input &amp; Findings'!$G$40="S-Bound"),'RTF 1'!$D$8="S-Bound"),'RTF 1'!$M22,IF(AND(OR('Input &amp; Findings'!$G$39="S-Bound",'Input &amp; Findings'!$G$40="S-Bound"),'RTF 2'!$D$8="S-Bound"),'RTF 2'!$M22,'Data 15'!B113)),0)</f>
        <v>0</v>
      </c>
      <c r="C13" s="51">
        <f>'Data 15'!C113</f>
        <v>0</v>
      </c>
      <c r="D13" s="51">
        <f>'Data 15'!D113</f>
        <v>0</v>
      </c>
      <c r="E13" s="51">
        <f>'Data 15'!E113</f>
        <v>0</v>
      </c>
      <c r="F13" s="51">
        <f>'Data 15'!F113</f>
        <v>0</v>
      </c>
      <c r="G13" s="51">
        <f t="shared" si="0"/>
        <v>0</v>
      </c>
      <c r="H13" s="58">
        <f>'Data 15'!H113</f>
        <v>9.375E-2</v>
      </c>
      <c r="I13" s="51">
        <f>ROUNDUP(IF(AND(OR('Input &amp; Findings'!$G$39="W-Bound",'Input &amp; Findings'!$G$40="W-Bound"),'RTF 1'!$D$8="W-Bound"),'RTF 1'!$M22,IF(AND(OR('Input &amp; Findings'!$G$39="W-Bound",'Input &amp; Findings'!$G$40="W-Bound"),'RTF 2'!$D$8="W-Bound"),'RTF 2'!$M22,'Data 15'!I113)),0)</f>
        <v>0</v>
      </c>
      <c r="J13" s="51">
        <f>'Data 15'!J113</f>
        <v>0</v>
      </c>
      <c r="K13" s="51">
        <f>'Data 15'!K113</f>
        <v>0</v>
      </c>
      <c r="L13" s="51">
        <f>'Data 15'!L113</f>
        <v>0</v>
      </c>
      <c r="M13" s="51">
        <f>'Data 15'!M113</f>
        <v>0</v>
      </c>
      <c r="N13" s="51">
        <f t="shared" si="1"/>
        <v>0</v>
      </c>
      <c r="O13" s="58">
        <f>'Data 15'!O113</f>
        <v>9.375E-2</v>
      </c>
      <c r="P13" s="51">
        <f>ROUNDUP(IF(AND(OR('Input &amp; Findings'!$G$39="N-Bound",'Input &amp; Findings'!$G$40="N-Bound"),'RTF 1'!$D$8="N-Bound"),'RTF 1'!$M22,IF(AND(OR('Input &amp; Findings'!$G$39="N-Bound",'Input &amp; Findings'!$G$40="N-Bound"),'RTF 2'!$D$8="N-Bound"),'RTF 2'!$M22,'Data 15'!P113)),0)</f>
        <v>0</v>
      </c>
      <c r="Q13" s="51">
        <f>'Data 15'!Q113</f>
        <v>0</v>
      </c>
      <c r="R13" s="51">
        <f>'Data 15'!R113</f>
        <v>0</v>
      </c>
      <c r="S13" s="51">
        <f>'Data 15'!S113</f>
        <v>0</v>
      </c>
      <c r="T13" s="51">
        <f>'Data 15'!T113</f>
        <v>0</v>
      </c>
      <c r="U13" s="51">
        <f t="shared" si="2"/>
        <v>0</v>
      </c>
      <c r="V13" s="58">
        <f>'Data 15'!V113</f>
        <v>9.375E-2</v>
      </c>
      <c r="W13" s="51">
        <f>ROUNDUP(IF(AND(OR('Input &amp; Findings'!$G$39="E-Bound",'Input &amp; Findings'!$G$40="E-Bound"),'RTF 1'!$D$8="E-Bound"),'RTF 1'!$M22,IF(AND(OR('Input &amp; Findings'!$G$39="E-Bound",'Input &amp; Findings'!$G$40="E-Bound"),'RTF 2'!$D$8="E-Bound"),'RTF 2'!$M22,'Data 15'!W113)),0)</f>
        <v>0</v>
      </c>
      <c r="X13" s="51">
        <f>'Data 15'!X113</f>
        <v>0</v>
      </c>
      <c r="Y13" s="51">
        <f>'Data 15'!Y113</f>
        <v>0</v>
      </c>
      <c r="Z13" s="51">
        <f>'Data 15'!Z113</f>
        <v>0</v>
      </c>
      <c r="AA13" s="51">
        <f>'Data 15'!AA113</f>
        <v>0</v>
      </c>
      <c r="AB13" s="51">
        <f t="shared" si="3"/>
        <v>0</v>
      </c>
      <c r="AC13" s="58">
        <f>'Data 15'!AC113</f>
        <v>9.375E-2</v>
      </c>
      <c r="AE13" s="57"/>
    </row>
    <row r="14" spans="1:55" x14ac:dyDescent="0.25">
      <c r="A14" s="58">
        <f>'Data 15'!A114</f>
        <v>0.104166666666667</v>
      </c>
      <c r="B14" s="51">
        <f>ROUNDUP(IF(AND(OR('Input &amp; Findings'!$G$39="S-Bound",'Input &amp; Findings'!$G$40="S-Bound"),'RTF 1'!$D$8="S-Bound"),'RTF 1'!$M23,IF(AND(OR('Input &amp; Findings'!$G$39="S-Bound",'Input &amp; Findings'!$G$40="S-Bound"),'RTF 2'!$D$8="S-Bound"),'RTF 2'!$M23,'Data 15'!B114)),0)</f>
        <v>0</v>
      </c>
      <c r="C14" s="51">
        <f>'Data 15'!C114</f>
        <v>0</v>
      </c>
      <c r="D14" s="51">
        <f>'Data 15'!D114</f>
        <v>0</v>
      </c>
      <c r="E14" s="51">
        <f>'Data 15'!E114</f>
        <v>0</v>
      </c>
      <c r="F14" s="51">
        <f>'Data 15'!F114</f>
        <v>0</v>
      </c>
      <c r="G14" s="51">
        <f t="shared" si="0"/>
        <v>0</v>
      </c>
      <c r="H14" s="58">
        <f>'Data 15'!H114</f>
        <v>0.104166666666667</v>
      </c>
      <c r="I14" s="51">
        <f>ROUNDUP(IF(AND(OR('Input &amp; Findings'!$G$39="W-Bound",'Input &amp; Findings'!$G$40="W-Bound"),'RTF 1'!$D$8="W-Bound"),'RTF 1'!$M23,IF(AND(OR('Input &amp; Findings'!$G$39="W-Bound",'Input &amp; Findings'!$G$40="W-Bound"),'RTF 2'!$D$8="W-Bound"),'RTF 2'!$M23,'Data 15'!I114)),0)</f>
        <v>0</v>
      </c>
      <c r="J14" s="51">
        <f>'Data 15'!J114</f>
        <v>0</v>
      </c>
      <c r="K14" s="51">
        <f>'Data 15'!K114</f>
        <v>0</v>
      </c>
      <c r="L14" s="51">
        <f>'Data 15'!L114</f>
        <v>0</v>
      </c>
      <c r="M14" s="51">
        <f>'Data 15'!M114</f>
        <v>0</v>
      </c>
      <c r="N14" s="51">
        <f t="shared" si="1"/>
        <v>0</v>
      </c>
      <c r="O14" s="58">
        <f>'Data 15'!O114</f>
        <v>0.104166666666667</v>
      </c>
      <c r="P14" s="51">
        <f>ROUNDUP(IF(AND(OR('Input &amp; Findings'!$G$39="N-Bound",'Input &amp; Findings'!$G$40="N-Bound"),'RTF 1'!$D$8="N-Bound"),'RTF 1'!$M23,IF(AND(OR('Input &amp; Findings'!$G$39="N-Bound",'Input &amp; Findings'!$G$40="N-Bound"),'RTF 2'!$D$8="N-Bound"),'RTF 2'!$M23,'Data 15'!P114)),0)</f>
        <v>0</v>
      </c>
      <c r="Q14" s="51">
        <f>'Data 15'!Q114</f>
        <v>0</v>
      </c>
      <c r="R14" s="51">
        <f>'Data 15'!R114</f>
        <v>0</v>
      </c>
      <c r="S14" s="51">
        <f>'Data 15'!S114</f>
        <v>0</v>
      </c>
      <c r="T14" s="51">
        <f>'Data 15'!T114</f>
        <v>0</v>
      </c>
      <c r="U14" s="51">
        <f t="shared" si="2"/>
        <v>0</v>
      </c>
      <c r="V14" s="58">
        <f>'Data 15'!V114</f>
        <v>0.104166666666667</v>
      </c>
      <c r="W14" s="51">
        <f>ROUNDUP(IF(AND(OR('Input &amp; Findings'!$G$39="E-Bound",'Input &amp; Findings'!$G$40="E-Bound"),'RTF 1'!$D$8="E-Bound"),'RTF 1'!$M23,IF(AND(OR('Input &amp; Findings'!$G$39="E-Bound",'Input &amp; Findings'!$G$40="E-Bound"),'RTF 2'!$D$8="E-Bound"),'RTF 2'!$M23,'Data 15'!W114)),0)</f>
        <v>0</v>
      </c>
      <c r="X14" s="51">
        <f>'Data 15'!X114</f>
        <v>0</v>
      </c>
      <c r="Y14" s="51">
        <f>'Data 15'!Y114</f>
        <v>0</v>
      </c>
      <c r="Z14" s="51">
        <f>'Data 15'!Z114</f>
        <v>0</v>
      </c>
      <c r="AA14" s="51">
        <f>'Data 15'!AA114</f>
        <v>0</v>
      </c>
      <c r="AB14" s="51">
        <f t="shared" si="3"/>
        <v>0</v>
      </c>
      <c r="AC14" s="58">
        <f>'Data 15'!AC114</f>
        <v>0.104166666666667</v>
      </c>
      <c r="AE14" s="57"/>
    </row>
    <row r="15" spans="1:55" x14ac:dyDescent="0.25">
      <c r="A15" s="58">
        <f>'Data 15'!A115</f>
        <v>0.114583333333333</v>
      </c>
      <c r="B15" s="51">
        <f>ROUNDUP(IF(AND(OR('Input &amp; Findings'!$G$39="S-Bound",'Input &amp; Findings'!$G$40="S-Bound"),'RTF 1'!$D$8="S-Bound"),'RTF 1'!$M24,IF(AND(OR('Input &amp; Findings'!$G$39="S-Bound",'Input &amp; Findings'!$G$40="S-Bound"),'RTF 2'!$D$8="S-Bound"),'RTF 2'!$M24,'Data 15'!B115)),0)</f>
        <v>0</v>
      </c>
      <c r="C15" s="51">
        <f>'Data 15'!C115</f>
        <v>0</v>
      </c>
      <c r="D15" s="51">
        <f>'Data 15'!D115</f>
        <v>0</v>
      </c>
      <c r="E15" s="51">
        <f>'Data 15'!E115</f>
        <v>0</v>
      </c>
      <c r="F15" s="51">
        <f>'Data 15'!F115</f>
        <v>0</v>
      </c>
      <c r="G15" s="51">
        <f t="shared" si="0"/>
        <v>0</v>
      </c>
      <c r="H15" s="58">
        <f>'Data 15'!H115</f>
        <v>0.114583333333333</v>
      </c>
      <c r="I15" s="51">
        <f>ROUNDUP(IF(AND(OR('Input &amp; Findings'!$G$39="W-Bound",'Input &amp; Findings'!$G$40="W-Bound"),'RTF 1'!$D$8="W-Bound"),'RTF 1'!$M24,IF(AND(OR('Input &amp; Findings'!$G$39="W-Bound",'Input &amp; Findings'!$G$40="W-Bound"),'RTF 2'!$D$8="W-Bound"),'RTF 2'!$M24,'Data 15'!I115)),0)</f>
        <v>0</v>
      </c>
      <c r="J15" s="51">
        <f>'Data 15'!J115</f>
        <v>0</v>
      </c>
      <c r="K15" s="51">
        <f>'Data 15'!K115</f>
        <v>0</v>
      </c>
      <c r="L15" s="51">
        <f>'Data 15'!L115</f>
        <v>0</v>
      </c>
      <c r="M15" s="51">
        <f>'Data 15'!M115</f>
        <v>0</v>
      </c>
      <c r="N15" s="51">
        <f t="shared" si="1"/>
        <v>0</v>
      </c>
      <c r="O15" s="58">
        <f>'Data 15'!O115</f>
        <v>0.114583333333333</v>
      </c>
      <c r="P15" s="51">
        <f>ROUNDUP(IF(AND(OR('Input &amp; Findings'!$G$39="N-Bound",'Input &amp; Findings'!$G$40="N-Bound"),'RTF 1'!$D$8="N-Bound"),'RTF 1'!$M24,IF(AND(OR('Input &amp; Findings'!$G$39="N-Bound",'Input &amp; Findings'!$G$40="N-Bound"),'RTF 2'!$D$8="N-Bound"),'RTF 2'!$M24,'Data 15'!P115)),0)</f>
        <v>0</v>
      </c>
      <c r="Q15" s="51">
        <f>'Data 15'!Q115</f>
        <v>0</v>
      </c>
      <c r="R15" s="51">
        <f>'Data 15'!R115</f>
        <v>0</v>
      </c>
      <c r="S15" s="51">
        <f>'Data 15'!S115</f>
        <v>0</v>
      </c>
      <c r="T15" s="51">
        <f>'Data 15'!T115</f>
        <v>0</v>
      </c>
      <c r="U15" s="51">
        <f t="shared" si="2"/>
        <v>0</v>
      </c>
      <c r="V15" s="58">
        <f>'Data 15'!V115</f>
        <v>0.114583333333333</v>
      </c>
      <c r="W15" s="51">
        <f>ROUNDUP(IF(AND(OR('Input &amp; Findings'!$G$39="E-Bound",'Input &amp; Findings'!$G$40="E-Bound"),'RTF 1'!$D$8="E-Bound"),'RTF 1'!$M24,IF(AND(OR('Input &amp; Findings'!$G$39="E-Bound",'Input &amp; Findings'!$G$40="E-Bound"),'RTF 2'!$D$8="E-Bound"),'RTF 2'!$M24,'Data 15'!W115)),0)</f>
        <v>0</v>
      </c>
      <c r="X15" s="51">
        <f>'Data 15'!X115</f>
        <v>0</v>
      </c>
      <c r="Y15" s="51">
        <f>'Data 15'!Y115</f>
        <v>0</v>
      </c>
      <c r="Z15" s="51">
        <f>'Data 15'!Z115</f>
        <v>0</v>
      </c>
      <c r="AA15" s="51">
        <f>'Data 15'!AA115</f>
        <v>0</v>
      </c>
      <c r="AB15" s="51">
        <f t="shared" si="3"/>
        <v>0</v>
      </c>
      <c r="AC15" s="58">
        <f>'Data 15'!AC115</f>
        <v>0.114583333333333</v>
      </c>
      <c r="AE15" s="57"/>
    </row>
    <row r="16" spans="1:55" x14ac:dyDescent="0.25">
      <c r="A16" s="58">
        <f>'Data 15'!A116</f>
        <v>0.125</v>
      </c>
      <c r="B16" s="51">
        <f>ROUNDUP(IF(AND(OR('Input &amp; Findings'!$G$39="S-Bound",'Input &amp; Findings'!$G$40="S-Bound"),'RTF 1'!$D$8="S-Bound"),'RTF 1'!$M25,IF(AND(OR('Input &amp; Findings'!$G$39="S-Bound",'Input &amp; Findings'!$G$40="S-Bound"),'RTF 2'!$D$8="S-Bound"),'RTF 2'!$M25,'Data 15'!B116)),0)</f>
        <v>0</v>
      </c>
      <c r="C16" s="51">
        <f>'Data 15'!C116</f>
        <v>0</v>
      </c>
      <c r="D16" s="51">
        <f>'Data 15'!D116</f>
        <v>0</v>
      </c>
      <c r="E16" s="51">
        <f>'Data 15'!E116</f>
        <v>0</v>
      </c>
      <c r="F16" s="51">
        <f>'Data 15'!F116</f>
        <v>0</v>
      </c>
      <c r="G16" s="51">
        <f t="shared" si="0"/>
        <v>0</v>
      </c>
      <c r="H16" s="58">
        <f>'Data 15'!H116</f>
        <v>0.125</v>
      </c>
      <c r="I16" s="51">
        <f>ROUNDUP(IF(AND(OR('Input &amp; Findings'!$G$39="W-Bound",'Input &amp; Findings'!$G$40="W-Bound"),'RTF 1'!$D$8="W-Bound"),'RTF 1'!$M25,IF(AND(OR('Input &amp; Findings'!$G$39="W-Bound",'Input &amp; Findings'!$G$40="W-Bound"),'RTF 2'!$D$8="W-Bound"),'RTF 2'!$M25,'Data 15'!I116)),0)</f>
        <v>0</v>
      </c>
      <c r="J16" s="51">
        <f>'Data 15'!J116</f>
        <v>0</v>
      </c>
      <c r="K16" s="51">
        <f>'Data 15'!K116</f>
        <v>0</v>
      </c>
      <c r="L16" s="51">
        <f>'Data 15'!L116</f>
        <v>0</v>
      </c>
      <c r="M16" s="51">
        <f>'Data 15'!M116</f>
        <v>0</v>
      </c>
      <c r="N16" s="51">
        <f t="shared" si="1"/>
        <v>0</v>
      </c>
      <c r="O16" s="58">
        <f>'Data 15'!O116</f>
        <v>0.125</v>
      </c>
      <c r="P16" s="51">
        <f>ROUNDUP(IF(AND(OR('Input &amp; Findings'!$G$39="N-Bound",'Input &amp; Findings'!$G$40="N-Bound"),'RTF 1'!$D$8="N-Bound"),'RTF 1'!$M25,IF(AND(OR('Input &amp; Findings'!$G$39="N-Bound",'Input &amp; Findings'!$G$40="N-Bound"),'RTF 2'!$D$8="N-Bound"),'RTF 2'!$M25,'Data 15'!P116)),0)</f>
        <v>0</v>
      </c>
      <c r="Q16" s="51">
        <f>'Data 15'!Q116</f>
        <v>0</v>
      </c>
      <c r="R16" s="51">
        <f>'Data 15'!R116</f>
        <v>0</v>
      </c>
      <c r="S16" s="51">
        <f>'Data 15'!S116</f>
        <v>0</v>
      </c>
      <c r="T16" s="51">
        <f>'Data 15'!T116</f>
        <v>0</v>
      </c>
      <c r="U16" s="51">
        <f t="shared" si="2"/>
        <v>0</v>
      </c>
      <c r="V16" s="58">
        <f>'Data 15'!V116</f>
        <v>0.125</v>
      </c>
      <c r="W16" s="51">
        <f>ROUNDUP(IF(AND(OR('Input &amp; Findings'!$G$39="E-Bound",'Input &amp; Findings'!$G$40="E-Bound"),'RTF 1'!$D$8="E-Bound"),'RTF 1'!$M25,IF(AND(OR('Input &amp; Findings'!$G$39="E-Bound",'Input &amp; Findings'!$G$40="E-Bound"),'RTF 2'!$D$8="E-Bound"),'RTF 2'!$M25,'Data 15'!W116)),0)</f>
        <v>0</v>
      </c>
      <c r="X16" s="51">
        <f>'Data 15'!X116</f>
        <v>0</v>
      </c>
      <c r="Y16" s="51">
        <f>'Data 15'!Y116</f>
        <v>0</v>
      </c>
      <c r="Z16" s="51">
        <f>'Data 15'!Z116</f>
        <v>0</v>
      </c>
      <c r="AA16" s="51">
        <f>'Data 15'!AA116</f>
        <v>0</v>
      </c>
      <c r="AB16" s="51">
        <f t="shared" si="3"/>
        <v>0</v>
      </c>
      <c r="AC16" s="58">
        <f>'Data 15'!AC116</f>
        <v>0.125</v>
      </c>
      <c r="AE16" s="57"/>
    </row>
    <row r="17" spans="1:31" x14ac:dyDescent="0.25">
      <c r="A17" s="58">
        <f>'Data 15'!A117</f>
        <v>0.13541666666666699</v>
      </c>
      <c r="B17" s="51">
        <f>ROUNDUP(IF(AND(OR('Input &amp; Findings'!$G$39="S-Bound",'Input &amp; Findings'!$G$40="S-Bound"),'RTF 1'!$D$8="S-Bound"),'RTF 1'!$M26,IF(AND(OR('Input &amp; Findings'!$G$39="S-Bound",'Input &amp; Findings'!$G$40="S-Bound"),'RTF 2'!$D$8="S-Bound"),'RTF 2'!$M26,'Data 15'!B117)),0)</f>
        <v>0</v>
      </c>
      <c r="C17" s="51">
        <f>'Data 15'!C117</f>
        <v>0</v>
      </c>
      <c r="D17" s="51">
        <f>'Data 15'!D117</f>
        <v>0</v>
      </c>
      <c r="E17" s="51">
        <f>'Data 15'!E117</f>
        <v>0</v>
      </c>
      <c r="F17" s="51">
        <f>'Data 15'!F117</f>
        <v>0</v>
      </c>
      <c r="G17" s="51">
        <f t="shared" si="0"/>
        <v>0</v>
      </c>
      <c r="H17" s="58">
        <f>'Data 15'!H117</f>
        <v>0.13541666666666699</v>
      </c>
      <c r="I17" s="51">
        <f>ROUNDUP(IF(AND(OR('Input &amp; Findings'!$G$39="W-Bound",'Input &amp; Findings'!$G$40="W-Bound"),'RTF 1'!$D$8="W-Bound"),'RTF 1'!$M26,IF(AND(OR('Input &amp; Findings'!$G$39="W-Bound",'Input &amp; Findings'!$G$40="W-Bound"),'RTF 2'!$D$8="W-Bound"),'RTF 2'!$M26,'Data 15'!I117)),0)</f>
        <v>0</v>
      </c>
      <c r="J17" s="51">
        <f>'Data 15'!J117</f>
        <v>0</v>
      </c>
      <c r="K17" s="51">
        <f>'Data 15'!K117</f>
        <v>0</v>
      </c>
      <c r="L17" s="51">
        <f>'Data 15'!L117</f>
        <v>0</v>
      </c>
      <c r="M17" s="51">
        <f>'Data 15'!M117</f>
        <v>0</v>
      </c>
      <c r="N17" s="51">
        <f t="shared" si="1"/>
        <v>0</v>
      </c>
      <c r="O17" s="58">
        <f>'Data 15'!O117</f>
        <v>0.13541666666666699</v>
      </c>
      <c r="P17" s="51">
        <f>ROUNDUP(IF(AND(OR('Input &amp; Findings'!$G$39="N-Bound",'Input &amp; Findings'!$G$40="N-Bound"),'RTF 1'!$D$8="N-Bound"),'RTF 1'!$M26,IF(AND(OR('Input &amp; Findings'!$G$39="N-Bound",'Input &amp; Findings'!$G$40="N-Bound"),'RTF 2'!$D$8="N-Bound"),'RTF 2'!$M26,'Data 15'!P117)),0)</f>
        <v>0</v>
      </c>
      <c r="Q17" s="51">
        <f>'Data 15'!Q117</f>
        <v>0</v>
      </c>
      <c r="R17" s="51">
        <f>'Data 15'!R117</f>
        <v>0</v>
      </c>
      <c r="S17" s="51">
        <f>'Data 15'!S117</f>
        <v>0</v>
      </c>
      <c r="T17" s="51">
        <f>'Data 15'!T117</f>
        <v>0</v>
      </c>
      <c r="U17" s="51">
        <f t="shared" si="2"/>
        <v>0</v>
      </c>
      <c r="V17" s="58">
        <f>'Data 15'!V117</f>
        <v>0.13541666666666699</v>
      </c>
      <c r="W17" s="51">
        <f>ROUNDUP(IF(AND(OR('Input &amp; Findings'!$G$39="E-Bound",'Input &amp; Findings'!$G$40="E-Bound"),'RTF 1'!$D$8="E-Bound"),'RTF 1'!$M26,IF(AND(OR('Input &amp; Findings'!$G$39="E-Bound",'Input &amp; Findings'!$G$40="E-Bound"),'RTF 2'!$D$8="E-Bound"),'RTF 2'!$M26,'Data 15'!W117)),0)</f>
        <v>0</v>
      </c>
      <c r="X17" s="51">
        <f>'Data 15'!X117</f>
        <v>0</v>
      </c>
      <c r="Y17" s="51">
        <f>'Data 15'!Y117</f>
        <v>0</v>
      </c>
      <c r="Z17" s="51">
        <f>'Data 15'!Z117</f>
        <v>0</v>
      </c>
      <c r="AA17" s="51">
        <f>'Data 15'!AA117</f>
        <v>0</v>
      </c>
      <c r="AB17" s="51">
        <f t="shared" si="3"/>
        <v>0</v>
      </c>
      <c r="AC17" s="58">
        <f>'Data 15'!AC117</f>
        <v>0.13541666666666699</v>
      </c>
      <c r="AE17" s="57"/>
    </row>
    <row r="18" spans="1:31" x14ac:dyDescent="0.25">
      <c r="A18" s="58">
        <f>'Data 15'!A118</f>
        <v>0.14583333333333301</v>
      </c>
      <c r="B18" s="51">
        <f>ROUNDUP(IF(AND(OR('Input &amp; Findings'!$G$39="S-Bound",'Input &amp; Findings'!$G$40="S-Bound"),'RTF 1'!$D$8="S-Bound"),'RTF 1'!$M27,IF(AND(OR('Input &amp; Findings'!$G$39="S-Bound",'Input &amp; Findings'!$G$40="S-Bound"),'RTF 2'!$D$8="S-Bound"),'RTF 2'!$M27,'Data 15'!B118)),0)</f>
        <v>0</v>
      </c>
      <c r="C18" s="51">
        <f>'Data 15'!C118</f>
        <v>0</v>
      </c>
      <c r="D18" s="51">
        <f>'Data 15'!D118</f>
        <v>0</v>
      </c>
      <c r="E18" s="51">
        <f>'Data 15'!E118</f>
        <v>0</v>
      </c>
      <c r="F18" s="51">
        <f>'Data 15'!F118</f>
        <v>0</v>
      </c>
      <c r="G18" s="51">
        <f t="shared" si="0"/>
        <v>0</v>
      </c>
      <c r="H18" s="58">
        <f>'Data 15'!H118</f>
        <v>0.14583333333333301</v>
      </c>
      <c r="I18" s="51">
        <f>ROUNDUP(IF(AND(OR('Input &amp; Findings'!$G$39="W-Bound",'Input &amp; Findings'!$G$40="W-Bound"),'RTF 1'!$D$8="W-Bound"),'RTF 1'!$M27,IF(AND(OR('Input &amp; Findings'!$G$39="W-Bound",'Input &amp; Findings'!$G$40="W-Bound"),'RTF 2'!$D$8="W-Bound"),'RTF 2'!$M27,'Data 15'!I118)),0)</f>
        <v>0</v>
      </c>
      <c r="J18" s="51">
        <f>'Data 15'!J118</f>
        <v>0</v>
      </c>
      <c r="K18" s="51">
        <f>'Data 15'!K118</f>
        <v>0</v>
      </c>
      <c r="L18" s="51">
        <f>'Data 15'!L118</f>
        <v>0</v>
      </c>
      <c r="M18" s="51">
        <f>'Data 15'!M118</f>
        <v>0</v>
      </c>
      <c r="N18" s="51">
        <f t="shared" si="1"/>
        <v>0</v>
      </c>
      <c r="O18" s="58">
        <f>'Data 15'!O118</f>
        <v>0.14583333333333301</v>
      </c>
      <c r="P18" s="51">
        <f>ROUNDUP(IF(AND(OR('Input &amp; Findings'!$G$39="N-Bound",'Input &amp; Findings'!$G$40="N-Bound"),'RTF 1'!$D$8="N-Bound"),'RTF 1'!$M27,IF(AND(OR('Input &amp; Findings'!$G$39="N-Bound",'Input &amp; Findings'!$G$40="N-Bound"),'RTF 2'!$D$8="N-Bound"),'RTF 2'!$M27,'Data 15'!P118)),0)</f>
        <v>0</v>
      </c>
      <c r="Q18" s="51">
        <f>'Data 15'!Q118</f>
        <v>0</v>
      </c>
      <c r="R18" s="51">
        <f>'Data 15'!R118</f>
        <v>0</v>
      </c>
      <c r="S18" s="51">
        <f>'Data 15'!S118</f>
        <v>0</v>
      </c>
      <c r="T18" s="51">
        <f>'Data 15'!T118</f>
        <v>0</v>
      </c>
      <c r="U18" s="51">
        <f t="shared" si="2"/>
        <v>0</v>
      </c>
      <c r="V18" s="58">
        <f>'Data 15'!V118</f>
        <v>0.14583333333333301</v>
      </c>
      <c r="W18" s="51">
        <f>ROUNDUP(IF(AND(OR('Input &amp; Findings'!$G$39="E-Bound",'Input &amp; Findings'!$G$40="E-Bound"),'RTF 1'!$D$8="E-Bound"),'RTF 1'!$M27,IF(AND(OR('Input &amp; Findings'!$G$39="E-Bound",'Input &amp; Findings'!$G$40="E-Bound"),'RTF 2'!$D$8="E-Bound"),'RTF 2'!$M27,'Data 15'!W118)),0)</f>
        <v>0</v>
      </c>
      <c r="X18" s="51">
        <f>'Data 15'!X118</f>
        <v>0</v>
      </c>
      <c r="Y18" s="51">
        <f>'Data 15'!Y118</f>
        <v>0</v>
      </c>
      <c r="Z18" s="51">
        <f>'Data 15'!Z118</f>
        <v>0</v>
      </c>
      <c r="AA18" s="51">
        <f>'Data 15'!AA118</f>
        <v>0</v>
      </c>
      <c r="AB18" s="51">
        <f t="shared" si="3"/>
        <v>0</v>
      </c>
      <c r="AC18" s="58">
        <f>'Data 15'!AC118</f>
        <v>0.14583333333333301</v>
      </c>
      <c r="AE18" s="57"/>
    </row>
    <row r="19" spans="1:31" x14ac:dyDescent="0.25">
      <c r="A19" s="58">
        <f>'Data 15'!A119</f>
        <v>0.15625</v>
      </c>
      <c r="B19" s="51">
        <f>ROUNDUP(IF(AND(OR('Input &amp; Findings'!$G$39="S-Bound",'Input &amp; Findings'!$G$40="S-Bound"),'RTF 1'!$D$8="S-Bound"),'RTF 1'!$M28,IF(AND(OR('Input &amp; Findings'!$G$39="S-Bound",'Input &amp; Findings'!$G$40="S-Bound"),'RTF 2'!$D$8="S-Bound"),'RTF 2'!$M28,'Data 15'!B119)),0)</f>
        <v>0</v>
      </c>
      <c r="C19" s="51">
        <f>'Data 15'!C119</f>
        <v>0</v>
      </c>
      <c r="D19" s="51">
        <f>'Data 15'!D119</f>
        <v>0</v>
      </c>
      <c r="E19" s="51">
        <f>'Data 15'!E119</f>
        <v>0</v>
      </c>
      <c r="F19" s="51">
        <f>'Data 15'!F119</f>
        <v>0</v>
      </c>
      <c r="G19" s="51">
        <f t="shared" si="0"/>
        <v>0</v>
      </c>
      <c r="H19" s="58">
        <f>'Data 15'!H119</f>
        <v>0.15625</v>
      </c>
      <c r="I19" s="51">
        <f>ROUNDUP(IF(AND(OR('Input &amp; Findings'!$G$39="W-Bound",'Input &amp; Findings'!$G$40="W-Bound"),'RTF 1'!$D$8="W-Bound"),'RTF 1'!$M28,IF(AND(OR('Input &amp; Findings'!$G$39="W-Bound",'Input &amp; Findings'!$G$40="W-Bound"),'RTF 2'!$D$8="W-Bound"),'RTF 2'!$M28,'Data 15'!I119)),0)</f>
        <v>0</v>
      </c>
      <c r="J19" s="51">
        <f>'Data 15'!J119</f>
        <v>0</v>
      </c>
      <c r="K19" s="51">
        <f>'Data 15'!K119</f>
        <v>0</v>
      </c>
      <c r="L19" s="51">
        <f>'Data 15'!L119</f>
        <v>0</v>
      </c>
      <c r="M19" s="51">
        <f>'Data 15'!M119</f>
        <v>0</v>
      </c>
      <c r="N19" s="51">
        <f t="shared" si="1"/>
        <v>0</v>
      </c>
      <c r="O19" s="58">
        <f>'Data 15'!O119</f>
        <v>0.15625</v>
      </c>
      <c r="P19" s="51">
        <f>ROUNDUP(IF(AND(OR('Input &amp; Findings'!$G$39="N-Bound",'Input &amp; Findings'!$G$40="N-Bound"),'RTF 1'!$D$8="N-Bound"),'RTF 1'!$M28,IF(AND(OR('Input &amp; Findings'!$G$39="N-Bound",'Input &amp; Findings'!$G$40="N-Bound"),'RTF 2'!$D$8="N-Bound"),'RTF 2'!$M28,'Data 15'!P119)),0)</f>
        <v>0</v>
      </c>
      <c r="Q19" s="51">
        <f>'Data 15'!Q119</f>
        <v>0</v>
      </c>
      <c r="R19" s="51">
        <f>'Data 15'!R119</f>
        <v>0</v>
      </c>
      <c r="S19" s="51">
        <f>'Data 15'!S119</f>
        <v>0</v>
      </c>
      <c r="T19" s="51">
        <f>'Data 15'!T119</f>
        <v>0</v>
      </c>
      <c r="U19" s="51">
        <f t="shared" si="2"/>
        <v>0</v>
      </c>
      <c r="V19" s="58">
        <f>'Data 15'!V119</f>
        <v>0.15625</v>
      </c>
      <c r="W19" s="51">
        <f>ROUNDUP(IF(AND(OR('Input &amp; Findings'!$G$39="E-Bound",'Input &amp; Findings'!$G$40="E-Bound"),'RTF 1'!$D$8="E-Bound"),'RTF 1'!$M28,IF(AND(OR('Input &amp; Findings'!$G$39="E-Bound",'Input &amp; Findings'!$G$40="E-Bound"),'RTF 2'!$D$8="E-Bound"),'RTF 2'!$M28,'Data 15'!W119)),0)</f>
        <v>0</v>
      </c>
      <c r="X19" s="51">
        <f>'Data 15'!X119</f>
        <v>0</v>
      </c>
      <c r="Y19" s="51">
        <f>'Data 15'!Y119</f>
        <v>0</v>
      </c>
      <c r="Z19" s="51">
        <f>'Data 15'!Z119</f>
        <v>0</v>
      </c>
      <c r="AA19" s="51">
        <f>'Data 15'!AA119</f>
        <v>0</v>
      </c>
      <c r="AB19" s="51">
        <f t="shared" si="3"/>
        <v>0</v>
      </c>
      <c r="AC19" s="58">
        <f>'Data 15'!AC119</f>
        <v>0.15625</v>
      </c>
      <c r="AE19" s="57"/>
    </row>
    <row r="20" spans="1:31" x14ac:dyDescent="0.25">
      <c r="A20" s="58">
        <f>'Data 15'!A120</f>
        <v>0.16666666666666699</v>
      </c>
      <c r="B20" s="51">
        <f>ROUNDUP(IF(AND(OR('Input &amp; Findings'!$G$39="S-Bound",'Input &amp; Findings'!$G$40="S-Bound"),'RTF 1'!$D$8="S-Bound"),'RTF 1'!$M29,IF(AND(OR('Input &amp; Findings'!$G$39="S-Bound",'Input &amp; Findings'!$G$40="S-Bound"),'RTF 2'!$D$8="S-Bound"),'RTF 2'!$M29,'Data 15'!B120)),0)</f>
        <v>0</v>
      </c>
      <c r="C20" s="51">
        <f>'Data 15'!C120</f>
        <v>0</v>
      </c>
      <c r="D20" s="51">
        <f>'Data 15'!D120</f>
        <v>0</v>
      </c>
      <c r="E20" s="51">
        <f>'Data 15'!E120</f>
        <v>0</v>
      </c>
      <c r="F20" s="51">
        <f>'Data 15'!F120</f>
        <v>0</v>
      </c>
      <c r="G20" s="51">
        <f t="shared" si="0"/>
        <v>0</v>
      </c>
      <c r="H20" s="58">
        <f>'Data 15'!H120</f>
        <v>0.16666666666666699</v>
      </c>
      <c r="I20" s="51">
        <f>ROUNDUP(IF(AND(OR('Input &amp; Findings'!$G$39="W-Bound",'Input &amp; Findings'!$G$40="W-Bound"),'RTF 1'!$D$8="W-Bound"),'RTF 1'!$M29,IF(AND(OR('Input &amp; Findings'!$G$39="W-Bound",'Input &amp; Findings'!$G$40="W-Bound"),'RTF 2'!$D$8="W-Bound"),'RTF 2'!$M29,'Data 15'!I120)),0)</f>
        <v>0</v>
      </c>
      <c r="J20" s="51">
        <f>'Data 15'!J120</f>
        <v>0</v>
      </c>
      <c r="K20" s="51">
        <f>'Data 15'!K120</f>
        <v>0</v>
      </c>
      <c r="L20" s="51">
        <f>'Data 15'!L120</f>
        <v>0</v>
      </c>
      <c r="M20" s="51">
        <f>'Data 15'!M120</f>
        <v>0</v>
      </c>
      <c r="N20" s="51">
        <f t="shared" si="1"/>
        <v>0</v>
      </c>
      <c r="O20" s="58">
        <f>'Data 15'!O120</f>
        <v>0.16666666666666699</v>
      </c>
      <c r="P20" s="51">
        <f>ROUNDUP(IF(AND(OR('Input &amp; Findings'!$G$39="N-Bound",'Input &amp; Findings'!$G$40="N-Bound"),'RTF 1'!$D$8="N-Bound"),'RTF 1'!$M29,IF(AND(OR('Input &amp; Findings'!$G$39="N-Bound",'Input &amp; Findings'!$G$40="N-Bound"),'RTF 2'!$D$8="N-Bound"),'RTF 2'!$M29,'Data 15'!P120)),0)</f>
        <v>0</v>
      </c>
      <c r="Q20" s="51">
        <f>'Data 15'!Q120</f>
        <v>0</v>
      </c>
      <c r="R20" s="51">
        <f>'Data 15'!R120</f>
        <v>0</v>
      </c>
      <c r="S20" s="51">
        <f>'Data 15'!S120</f>
        <v>0</v>
      </c>
      <c r="T20" s="51">
        <f>'Data 15'!T120</f>
        <v>0</v>
      </c>
      <c r="U20" s="51">
        <f t="shared" si="2"/>
        <v>0</v>
      </c>
      <c r="V20" s="58">
        <f>'Data 15'!V120</f>
        <v>0.16666666666666699</v>
      </c>
      <c r="W20" s="51">
        <f>ROUNDUP(IF(AND(OR('Input &amp; Findings'!$G$39="E-Bound",'Input &amp; Findings'!$G$40="E-Bound"),'RTF 1'!$D$8="E-Bound"),'RTF 1'!$M29,IF(AND(OR('Input &amp; Findings'!$G$39="E-Bound",'Input &amp; Findings'!$G$40="E-Bound"),'RTF 2'!$D$8="E-Bound"),'RTF 2'!$M29,'Data 15'!W120)),0)</f>
        <v>0</v>
      </c>
      <c r="X20" s="51">
        <f>'Data 15'!X120</f>
        <v>0</v>
      </c>
      <c r="Y20" s="51">
        <f>'Data 15'!Y120</f>
        <v>0</v>
      </c>
      <c r="Z20" s="51">
        <f>'Data 15'!Z120</f>
        <v>0</v>
      </c>
      <c r="AA20" s="51">
        <f>'Data 15'!AA120</f>
        <v>0</v>
      </c>
      <c r="AB20" s="51">
        <f t="shared" si="3"/>
        <v>0</v>
      </c>
      <c r="AC20" s="58">
        <f>'Data 15'!AC120</f>
        <v>0.16666666666666699</v>
      </c>
      <c r="AE20" s="57"/>
    </row>
    <row r="21" spans="1:31" x14ac:dyDescent="0.25">
      <c r="A21" s="58">
        <f>'Data 15'!A121</f>
        <v>0.17708333333333301</v>
      </c>
      <c r="B21" s="51">
        <f>ROUNDUP(IF(AND(OR('Input &amp; Findings'!$G$39="S-Bound",'Input &amp; Findings'!$G$40="S-Bound"),'RTF 1'!$D$8="S-Bound"),'RTF 1'!$M30,IF(AND(OR('Input &amp; Findings'!$G$39="S-Bound",'Input &amp; Findings'!$G$40="S-Bound"),'RTF 2'!$D$8="S-Bound"),'RTF 2'!$M30,'Data 15'!B121)),0)</f>
        <v>0</v>
      </c>
      <c r="C21" s="51">
        <f>'Data 15'!C121</f>
        <v>0</v>
      </c>
      <c r="D21" s="51">
        <f>'Data 15'!D121</f>
        <v>0</v>
      </c>
      <c r="E21" s="51">
        <f>'Data 15'!E121</f>
        <v>0</v>
      </c>
      <c r="F21" s="51">
        <f>'Data 15'!F121</f>
        <v>0</v>
      </c>
      <c r="G21" s="51">
        <f t="shared" si="0"/>
        <v>0</v>
      </c>
      <c r="H21" s="58">
        <f>'Data 15'!H121</f>
        <v>0.17708333333333301</v>
      </c>
      <c r="I21" s="51">
        <f>ROUNDUP(IF(AND(OR('Input &amp; Findings'!$G$39="W-Bound",'Input &amp; Findings'!$G$40="W-Bound"),'RTF 1'!$D$8="W-Bound"),'RTF 1'!$M30,IF(AND(OR('Input &amp; Findings'!$G$39="W-Bound",'Input &amp; Findings'!$G$40="W-Bound"),'RTF 2'!$D$8="W-Bound"),'RTF 2'!$M30,'Data 15'!I121)),0)</f>
        <v>0</v>
      </c>
      <c r="J21" s="51">
        <f>'Data 15'!J121</f>
        <v>0</v>
      </c>
      <c r="K21" s="51">
        <f>'Data 15'!K121</f>
        <v>0</v>
      </c>
      <c r="L21" s="51">
        <f>'Data 15'!L121</f>
        <v>0</v>
      </c>
      <c r="M21" s="51">
        <f>'Data 15'!M121</f>
        <v>0</v>
      </c>
      <c r="N21" s="51">
        <f t="shared" si="1"/>
        <v>0</v>
      </c>
      <c r="O21" s="58">
        <f>'Data 15'!O121</f>
        <v>0.17708333333333301</v>
      </c>
      <c r="P21" s="51">
        <f>ROUNDUP(IF(AND(OR('Input &amp; Findings'!$G$39="N-Bound",'Input &amp; Findings'!$G$40="N-Bound"),'RTF 1'!$D$8="N-Bound"),'RTF 1'!$M30,IF(AND(OR('Input &amp; Findings'!$G$39="N-Bound",'Input &amp; Findings'!$G$40="N-Bound"),'RTF 2'!$D$8="N-Bound"),'RTF 2'!$M30,'Data 15'!P121)),0)</f>
        <v>0</v>
      </c>
      <c r="Q21" s="51">
        <f>'Data 15'!Q121</f>
        <v>0</v>
      </c>
      <c r="R21" s="51">
        <f>'Data 15'!R121</f>
        <v>0</v>
      </c>
      <c r="S21" s="51">
        <f>'Data 15'!S121</f>
        <v>0</v>
      </c>
      <c r="T21" s="51">
        <f>'Data 15'!T121</f>
        <v>0</v>
      </c>
      <c r="U21" s="51">
        <f t="shared" si="2"/>
        <v>0</v>
      </c>
      <c r="V21" s="58">
        <f>'Data 15'!V121</f>
        <v>0.17708333333333301</v>
      </c>
      <c r="W21" s="51">
        <f>ROUNDUP(IF(AND(OR('Input &amp; Findings'!$G$39="E-Bound",'Input &amp; Findings'!$G$40="E-Bound"),'RTF 1'!$D$8="E-Bound"),'RTF 1'!$M30,IF(AND(OR('Input &amp; Findings'!$G$39="E-Bound",'Input &amp; Findings'!$G$40="E-Bound"),'RTF 2'!$D$8="E-Bound"),'RTF 2'!$M30,'Data 15'!W121)),0)</f>
        <v>0</v>
      </c>
      <c r="X21" s="51">
        <f>'Data 15'!X121</f>
        <v>0</v>
      </c>
      <c r="Y21" s="51">
        <f>'Data 15'!Y121</f>
        <v>0</v>
      </c>
      <c r="Z21" s="51">
        <f>'Data 15'!Z121</f>
        <v>0</v>
      </c>
      <c r="AA21" s="51">
        <f>'Data 15'!AA121</f>
        <v>0</v>
      </c>
      <c r="AB21" s="51">
        <f t="shared" si="3"/>
        <v>0</v>
      </c>
      <c r="AC21" s="58">
        <f>'Data 15'!AC121</f>
        <v>0.17708333333333301</v>
      </c>
      <c r="AE21" s="57"/>
    </row>
    <row r="22" spans="1:31" x14ac:dyDescent="0.25">
      <c r="A22" s="58">
        <f>'Data 15'!A122</f>
        <v>0.1875</v>
      </c>
      <c r="B22" s="51">
        <f>ROUNDUP(IF(AND(OR('Input &amp; Findings'!$G$39="S-Bound",'Input &amp; Findings'!$G$40="S-Bound"),'RTF 1'!$D$8="S-Bound"),'RTF 1'!$M31,IF(AND(OR('Input &amp; Findings'!$G$39="S-Bound",'Input &amp; Findings'!$G$40="S-Bound"),'RTF 2'!$D$8="S-Bound"),'RTF 2'!$M31,'Data 15'!B122)),0)</f>
        <v>0</v>
      </c>
      <c r="C22" s="51">
        <f>'Data 15'!C122</f>
        <v>0</v>
      </c>
      <c r="D22" s="51">
        <f>'Data 15'!D122</f>
        <v>0</v>
      </c>
      <c r="E22" s="51">
        <f>'Data 15'!E122</f>
        <v>0</v>
      </c>
      <c r="F22" s="51">
        <f>'Data 15'!F122</f>
        <v>0</v>
      </c>
      <c r="G22" s="51">
        <f t="shared" si="0"/>
        <v>0</v>
      </c>
      <c r="H22" s="58">
        <f>'Data 15'!H122</f>
        <v>0.1875</v>
      </c>
      <c r="I22" s="51">
        <f>ROUNDUP(IF(AND(OR('Input &amp; Findings'!$G$39="W-Bound",'Input &amp; Findings'!$G$40="W-Bound"),'RTF 1'!$D$8="W-Bound"),'RTF 1'!$M31,IF(AND(OR('Input &amp; Findings'!$G$39="W-Bound",'Input &amp; Findings'!$G$40="W-Bound"),'RTF 2'!$D$8="W-Bound"),'RTF 2'!$M31,'Data 15'!I122)),0)</f>
        <v>0</v>
      </c>
      <c r="J22" s="51">
        <f>'Data 15'!J122</f>
        <v>0</v>
      </c>
      <c r="K22" s="51">
        <f>'Data 15'!K122</f>
        <v>0</v>
      </c>
      <c r="L22" s="51">
        <f>'Data 15'!L122</f>
        <v>0</v>
      </c>
      <c r="M22" s="51">
        <f>'Data 15'!M122</f>
        <v>0</v>
      </c>
      <c r="N22" s="51">
        <f t="shared" si="1"/>
        <v>0</v>
      </c>
      <c r="O22" s="58">
        <f>'Data 15'!O122</f>
        <v>0.1875</v>
      </c>
      <c r="P22" s="51">
        <f>ROUNDUP(IF(AND(OR('Input &amp; Findings'!$G$39="N-Bound",'Input &amp; Findings'!$G$40="N-Bound"),'RTF 1'!$D$8="N-Bound"),'RTF 1'!$M31,IF(AND(OR('Input &amp; Findings'!$G$39="N-Bound",'Input &amp; Findings'!$G$40="N-Bound"),'RTF 2'!$D$8="N-Bound"),'RTF 2'!$M31,'Data 15'!P122)),0)</f>
        <v>0</v>
      </c>
      <c r="Q22" s="51">
        <f>'Data 15'!Q122</f>
        <v>0</v>
      </c>
      <c r="R22" s="51">
        <f>'Data 15'!R122</f>
        <v>0</v>
      </c>
      <c r="S22" s="51">
        <f>'Data 15'!S122</f>
        <v>0</v>
      </c>
      <c r="T22" s="51">
        <f>'Data 15'!T122</f>
        <v>0</v>
      </c>
      <c r="U22" s="51">
        <f t="shared" si="2"/>
        <v>0</v>
      </c>
      <c r="V22" s="58">
        <f>'Data 15'!V122</f>
        <v>0.1875</v>
      </c>
      <c r="W22" s="51">
        <f>ROUNDUP(IF(AND(OR('Input &amp; Findings'!$G$39="E-Bound",'Input &amp; Findings'!$G$40="E-Bound"),'RTF 1'!$D$8="E-Bound"),'RTF 1'!$M31,IF(AND(OR('Input &amp; Findings'!$G$39="E-Bound",'Input &amp; Findings'!$G$40="E-Bound"),'RTF 2'!$D$8="E-Bound"),'RTF 2'!$M31,'Data 15'!W122)),0)</f>
        <v>0</v>
      </c>
      <c r="X22" s="51">
        <f>'Data 15'!X122</f>
        <v>0</v>
      </c>
      <c r="Y22" s="51">
        <f>'Data 15'!Y122</f>
        <v>0</v>
      </c>
      <c r="Z22" s="51">
        <f>'Data 15'!Z122</f>
        <v>0</v>
      </c>
      <c r="AA22" s="51">
        <f>'Data 15'!AA122</f>
        <v>0</v>
      </c>
      <c r="AB22" s="51">
        <f t="shared" si="3"/>
        <v>0</v>
      </c>
      <c r="AC22" s="58">
        <f>'Data 15'!AC122</f>
        <v>0.1875</v>
      </c>
      <c r="AE22" s="57"/>
    </row>
    <row r="23" spans="1:31" x14ac:dyDescent="0.25">
      <c r="A23" s="58">
        <f>'Data 15'!A123</f>
        <v>0.19791666666666699</v>
      </c>
      <c r="B23" s="51">
        <f>ROUNDUP(IF(AND(OR('Input &amp; Findings'!$G$39="S-Bound",'Input &amp; Findings'!$G$40="S-Bound"),'RTF 1'!$D$8="S-Bound"),'RTF 1'!$M32,IF(AND(OR('Input &amp; Findings'!$G$39="S-Bound",'Input &amp; Findings'!$G$40="S-Bound"),'RTF 2'!$D$8="S-Bound"),'RTF 2'!$M32,'Data 15'!B123)),0)</f>
        <v>0</v>
      </c>
      <c r="C23" s="51">
        <f>'Data 15'!C123</f>
        <v>0</v>
      </c>
      <c r="D23" s="51">
        <f>'Data 15'!D123</f>
        <v>0</v>
      </c>
      <c r="E23" s="51">
        <f>'Data 15'!E123</f>
        <v>0</v>
      </c>
      <c r="F23" s="51">
        <f>'Data 15'!F123</f>
        <v>0</v>
      </c>
      <c r="G23" s="51">
        <f t="shared" si="0"/>
        <v>0</v>
      </c>
      <c r="H23" s="58">
        <f>'Data 15'!H123</f>
        <v>0.19791666666666699</v>
      </c>
      <c r="I23" s="51">
        <f>ROUNDUP(IF(AND(OR('Input &amp; Findings'!$G$39="W-Bound",'Input &amp; Findings'!$G$40="W-Bound"),'RTF 1'!$D$8="W-Bound"),'RTF 1'!$M32,IF(AND(OR('Input &amp; Findings'!$G$39="W-Bound",'Input &amp; Findings'!$G$40="W-Bound"),'RTF 2'!$D$8="W-Bound"),'RTF 2'!$M32,'Data 15'!I123)),0)</f>
        <v>0</v>
      </c>
      <c r="J23" s="51">
        <f>'Data 15'!J123</f>
        <v>0</v>
      </c>
      <c r="K23" s="51">
        <f>'Data 15'!K123</f>
        <v>0</v>
      </c>
      <c r="L23" s="51">
        <f>'Data 15'!L123</f>
        <v>0</v>
      </c>
      <c r="M23" s="51">
        <f>'Data 15'!M123</f>
        <v>0</v>
      </c>
      <c r="N23" s="51">
        <f t="shared" si="1"/>
        <v>0</v>
      </c>
      <c r="O23" s="58">
        <f>'Data 15'!O123</f>
        <v>0.19791666666666699</v>
      </c>
      <c r="P23" s="51">
        <f>ROUNDUP(IF(AND(OR('Input &amp; Findings'!$G$39="N-Bound",'Input &amp; Findings'!$G$40="N-Bound"),'RTF 1'!$D$8="N-Bound"),'RTF 1'!$M32,IF(AND(OR('Input &amp; Findings'!$G$39="N-Bound",'Input &amp; Findings'!$G$40="N-Bound"),'RTF 2'!$D$8="N-Bound"),'RTF 2'!$M32,'Data 15'!P123)),0)</f>
        <v>0</v>
      </c>
      <c r="Q23" s="51">
        <f>'Data 15'!Q123</f>
        <v>0</v>
      </c>
      <c r="R23" s="51">
        <f>'Data 15'!R123</f>
        <v>0</v>
      </c>
      <c r="S23" s="51">
        <f>'Data 15'!S123</f>
        <v>0</v>
      </c>
      <c r="T23" s="51">
        <f>'Data 15'!T123</f>
        <v>0</v>
      </c>
      <c r="U23" s="51">
        <f t="shared" si="2"/>
        <v>0</v>
      </c>
      <c r="V23" s="58">
        <f>'Data 15'!V123</f>
        <v>0.19791666666666699</v>
      </c>
      <c r="W23" s="51">
        <f>ROUNDUP(IF(AND(OR('Input &amp; Findings'!$G$39="E-Bound",'Input &amp; Findings'!$G$40="E-Bound"),'RTF 1'!$D$8="E-Bound"),'RTF 1'!$M32,IF(AND(OR('Input &amp; Findings'!$G$39="E-Bound",'Input &amp; Findings'!$G$40="E-Bound"),'RTF 2'!$D$8="E-Bound"),'RTF 2'!$M32,'Data 15'!W123)),0)</f>
        <v>0</v>
      </c>
      <c r="X23" s="51">
        <f>'Data 15'!X123</f>
        <v>0</v>
      </c>
      <c r="Y23" s="51">
        <f>'Data 15'!Y123</f>
        <v>0</v>
      </c>
      <c r="Z23" s="51">
        <f>'Data 15'!Z123</f>
        <v>0</v>
      </c>
      <c r="AA23" s="51">
        <f>'Data 15'!AA123</f>
        <v>0</v>
      </c>
      <c r="AB23" s="51">
        <f t="shared" si="3"/>
        <v>0</v>
      </c>
      <c r="AC23" s="58">
        <f>'Data 15'!AC123</f>
        <v>0.19791666666666699</v>
      </c>
      <c r="AE23" s="57"/>
    </row>
    <row r="24" spans="1:31" x14ac:dyDescent="0.25">
      <c r="A24" s="58">
        <f>'Data 15'!A124</f>
        <v>0.20833333333333301</v>
      </c>
      <c r="B24" s="51">
        <f>ROUNDUP(IF(AND(OR('Input &amp; Findings'!$G$39="S-Bound",'Input &amp; Findings'!$G$40="S-Bound"),'RTF 1'!$D$8="S-Bound"),'RTF 1'!$M33,IF(AND(OR('Input &amp; Findings'!$G$39="S-Bound",'Input &amp; Findings'!$G$40="S-Bound"),'RTF 2'!$D$8="S-Bound"),'RTF 2'!$M33,'Data 15'!B124)),0)</f>
        <v>0</v>
      </c>
      <c r="C24" s="51">
        <f>'Data 15'!C124</f>
        <v>0</v>
      </c>
      <c r="D24" s="51">
        <f>'Data 15'!D124</f>
        <v>0</v>
      </c>
      <c r="E24" s="51">
        <f>'Data 15'!E124</f>
        <v>0</v>
      </c>
      <c r="F24" s="51">
        <f>'Data 15'!F124</f>
        <v>0</v>
      </c>
      <c r="G24" s="51">
        <f t="shared" si="0"/>
        <v>0</v>
      </c>
      <c r="H24" s="58">
        <f>'Data 15'!H124</f>
        <v>0.20833333333333301</v>
      </c>
      <c r="I24" s="51">
        <f>ROUNDUP(IF(AND(OR('Input &amp; Findings'!$G$39="W-Bound",'Input &amp; Findings'!$G$40="W-Bound"),'RTF 1'!$D$8="W-Bound"),'RTF 1'!$M33,IF(AND(OR('Input &amp; Findings'!$G$39="W-Bound",'Input &amp; Findings'!$G$40="W-Bound"),'RTF 2'!$D$8="W-Bound"),'RTF 2'!$M33,'Data 15'!I124)),0)</f>
        <v>0</v>
      </c>
      <c r="J24" s="51">
        <f>'Data 15'!J124</f>
        <v>0</v>
      </c>
      <c r="K24" s="51">
        <f>'Data 15'!K124</f>
        <v>0</v>
      </c>
      <c r="L24" s="51">
        <f>'Data 15'!L124</f>
        <v>0</v>
      </c>
      <c r="M24" s="51">
        <f>'Data 15'!M124</f>
        <v>0</v>
      </c>
      <c r="N24" s="51">
        <f t="shared" si="1"/>
        <v>0</v>
      </c>
      <c r="O24" s="58">
        <f>'Data 15'!O124</f>
        <v>0.20833333333333301</v>
      </c>
      <c r="P24" s="51">
        <f>ROUNDUP(IF(AND(OR('Input &amp; Findings'!$G$39="N-Bound",'Input &amp; Findings'!$G$40="N-Bound"),'RTF 1'!$D$8="N-Bound"),'RTF 1'!$M33,IF(AND(OR('Input &amp; Findings'!$G$39="N-Bound",'Input &amp; Findings'!$G$40="N-Bound"),'RTF 2'!$D$8="N-Bound"),'RTF 2'!$M33,'Data 15'!P124)),0)</f>
        <v>0</v>
      </c>
      <c r="Q24" s="51">
        <f>'Data 15'!Q124</f>
        <v>0</v>
      </c>
      <c r="R24" s="51">
        <f>'Data 15'!R124</f>
        <v>0</v>
      </c>
      <c r="S24" s="51">
        <f>'Data 15'!S124</f>
        <v>0</v>
      </c>
      <c r="T24" s="51">
        <f>'Data 15'!T124</f>
        <v>0</v>
      </c>
      <c r="U24" s="51">
        <f t="shared" si="2"/>
        <v>0</v>
      </c>
      <c r="V24" s="58">
        <f>'Data 15'!V124</f>
        <v>0.20833333333333301</v>
      </c>
      <c r="W24" s="51">
        <f>ROUNDUP(IF(AND(OR('Input &amp; Findings'!$G$39="E-Bound",'Input &amp; Findings'!$G$40="E-Bound"),'RTF 1'!$D$8="E-Bound"),'RTF 1'!$M33,IF(AND(OR('Input &amp; Findings'!$G$39="E-Bound",'Input &amp; Findings'!$G$40="E-Bound"),'RTF 2'!$D$8="E-Bound"),'RTF 2'!$M33,'Data 15'!W124)),0)</f>
        <v>0</v>
      </c>
      <c r="X24" s="51">
        <f>'Data 15'!X124</f>
        <v>0</v>
      </c>
      <c r="Y24" s="51">
        <f>'Data 15'!Y124</f>
        <v>0</v>
      </c>
      <c r="Z24" s="51">
        <f>'Data 15'!Z124</f>
        <v>0</v>
      </c>
      <c r="AA24" s="51">
        <f>'Data 15'!AA124</f>
        <v>0</v>
      </c>
      <c r="AB24" s="51">
        <f t="shared" si="3"/>
        <v>0</v>
      </c>
      <c r="AC24" s="58">
        <f>'Data 15'!AC124</f>
        <v>0.20833333333333301</v>
      </c>
      <c r="AE24" s="57"/>
    </row>
    <row r="25" spans="1:31" x14ac:dyDescent="0.25">
      <c r="A25" s="58">
        <f>'Data 15'!A125</f>
        <v>0.21875</v>
      </c>
      <c r="B25" s="51">
        <f>ROUNDUP(IF(AND(OR('Input &amp; Findings'!$G$39="S-Bound",'Input &amp; Findings'!$G$40="S-Bound"),'RTF 1'!$D$8="S-Bound"),'RTF 1'!$M34,IF(AND(OR('Input &amp; Findings'!$G$39="S-Bound",'Input &amp; Findings'!$G$40="S-Bound"),'RTF 2'!$D$8="S-Bound"),'RTF 2'!$M34,'Data 15'!B125)),0)</f>
        <v>0</v>
      </c>
      <c r="C25" s="51">
        <f>'Data 15'!C125</f>
        <v>0</v>
      </c>
      <c r="D25" s="51">
        <f>'Data 15'!D125</f>
        <v>0</v>
      </c>
      <c r="E25" s="51">
        <f>'Data 15'!E125</f>
        <v>0</v>
      </c>
      <c r="F25" s="51">
        <f>'Data 15'!F125</f>
        <v>0</v>
      </c>
      <c r="G25" s="51">
        <f t="shared" si="0"/>
        <v>0</v>
      </c>
      <c r="H25" s="58">
        <f>'Data 15'!H125</f>
        <v>0.21875</v>
      </c>
      <c r="I25" s="51">
        <f>ROUNDUP(IF(AND(OR('Input &amp; Findings'!$G$39="W-Bound",'Input &amp; Findings'!$G$40="W-Bound"),'RTF 1'!$D$8="W-Bound"),'RTF 1'!$M34,IF(AND(OR('Input &amp; Findings'!$G$39="W-Bound",'Input &amp; Findings'!$G$40="W-Bound"),'RTF 2'!$D$8="W-Bound"),'RTF 2'!$M34,'Data 15'!I125)),0)</f>
        <v>0</v>
      </c>
      <c r="J25" s="51">
        <f>'Data 15'!J125</f>
        <v>0</v>
      </c>
      <c r="K25" s="51">
        <f>'Data 15'!K125</f>
        <v>0</v>
      </c>
      <c r="L25" s="51">
        <f>'Data 15'!L125</f>
        <v>0</v>
      </c>
      <c r="M25" s="51">
        <f>'Data 15'!M125</f>
        <v>0</v>
      </c>
      <c r="N25" s="51">
        <f t="shared" si="1"/>
        <v>0</v>
      </c>
      <c r="O25" s="58">
        <f>'Data 15'!O125</f>
        <v>0.21875</v>
      </c>
      <c r="P25" s="51">
        <f>ROUNDUP(IF(AND(OR('Input &amp; Findings'!$G$39="N-Bound",'Input &amp; Findings'!$G$40="N-Bound"),'RTF 1'!$D$8="N-Bound"),'RTF 1'!$M34,IF(AND(OR('Input &amp; Findings'!$G$39="N-Bound",'Input &amp; Findings'!$G$40="N-Bound"),'RTF 2'!$D$8="N-Bound"),'RTF 2'!$M34,'Data 15'!P125)),0)</f>
        <v>0</v>
      </c>
      <c r="Q25" s="51">
        <f>'Data 15'!Q125</f>
        <v>0</v>
      </c>
      <c r="R25" s="51">
        <f>'Data 15'!R125</f>
        <v>0</v>
      </c>
      <c r="S25" s="51">
        <f>'Data 15'!S125</f>
        <v>0</v>
      </c>
      <c r="T25" s="51">
        <f>'Data 15'!T125</f>
        <v>0</v>
      </c>
      <c r="U25" s="51">
        <f t="shared" si="2"/>
        <v>0</v>
      </c>
      <c r="V25" s="58">
        <f>'Data 15'!V125</f>
        <v>0.21875</v>
      </c>
      <c r="W25" s="51">
        <f>ROUNDUP(IF(AND(OR('Input &amp; Findings'!$G$39="E-Bound",'Input &amp; Findings'!$G$40="E-Bound"),'RTF 1'!$D$8="E-Bound"),'RTF 1'!$M34,IF(AND(OR('Input &amp; Findings'!$G$39="E-Bound",'Input &amp; Findings'!$G$40="E-Bound"),'RTF 2'!$D$8="E-Bound"),'RTF 2'!$M34,'Data 15'!W125)),0)</f>
        <v>0</v>
      </c>
      <c r="X25" s="51">
        <f>'Data 15'!X125</f>
        <v>0</v>
      </c>
      <c r="Y25" s="51">
        <f>'Data 15'!Y125</f>
        <v>0</v>
      </c>
      <c r="Z25" s="51">
        <f>'Data 15'!Z125</f>
        <v>0</v>
      </c>
      <c r="AA25" s="51">
        <f>'Data 15'!AA125</f>
        <v>0</v>
      </c>
      <c r="AB25" s="51">
        <f t="shared" si="3"/>
        <v>0</v>
      </c>
      <c r="AC25" s="58">
        <f>'Data 15'!AC125</f>
        <v>0.21875</v>
      </c>
      <c r="AE25" s="57"/>
    </row>
    <row r="26" spans="1:31" x14ac:dyDescent="0.25">
      <c r="A26" s="58">
        <f>'Data 15'!A126</f>
        <v>0.22916666666666699</v>
      </c>
      <c r="B26" s="51">
        <f>ROUNDUP(IF(AND(OR('Input &amp; Findings'!$G$39="S-Bound",'Input &amp; Findings'!$G$40="S-Bound"),'RTF 1'!$D$8="S-Bound"),'RTF 1'!$M35,IF(AND(OR('Input &amp; Findings'!$G$39="S-Bound",'Input &amp; Findings'!$G$40="S-Bound"),'RTF 2'!$D$8="S-Bound"),'RTF 2'!$M35,'Data 15'!B126)),0)</f>
        <v>0</v>
      </c>
      <c r="C26" s="51">
        <f>'Data 15'!C126</f>
        <v>0</v>
      </c>
      <c r="D26" s="51">
        <f>'Data 15'!D126</f>
        <v>0</v>
      </c>
      <c r="E26" s="51">
        <f>'Data 15'!E126</f>
        <v>0</v>
      </c>
      <c r="F26" s="51">
        <f>'Data 15'!F126</f>
        <v>0</v>
      </c>
      <c r="G26" s="51">
        <f t="shared" si="0"/>
        <v>0</v>
      </c>
      <c r="H26" s="58">
        <f>'Data 15'!H126</f>
        <v>0.22916666666666699</v>
      </c>
      <c r="I26" s="51">
        <f>ROUNDUP(IF(AND(OR('Input &amp; Findings'!$G$39="W-Bound",'Input &amp; Findings'!$G$40="W-Bound"),'RTF 1'!$D$8="W-Bound"),'RTF 1'!$M35,IF(AND(OR('Input &amp; Findings'!$G$39="W-Bound",'Input &amp; Findings'!$G$40="W-Bound"),'RTF 2'!$D$8="W-Bound"),'RTF 2'!$M35,'Data 15'!I126)),0)</f>
        <v>0</v>
      </c>
      <c r="J26" s="51">
        <f>'Data 15'!J126</f>
        <v>0</v>
      </c>
      <c r="K26" s="51">
        <f>'Data 15'!K126</f>
        <v>0</v>
      </c>
      <c r="L26" s="51">
        <f>'Data 15'!L126</f>
        <v>0</v>
      </c>
      <c r="M26" s="51">
        <f>'Data 15'!M126</f>
        <v>0</v>
      </c>
      <c r="N26" s="51">
        <f t="shared" si="1"/>
        <v>0</v>
      </c>
      <c r="O26" s="58">
        <f>'Data 15'!O126</f>
        <v>0.22916666666666699</v>
      </c>
      <c r="P26" s="51">
        <f>ROUNDUP(IF(AND(OR('Input &amp; Findings'!$G$39="N-Bound",'Input &amp; Findings'!$G$40="N-Bound"),'RTF 1'!$D$8="N-Bound"),'RTF 1'!$M35,IF(AND(OR('Input &amp; Findings'!$G$39="N-Bound",'Input &amp; Findings'!$G$40="N-Bound"),'RTF 2'!$D$8="N-Bound"),'RTF 2'!$M35,'Data 15'!P126)),0)</f>
        <v>0</v>
      </c>
      <c r="Q26" s="51">
        <f>'Data 15'!Q126</f>
        <v>0</v>
      </c>
      <c r="R26" s="51">
        <f>'Data 15'!R126</f>
        <v>0</v>
      </c>
      <c r="S26" s="51">
        <f>'Data 15'!S126</f>
        <v>0</v>
      </c>
      <c r="T26" s="51">
        <f>'Data 15'!T126</f>
        <v>0</v>
      </c>
      <c r="U26" s="51">
        <f t="shared" si="2"/>
        <v>0</v>
      </c>
      <c r="V26" s="58">
        <f>'Data 15'!V126</f>
        <v>0.22916666666666699</v>
      </c>
      <c r="W26" s="51">
        <f>ROUNDUP(IF(AND(OR('Input &amp; Findings'!$G$39="E-Bound",'Input &amp; Findings'!$G$40="E-Bound"),'RTF 1'!$D$8="E-Bound"),'RTF 1'!$M35,IF(AND(OR('Input &amp; Findings'!$G$39="E-Bound",'Input &amp; Findings'!$G$40="E-Bound"),'RTF 2'!$D$8="E-Bound"),'RTF 2'!$M35,'Data 15'!W126)),0)</f>
        <v>0</v>
      </c>
      <c r="X26" s="51">
        <f>'Data 15'!X126</f>
        <v>0</v>
      </c>
      <c r="Y26" s="51">
        <f>'Data 15'!Y126</f>
        <v>0</v>
      </c>
      <c r="Z26" s="51">
        <f>'Data 15'!Z126</f>
        <v>0</v>
      </c>
      <c r="AA26" s="51">
        <f>'Data 15'!AA126</f>
        <v>0</v>
      </c>
      <c r="AB26" s="51">
        <f t="shared" si="3"/>
        <v>0</v>
      </c>
      <c r="AC26" s="58">
        <f>'Data 15'!AC126</f>
        <v>0.22916666666666699</v>
      </c>
      <c r="AE26" s="57"/>
    </row>
    <row r="27" spans="1:31" x14ac:dyDescent="0.25">
      <c r="A27" s="58">
        <f>'Data 15'!A127</f>
        <v>0.23958333333333301</v>
      </c>
      <c r="B27" s="51">
        <f>ROUNDUP(IF(AND(OR('Input &amp; Findings'!$G$39="S-Bound",'Input &amp; Findings'!$G$40="S-Bound"),'RTF 1'!$D$8="S-Bound"),'RTF 1'!$M36,IF(AND(OR('Input &amp; Findings'!$G$39="S-Bound",'Input &amp; Findings'!$G$40="S-Bound"),'RTF 2'!$D$8="S-Bound"),'RTF 2'!$M36,'Data 15'!B127)),0)</f>
        <v>0</v>
      </c>
      <c r="C27" s="51">
        <f>'Data 15'!C127</f>
        <v>0</v>
      </c>
      <c r="D27" s="51">
        <f>'Data 15'!D127</f>
        <v>0</v>
      </c>
      <c r="E27" s="51">
        <f>'Data 15'!E127</f>
        <v>0</v>
      </c>
      <c r="F27" s="51">
        <f>'Data 15'!F127</f>
        <v>0</v>
      </c>
      <c r="G27" s="51">
        <f t="shared" si="0"/>
        <v>0</v>
      </c>
      <c r="H27" s="58">
        <f>'Data 15'!H127</f>
        <v>0.23958333333333301</v>
      </c>
      <c r="I27" s="51">
        <f>ROUNDUP(IF(AND(OR('Input &amp; Findings'!$G$39="W-Bound",'Input &amp; Findings'!$G$40="W-Bound"),'RTF 1'!$D$8="W-Bound"),'RTF 1'!$M36,IF(AND(OR('Input &amp; Findings'!$G$39="W-Bound",'Input &amp; Findings'!$G$40="W-Bound"),'RTF 2'!$D$8="W-Bound"),'RTF 2'!$M36,'Data 15'!I127)),0)</f>
        <v>0</v>
      </c>
      <c r="J27" s="51">
        <f>'Data 15'!J127</f>
        <v>0</v>
      </c>
      <c r="K27" s="51">
        <f>'Data 15'!K127</f>
        <v>0</v>
      </c>
      <c r="L27" s="51">
        <f>'Data 15'!L127</f>
        <v>0</v>
      </c>
      <c r="M27" s="51">
        <f>'Data 15'!M127</f>
        <v>0</v>
      </c>
      <c r="N27" s="51">
        <f t="shared" si="1"/>
        <v>0</v>
      </c>
      <c r="O27" s="58">
        <f>'Data 15'!O127</f>
        <v>0.23958333333333301</v>
      </c>
      <c r="P27" s="51">
        <f>ROUNDUP(IF(AND(OR('Input &amp; Findings'!$G$39="N-Bound",'Input &amp; Findings'!$G$40="N-Bound"),'RTF 1'!$D$8="N-Bound"),'RTF 1'!$M36,IF(AND(OR('Input &amp; Findings'!$G$39="N-Bound",'Input &amp; Findings'!$G$40="N-Bound"),'RTF 2'!$D$8="N-Bound"),'RTF 2'!$M36,'Data 15'!P127)),0)</f>
        <v>0</v>
      </c>
      <c r="Q27" s="51">
        <f>'Data 15'!Q127</f>
        <v>0</v>
      </c>
      <c r="R27" s="51">
        <f>'Data 15'!R127</f>
        <v>0</v>
      </c>
      <c r="S27" s="51">
        <f>'Data 15'!S127</f>
        <v>0</v>
      </c>
      <c r="T27" s="51">
        <f>'Data 15'!T127</f>
        <v>0</v>
      </c>
      <c r="U27" s="51">
        <f t="shared" si="2"/>
        <v>0</v>
      </c>
      <c r="V27" s="58">
        <f>'Data 15'!V127</f>
        <v>0.23958333333333301</v>
      </c>
      <c r="W27" s="51">
        <f>ROUNDUP(IF(AND(OR('Input &amp; Findings'!$G$39="E-Bound",'Input &amp; Findings'!$G$40="E-Bound"),'RTF 1'!$D$8="E-Bound"),'RTF 1'!$M36,IF(AND(OR('Input &amp; Findings'!$G$39="E-Bound",'Input &amp; Findings'!$G$40="E-Bound"),'RTF 2'!$D$8="E-Bound"),'RTF 2'!$M36,'Data 15'!W127)),0)</f>
        <v>0</v>
      </c>
      <c r="X27" s="51">
        <f>'Data 15'!X127</f>
        <v>0</v>
      </c>
      <c r="Y27" s="51">
        <f>'Data 15'!Y127</f>
        <v>0</v>
      </c>
      <c r="Z27" s="51">
        <f>'Data 15'!Z127</f>
        <v>0</v>
      </c>
      <c r="AA27" s="51">
        <f>'Data 15'!AA127</f>
        <v>0</v>
      </c>
      <c r="AB27" s="51">
        <f t="shared" si="3"/>
        <v>0</v>
      </c>
      <c r="AC27" s="58">
        <f>'Data 15'!AC127</f>
        <v>0.23958333333333301</v>
      </c>
      <c r="AE27" s="57"/>
    </row>
    <row r="28" spans="1:31" x14ac:dyDescent="0.25">
      <c r="A28" s="58">
        <f>'Data 15'!A128</f>
        <v>0.25</v>
      </c>
      <c r="B28" s="51">
        <f>ROUNDUP(IF(AND(OR('Input &amp; Findings'!$G$39="S-Bound",'Input &amp; Findings'!$G$40="S-Bound"),'RTF 1'!$D$8="S-Bound"),'RTF 1'!$M37,IF(AND(OR('Input &amp; Findings'!$G$39="S-Bound",'Input &amp; Findings'!$G$40="S-Bound"),'RTF 2'!$D$8="S-Bound"),'RTF 2'!$M37,'Data 15'!B128)),0)</f>
        <v>0</v>
      </c>
      <c r="C28" s="51">
        <f>'Data 15'!C128</f>
        <v>0</v>
      </c>
      <c r="D28" s="51">
        <f>'Data 15'!D128</f>
        <v>0</v>
      </c>
      <c r="E28" s="51">
        <f>'Data 15'!E128</f>
        <v>0</v>
      </c>
      <c r="F28" s="51">
        <f>'Data 15'!F128</f>
        <v>0</v>
      </c>
      <c r="G28" s="51">
        <f t="shared" si="0"/>
        <v>0</v>
      </c>
      <c r="H28" s="58">
        <f>'Data 15'!H128</f>
        <v>0.25</v>
      </c>
      <c r="I28" s="51">
        <f>ROUNDUP(IF(AND(OR('Input &amp; Findings'!$G$39="W-Bound",'Input &amp; Findings'!$G$40="W-Bound"),'RTF 1'!$D$8="W-Bound"),'RTF 1'!$M37,IF(AND(OR('Input &amp; Findings'!$G$39="W-Bound",'Input &amp; Findings'!$G$40="W-Bound"),'RTF 2'!$D$8="W-Bound"),'RTF 2'!$M37,'Data 15'!I128)),0)</f>
        <v>0</v>
      </c>
      <c r="J28" s="51">
        <f>'Data 15'!J128</f>
        <v>0</v>
      </c>
      <c r="K28" s="51">
        <f>'Data 15'!K128</f>
        <v>0</v>
      </c>
      <c r="L28" s="51">
        <f>'Data 15'!L128</f>
        <v>0</v>
      </c>
      <c r="M28" s="51">
        <f>'Data 15'!M128</f>
        <v>0</v>
      </c>
      <c r="N28" s="51">
        <f t="shared" si="1"/>
        <v>0</v>
      </c>
      <c r="O28" s="58">
        <f>'Data 15'!O128</f>
        <v>0.25</v>
      </c>
      <c r="P28" s="51">
        <f>ROUNDUP(IF(AND(OR('Input &amp; Findings'!$G$39="N-Bound",'Input &amp; Findings'!$G$40="N-Bound"),'RTF 1'!$D$8="N-Bound"),'RTF 1'!$M37,IF(AND(OR('Input &amp; Findings'!$G$39="N-Bound",'Input &amp; Findings'!$G$40="N-Bound"),'RTF 2'!$D$8="N-Bound"),'RTF 2'!$M37,'Data 15'!P128)),0)</f>
        <v>0</v>
      </c>
      <c r="Q28" s="51">
        <f>'Data 15'!Q128</f>
        <v>0</v>
      </c>
      <c r="R28" s="51">
        <f>'Data 15'!R128</f>
        <v>0</v>
      </c>
      <c r="S28" s="51">
        <f>'Data 15'!S128</f>
        <v>0</v>
      </c>
      <c r="T28" s="51">
        <f>'Data 15'!T128</f>
        <v>0</v>
      </c>
      <c r="U28" s="51">
        <f t="shared" si="2"/>
        <v>0</v>
      </c>
      <c r="V28" s="58">
        <f>'Data 15'!V128</f>
        <v>0.25</v>
      </c>
      <c r="W28" s="51">
        <f>ROUNDUP(IF(AND(OR('Input &amp; Findings'!$G$39="E-Bound",'Input &amp; Findings'!$G$40="E-Bound"),'RTF 1'!$D$8="E-Bound"),'RTF 1'!$M37,IF(AND(OR('Input &amp; Findings'!$G$39="E-Bound",'Input &amp; Findings'!$G$40="E-Bound"),'RTF 2'!$D$8="E-Bound"),'RTF 2'!$M37,'Data 15'!W128)),0)</f>
        <v>0</v>
      </c>
      <c r="X28" s="51">
        <f>'Data 15'!X128</f>
        <v>0</v>
      </c>
      <c r="Y28" s="51">
        <f>'Data 15'!Y128</f>
        <v>0</v>
      </c>
      <c r="Z28" s="51">
        <f>'Data 15'!Z128</f>
        <v>0</v>
      </c>
      <c r="AA28" s="51">
        <f>'Data 15'!AA128</f>
        <v>0</v>
      </c>
      <c r="AB28" s="51">
        <f t="shared" si="3"/>
        <v>0</v>
      </c>
      <c r="AC28" s="58">
        <f>'Data 15'!AC128</f>
        <v>0.25</v>
      </c>
      <c r="AE28" s="57"/>
    </row>
    <row r="29" spans="1:31" x14ac:dyDescent="0.25">
      <c r="A29" s="58">
        <f>'Data 15'!A129</f>
        <v>0.26041666666666702</v>
      </c>
      <c r="B29" s="51">
        <f>ROUNDUP(IF(AND(OR('Input &amp; Findings'!$G$39="S-Bound",'Input &amp; Findings'!$G$40="S-Bound"),'RTF 1'!$D$8="S-Bound"),'RTF 1'!$M38,IF(AND(OR('Input &amp; Findings'!$G$39="S-Bound",'Input &amp; Findings'!$G$40="S-Bound"),'RTF 2'!$D$8="S-Bound"),'RTF 2'!$M38,'Data 15'!B129)),0)</f>
        <v>0</v>
      </c>
      <c r="C29" s="51">
        <f>'Data 15'!C129</f>
        <v>175</v>
      </c>
      <c r="D29" s="51">
        <f>'Data 15'!D129</f>
        <v>157</v>
      </c>
      <c r="E29" s="51">
        <f>'Data 15'!E129</f>
        <v>0</v>
      </c>
      <c r="F29" s="51">
        <f>'Data 15'!F129</f>
        <v>0</v>
      </c>
      <c r="G29" s="51">
        <f t="shared" si="0"/>
        <v>332</v>
      </c>
      <c r="H29" s="58">
        <f>'Data 15'!H129</f>
        <v>0.26041666666666702</v>
      </c>
      <c r="I29" s="51">
        <f>ROUNDUP(IF(AND(OR('Input &amp; Findings'!$G$39="W-Bound",'Input &amp; Findings'!$G$40="W-Bound"),'RTF 1'!$D$8="W-Bound"),'RTF 1'!$M38,IF(AND(OR('Input &amp; Findings'!$G$39="W-Bound",'Input &amp; Findings'!$G$40="W-Bound"),'RTF 2'!$D$8="W-Bound"),'RTF 2'!$M38,'Data 15'!I129)),0)</f>
        <v>0</v>
      </c>
      <c r="J29" s="51">
        <f>'Data 15'!J129</f>
        <v>0</v>
      </c>
      <c r="K29" s="51">
        <f>'Data 15'!K129</f>
        <v>0</v>
      </c>
      <c r="L29" s="51">
        <f>'Data 15'!L129</f>
        <v>0</v>
      </c>
      <c r="M29" s="51">
        <f>'Data 15'!M129</f>
        <v>0</v>
      </c>
      <c r="N29" s="51">
        <f t="shared" si="1"/>
        <v>0</v>
      </c>
      <c r="O29" s="58">
        <f>'Data 15'!O129</f>
        <v>0.26041666666666702</v>
      </c>
      <c r="P29" s="51">
        <f>ROUNDUP(IF(AND(OR('Input &amp; Findings'!$G$39="N-Bound",'Input &amp; Findings'!$G$40="N-Bound"),'RTF 1'!$D$8="N-Bound"),'RTF 1'!$M38,IF(AND(OR('Input &amp; Findings'!$G$39="N-Bound",'Input &amp; Findings'!$G$40="N-Bound"),'RTF 2'!$D$8="N-Bound"),'RTF 2'!$M38,'Data 15'!P129)),0)</f>
        <v>67</v>
      </c>
      <c r="Q29" s="51">
        <f>'Data 15'!Q129</f>
        <v>56</v>
      </c>
      <c r="R29" s="51">
        <f>'Data 15'!R129</f>
        <v>0</v>
      </c>
      <c r="S29" s="51">
        <f>'Data 15'!S129</f>
        <v>0</v>
      </c>
      <c r="T29" s="51">
        <f>'Data 15'!T129</f>
        <v>0</v>
      </c>
      <c r="U29" s="51">
        <f t="shared" si="2"/>
        <v>123</v>
      </c>
      <c r="V29" s="58">
        <f>'Data 15'!V129</f>
        <v>0.26041666666666702</v>
      </c>
      <c r="W29" s="51">
        <f>ROUNDUP(IF(AND(OR('Input &amp; Findings'!$G$39="E-Bound",'Input &amp; Findings'!$G$40="E-Bound"),'RTF 1'!$D$8="E-Bound"),'RTF 1'!$M38,IF(AND(OR('Input &amp; Findings'!$G$39="E-Bound",'Input &amp; Findings'!$G$40="E-Bound"),'RTF 2'!$D$8="E-Bound"),'RTF 2'!$M38,'Data 15'!W129)),0)</f>
        <v>23</v>
      </c>
      <c r="X29" s="51">
        <f>'Data 15'!X129</f>
        <v>0</v>
      </c>
      <c r="Y29" s="51">
        <f>'Data 15'!Y129</f>
        <v>8</v>
      </c>
      <c r="Z29" s="51">
        <f>'Data 15'!Z129</f>
        <v>0</v>
      </c>
      <c r="AA29" s="51">
        <f>'Data 15'!AA129</f>
        <v>0</v>
      </c>
      <c r="AB29" s="51">
        <f t="shared" si="3"/>
        <v>31</v>
      </c>
      <c r="AC29" s="58">
        <f>'Data 15'!AC129</f>
        <v>0.26041666666666702</v>
      </c>
      <c r="AE29" s="57"/>
    </row>
    <row r="30" spans="1:31" x14ac:dyDescent="0.25">
      <c r="A30" s="58">
        <f>'Data 15'!A130</f>
        <v>0.27083333333333298</v>
      </c>
      <c r="B30" s="51">
        <f>ROUNDUP(IF(AND(OR('Input &amp; Findings'!$G$39="S-Bound",'Input &amp; Findings'!$G$40="S-Bound"),'RTF 1'!$D$8="S-Bound"),'RTF 1'!$M39,IF(AND(OR('Input &amp; Findings'!$G$39="S-Bound",'Input &amp; Findings'!$G$40="S-Bound"),'RTF 2'!$D$8="S-Bound"),'RTF 2'!$M39,'Data 15'!B130)),0)</f>
        <v>0</v>
      </c>
      <c r="C30" s="51">
        <f>'Data 15'!C130</f>
        <v>414</v>
      </c>
      <c r="D30" s="51">
        <f>'Data 15'!D130</f>
        <v>308</v>
      </c>
      <c r="E30" s="51">
        <f>'Data 15'!E130</f>
        <v>0</v>
      </c>
      <c r="F30" s="51">
        <f>'Data 15'!F130</f>
        <v>0</v>
      </c>
      <c r="G30" s="51">
        <f t="shared" si="0"/>
        <v>722</v>
      </c>
      <c r="H30" s="58">
        <f>'Data 15'!H130</f>
        <v>0.27083333333333298</v>
      </c>
      <c r="I30" s="51">
        <f>ROUNDUP(IF(AND(OR('Input &amp; Findings'!$G$39="W-Bound",'Input &amp; Findings'!$G$40="W-Bound"),'RTF 1'!$D$8="W-Bound"),'RTF 1'!$M39,IF(AND(OR('Input &amp; Findings'!$G$39="W-Bound",'Input &amp; Findings'!$G$40="W-Bound"),'RTF 2'!$D$8="W-Bound"),'RTF 2'!$M39,'Data 15'!I130)),0)</f>
        <v>0</v>
      </c>
      <c r="J30" s="51">
        <f>'Data 15'!J130</f>
        <v>0</v>
      </c>
      <c r="K30" s="51">
        <f>'Data 15'!K130</f>
        <v>0</v>
      </c>
      <c r="L30" s="51">
        <f>'Data 15'!L130</f>
        <v>0</v>
      </c>
      <c r="M30" s="51">
        <f>'Data 15'!M130</f>
        <v>0</v>
      </c>
      <c r="N30" s="51">
        <f t="shared" si="1"/>
        <v>0</v>
      </c>
      <c r="O30" s="58">
        <f>'Data 15'!O130</f>
        <v>0.27083333333333298</v>
      </c>
      <c r="P30" s="51">
        <f>ROUNDUP(IF(AND(OR('Input &amp; Findings'!$G$39="N-Bound",'Input &amp; Findings'!$G$40="N-Bound"),'RTF 1'!$D$8="N-Bound"),'RTF 1'!$M39,IF(AND(OR('Input &amp; Findings'!$G$39="N-Bound",'Input &amp; Findings'!$G$40="N-Bound"),'RTF 2'!$D$8="N-Bound"),'RTF 2'!$M39,'Data 15'!P130)),0)</f>
        <v>146</v>
      </c>
      <c r="Q30" s="51">
        <f>'Data 15'!Q130</f>
        <v>148</v>
      </c>
      <c r="R30" s="51">
        <f>'Data 15'!R130</f>
        <v>0</v>
      </c>
      <c r="S30" s="51">
        <f>'Data 15'!S130</f>
        <v>0</v>
      </c>
      <c r="T30" s="51">
        <f>'Data 15'!T130</f>
        <v>0</v>
      </c>
      <c r="U30" s="51">
        <f t="shared" si="2"/>
        <v>294</v>
      </c>
      <c r="V30" s="58">
        <f>'Data 15'!V130</f>
        <v>0.27083333333333298</v>
      </c>
      <c r="W30" s="51">
        <f>ROUNDUP(IF(AND(OR('Input &amp; Findings'!$G$39="E-Bound",'Input &amp; Findings'!$G$40="E-Bound"),'RTF 1'!$D$8="E-Bound"),'RTF 1'!$M39,IF(AND(OR('Input &amp; Findings'!$G$39="E-Bound",'Input &amp; Findings'!$G$40="E-Bound"),'RTF 2'!$D$8="E-Bound"),'RTF 2'!$M39,'Data 15'!W130)),0)</f>
        <v>57</v>
      </c>
      <c r="X30" s="51">
        <f>'Data 15'!X130</f>
        <v>0</v>
      </c>
      <c r="Y30" s="51">
        <f>'Data 15'!Y130</f>
        <v>16</v>
      </c>
      <c r="Z30" s="51">
        <f>'Data 15'!Z130</f>
        <v>0</v>
      </c>
      <c r="AA30" s="51">
        <f>'Data 15'!AA130</f>
        <v>0</v>
      </c>
      <c r="AB30" s="51">
        <f t="shared" si="3"/>
        <v>73</v>
      </c>
      <c r="AC30" s="58">
        <f>'Data 15'!AC130</f>
        <v>0.27083333333333298</v>
      </c>
      <c r="AE30" s="57"/>
    </row>
    <row r="31" spans="1:31" x14ac:dyDescent="0.25">
      <c r="A31" s="58">
        <f>'Data 15'!A131</f>
        <v>0.28125</v>
      </c>
      <c r="B31" s="51">
        <f>ROUNDUP(IF(AND(OR('Input &amp; Findings'!$G$39="S-Bound",'Input &amp; Findings'!$G$40="S-Bound"),'RTF 1'!$D$8="S-Bound"),'RTF 1'!$M40,IF(AND(OR('Input &amp; Findings'!$G$39="S-Bound",'Input &amp; Findings'!$G$40="S-Bound"),'RTF 2'!$D$8="S-Bound"),'RTF 2'!$M40,'Data 15'!B131)),0)</f>
        <v>0</v>
      </c>
      <c r="C31" s="51">
        <f>'Data 15'!C131</f>
        <v>649</v>
      </c>
      <c r="D31" s="51">
        <f>'Data 15'!D131</f>
        <v>470</v>
      </c>
      <c r="E31" s="51">
        <f>'Data 15'!E131</f>
        <v>0</v>
      </c>
      <c r="F31" s="51">
        <f>'Data 15'!F131</f>
        <v>0</v>
      </c>
      <c r="G31" s="51">
        <f t="shared" si="0"/>
        <v>1119</v>
      </c>
      <c r="H31" s="58">
        <f>'Data 15'!H131</f>
        <v>0.28125</v>
      </c>
      <c r="I31" s="51">
        <f>ROUNDUP(IF(AND(OR('Input &amp; Findings'!$G$39="W-Bound",'Input &amp; Findings'!$G$40="W-Bound"),'RTF 1'!$D$8="W-Bound"),'RTF 1'!$M40,IF(AND(OR('Input &amp; Findings'!$G$39="W-Bound",'Input &amp; Findings'!$G$40="W-Bound"),'RTF 2'!$D$8="W-Bound"),'RTF 2'!$M40,'Data 15'!I131)),0)</f>
        <v>0</v>
      </c>
      <c r="J31" s="51">
        <f>'Data 15'!J131</f>
        <v>0</v>
      </c>
      <c r="K31" s="51">
        <f>'Data 15'!K131</f>
        <v>0</v>
      </c>
      <c r="L31" s="51">
        <f>'Data 15'!L131</f>
        <v>0</v>
      </c>
      <c r="M31" s="51">
        <f>'Data 15'!M131</f>
        <v>0</v>
      </c>
      <c r="N31" s="51">
        <f t="shared" si="1"/>
        <v>0</v>
      </c>
      <c r="O31" s="58">
        <f>'Data 15'!O131</f>
        <v>0.28125</v>
      </c>
      <c r="P31" s="51">
        <f>ROUNDUP(IF(AND(OR('Input &amp; Findings'!$G$39="N-Bound",'Input &amp; Findings'!$G$40="N-Bound"),'RTF 1'!$D$8="N-Bound"),'RTF 1'!$M40,IF(AND(OR('Input &amp; Findings'!$G$39="N-Bound",'Input &amp; Findings'!$G$40="N-Bound"),'RTF 2'!$D$8="N-Bound"),'RTF 2'!$M40,'Data 15'!P131)),0)</f>
        <v>218</v>
      </c>
      <c r="Q31" s="51">
        <f>'Data 15'!Q131</f>
        <v>237</v>
      </c>
      <c r="R31" s="51">
        <f>'Data 15'!R131</f>
        <v>0</v>
      </c>
      <c r="S31" s="51">
        <f>'Data 15'!S131</f>
        <v>0</v>
      </c>
      <c r="T31" s="51">
        <f>'Data 15'!T131</f>
        <v>0</v>
      </c>
      <c r="U31" s="51">
        <f t="shared" si="2"/>
        <v>455</v>
      </c>
      <c r="V31" s="58">
        <f>'Data 15'!V131</f>
        <v>0.28125</v>
      </c>
      <c r="W31" s="51">
        <f>ROUNDUP(IF(AND(OR('Input &amp; Findings'!$G$39="E-Bound",'Input &amp; Findings'!$G$40="E-Bound"),'RTF 1'!$D$8="E-Bound"),'RTF 1'!$M40,IF(AND(OR('Input &amp; Findings'!$G$39="E-Bound",'Input &amp; Findings'!$G$40="E-Bound"),'RTF 2'!$D$8="E-Bound"),'RTF 2'!$M40,'Data 15'!W131)),0)</f>
        <v>112</v>
      </c>
      <c r="X31" s="51">
        <f>'Data 15'!X131</f>
        <v>0</v>
      </c>
      <c r="Y31" s="51">
        <f>'Data 15'!Y131</f>
        <v>26</v>
      </c>
      <c r="Z31" s="51">
        <f>'Data 15'!Z131</f>
        <v>0</v>
      </c>
      <c r="AA31" s="51">
        <f>'Data 15'!AA131</f>
        <v>0</v>
      </c>
      <c r="AB31" s="51">
        <f t="shared" si="3"/>
        <v>138</v>
      </c>
      <c r="AC31" s="58">
        <f>'Data 15'!AC131</f>
        <v>0.28125</v>
      </c>
      <c r="AE31" s="57"/>
    </row>
    <row r="32" spans="1:31" x14ac:dyDescent="0.25">
      <c r="A32" s="58">
        <f>'Data 15'!A132</f>
        <v>0.29166666666666702</v>
      </c>
      <c r="B32" s="51">
        <f>ROUNDUP(IF(AND(OR('Input &amp; Findings'!$G$39="S-Bound",'Input &amp; Findings'!$G$40="S-Bound"),'RTF 1'!$D$8="S-Bound"),'RTF 1'!$M41,IF(AND(OR('Input &amp; Findings'!$G$39="S-Bound",'Input &amp; Findings'!$G$40="S-Bound"),'RTF 2'!$D$8="S-Bound"),'RTF 2'!$M41,'Data 15'!B132)),0)</f>
        <v>0</v>
      </c>
      <c r="C32" s="51">
        <f>'Data 15'!C132</f>
        <v>877</v>
      </c>
      <c r="D32" s="51">
        <f>'Data 15'!D132</f>
        <v>613</v>
      </c>
      <c r="E32" s="51">
        <f>'Data 15'!E132</f>
        <v>0</v>
      </c>
      <c r="F32" s="51">
        <f>'Data 15'!F132</f>
        <v>0</v>
      </c>
      <c r="G32" s="51">
        <f t="shared" si="0"/>
        <v>1490</v>
      </c>
      <c r="H32" s="58">
        <f>'Data 15'!H132</f>
        <v>0.29166666666666702</v>
      </c>
      <c r="I32" s="51">
        <f>ROUNDUP(IF(AND(OR('Input &amp; Findings'!$G$39="W-Bound",'Input &amp; Findings'!$G$40="W-Bound"),'RTF 1'!$D$8="W-Bound"),'RTF 1'!$M41,IF(AND(OR('Input &amp; Findings'!$G$39="W-Bound",'Input &amp; Findings'!$G$40="W-Bound"),'RTF 2'!$D$8="W-Bound"),'RTF 2'!$M41,'Data 15'!I132)),0)</f>
        <v>0</v>
      </c>
      <c r="J32" s="51">
        <f>'Data 15'!J132</f>
        <v>0</v>
      </c>
      <c r="K32" s="51">
        <f>'Data 15'!K132</f>
        <v>0</v>
      </c>
      <c r="L32" s="51">
        <f>'Data 15'!L132</f>
        <v>0</v>
      </c>
      <c r="M32" s="51">
        <f>'Data 15'!M132</f>
        <v>0</v>
      </c>
      <c r="N32" s="51">
        <f t="shared" si="1"/>
        <v>0</v>
      </c>
      <c r="O32" s="58">
        <f>'Data 15'!O132</f>
        <v>0.29166666666666702</v>
      </c>
      <c r="P32" s="51">
        <f>ROUNDUP(IF(AND(OR('Input &amp; Findings'!$G$39="N-Bound",'Input &amp; Findings'!$G$40="N-Bound"),'RTF 1'!$D$8="N-Bound"),'RTF 1'!$M41,IF(AND(OR('Input &amp; Findings'!$G$39="N-Bound",'Input &amp; Findings'!$G$40="N-Bound"),'RTF 2'!$D$8="N-Bound"),'RTF 2'!$M41,'Data 15'!P132)),0)</f>
        <v>282</v>
      </c>
      <c r="Q32" s="51">
        <f>'Data 15'!Q132</f>
        <v>355</v>
      </c>
      <c r="R32" s="51">
        <f>'Data 15'!R132</f>
        <v>0</v>
      </c>
      <c r="S32" s="51">
        <f>'Data 15'!S132</f>
        <v>0</v>
      </c>
      <c r="T32" s="51">
        <f>'Data 15'!T132</f>
        <v>0</v>
      </c>
      <c r="U32" s="51">
        <f t="shared" si="2"/>
        <v>637</v>
      </c>
      <c r="V32" s="58">
        <f>'Data 15'!V132</f>
        <v>0.29166666666666702</v>
      </c>
      <c r="W32" s="51">
        <f>ROUNDUP(IF(AND(OR('Input &amp; Findings'!$G$39="E-Bound",'Input &amp; Findings'!$G$40="E-Bound"),'RTF 1'!$D$8="E-Bound"),'RTF 1'!$M41,IF(AND(OR('Input &amp; Findings'!$G$39="E-Bound",'Input &amp; Findings'!$G$40="E-Bound"),'RTF 2'!$D$8="E-Bound"),'RTF 2'!$M41,'Data 15'!W132)),0)</f>
        <v>175</v>
      </c>
      <c r="X32" s="51">
        <f>'Data 15'!X132</f>
        <v>0</v>
      </c>
      <c r="Y32" s="51">
        <f>'Data 15'!Y132</f>
        <v>35</v>
      </c>
      <c r="Z32" s="51">
        <f>'Data 15'!Z132</f>
        <v>0</v>
      </c>
      <c r="AA32" s="51">
        <f>'Data 15'!AA132</f>
        <v>0</v>
      </c>
      <c r="AB32" s="51">
        <f t="shared" si="3"/>
        <v>210</v>
      </c>
      <c r="AC32" s="58">
        <f>'Data 15'!AC132</f>
        <v>0.29166666666666702</v>
      </c>
      <c r="AE32" s="57"/>
    </row>
    <row r="33" spans="1:31" x14ac:dyDescent="0.25">
      <c r="A33" s="58">
        <f>'Data 15'!A133</f>
        <v>0.30208333333333298</v>
      </c>
      <c r="B33" s="51">
        <f>ROUNDUP(IF(AND(OR('Input &amp; Findings'!$G$39="S-Bound",'Input &amp; Findings'!$G$40="S-Bound"),'RTF 1'!$D$8="S-Bound"),'RTF 1'!$M42,IF(AND(OR('Input &amp; Findings'!$G$39="S-Bound",'Input &amp; Findings'!$G$40="S-Bound"),'RTF 2'!$D$8="S-Bound"),'RTF 2'!$M42,'Data 15'!B133)),0)</f>
        <v>0</v>
      </c>
      <c r="C33" s="51">
        <f>'Data 15'!C133</f>
        <v>910</v>
      </c>
      <c r="D33" s="51">
        <f>'Data 15'!D133</f>
        <v>596</v>
      </c>
      <c r="E33" s="51">
        <f>'Data 15'!E133</f>
        <v>0</v>
      </c>
      <c r="F33" s="51">
        <f>'Data 15'!F133</f>
        <v>0</v>
      </c>
      <c r="G33" s="51">
        <f t="shared" si="0"/>
        <v>1506</v>
      </c>
      <c r="H33" s="58">
        <f>'Data 15'!H133</f>
        <v>0.30208333333333298</v>
      </c>
      <c r="I33" s="51">
        <f>ROUNDUP(IF(AND(OR('Input &amp; Findings'!$G$39="W-Bound",'Input &amp; Findings'!$G$40="W-Bound"),'RTF 1'!$D$8="W-Bound"),'RTF 1'!$M42,IF(AND(OR('Input &amp; Findings'!$G$39="W-Bound",'Input &amp; Findings'!$G$40="W-Bound"),'RTF 2'!$D$8="W-Bound"),'RTF 2'!$M42,'Data 15'!I133)),0)</f>
        <v>0</v>
      </c>
      <c r="J33" s="51">
        <f>'Data 15'!J133</f>
        <v>0</v>
      </c>
      <c r="K33" s="51">
        <f>'Data 15'!K133</f>
        <v>0</v>
      </c>
      <c r="L33" s="51">
        <f>'Data 15'!L133</f>
        <v>0</v>
      </c>
      <c r="M33" s="51">
        <f>'Data 15'!M133</f>
        <v>0</v>
      </c>
      <c r="N33" s="51">
        <f t="shared" si="1"/>
        <v>0</v>
      </c>
      <c r="O33" s="58">
        <f>'Data 15'!O133</f>
        <v>0.30208333333333298</v>
      </c>
      <c r="P33" s="51">
        <f>ROUNDUP(IF(AND(OR('Input &amp; Findings'!$G$39="N-Bound",'Input &amp; Findings'!$G$40="N-Bound"),'RTF 1'!$D$8="N-Bound"),'RTF 1'!$M42,IF(AND(OR('Input &amp; Findings'!$G$39="N-Bound",'Input &amp; Findings'!$G$40="N-Bound"),'RTF 2'!$D$8="N-Bound"),'RTF 2'!$M42,'Data 15'!P133)),0)</f>
        <v>275</v>
      </c>
      <c r="Q33" s="51">
        <f>'Data 15'!Q133</f>
        <v>392</v>
      </c>
      <c r="R33" s="51">
        <f>'Data 15'!R133</f>
        <v>0</v>
      </c>
      <c r="S33" s="51">
        <f>'Data 15'!S133</f>
        <v>0</v>
      </c>
      <c r="T33" s="51">
        <f>'Data 15'!T133</f>
        <v>0</v>
      </c>
      <c r="U33" s="51">
        <f t="shared" si="2"/>
        <v>667</v>
      </c>
      <c r="V33" s="58">
        <f>'Data 15'!V133</f>
        <v>0.30208333333333298</v>
      </c>
      <c r="W33" s="51">
        <f>ROUNDUP(IF(AND(OR('Input &amp; Findings'!$G$39="E-Bound",'Input &amp; Findings'!$G$40="E-Bound"),'RTF 1'!$D$8="E-Bound"),'RTF 1'!$M42,IF(AND(OR('Input &amp; Findings'!$G$39="E-Bound",'Input &amp; Findings'!$G$40="E-Bound"),'RTF 2'!$D$8="E-Bound"),'RTF 2'!$M42,'Data 15'!W133)),0)</f>
        <v>165</v>
      </c>
      <c r="X33" s="51">
        <f>'Data 15'!X133</f>
        <v>0</v>
      </c>
      <c r="Y33" s="51">
        <f>'Data 15'!Y133</f>
        <v>39</v>
      </c>
      <c r="Z33" s="51">
        <f>'Data 15'!Z133</f>
        <v>0</v>
      </c>
      <c r="AA33" s="51">
        <f>'Data 15'!AA133</f>
        <v>0</v>
      </c>
      <c r="AB33" s="51">
        <f t="shared" si="3"/>
        <v>204</v>
      </c>
      <c r="AC33" s="58">
        <f>'Data 15'!AC133</f>
        <v>0.30208333333333298</v>
      </c>
      <c r="AE33" s="57"/>
    </row>
    <row r="34" spans="1:31" x14ac:dyDescent="0.25">
      <c r="A34" s="58">
        <f>'Data 15'!A134</f>
        <v>0.3125</v>
      </c>
      <c r="B34" s="51">
        <f>ROUNDUP(IF(AND(OR('Input &amp; Findings'!$G$39="S-Bound",'Input &amp; Findings'!$G$40="S-Bound"),'RTF 1'!$D$8="S-Bound"),'RTF 1'!$M43,IF(AND(OR('Input &amp; Findings'!$G$39="S-Bound",'Input &amp; Findings'!$G$40="S-Bound"),'RTF 2'!$D$8="S-Bound"),'RTF 2'!$M43,'Data 15'!B134)),0)</f>
        <v>0</v>
      </c>
      <c r="C34" s="51">
        <f>'Data 15'!C134</f>
        <v>852</v>
      </c>
      <c r="D34" s="51">
        <f>'Data 15'!D134</f>
        <v>607</v>
      </c>
      <c r="E34" s="51">
        <f>'Data 15'!E134</f>
        <v>1</v>
      </c>
      <c r="F34" s="51">
        <f>'Data 15'!F134</f>
        <v>0</v>
      </c>
      <c r="G34" s="51">
        <f t="shared" si="0"/>
        <v>1460</v>
      </c>
      <c r="H34" s="58">
        <f>'Data 15'!H134</f>
        <v>0.3125</v>
      </c>
      <c r="I34" s="51">
        <f>ROUNDUP(IF(AND(OR('Input &amp; Findings'!$G$39="W-Bound",'Input &amp; Findings'!$G$40="W-Bound"),'RTF 1'!$D$8="W-Bound"),'RTF 1'!$M43,IF(AND(OR('Input &amp; Findings'!$G$39="W-Bound",'Input &amp; Findings'!$G$40="W-Bound"),'RTF 2'!$D$8="W-Bound"),'RTF 2'!$M43,'Data 15'!I134)),0)</f>
        <v>0</v>
      </c>
      <c r="J34" s="51">
        <f>'Data 15'!J134</f>
        <v>0</v>
      </c>
      <c r="K34" s="51">
        <f>'Data 15'!K134</f>
        <v>0</v>
      </c>
      <c r="L34" s="51">
        <f>'Data 15'!L134</f>
        <v>0</v>
      </c>
      <c r="M34" s="51">
        <f>'Data 15'!M134</f>
        <v>0</v>
      </c>
      <c r="N34" s="51">
        <f t="shared" si="1"/>
        <v>0</v>
      </c>
      <c r="O34" s="58">
        <f>'Data 15'!O134</f>
        <v>0.3125</v>
      </c>
      <c r="P34" s="51">
        <f>ROUNDUP(IF(AND(OR('Input &amp; Findings'!$G$39="N-Bound",'Input &amp; Findings'!$G$40="N-Bound"),'RTF 1'!$D$8="N-Bound"),'RTF 1'!$M43,IF(AND(OR('Input &amp; Findings'!$G$39="N-Bound",'Input &amp; Findings'!$G$40="N-Bound"),'RTF 2'!$D$8="N-Bound"),'RTF 2'!$M43,'Data 15'!P134)),0)</f>
        <v>262</v>
      </c>
      <c r="Q34" s="51">
        <f>'Data 15'!Q134</f>
        <v>424</v>
      </c>
      <c r="R34" s="51">
        <f>'Data 15'!R134</f>
        <v>0</v>
      </c>
      <c r="S34" s="51">
        <f>'Data 15'!S134</f>
        <v>0</v>
      </c>
      <c r="T34" s="51">
        <f>'Data 15'!T134</f>
        <v>0</v>
      </c>
      <c r="U34" s="51">
        <f t="shared" si="2"/>
        <v>686</v>
      </c>
      <c r="V34" s="58">
        <f>'Data 15'!V134</f>
        <v>0.3125</v>
      </c>
      <c r="W34" s="51">
        <f>ROUNDUP(IF(AND(OR('Input &amp; Findings'!$G$39="E-Bound",'Input &amp; Findings'!$G$40="E-Bound"),'RTF 1'!$D$8="E-Bound"),'RTF 1'!$M43,IF(AND(OR('Input &amp; Findings'!$G$39="E-Bound",'Input &amp; Findings'!$G$40="E-Bound"),'RTF 2'!$D$8="E-Bound"),'RTF 2'!$M43,'Data 15'!W134)),0)</f>
        <v>150</v>
      </c>
      <c r="X34" s="51">
        <f>'Data 15'!X134</f>
        <v>0</v>
      </c>
      <c r="Y34" s="51">
        <f>'Data 15'!Y134</f>
        <v>38</v>
      </c>
      <c r="Z34" s="51">
        <f>'Data 15'!Z134</f>
        <v>0</v>
      </c>
      <c r="AA34" s="51">
        <f>'Data 15'!AA134</f>
        <v>0</v>
      </c>
      <c r="AB34" s="51">
        <f t="shared" si="3"/>
        <v>188</v>
      </c>
      <c r="AC34" s="58">
        <f>'Data 15'!AC134</f>
        <v>0.3125</v>
      </c>
      <c r="AE34" s="57"/>
    </row>
    <row r="35" spans="1:31" x14ac:dyDescent="0.25">
      <c r="A35" s="58">
        <f>'Data 15'!A135</f>
        <v>0.32291666666666702</v>
      </c>
      <c r="B35" s="51">
        <f>ROUNDUP(IF(AND(OR('Input &amp; Findings'!$G$39="S-Bound",'Input &amp; Findings'!$G$40="S-Bound"),'RTF 1'!$D$8="S-Bound"),'RTF 1'!$M44,IF(AND(OR('Input &amp; Findings'!$G$39="S-Bound",'Input &amp; Findings'!$G$40="S-Bound"),'RTF 2'!$D$8="S-Bound"),'RTF 2'!$M44,'Data 15'!B135)),0)</f>
        <v>0</v>
      </c>
      <c r="C35" s="51">
        <f>'Data 15'!C135</f>
        <v>797</v>
      </c>
      <c r="D35" s="51">
        <f>'Data 15'!D135</f>
        <v>585</v>
      </c>
      <c r="E35" s="51">
        <f>'Data 15'!E135</f>
        <v>1</v>
      </c>
      <c r="F35" s="51">
        <f>'Data 15'!F135</f>
        <v>0</v>
      </c>
      <c r="G35" s="51">
        <f t="shared" si="0"/>
        <v>1383</v>
      </c>
      <c r="H35" s="58">
        <f>'Data 15'!H135</f>
        <v>0.32291666666666702</v>
      </c>
      <c r="I35" s="51">
        <f>ROUNDUP(IF(AND(OR('Input &amp; Findings'!$G$39="W-Bound",'Input &amp; Findings'!$G$40="W-Bound"),'RTF 1'!$D$8="W-Bound"),'RTF 1'!$M44,IF(AND(OR('Input &amp; Findings'!$G$39="W-Bound",'Input &amp; Findings'!$G$40="W-Bound"),'RTF 2'!$D$8="W-Bound"),'RTF 2'!$M44,'Data 15'!I135)),0)</f>
        <v>0</v>
      </c>
      <c r="J35" s="51">
        <f>'Data 15'!J135</f>
        <v>0</v>
      </c>
      <c r="K35" s="51">
        <f>'Data 15'!K135</f>
        <v>0</v>
      </c>
      <c r="L35" s="51">
        <f>'Data 15'!L135</f>
        <v>0</v>
      </c>
      <c r="M35" s="51">
        <f>'Data 15'!M135</f>
        <v>0</v>
      </c>
      <c r="N35" s="51">
        <f t="shared" si="1"/>
        <v>0</v>
      </c>
      <c r="O35" s="58">
        <f>'Data 15'!O135</f>
        <v>0.32291666666666702</v>
      </c>
      <c r="P35" s="51">
        <f>ROUNDUP(IF(AND(OR('Input &amp; Findings'!$G$39="N-Bound",'Input &amp; Findings'!$G$40="N-Bound"),'RTF 1'!$D$8="N-Bound"),'RTF 1'!$M44,IF(AND(OR('Input &amp; Findings'!$G$39="N-Bound",'Input &amp; Findings'!$G$40="N-Bound"),'RTF 2'!$D$8="N-Bound"),'RTF 2'!$M44,'Data 15'!P135)),0)</f>
        <v>276</v>
      </c>
      <c r="Q35" s="51">
        <f>'Data 15'!Q135</f>
        <v>440</v>
      </c>
      <c r="R35" s="51">
        <f>'Data 15'!R135</f>
        <v>0</v>
      </c>
      <c r="S35" s="51">
        <f>'Data 15'!S135</f>
        <v>0</v>
      </c>
      <c r="T35" s="51">
        <f>'Data 15'!T135</f>
        <v>0</v>
      </c>
      <c r="U35" s="51">
        <f t="shared" si="2"/>
        <v>716</v>
      </c>
      <c r="V35" s="58">
        <f>'Data 15'!V135</f>
        <v>0.32291666666666702</v>
      </c>
      <c r="W35" s="51">
        <f>ROUNDUP(IF(AND(OR('Input &amp; Findings'!$G$39="E-Bound",'Input &amp; Findings'!$G$40="E-Bound"),'RTF 1'!$D$8="E-Bound"),'RTF 1'!$M44,IF(AND(OR('Input &amp; Findings'!$G$39="E-Bound",'Input &amp; Findings'!$G$40="E-Bound"),'RTF 2'!$D$8="E-Bound"),'RTF 2'!$M44,'Data 15'!W135)),0)</f>
        <v>114</v>
      </c>
      <c r="X35" s="51">
        <f>'Data 15'!X135</f>
        <v>0</v>
      </c>
      <c r="Y35" s="51">
        <f>'Data 15'!Y135</f>
        <v>42</v>
      </c>
      <c r="Z35" s="51">
        <f>'Data 15'!Z135</f>
        <v>0</v>
      </c>
      <c r="AA35" s="51">
        <f>'Data 15'!AA135</f>
        <v>0</v>
      </c>
      <c r="AB35" s="51">
        <f t="shared" si="3"/>
        <v>156</v>
      </c>
      <c r="AC35" s="58">
        <f>'Data 15'!AC135</f>
        <v>0.32291666666666702</v>
      </c>
      <c r="AE35" s="57"/>
    </row>
    <row r="36" spans="1:31" x14ac:dyDescent="0.25">
      <c r="A36" s="58">
        <f>'Data 15'!A136</f>
        <v>0.33333333333333298</v>
      </c>
      <c r="B36" s="51">
        <f>ROUNDUP(IF(AND(OR('Input &amp; Findings'!$G$39="S-Bound",'Input &amp; Findings'!$G$40="S-Bound"),'RTF 1'!$D$8="S-Bound"),'RTF 1'!$M45,IF(AND(OR('Input &amp; Findings'!$G$39="S-Bound",'Input &amp; Findings'!$G$40="S-Bound"),'RTF 2'!$D$8="S-Bound"),'RTF 2'!$M45,'Data 15'!B136)),0)</f>
        <v>0</v>
      </c>
      <c r="C36" s="51">
        <f>'Data 15'!C136</f>
        <v>770</v>
      </c>
      <c r="D36" s="51">
        <f>'Data 15'!D136</f>
        <v>586</v>
      </c>
      <c r="E36" s="51">
        <f>'Data 15'!E136</f>
        <v>1</v>
      </c>
      <c r="F36" s="51">
        <f>'Data 15'!F136</f>
        <v>0</v>
      </c>
      <c r="G36" s="51">
        <f t="shared" si="0"/>
        <v>1357</v>
      </c>
      <c r="H36" s="58">
        <f>'Data 15'!H136</f>
        <v>0.33333333333333298</v>
      </c>
      <c r="I36" s="51">
        <f>ROUNDUP(IF(AND(OR('Input &amp; Findings'!$G$39="W-Bound",'Input &amp; Findings'!$G$40="W-Bound"),'RTF 1'!$D$8="W-Bound"),'RTF 1'!$M45,IF(AND(OR('Input &amp; Findings'!$G$39="W-Bound",'Input &amp; Findings'!$G$40="W-Bound"),'RTF 2'!$D$8="W-Bound"),'RTF 2'!$M45,'Data 15'!I136)),0)</f>
        <v>0</v>
      </c>
      <c r="J36" s="51">
        <f>'Data 15'!J136</f>
        <v>0</v>
      </c>
      <c r="K36" s="51">
        <f>'Data 15'!K136</f>
        <v>0</v>
      </c>
      <c r="L36" s="51">
        <f>'Data 15'!L136</f>
        <v>0</v>
      </c>
      <c r="M36" s="51">
        <f>'Data 15'!M136</f>
        <v>0</v>
      </c>
      <c r="N36" s="51">
        <f t="shared" si="1"/>
        <v>0</v>
      </c>
      <c r="O36" s="58">
        <f>'Data 15'!O136</f>
        <v>0.33333333333333298</v>
      </c>
      <c r="P36" s="51">
        <f>ROUNDUP(IF(AND(OR('Input &amp; Findings'!$G$39="N-Bound",'Input &amp; Findings'!$G$40="N-Bound"),'RTF 1'!$D$8="N-Bound"),'RTF 1'!$M45,IF(AND(OR('Input &amp; Findings'!$G$39="N-Bound",'Input &amp; Findings'!$G$40="N-Bound"),'RTF 2'!$D$8="N-Bound"),'RTF 2'!$M45,'Data 15'!P136)),0)</f>
        <v>282</v>
      </c>
      <c r="Q36" s="51">
        <f>'Data 15'!Q136</f>
        <v>444</v>
      </c>
      <c r="R36" s="51">
        <f>'Data 15'!R136</f>
        <v>0</v>
      </c>
      <c r="S36" s="51">
        <f>'Data 15'!S136</f>
        <v>0</v>
      </c>
      <c r="T36" s="51">
        <f>'Data 15'!T136</f>
        <v>0</v>
      </c>
      <c r="U36" s="51">
        <f t="shared" si="2"/>
        <v>726</v>
      </c>
      <c r="V36" s="58">
        <f>'Data 15'!V136</f>
        <v>0.33333333333333298</v>
      </c>
      <c r="W36" s="51">
        <f>ROUNDUP(IF(AND(OR('Input &amp; Findings'!$G$39="E-Bound",'Input &amp; Findings'!$G$40="E-Bound"),'RTF 1'!$D$8="E-Bound"),'RTF 1'!$M45,IF(AND(OR('Input &amp; Findings'!$G$39="E-Bound",'Input &amp; Findings'!$G$40="E-Bound"),'RTF 2'!$D$8="E-Bound"),'RTF 2'!$M45,'Data 15'!W136)),0)</f>
        <v>122</v>
      </c>
      <c r="X36" s="51">
        <f>'Data 15'!X136</f>
        <v>0</v>
      </c>
      <c r="Y36" s="51">
        <f>'Data 15'!Y136</f>
        <v>47</v>
      </c>
      <c r="Z36" s="51">
        <f>'Data 15'!Z136</f>
        <v>0</v>
      </c>
      <c r="AA36" s="51">
        <f>'Data 15'!AA136</f>
        <v>0</v>
      </c>
      <c r="AB36" s="51">
        <f t="shared" si="3"/>
        <v>169</v>
      </c>
      <c r="AC36" s="58">
        <f>'Data 15'!AC136</f>
        <v>0.33333333333333298</v>
      </c>
      <c r="AE36" s="57"/>
    </row>
    <row r="37" spans="1:31" x14ac:dyDescent="0.25">
      <c r="A37" s="58">
        <f>'Data 15'!A137</f>
        <v>0.34375</v>
      </c>
      <c r="B37" s="51">
        <f>ROUNDUP(IF(AND(OR('Input &amp; Findings'!$G$39="S-Bound",'Input &amp; Findings'!$G$40="S-Bound"),'RTF 1'!$D$8="S-Bound"),'RTF 1'!$M46,IF(AND(OR('Input &amp; Findings'!$G$39="S-Bound",'Input &amp; Findings'!$G$40="S-Bound"),'RTF 2'!$D$8="S-Bound"),'RTF 2'!$M46,'Data 15'!B137)),0)</f>
        <v>0</v>
      </c>
      <c r="C37" s="51">
        <f>'Data 15'!C137</f>
        <v>704</v>
      </c>
      <c r="D37" s="51">
        <f>'Data 15'!D137</f>
        <v>524</v>
      </c>
      <c r="E37" s="51">
        <f>'Data 15'!E137</f>
        <v>1</v>
      </c>
      <c r="F37" s="51">
        <f>'Data 15'!F137</f>
        <v>0</v>
      </c>
      <c r="G37" s="51">
        <f t="shared" si="0"/>
        <v>1229</v>
      </c>
      <c r="H37" s="58">
        <f>'Data 15'!H137</f>
        <v>0.34375</v>
      </c>
      <c r="I37" s="51">
        <f>ROUNDUP(IF(AND(OR('Input &amp; Findings'!$G$39="W-Bound",'Input &amp; Findings'!$G$40="W-Bound"),'RTF 1'!$D$8="W-Bound"),'RTF 1'!$M46,IF(AND(OR('Input &amp; Findings'!$G$39="W-Bound",'Input &amp; Findings'!$G$40="W-Bound"),'RTF 2'!$D$8="W-Bound"),'RTF 2'!$M46,'Data 15'!I137)),0)</f>
        <v>0</v>
      </c>
      <c r="J37" s="51">
        <f>'Data 15'!J137</f>
        <v>0</v>
      </c>
      <c r="K37" s="51">
        <f>'Data 15'!K137</f>
        <v>0</v>
      </c>
      <c r="L37" s="51">
        <f>'Data 15'!L137</f>
        <v>0</v>
      </c>
      <c r="M37" s="51">
        <f>'Data 15'!M137</f>
        <v>0</v>
      </c>
      <c r="N37" s="51">
        <f t="shared" si="1"/>
        <v>0</v>
      </c>
      <c r="O37" s="58">
        <f>'Data 15'!O137</f>
        <v>0.34375</v>
      </c>
      <c r="P37" s="51">
        <f>ROUNDUP(IF(AND(OR('Input &amp; Findings'!$G$39="N-Bound",'Input &amp; Findings'!$G$40="N-Bound"),'RTF 1'!$D$8="N-Bound"),'RTF 1'!$M46,IF(AND(OR('Input &amp; Findings'!$G$39="N-Bound",'Input &amp; Findings'!$G$40="N-Bound"),'RTF 2'!$D$8="N-Bound"),'RTF 2'!$M46,'Data 15'!P137)),0)</f>
        <v>271</v>
      </c>
      <c r="Q37" s="51">
        <f>'Data 15'!Q137</f>
        <v>455</v>
      </c>
      <c r="R37" s="51">
        <f>'Data 15'!R137</f>
        <v>0</v>
      </c>
      <c r="S37" s="51">
        <f>'Data 15'!S137</f>
        <v>0</v>
      </c>
      <c r="T37" s="51">
        <f>'Data 15'!T137</f>
        <v>0</v>
      </c>
      <c r="U37" s="51">
        <f t="shared" si="2"/>
        <v>726</v>
      </c>
      <c r="V37" s="58">
        <f>'Data 15'!V137</f>
        <v>0.34375</v>
      </c>
      <c r="W37" s="51">
        <f>ROUNDUP(IF(AND(OR('Input &amp; Findings'!$G$39="E-Bound",'Input &amp; Findings'!$G$40="E-Bound"),'RTF 1'!$D$8="E-Bound"),'RTF 1'!$M46,IF(AND(OR('Input &amp; Findings'!$G$39="E-Bound",'Input &amp; Findings'!$G$40="E-Bound"),'RTF 2'!$D$8="E-Bound"),'RTF 2'!$M46,'Data 15'!W137)),0)</f>
        <v>109</v>
      </c>
      <c r="X37" s="51">
        <f>'Data 15'!X137</f>
        <v>0</v>
      </c>
      <c r="Y37" s="51">
        <f>'Data 15'!Y137</f>
        <v>47</v>
      </c>
      <c r="Z37" s="51">
        <f>'Data 15'!Z137</f>
        <v>0</v>
      </c>
      <c r="AA37" s="51">
        <f>'Data 15'!AA137</f>
        <v>0</v>
      </c>
      <c r="AB37" s="51">
        <f t="shared" si="3"/>
        <v>156</v>
      </c>
      <c r="AC37" s="58">
        <f>'Data 15'!AC137</f>
        <v>0.34375</v>
      </c>
      <c r="AE37" s="57"/>
    </row>
    <row r="38" spans="1:31" x14ac:dyDescent="0.25">
      <c r="A38" s="58">
        <f>'Data 15'!A138</f>
        <v>0.35416666666666702</v>
      </c>
      <c r="B38" s="51">
        <f>ROUNDUP(IF(AND(OR('Input &amp; Findings'!$G$39="S-Bound",'Input &amp; Findings'!$G$40="S-Bound"),'RTF 1'!$D$8="S-Bound"),'RTF 1'!$M47,IF(AND(OR('Input &amp; Findings'!$G$39="S-Bound",'Input &amp; Findings'!$G$40="S-Bound"),'RTF 2'!$D$8="S-Bound"),'RTF 2'!$M47,'Data 15'!B138)),0)</f>
        <v>0</v>
      </c>
      <c r="C38" s="51">
        <f>'Data 15'!C138</f>
        <v>662</v>
      </c>
      <c r="D38" s="51">
        <f>'Data 15'!D138</f>
        <v>451</v>
      </c>
      <c r="E38" s="51">
        <f>'Data 15'!E138</f>
        <v>0</v>
      </c>
      <c r="F38" s="51">
        <f>'Data 15'!F138</f>
        <v>0</v>
      </c>
      <c r="G38" s="51">
        <f t="shared" si="0"/>
        <v>1113</v>
      </c>
      <c r="H38" s="58">
        <f>'Data 15'!H138</f>
        <v>0.35416666666666702</v>
      </c>
      <c r="I38" s="51">
        <f>ROUNDUP(IF(AND(OR('Input &amp; Findings'!$G$39="W-Bound",'Input &amp; Findings'!$G$40="W-Bound"),'RTF 1'!$D$8="W-Bound"),'RTF 1'!$M47,IF(AND(OR('Input &amp; Findings'!$G$39="W-Bound",'Input &amp; Findings'!$G$40="W-Bound"),'RTF 2'!$D$8="W-Bound"),'RTF 2'!$M47,'Data 15'!I138)),0)</f>
        <v>0</v>
      </c>
      <c r="J38" s="51">
        <f>'Data 15'!J138</f>
        <v>0</v>
      </c>
      <c r="K38" s="51">
        <f>'Data 15'!K138</f>
        <v>0</v>
      </c>
      <c r="L38" s="51">
        <f>'Data 15'!L138</f>
        <v>0</v>
      </c>
      <c r="M38" s="51">
        <f>'Data 15'!M138</f>
        <v>0</v>
      </c>
      <c r="N38" s="51">
        <f t="shared" si="1"/>
        <v>0</v>
      </c>
      <c r="O38" s="58">
        <f>'Data 15'!O138</f>
        <v>0.35416666666666702</v>
      </c>
      <c r="P38" s="51">
        <f>ROUNDUP(IF(AND(OR('Input &amp; Findings'!$G$39="N-Bound",'Input &amp; Findings'!$G$40="N-Bound"),'RTF 1'!$D$8="N-Bound"),'RTF 1'!$M47,IF(AND(OR('Input &amp; Findings'!$G$39="N-Bound",'Input &amp; Findings'!$G$40="N-Bound"),'RTF 2'!$D$8="N-Bound"),'RTF 2'!$M47,'Data 15'!P138)),0)</f>
        <v>260</v>
      </c>
      <c r="Q38" s="51">
        <f>'Data 15'!Q138</f>
        <v>449</v>
      </c>
      <c r="R38" s="51">
        <f>'Data 15'!R138</f>
        <v>0</v>
      </c>
      <c r="S38" s="51">
        <f>'Data 15'!S138</f>
        <v>0</v>
      </c>
      <c r="T38" s="51">
        <f>'Data 15'!T138</f>
        <v>0</v>
      </c>
      <c r="U38" s="51">
        <f t="shared" si="2"/>
        <v>709</v>
      </c>
      <c r="V38" s="58">
        <f>'Data 15'!V138</f>
        <v>0.35416666666666702</v>
      </c>
      <c r="W38" s="51">
        <f>ROUNDUP(IF(AND(OR('Input &amp; Findings'!$G$39="E-Bound",'Input &amp; Findings'!$G$40="E-Bound"),'RTF 1'!$D$8="E-Bound"),'RTF 1'!$M47,IF(AND(OR('Input &amp; Findings'!$G$39="E-Bound",'Input &amp; Findings'!$G$40="E-Bound"),'RTF 2'!$D$8="E-Bound"),'RTF 2'!$M47,'Data 15'!W138)),0)</f>
        <v>103</v>
      </c>
      <c r="X38" s="51">
        <f>'Data 15'!X138</f>
        <v>0</v>
      </c>
      <c r="Y38" s="51">
        <f>'Data 15'!Y138</f>
        <v>53</v>
      </c>
      <c r="Z38" s="51">
        <f>'Data 15'!Z138</f>
        <v>0</v>
      </c>
      <c r="AA38" s="51">
        <f>'Data 15'!AA138</f>
        <v>0</v>
      </c>
      <c r="AB38" s="51">
        <f t="shared" si="3"/>
        <v>156</v>
      </c>
      <c r="AC38" s="58">
        <f>'Data 15'!AC138</f>
        <v>0.35416666666666702</v>
      </c>
      <c r="AE38" s="57"/>
    </row>
    <row r="39" spans="1:31" x14ac:dyDescent="0.25">
      <c r="A39" s="58">
        <f>'Data 15'!A139</f>
        <v>0.36458333333333298</v>
      </c>
      <c r="B39" s="51">
        <f>ROUNDUP(IF(AND(OR('Input &amp; Findings'!$G$39="S-Bound",'Input &amp; Findings'!$G$40="S-Bound"),'RTF 1'!$D$8="S-Bound"),'RTF 1'!$M48,IF(AND(OR('Input &amp; Findings'!$G$39="S-Bound",'Input &amp; Findings'!$G$40="S-Bound"),'RTF 2'!$D$8="S-Bound"),'RTF 2'!$M48,'Data 15'!B139)),0)</f>
        <v>0</v>
      </c>
      <c r="C39" s="51">
        <f>'Data 15'!C139</f>
        <v>623</v>
      </c>
      <c r="D39" s="51">
        <f>'Data 15'!D139</f>
        <v>401</v>
      </c>
      <c r="E39" s="51">
        <f>'Data 15'!E139</f>
        <v>0</v>
      </c>
      <c r="F39" s="51">
        <f>'Data 15'!F139</f>
        <v>0</v>
      </c>
      <c r="G39" s="51">
        <f t="shared" si="0"/>
        <v>1024</v>
      </c>
      <c r="H39" s="58">
        <f>'Data 15'!H139</f>
        <v>0.36458333333333298</v>
      </c>
      <c r="I39" s="51">
        <f>ROUNDUP(IF(AND(OR('Input &amp; Findings'!$G$39="W-Bound",'Input &amp; Findings'!$G$40="W-Bound"),'RTF 1'!$D$8="W-Bound"),'RTF 1'!$M48,IF(AND(OR('Input &amp; Findings'!$G$39="W-Bound",'Input &amp; Findings'!$G$40="W-Bound"),'RTF 2'!$D$8="W-Bound"),'RTF 2'!$M48,'Data 15'!I139)),0)</f>
        <v>0</v>
      </c>
      <c r="J39" s="51">
        <f>'Data 15'!J139</f>
        <v>0</v>
      </c>
      <c r="K39" s="51">
        <f>'Data 15'!K139</f>
        <v>0</v>
      </c>
      <c r="L39" s="51">
        <f>'Data 15'!L139</f>
        <v>0</v>
      </c>
      <c r="M39" s="51">
        <f>'Data 15'!M139</f>
        <v>0</v>
      </c>
      <c r="N39" s="51">
        <f t="shared" si="1"/>
        <v>0</v>
      </c>
      <c r="O39" s="58">
        <f>'Data 15'!O139</f>
        <v>0.36458333333333298</v>
      </c>
      <c r="P39" s="51">
        <f>ROUNDUP(IF(AND(OR('Input &amp; Findings'!$G$39="N-Bound",'Input &amp; Findings'!$G$40="N-Bound"),'RTF 1'!$D$8="N-Bound"),'RTF 1'!$M48,IF(AND(OR('Input &amp; Findings'!$G$39="N-Bound",'Input &amp; Findings'!$G$40="N-Bound"),'RTF 2'!$D$8="N-Bound"),'RTF 2'!$M48,'Data 15'!P139)),0)</f>
        <v>235</v>
      </c>
      <c r="Q39" s="51">
        <f>'Data 15'!Q139</f>
        <v>465</v>
      </c>
      <c r="R39" s="51">
        <f>'Data 15'!R139</f>
        <v>0</v>
      </c>
      <c r="S39" s="51">
        <f>'Data 15'!S139</f>
        <v>0</v>
      </c>
      <c r="T39" s="51">
        <f>'Data 15'!T139</f>
        <v>0</v>
      </c>
      <c r="U39" s="51">
        <f t="shared" si="2"/>
        <v>700</v>
      </c>
      <c r="V39" s="58">
        <f>'Data 15'!V139</f>
        <v>0.36458333333333298</v>
      </c>
      <c r="W39" s="51">
        <f>ROUNDUP(IF(AND(OR('Input &amp; Findings'!$G$39="E-Bound",'Input &amp; Findings'!$G$40="E-Bound"),'RTF 1'!$D$8="E-Bound"),'RTF 1'!$M48,IF(AND(OR('Input &amp; Findings'!$G$39="E-Bound",'Input &amp; Findings'!$G$40="E-Bound"),'RTF 2'!$D$8="E-Bound"),'RTF 2'!$M48,'Data 15'!W139)),0)</f>
        <v>113</v>
      </c>
      <c r="X39" s="51">
        <f>'Data 15'!X139</f>
        <v>0</v>
      </c>
      <c r="Y39" s="51">
        <f>'Data 15'!Y139</f>
        <v>47</v>
      </c>
      <c r="Z39" s="51">
        <f>'Data 15'!Z139</f>
        <v>0</v>
      </c>
      <c r="AA39" s="51">
        <f>'Data 15'!AA139</f>
        <v>0</v>
      </c>
      <c r="AB39" s="51">
        <f t="shared" si="3"/>
        <v>160</v>
      </c>
      <c r="AC39" s="58">
        <f>'Data 15'!AC139</f>
        <v>0.36458333333333298</v>
      </c>
      <c r="AE39" s="57"/>
    </row>
    <row r="40" spans="1:31" x14ac:dyDescent="0.25">
      <c r="A40" s="58">
        <f>'Data 15'!A140</f>
        <v>0.375</v>
      </c>
      <c r="B40" s="51">
        <f>ROUNDUP(IF(AND(OR('Input &amp; Findings'!$G$39="S-Bound",'Input &amp; Findings'!$G$40="S-Bound"),'RTF 1'!$D$8="S-Bound"),'RTF 1'!$M49,IF(AND(OR('Input &amp; Findings'!$G$39="S-Bound",'Input &amp; Findings'!$G$40="S-Bound"),'RTF 2'!$D$8="S-Bound"),'RTF 2'!$M49,'Data 15'!B140)),0)</f>
        <v>0</v>
      </c>
      <c r="C40" s="51">
        <f>'Data 15'!C140</f>
        <v>559</v>
      </c>
      <c r="D40" s="51">
        <f>'Data 15'!D140</f>
        <v>353</v>
      </c>
      <c r="E40" s="51">
        <f>'Data 15'!E140</f>
        <v>0</v>
      </c>
      <c r="F40" s="51">
        <f>'Data 15'!F140</f>
        <v>0</v>
      </c>
      <c r="G40" s="51">
        <f t="shared" si="0"/>
        <v>912</v>
      </c>
      <c r="H40" s="58">
        <f>'Data 15'!H140</f>
        <v>0.375</v>
      </c>
      <c r="I40" s="51">
        <f>ROUNDUP(IF(AND(OR('Input &amp; Findings'!$G$39="W-Bound",'Input &amp; Findings'!$G$40="W-Bound"),'RTF 1'!$D$8="W-Bound"),'RTF 1'!$M49,IF(AND(OR('Input &amp; Findings'!$G$39="W-Bound",'Input &amp; Findings'!$G$40="W-Bound"),'RTF 2'!$D$8="W-Bound"),'RTF 2'!$M49,'Data 15'!I140)),0)</f>
        <v>0</v>
      </c>
      <c r="J40" s="51">
        <f>'Data 15'!J140</f>
        <v>0</v>
      </c>
      <c r="K40" s="51">
        <f>'Data 15'!K140</f>
        <v>0</v>
      </c>
      <c r="L40" s="51">
        <f>'Data 15'!L140</f>
        <v>0</v>
      </c>
      <c r="M40" s="51">
        <f>'Data 15'!M140</f>
        <v>0</v>
      </c>
      <c r="N40" s="51">
        <f t="shared" si="1"/>
        <v>0</v>
      </c>
      <c r="O40" s="58">
        <f>'Data 15'!O140</f>
        <v>0.375</v>
      </c>
      <c r="P40" s="51">
        <f>ROUNDUP(IF(AND(OR('Input &amp; Findings'!$G$39="N-Bound",'Input &amp; Findings'!$G$40="N-Bound"),'RTF 1'!$D$8="N-Bound"),'RTF 1'!$M49,IF(AND(OR('Input &amp; Findings'!$G$39="N-Bound",'Input &amp; Findings'!$G$40="N-Bound"),'RTF 2'!$D$8="N-Bound"),'RTF 2'!$M49,'Data 15'!P140)),0)</f>
        <v>222</v>
      </c>
      <c r="Q40" s="51">
        <f>'Data 15'!Q140</f>
        <v>441</v>
      </c>
      <c r="R40" s="51">
        <f>'Data 15'!R140</f>
        <v>0</v>
      </c>
      <c r="S40" s="51">
        <f>'Data 15'!S140</f>
        <v>0</v>
      </c>
      <c r="T40" s="51">
        <f>'Data 15'!T140</f>
        <v>0</v>
      </c>
      <c r="U40" s="51">
        <f t="shared" si="2"/>
        <v>663</v>
      </c>
      <c r="V40" s="58">
        <f>'Data 15'!V140</f>
        <v>0.375</v>
      </c>
      <c r="W40" s="51">
        <f>ROUNDUP(IF(AND(OR('Input &amp; Findings'!$G$39="E-Bound",'Input &amp; Findings'!$G$40="E-Bound"),'RTF 1'!$D$8="E-Bound"),'RTF 1'!$M49,IF(AND(OR('Input &amp; Findings'!$G$39="E-Bound",'Input &amp; Findings'!$G$40="E-Bound"),'RTF 2'!$D$8="E-Bound"),'RTF 2'!$M49,'Data 15'!W140)),0)</f>
        <v>95</v>
      </c>
      <c r="X40" s="51">
        <f>'Data 15'!X140</f>
        <v>0</v>
      </c>
      <c r="Y40" s="51">
        <f>'Data 15'!Y140</f>
        <v>45</v>
      </c>
      <c r="Z40" s="51">
        <f>'Data 15'!Z140</f>
        <v>0</v>
      </c>
      <c r="AA40" s="51">
        <f>'Data 15'!AA140</f>
        <v>0</v>
      </c>
      <c r="AB40" s="51">
        <f t="shared" si="3"/>
        <v>140</v>
      </c>
      <c r="AC40" s="58">
        <f>'Data 15'!AC140</f>
        <v>0.375</v>
      </c>
      <c r="AE40" s="57"/>
    </row>
    <row r="41" spans="1:31" x14ac:dyDescent="0.25">
      <c r="A41" s="58">
        <f>'Data 15'!A141</f>
        <v>0.38541666666666702</v>
      </c>
      <c r="B41" s="51">
        <f>ROUNDUP(IF(AND(OR('Input &amp; Findings'!$G$39="S-Bound",'Input &amp; Findings'!$G$40="S-Bound"),'RTF 1'!$D$8="S-Bound"),'RTF 1'!$M50,IF(AND(OR('Input &amp; Findings'!$G$39="S-Bound",'Input &amp; Findings'!$G$40="S-Bound"),'RTF 2'!$D$8="S-Bound"),'RTF 2'!$M50,'Data 15'!B141)),0)</f>
        <v>0</v>
      </c>
      <c r="C41" s="51">
        <f>'Data 15'!C141</f>
        <v>536</v>
      </c>
      <c r="D41" s="51">
        <f>'Data 15'!D141</f>
        <v>376</v>
      </c>
      <c r="E41" s="51">
        <f>'Data 15'!E141</f>
        <v>0</v>
      </c>
      <c r="F41" s="51">
        <f>'Data 15'!F141</f>
        <v>0</v>
      </c>
      <c r="G41" s="51">
        <f t="shared" si="0"/>
        <v>912</v>
      </c>
      <c r="H41" s="58">
        <f>'Data 15'!H141</f>
        <v>0.38541666666666702</v>
      </c>
      <c r="I41" s="51">
        <f>ROUNDUP(IF(AND(OR('Input &amp; Findings'!$G$39="W-Bound",'Input &amp; Findings'!$G$40="W-Bound"),'RTF 1'!$D$8="W-Bound"),'RTF 1'!$M50,IF(AND(OR('Input &amp; Findings'!$G$39="W-Bound",'Input &amp; Findings'!$G$40="W-Bound"),'RTF 2'!$D$8="W-Bound"),'RTF 2'!$M50,'Data 15'!I141)),0)</f>
        <v>0</v>
      </c>
      <c r="J41" s="51">
        <f>'Data 15'!J141</f>
        <v>0</v>
      </c>
      <c r="K41" s="51">
        <f>'Data 15'!K141</f>
        <v>0</v>
      </c>
      <c r="L41" s="51">
        <f>'Data 15'!L141</f>
        <v>0</v>
      </c>
      <c r="M41" s="51">
        <f>'Data 15'!M141</f>
        <v>0</v>
      </c>
      <c r="N41" s="51">
        <f t="shared" si="1"/>
        <v>0</v>
      </c>
      <c r="O41" s="58">
        <f>'Data 15'!O141</f>
        <v>0.38541666666666702</v>
      </c>
      <c r="P41" s="51">
        <f>ROUNDUP(IF(AND(OR('Input &amp; Findings'!$G$39="N-Bound",'Input &amp; Findings'!$G$40="N-Bound"),'RTF 1'!$D$8="N-Bound"),'RTF 1'!$M50,IF(AND(OR('Input &amp; Findings'!$G$39="N-Bound",'Input &amp; Findings'!$G$40="N-Bound"),'RTF 2'!$D$8="N-Bound"),'RTF 2'!$M50,'Data 15'!P141)),0)</f>
        <v>222</v>
      </c>
      <c r="Q41" s="51">
        <f>'Data 15'!Q141</f>
        <v>469</v>
      </c>
      <c r="R41" s="51">
        <f>'Data 15'!R141</f>
        <v>0</v>
      </c>
      <c r="S41" s="51">
        <f>'Data 15'!S141</f>
        <v>0</v>
      </c>
      <c r="T41" s="51">
        <f>'Data 15'!T141</f>
        <v>0</v>
      </c>
      <c r="U41" s="51">
        <f t="shared" si="2"/>
        <v>691</v>
      </c>
      <c r="V41" s="58">
        <f>'Data 15'!V141</f>
        <v>0.38541666666666702</v>
      </c>
      <c r="W41" s="51">
        <f>ROUNDUP(IF(AND(OR('Input &amp; Findings'!$G$39="E-Bound",'Input &amp; Findings'!$G$40="E-Bound"),'RTF 1'!$D$8="E-Bound"),'RTF 1'!$M50,IF(AND(OR('Input &amp; Findings'!$G$39="E-Bound",'Input &amp; Findings'!$G$40="E-Bound"),'RTF 2'!$D$8="E-Bound"),'RTF 2'!$M50,'Data 15'!W141)),0)</f>
        <v>99</v>
      </c>
      <c r="X41" s="51">
        <f>'Data 15'!X141</f>
        <v>0</v>
      </c>
      <c r="Y41" s="51">
        <f>'Data 15'!Y141</f>
        <v>41</v>
      </c>
      <c r="Z41" s="51">
        <f>'Data 15'!Z141</f>
        <v>0</v>
      </c>
      <c r="AA41" s="51">
        <f>'Data 15'!AA141</f>
        <v>0</v>
      </c>
      <c r="AB41" s="51">
        <f t="shared" si="3"/>
        <v>140</v>
      </c>
      <c r="AC41" s="58">
        <f>'Data 15'!AC141</f>
        <v>0.38541666666666702</v>
      </c>
      <c r="AE41" s="57"/>
    </row>
    <row r="42" spans="1:31" x14ac:dyDescent="0.25">
      <c r="A42" s="58">
        <f>'Data 15'!A142</f>
        <v>0.39583333333333298</v>
      </c>
      <c r="B42" s="51">
        <f>ROUNDUP(IF(AND(OR('Input &amp; Findings'!$G$39="S-Bound",'Input &amp; Findings'!$G$40="S-Bound"),'RTF 1'!$D$8="S-Bound"),'RTF 1'!$M51,IF(AND(OR('Input &amp; Findings'!$G$39="S-Bound",'Input &amp; Findings'!$G$40="S-Bound"),'RTF 2'!$D$8="S-Bound"),'RTF 2'!$M51,'Data 15'!B142)),0)</f>
        <v>0</v>
      </c>
      <c r="C42" s="51">
        <f>'Data 15'!C142</f>
        <v>518</v>
      </c>
      <c r="D42" s="51">
        <f>'Data 15'!D142</f>
        <v>370</v>
      </c>
      <c r="E42" s="51">
        <f>'Data 15'!E142</f>
        <v>0</v>
      </c>
      <c r="F42" s="51">
        <f>'Data 15'!F142</f>
        <v>0</v>
      </c>
      <c r="G42" s="51">
        <f t="shared" si="0"/>
        <v>888</v>
      </c>
      <c r="H42" s="58">
        <f>'Data 15'!H142</f>
        <v>0.39583333333333298</v>
      </c>
      <c r="I42" s="51">
        <f>ROUNDUP(IF(AND(OR('Input &amp; Findings'!$G$39="W-Bound",'Input &amp; Findings'!$G$40="W-Bound"),'RTF 1'!$D$8="W-Bound"),'RTF 1'!$M51,IF(AND(OR('Input &amp; Findings'!$G$39="W-Bound",'Input &amp; Findings'!$G$40="W-Bound"),'RTF 2'!$D$8="W-Bound"),'RTF 2'!$M51,'Data 15'!I142)),0)</f>
        <v>0</v>
      </c>
      <c r="J42" s="51">
        <f>'Data 15'!J142</f>
        <v>0</v>
      </c>
      <c r="K42" s="51">
        <f>'Data 15'!K142</f>
        <v>0</v>
      </c>
      <c r="L42" s="51">
        <f>'Data 15'!L142</f>
        <v>0</v>
      </c>
      <c r="M42" s="51">
        <f>'Data 15'!M142</f>
        <v>0</v>
      </c>
      <c r="N42" s="51">
        <f t="shared" si="1"/>
        <v>0</v>
      </c>
      <c r="O42" s="58">
        <f>'Data 15'!O142</f>
        <v>0.39583333333333298</v>
      </c>
      <c r="P42" s="51">
        <f>ROUNDUP(IF(AND(OR('Input &amp; Findings'!$G$39="N-Bound",'Input &amp; Findings'!$G$40="N-Bound"),'RTF 1'!$D$8="N-Bound"),'RTF 1'!$M51,IF(AND(OR('Input &amp; Findings'!$G$39="N-Bound",'Input &amp; Findings'!$G$40="N-Bound"),'RTF 2'!$D$8="N-Bound"),'RTF 2'!$M51,'Data 15'!P142)),0)</f>
        <v>211</v>
      </c>
      <c r="Q42" s="51">
        <f>'Data 15'!Q142</f>
        <v>474</v>
      </c>
      <c r="R42" s="51">
        <f>'Data 15'!R142</f>
        <v>0</v>
      </c>
      <c r="S42" s="51">
        <f>'Data 15'!S142</f>
        <v>0</v>
      </c>
      <c r="T42" s="51">
        <f>'Data 15'!T142</f>
        <v>0</v>
      </c>
      <c r="U42" s="51">
        <f t="shared" si="2"/>
        <v>685</v>
      </c>
      <c r="V42" s="58">
        <f>'Data 15'!V142</f>
        <v>0.39583333333333298</v>
      </c>
      <c r="W42" s="51">
        <f>ROUNDUP(IF(AND(OR('Input &amp; Findings'!$G$39="E-Bound",'Input &amp; Findings'!$G$40="E-Bound"),'RTF 1'!$D$8="E-Bound"),'RTF 1'!$M51,IF(AND(OR('Input &amp; Findings'!$G$39="E-Bound",'Input &amp; Findings'!$G$40="E-Bound"),'RTF 2'!$D$8="E-Bound"),'RTF 2'!$M51,'Data 15'!W142)),0)</f>
        <v>98</v>
      </c>
      <c r="X42" s="51">
        <f>'Data 15'!X142</f>
        <v>0</v>
      </c>
      <c r="Y42" s="51">
        <f>'Data 15'!Y142</f>
        <v>38</v>
      </c>
      <c r="Z42" s="51">
        <f>'Data 15'!Z142</f>
        <v>0</v>
      </c>
      <c r="AA42" s="51">
        <f>'Data 15'!AA142</f>
        <v>0</v>
      </c>
      <c r="AB42" s="51">
        <f t="shared" si="3"/>
        <v>136</v>
      </c>
      <c r="AC42" s="58">
        <f>'Data 15'!AC142</f>
        <v>0.39583333333333298</v>
      </c>
      <c r="AE42" s="57"/>
    </row>
    <row r="43" spans="1:31" x14ac:dyDescent="0.25">
      <c r="A43" s="58">
        <f>'Data 15'!A143</f>
        <v>0.40625</v>
      </c>
      <c r="B43" s="51">
        <f>ROUNDUP(IF(AND(OR('Input &amp; Findings'!$G$39="S-Bound",'Input &amp; Findings'!$G$40="S-Bound"),'RTF 1'!$D$8="S-Bound"),'RTF 1'!$M52,IF(AND(OR('Input &amp; Findings'!$G$39="S-Bound",'Input &amp; Findings'!$G$40="S-Bound"),'RTF 2'!$D$8="S-Bound"),'RTF 2'!$M52,'Data 15'!B143)),0)</f>
        <v>0</v>
      </c>
      <c r="C43" s="51">
        <f>'Data 15'!C143</f>
        <v>497</v>
      </c>
      <c r="D43" s="51">
        <f>'Data 15'!D143</f>
        <v>373</v>
      </c>
      <c r="E43" s="51">
        <f>'Data 15'!E143</f>
        <v>0</v>
      </c>
      <c r="F43" s="51">
        <f>'Data 15'!F143</f>
        <v>0</v>
      </c>
      <c r="G43" s="51">
        <f t="shared" si="0"/>
        <v>870</v>
      </c>
      <c r="H43" s="58">
        <f>'Data 15'!H143</f>
        <v>0.40625</v>
      </c>
      <c r="I43" s="51">
        <f>ROUNDUP(IF(AND(OR('Input &amp; Findings'!$G$39="W-Bound",'Input &amp; Findings'!$G$40="W-Bound"),'RTF 1'!$D$8="W-Bound"),'RTF 1'!$M52,IF(AND(OR('Input &amp; Findings'!$G$39="W-Bound",'Input &amp; Findings'!$G$40="W-Bound"),'RTF 2'!$D$8="W-Bound"),'RTF 2'!$M52,'Data 15'!I143)),0)</f>
        <v>0</v>
      </c>
      <c r="J43" s="51">
        <f>'Data 15'!J143</f>
        <v>0</v>
      </c>
      <c r="K43" s="51">
        <f>'Data 15'!K143</f>
        <v>0</v>
      </c>
      <c r="L43" s="51">
        <f>'Data 15'!L143</f>
        <v>0</v>
      </c>
      <c r="M43" s="51">
        <f>'Data 15'!M143</f>
        <v>0</v>
      </c>
      <c r="N43" s="51">
        <f t="shared" si="1"/>
        <v>0</v>
      </c>
      <c r="O43" s="58">
        <f>'Data 15'!O143</f>
        <v>0.40625</v>
      </c>
      <c r="P43" s="51">
        <f>ROUNDUP(IF(AND(OR('Input &amp; Findings'!$G$39="N-Bound",'Input &amp; Findings'!$G$40="N-Bound"),'RTF 1'!$D$8="N-Bound"),'RTF 1'!$M52,IF(AND(OR('Input &amp; Findings'!$G$39="N-Bound",'Input &amp; Findings'!$G$40="N-Bound"),'RTF 2'!$D$8="N-Bound"),'RTF 2'!$M52,'Data 15'!P143)),0)</f>
        <v>206</v>
      </c>
      <c r="Q43" s="51">
        <f>'Data 15'!Q143</f>
        <v>457</v>
      </c>
      <c r="R43" s="51">
        <f>'Data 15'!R143</f>
        <v>0</v>
      </c>
      <c r="S43" s="51">
        <f>'Data 15'!S143</f>
        <v>0</v>
      </c>
      <c r="T43" s="51">
        <f>'Data 15'!T143</f>
        <v>0</v>
      </c>
      <c r="U43" s="51">
        <f t="shared" si="2"/>
        <v>663</v>
      </c>
      <c r="V43" s="58">
        <f>'Data 15'!V143</f>
        <v>0.40625</v>
      </c>
      <c r="W43" s="51">
        <f>ROUNDUP(IF(AND(OR('Input &amp; Findings'!$G$39="E-Bound",'Input &amp; Findings'!$G$40="E-Bound"),'RTF 1'!$D$8="E-Bound"),'RTF 1'!$M52,IF(AND(OR('Input &amp; Findings'!$G$39="E-Bound",'Input &amp; Findings'!$G$40="E-Bound"),'RTF 2'!$D$8="E-Bound"),'RTF 2'!$M52,'Data 15'!W143)),0)</f>
        <v>86</v>
      </c>
      <c r="X43" s="51">
        <f>'Data 15'!X143</f>
        <v>0</v>
      </c>
      <c r="Y43" s="51">
        <f>'Data 15'!Y143</f>
        <v>41</v>
      </c>
      <c r="Z43" s="51">
        <f>'Data 15'!Z143</f>
        <v>0</v>
      </c>
      <c r="AA43" s="51">
        <f>'Data 15'!AA143</f>
        <v>0</v>
      </c>
      <c r="AB43" s="51">
        <f t="shared" si="3"/>
        <v>127</v>
      </c>
      <c r="AC43" s="58">
        <f>'Data 15'!AC143</f>
        <v>0.40625</v>
      </c>
      <c r="AE43" s="57"/>
    </row>
    <row r="44" spans="1:31" x14ac:dyDescent="0.25">
      <c r="A44" s="58">
        <f>'Data 15'!A144</f>
        <v>0.41666666666666702</v>
      </c>
      <c r="B44" s="51">
        <f>ROUNDUP(IF(AND(OR('Input &amp; Findings'!$G$39="S-Bound",'Input &amp; Findings'!$G$40="S-Bound"),'RTF 1'!$D$8="S-Bound"),'RTF 1'!$M53,IF(AND(OR('Input &amp; Findings'!$G$39="S-Bound",'Input &amp; Findings'!$G$40="S-Bound"),'RTF 2'!$D$8="S-Bound"),'RTF 2'!$M53,'Data 15'!B144)),0)</f>
        <v>0</v>
      </c>
      <c r="C44" s="51">
        <f>'Data 15'!C144</f>
        <v>497</v>
      </c>
      <c r="D44" s="51">
        <f>'Data 15'!D144</f>
        <v>356</v>
      </c>
      <c r="E44" s="51">
        <f>'Data 15'!E144</f>
        <v>0</v>
      </c>
      <c r="F44" s="51">
        <f>'Data 15'!F144</f>
        <v>0</v>
      </c>
      <c r="G44" s="51">
        <f t="shared" si="0"/>
        <v>853</v>
      </c>
      <c r="H44" s="58">
        <f>'Data 15'!H144</f>
        <v>0.41666666666666702</v>
      </c>
      <c r="I44" s="51">
        <f>ROUNDUP(IF(AND(OR('Input &amp; Findings'!$G$39="W-Bound",'Input &amp; Findings'!$G$40="W-Bound"),'RTF 1'!$D$8="W-Bound"),'RTF 1'!$M53,IF(AND(OR('Input &amp; Findings'!$G$39="W-Bound",'Input &amp; Findings'!$G$40="W-Bound"),'RTF 2'!$D$8="W-Bound"),'RTF 2'!$M53,'Data 15'!I144)),0)</f>
        <v>0</v>
      </c>
      <c r="J44" s="51">
        <f>'Data 15'!J144</f>
        <v>0</v>
      </c>
      <c r="K44" s="51">
        <f>'Data 15'!K144</f>
        <v>0</v>
      </c>
      <c r="L44" s="51">
        <f>'Data 15'!L144</f>
        <v>0</v>
      </c>
      <c r="M44" s="51">
        <f>'Data 15'!M144</f>
        <v>0</v>
      </c>
      <c r="N44" s="51">
        <f t="shared" si="1"/>
        <v>0</v>
      </c>
      <c r="O44" s="58">
        <f>'Data 15'!O144</f>
        <v>0.41666666666666702</v>
      </c>
      <c r="P44" s="51">
        <f>ROUNDUP(IF(AND(OR('Input &amp; Findings'!$G$39="N-Bound",'Input &amp; Findings'!$G$40="N-Bound"),'RTF 1'!$D$8="N-Bound"),'RTF 1'!$M53,IF(AND(OR('Input &amp; Findings'!$G$39="N-Bound",'Input &amp; Findings'!$G$40="N-Bound"),'RTF 2'!$D$8="N-Bound"),'RTF 2'!$M53,'Data 15'!P144)),0)</f>
        <v>201</v>
      </c>
      <c r="Q44" s="51">
        <f>'Data 15'!Q144</f>
        <v>475</v>
      </c>
      <c r="R44" s="51">
        <f>'Data 15'!R144</f>
        <v>0</v>
      </c>
      <c r="S44" s="51">
        <f>'Data 15'!S144</f>
        <v>0</v>
      </c>
      <c r="T44" s="51">
        <f>'Data 15'!T144</f>
        <v>0</v>
      </c>
      <c r="U44" s="51">
        <f t="shared" si="2"/>
        <v>676</v>
      </c>
      <c r="V44" s="58">
        <f>'Data 15'!V144</f>
        <v>0.41666666666666702</v>
      </c>
      <c r="W44" s="51">
        <f>ROUNDUP(IF(AND(OR('Input &amp; Findings'!$G$39="E-Bound",'Input &amp; Findings'!$G$40="E-Bound"),'RTF 1'!$D$8="E-Bound"),'RTF 1'!$M53,IF(AND(OR('Input &amp; Findings'!$G$39="E-Bound",'Input &amp; Findings'!$G$40="E-Bound"),'RTF 2'!$D$8="E-Bound"),'RTF 2'!$M53,'Data 15'!W144)),0)</f>
        <v>78</v>
      </c>
      <c r="X44" s="51">
        <f>'Data 15'!X144</f>
        <v>0</v>
      </c>
      <c r="Y44" s="51">
        <f>'Data 15'!Y144</f>
        <v>46</v>
      </c>
      <c r="Z44" s="51">
        <f>'Data 15'!Z144</f>
        <v>0</v>
      </c>
      <c r="AA44" s="51">
        <f>'Data 15'!AA144</f>
        <v>0</v>
      </c>
      <c r="AB44" s="51">
        <f t="shared" si="3"/>
        <v>124</v>
      </c>
      <c r="AC44" s="58">
        <f>'Data 15'!AC144</f>
        <v>0.41666666666666702</v>
      </c>
      <c r="AE44" s="57"/>
    </row>
    <row r="45" spans="1:31" x14ac:dyDescent="0.25">
      <c r="A45" s="58">
        <f>'Data 15'!A145</f>
        <v>0.42708333333333298</v>
      </c>
      <c r="B45" s="51">
        <f>ROUNDUP(IF(AND(OR('Input &amp; Findings'!$G$39="S-Bound",'Input &amp; Findings'!$G$40="S-Bound"),'RTF 1'!$D$8="S-Bound"),'RTF 1'!$M54,IF(AND(OR('Input &amp; Findings'!$G$39="S-Bound",'Input &amp; Findings'!$G$40="S-Bound"),'RTF 2'!$D$8="S-Bound"),'RTF 2'!$M54,'Data 15'!B145)),0)</f>
        <v>0</v>
      </c>
      <c r="C45" s="51">
        <f>'Data 15'!C145</f>
        <v>528</v>
      </c>
      <c r="D45" s="51">
        <f>'Data 15'!D145</f>
        <v>337</v>
      </c>
      <c r="E45" s="51">
        <f>'Data 15'!E145</f>
        <v>0</v>
      </c>
      <c r="F45" s="51">
        <f>'Data 15'!F145</f>
        <v>0</v>
      </c>
      <c r="G45" s="51">
        <f t="shared" si="0"/>
        <v>865</v>
      </c>
      <c r="H45" s="58">
        <f>'Data 15'!H145</f>
        <v>0.42708333333333298</v>
      </c>
      <c r="I45" s="51">
        <f>ROUNDUP(IF(AND(OR('Input &amp; Findings'!$G$39="W-Bound",'Input &amp; Findings'!$G$40="W-Bound"),'RTF 1'!$D$8="W-Bound"),'RTF 1'!$M54,IF(AND(OR('Input &amp; Findings'!$G$39="W-Bound",'Input &amp; Findings'!$G$40="W-Bound"),'RTF 2'!$D$8="W-Bound"),'RTF 2'!$M54,'Data 15'!I145)),0)</f>
        <v>0</v>
      </c>
      <c r="J45" s="51">
        <f>'Data 15'!J145</f>
        <v>0</v>
      </c>
      <c r="K45" s="51">
        <f>'Data 15'!K145</f>
        <v>0</v>
      </c>
      <c r="L45" s="51">
        <f>'Data 15'!L145</f>
        <v>0</v>
      </c>
      <c r="M45" s="51">
        <f>'Data 15'!M145</f>
        <v>0</v>
      </c>
      <c r="N45" s="51">
        <f t="shared" si="1"/>
        <v>0</v>
      </c>
      <c r="O45" s="58">
        <f>'Data 15'!O145</f>
        <v>0.42708333333333298</v>
      </c>
      <c r="P45" s="51">
        <f>ROUNDUP(IF(AND(OR('Input &amp; Findings'!$G$39="N-Bound",'Input &amp; Findings'!$G$40="N-Bound"),'RTF 1'!$D$8="N-Bound"),'RTF 1'!$M54,IF(AND(OR('Input &amp; Findings'!$G$39="N-Bound",'Input &amp; Findings'!$G$40="N-Bound"),'RTF 2'!$D$8="N-Bound"),'RTF 2'!$M54,'Data 15'!P145)),0)</f>
        <v>179</v>
      </c>
      <c r="Q45" s="51">
        <f>'Data 15'!Q145</f>
        <v>465</v>
      </c>
      <c r="R45" s="51">
        <f>'Data 15'!R145</f>
        <v>0</v>
      </c>
      <c r="S45" s="51">
        <f>'Data 15'!S145</f>
        <v>0</v>
      </c>
      <c r="T45" s="51">
        <f>'Data 15'!T145</f>
        <v>0</v>
      </c>
      <c r="U45" s="51">
        <f t="shared" si="2"/>
        <v>644</v>
      </c>
      <c r="V45" s="58">
        <f>'Data 15'!V145</f>
        <v>0.42708333333333298</v>
      </c>
      <c r="W45" s="51">
        <f>ROUNDUP(IF(AND(OR('Input &amp; Findings'!$G$39="E-Bound",'Input &amp; Findings'!$G$40="E-Bound"),'RTF 1'!$D$8="E-Bound"),'RTF 1'!$M54,IF(AND(OR('Input &amp; Findings'!$G$39="E-Bound",'Input &amp; Findings'!$G$40="E-Bound"),'RTF 2'!$D$8="E-Bound"),'RTF 2'!$M54,'Data 15'!W145)),0)</f>
        <v>80</v>
      </c>
      <c r="X45" s="51">
        <f>'Data 15'!X145</f>
        <v>0</v>
      </c>
      <c r="Y45" s="51">
        <f>'Data 15'!Y145</f>
        <v>45</v>
      </c>
      <c r="Z45" s="51">
        <f>'Data 15'!Z145</f>
        <v>0</v>
      </c>
      <c r="AA45" s="51">
        <f>'Data 15'!AA145</f>
        <v>0</v>
      </c>
      <c r="AB45" s="51">
        <f t="shared" si="3"/>
        <v>125</v>
      </c>
      <c r="AC45" s="58">
        <f>'Data 15'!AC145</f>
        <v>0.42708333333333298</v>
      </c>
      <c r="AE45" s="57"/>
    </row>
    <row r="46" spans="1:31" x14ac:dyDescent="0.25">
      <c r="A46" s="58">
        <f>'Data 15'!A146</f>
        <v>0.4375</v>
      </c>
      <c r="B46" s="51">
        <f>ROUNDUP(IF(AND(OR('Input &amp; Findings'!$G$39="S-Bound",'Input &amp; Findings'!$G$40="S-Bound"),'RTF 1'!$D$8="S-Bound"),'RTF 1'!$M55,IF(AND(OR('Input &amp; Findings'!$G$39="S-Bound",'Input &amp; Findings'!$G$40="S-Bound"),'RTF 2'!$D$8="S-Bound"),'RTF 2'!$M55,'Data 15'!B146)),0)</f>
        <v>0</v>
      </c>
      <c r="C46" s="51">
        <f>'Data 15'!C146</f>
        <v>533</v>
      </c>
      <c r="D46" s="51">
        <f>'Data 15'!D146</f>
        <v>339</v>
      </c>
      <c r="E46" s="51">
        <f>'Data 15'!E146</f>
        <v>0</v>
      </c>
      <c r="F46" s="51">
        <f>'Data 15'!F146</f>
        <v>0</v>
      </c>
      <c r="G46" s="51">
        <f t="shared" si="0"/>
        <v>872</v>
      </c>
      <c r="H46" s="58">
        <f>'Data 15'!H146</f>
        <v>0.4375</v>
      </c>
      <c r="I46" s="51">
        <f>ROUNDUP(IF(AND(OR('Input &amp; Findings'!$G$39="W-Bound",'Input &amp; Findings'!$G$40="W-Bound"),'RTF 1'!$D$8="W-Bound"),'RTF 1'!$M55,IF(AND(OR('Input &amp; Findings'!$G$39="W-Bound",'Input &amp; Findings'!$G$40="W-Bound"),'RTF 2'!$D$8="W-Bound"),'RTF 2'!$M55,'Data 15'!I146)),0)</f>
        <v>0</v>
      </c>
      <c r="J46" s="51">
        <f>'Data 15'!J146</f>
        <v>0</v>
      </c>
      <c r="K46" s="51">
        <f>'Data 15'!K146</f>
        <v>0</v>
      </c>
      <c r="L46" s="51">
        <f>'Data 15'!L146</f>
        <v>0</v>
      </c>
      <c r="M46" s="51">
        <f>'Data 15'!M146</f>
        <v>0</v>
      </c>
      <c r="N46" s="51">
        <f t="shared" si="1"/>
        <v>0</v>
      </c>
      <c r="O46" s="58">
        <f>'Data 15'!O146</f>
        <v>0.4375</v>
      </c>
      <c r="P46" s="51">
        <f>ROUNDUP(IF(AND(OR('Input &amp; Findings'!$G$39="N-Bound",'Input &amp; Findings'!$G$40="N-Bound"),'RTF 1'!$D$8="N-Bound"),'RTF 1'!$M55,IF(AND(OR('Input &amp; Findings'!$G$39="N-Bound",'Input &amp; Findings'!$G$40="N-Bound"),'RTF 2'!$D$8="N-Bound"),'RTF 2'!$M55,'Data 15'!P146)),0)</f>
        <v>185</v>
      </c>
      <c r="Q46" s="51">
        <f>'Data 15'!Q146</f>
        <v>475</v>
      </c>
      <c r="R46" s="51">
        <f>'Data 15'!R146</f>
        <v>0</v>
      </c>
      <c r="S46" s="51">
        <f>'Data 15'!S146</f>
        <v>0</v>
      </c>
      <c r="T46" s="51">
        <f>'Data 15'!T146</f>
        <v>0</v>
      </c>
      <c r="U46" s="51">
        <f t="shared" si="2"/>
        <v>660</v>
      </c>
      <c r="V46" s="58">
        <f>'Data 15'!V146</f>
        <v>0.4375</v>
      </c>
      <c r="W46" s="51">
        <f>ROUNDUP(IF(AND(OR('Input &amp; Findings'!$G$39="E-Bound",'Input &amp; Findings'!$G$40="E-Bound"),'RTF 1'!$D$8="E-Bound"),'RTF 1'!$M55,IF(AND(OR('Input &amp; Findings'!$G$39="E-Bound",'Input &amp; Findings'!$G$40="E-Bound"),'RTF 2'!$D$8="E-Bound"),'RTF 2'!$M55,'Data 15'!W146)),0)</f>
        <v>78</v>
      </c>
      <c r="X46" s="51">
        <f>'Data 15'!X146</f>
        <v>0</v>
      </c>
      <c r="Y46" s="51">
        <f>'Data 15'!Y146</f>
        <v>55</v>
      </c>
      <c r="Z46" s="51">
        <f>'Data 15'!Z146</f>
        <v>0</v>
      </c>
      <c r="AA46" s="51">
        <f>'Data 15'!AA146</f>
        <v>0</v>
      </c>
      <c r="AB46" s="51">
        <f t="shared" si="3"/>
        <v>133</v>
      </c>
      <c r="AC46" s="58">
        <f>'Data 15'!AC146</f>
        <v>0.4375</v>
      </c>
      <c r="AE46" s="57"/>
    </row>
    <row r="47" spans="1:31" x14ac:dyDescent="0.25">
      <c r="A47" s="58">
        <f>'Data 15'!A147</f>
        <v>0.44791666666666702</v>
      </c>
      <c r="B47" s="51">
        <f>ROUNDUP(IF(AND(OR('Input &amp; Findings'!$G$39="S-Bound",'Input &amp; Findings'!$G$40="S-Bound"),'RTF 1'!$D$8="S-Bound"),'RTF 1'!$M56,IF(AND(OR('Input &amp; Findings'!$G$39="S-Bound",'Input &amp; Findings'!$G$40="S-Bound"),'RTF 2'!$D$8="S-Bound"),'RTF 2'!$M56,'Data 15'!B147)),0)</f>
        <v>0</v>
      </c>
      <c r="C47" s="51">
        <f>'Data 15'!C147</f>
        <v>567</v>
      </c>
      <c r="D47" s="51">
        <f>'Data 15'!D147</f>
        <v>335</v>
      </c>
      <c r="E47" s="51">
        <f>'Data 15'!E147</f>
        <v>0</v>
      </c>
      <c r="F47" s="51">
        <f>'Data 15'!F147</f>
        <v>0</v>
      </c>
      <c r="G47" s="51">
        <f t="shared" si="0"/>
        <v>902</v>
      </c>
      <c r="H47" s="58">
        <f>'Data 15'!H147</f>
        <v>0.44791666666666702</v>
      </c>
      <c r="I47" s="51">
        <f>ROUNDUP(IF(AND(OR('Input &amp; Findings'!$G$39="W-Bound",'Input &amp; Findings'!$G$40="W-Bound"),'RTF 1'!$D$8="W-Bound"),'RTF 1'!$M56,IF(AND(OR('Input &amp; Findings'!$G$39="W-Bound",'Input &amp; Findings'!$G$40="W-Bound"),'RTF 2'!$D$8="W-Bound"),'RTF 2'!$M56,'Data 15'!I147)),0)</f>
        <v>0</v>
      </c>
      <c r="J47" s="51">
        <f>'Data 15'!J147</f>
        <v>0</v>
      </c>
      <c r="K47" s="51">
        <f>'Data 15'!K147</f>
        <v>0</v>
      </c>
      <c r="L47" s="51">
        <f>'Data 15'!L147</f>
        <v>0</v>
      </c>
      <c r="M47" s="51">
        <f>'Data 15'!M147</f>
        <v>0</v>
      </c>
      <c r="N47" s="51">
        <f t="shared" si="1"/>
        <v>0</v>
      </c>
      <c r="O47" s="58">
        <f>'Data 15'!O147</f>
        <v>0.44791666666666702</v>
      </c>
      <c r="P47" s="51">
        <f>ROUNDUP(IF(AND(OR('Input &amp; Findings'!$G$39="N-Bound",'Input &amp; Findings'!$G$40="N-Bound"),'RTF 1'!$D$8="N-Bound"),'RTF 1'!$M56,IF(AND(OR('Input &amp; Findings'!$G$39="N-Bound",'Input &amp; Findings'!$G$40="N-Bound"),'RTF 2'!$D$8="N-Bound"),'RTF 2'!$M56,'Data 15'!P147)),0)</f>
        <v>194</v>
      </c>
      <c r="Q47" s="51">
        <f>'Data 15'!Q147</f>
        <v>506</v>
      </c>
      <c r="R47" s="51">
        <f>'Data 15'!R147</f>
        <v>0</v>
      </c>
      <c r="S47" s="51">
        <f>'Data 15'!S147</f>
        <v>0</v>
      </c>
      <c r="T47" s="51">
        <f>'Data 15'!T147</f>
        <v>0</v>
      </c>
      <c r="U47" s="51">
        <f t="shared" si="2"/>
        <v>700</v>
      </c>
      <c r="V47" s="58">
        <f>'Data 15'!V147</f>
        <v>0.44791666666666702</v>
      </c>
      <c r="W47" s="51">
        <f>ROUNDUP(IF(AND(OR('Input &amp; Findings'!$G$39="E-Bound",'Input &amp; Findings'!$G$40="E-Bound"),'RTF 1'!$D$8="E-Bound"),'RTF 1'!$M56,IF(AND(OR('Input &amp; Findings'!$G$39="E-Bound",'Input &amp; Findings'!$G$40="E-Bound"),'RTF 2'!$D$8="E-Bound"),'RTF 2'!$M56,'Data 15'!W147)),0)</f>
        <v>80</v>
      </c>
      <c r="X47" s="51">
        <f>'Data 15'!X147</f>
        <v>0</v>
      </c>
      <c r="Y47" s="51">
        <f>'Data 15'!Y147</f>
        <v>56</v>
      </c>
      <c r="Z47" s="51">
        <f>'Data 15'!Z147</f>
        <v>0</v>
      </c>
      <c r="AA47" s="51">
        <f>'Data 15'!AA147</f>
        <v>0</v>
      </c>
      <c r="AB47" s="51">
        <f t="shared" si="3"/>
        <v>136</v>
      </c>
      <c r="AC47" s="58">
        <f>'Data 15'!AC147</f>
        <v>0.44791666666666702</v>
      </c>
      <c r="AE47" s="57"/>
    </row>
    <row r="48" spans="1:31" x14ac:dyDescent="0.25">
      <c r="A48" s="58">
        <f>'Data 15'!A148</f>
        <v>0.45833333333333298</v>
      </c>
      <c r="B48" s="51">
        <f>ROUNDUP(IF(AND(OR('Input &amp; Findings'!$G$39="S-Bound",'Input &amp; Findings'!$G$40="S-Bound"),'RTF 1'!$D$8="S-Bound"),'RTF 1'!$M57,IF(AND(OR('Input &amp; Findings'!$G$39="S-Bound",'Input &amp; Findings'!$G$40="S-Bound"),'RTF 2'!$D$8="S-Bound"),'RTF 2'!$M57,'Data 15'!B148)),0)</f>
        <v>0</v>
      </c>
      <c r="C48" s="51">
        <f>'Data 15'!C148</f>
        <v>585</v>
      </c>
      <c r="D48" s="51">
        <f>'Data 15'!D148</f>
        <v>363</v>
      </c>
      <c r="E48" s="51">
        <f>'Data 15'!E148</f>
        <v>0</v>
      </c>
      <c r="F48" s="51">
        <f>'Data 15'!F148</f>
        <v>0</v>
      </c>
      <c r="G48" s="51">
        <f t="shared" si="0"/>
        <v>948</v>
      </c>
      <c r="H48" s="58">
        <f>'Data 15'!H148</f>
        <v>0.45833333333333298</v>
      </c>
      <c r="I48" s="51">
        <f>ROUNDUP(IF(AND(OR('Input &amp; Findings'!$G$39="W-Bound",'Input &amp; Findings'!$G$40="W-Bound"),'RTF 1'!$D$8="W-Bound"),'RTF 1'!$M57,IF(AND(OR('Input &amp; Findings'!$G$39="W-Bound",'Input &amp; Findings'!$G$40="W-Bound"),'RTF 2'!$D$8="W-Bound"),'RTF 2'!$M57,'Data 15'!I148)),0)</f>
        <v>0</v>
      </c>
      <c r="J48" s="51">
        <f>'Data 15'!J148</f>
        <v>0</v>
      </c>
      <c r="K48" s="51">
        <f>'Data 15'!K148</f>
        <v>0</v>
      </c>
      <c r="L48" s="51">
        <f>'Data 15'!L148</f>
        <v>0</v>
      </c>
      <c r="M48" s="51">
        <f>'Data 15'!M148</f>
        <v>0</v>
      </c>
      <c r="N48" s="51">
        <f t="shared" si="1"/>
        <v>0</v>
      </c>
      <c r="O48" s="58">
        <f>'Data 15'!O148</f>
        <v>0.45833333333333298</v>
      </c>
      <c r="P48" s="51">
        <f>ROUNDUP(IF(AND(OR('Input &amp; Findings'!$G$39="N-Bound",'Input &amp; Findings'!$G$40="N-Bound"),'RTF 1'!$D$8="N-Bound"),'RTF 1'!$M57,IF(AND(OR('Input &amp; Findings'!$G$39="N-Bound",'Input &amp; Findings'!$G$40="N-Bound"),'RTF 2'!$D$8="N-Bound"),'RTF 2'!$M57,'Data 15'!P148)),0)</f>
        <v>201</v>
      </c>
      <c r="Q48" s="51">
        <f>'Data 15'!Q148</f>
        <v>524</v>
      </c>
      <c r="R48" s="51">
        <f>'Data 15'!R148</f>
        <v>0</v>
      </c>
      <c r="S48" s="51">
        <f>'Data 15'!S148</f>
        <v>0</v>
      </c>
      <c r="T48" s="51">
        <f>'Data 15'!T148</f>
        <v>0</v>
      </c>
      <c r="U48" s="51">
        <f t="shared" si="2"/>
        <v>725</v>
      </c>
      <c r="V48" s="58">
        <f>'Data 15'!V148</f>
        <v>0.45833333333333298</v>
      </c>
      <c r="W48" s="51">
        <f>ROUNDUP(IF(AND(OR('Input &amp; Findings'!$G$39="E-Bound",'Input &amp; Findings'!$G$40="E-Bound"),'RTF 1'!$D$8="E-Bound"),'RTF 1'!$M57,IF(AND(OR('Input &amp; Findings'!$G$39="E-Bound",'Input &amp; Findings'!$G$40="E-Bound"),'RTF 2'!$D$8="E-Bound"),'RTF 2'!$M57,'Data 15'!W148)),0)</f>
        <v>91</v>
      </c>
      <c r="X48" s="51">
        <f>'Data 15'!X148</f>
        <v>0</v>
      </c>
      <c r="Y48" s="51">
        <f>'Data 15'!Y148</f>
        <v>50</v>
      </c>
      <c r="Z48" s="51">
        <f>'Data 15'!Z148</f>
        <v>0</v>
      </c>
      <c r="AA48" s="51">
        <f>'Data 15'!AA148</f>
        <v>0</v>
      </c>
      <c r="AB48" s="51">
        <f t="shared" si="3"/>
        <v>141</v>
      </c>
      <c r="AC48" s="58">
        <f>'Data 15'!AC148</f>
        <v>0.45833333333333298</v>
      </c>
      <c r="AE48" s="57"/>
    </row>
    <row r="49" spans="1:31" x14ac:dyDescent="0.25">
      <c r="A49" s="58">
        <f>'Data 15'!A149</f>
        <v>0.46875</v>
      </c>
      <c r="B49" s="51">
        <f>ROUNDUP(IF(AND(OR('Input &amp; Findings'!$G$39="S-Bound",'Input &amp; Findings'!$G$40="S-Bound"),'RTF 1'!$D$8="S-Bound"),'RTF 1'!$M58,IF(AND(OR('Input &amp; Findings'!$G$39="S-Bound",'Input &amp; Findings'!$G$40="S-Bound"),'RTF 2'!$D$8="S-Bound"),'RTF 2'!$M58,'Data 15'!B149)),0)</f>
        <v>0</v>
      </c>
      <c r="C49" s="51">
        <f>'Data 15'!C149</f>
        <v>580</v>
      </c>
      <c r="D49" s="51">
        <f>'Data 15'!D149</f>
        <v>350</v>
      </c>
      <c r="E49" s="51">
        <f>'Data 15'!E149</f>
        <v>0</v>
      </c>
      <c r="F49" s="51">
        <f>'Data 15'!F149</f>
        <v>0</v>
      </c>
      <c r="G49" s="51">
        <f t="shared" si="0"/>
        <v>930</v>
      </c>
      <c r="H49" s="58">
        <f>'Data 15'!H149</f>
        <v>0.46875</v>
      </c>
      <c r="I49" s="51">
        <f>ROUNDUP(IF(AND(OR('Input &amp; Findings'!$G$39="W-Bound",'Input &amp; Findings'!$G$40="W-Bound"),'RTF 1'!$D$8="W-Bound"),'RTF 1'!$M58,IF(AND(OR('Input &amp; Findings'!$G$39="W-Bound",'Input &amp; Findings'!$G$40="W-Bound"),'RTF 2'!$D$8="W-Bound"),'RTF 2'!$M58,'Data 15'!I149)),0)</f>
        <v>0</v>
      </c>
      <c r="J49" s="51">
        <f>'Data 15'!J149</f>
        <v>0</v>
      </c>
      <c r="K49" s="51">
        <f>'Data 15'!K149</f>
        <v>0</v>
      </c>
      <c r="L49" s="51">
        <f>'Data 15'!L149</f>
        <v>0</v>
      </c>
      <c r="M49" s="51">
        <f>'Data 15'!M149</f>
        <v>0</v>
      </c>
      <c r="N49" s="51">
        <f t="shared" si="1"/>
        <v>0</v>
      </c>
      <c r="O49" s="58">
        <f>'Data 15'!O149</f>
        <v>0.46875</v>
      </c>
      <c r="P49" s="51">
        <f>ROUNDUP(IF(AND(OR('Input &amp; Findings'!$G$39="N-Bound",'Input &amp; Findings'!$G$40="N-Bound"),'RTF 1'!$D$8="N-Bound"),'RTF 1'!$M58,IF(AND(OR('Input &amp; Findings'!$G$39="N-Bound",'Input &amp; Findings'!$G$40="N-Bound"),'RTF 2'!$D$8="N-Bound"),'RTF 2'!$M58,'Data 15'!P149)),0)</f>
        <v>228</v>
      </c>
      <c r="Q49" s="51">
        <f>'Data 15'!Q149</f>
        <v>552</v>
      </c>
      <c r="R49" s="51">
        <f>'Data 15'!R149</f>
        <v>0</v>
      </c>
      <c r="S49" s="51">
        <f>'Data 15'!S149</f>
        <v>0</v>
      </c>
      <c r="T49" s="51">
        <f>'Data 15'!T149</f>
        <v>0</v>
      </c>
      <c r="U49" s="51">
        <f t="shared" si="2"/>
        <v>780</v>
      </c>
      <c r="V49" s="58">
        <f>'Data 15'!V149</f>
        <v>0.46875</v>
      </c>
      <c r="W49" s="51">
        <f>ROUNDUP(IF(AND(OR('Input &amp; Findings'!$G$39="E-Bound",'Input &amp; Findings'!$G$40="E-Bound"),'RTF 1'!$D$8="E-Bound"),'RTF 1'!$M58,IF(AND(OR('Input &amp; Findings'!$G$39="E-Bound",'Input &amp; Findings'!$G$40="E-Bound"),'RTF 2'!$D$8="E-Bound"),'RTF 2'!$M58,'Data 15'!W149)),0)</f>
        <v>84</v>
      </c>
      <c r="X49" s="51">
        <f>'Data 15'!X149</f>
        <v>0</v>
      </c>
      <c r="Y49" s="51">
        <f>'Data 15'!Y149</f>
        <v>56</v>
      </c>
      <c r="Z49" s="51">
        <f>'Data 15'!Z149</f>
        <v>0</v>
      </c>
      <c r="AA49" s="51">
        <f>'Data 15'!AA149</f>
        <v>0</v>
      </c>
      <c r="AB49" s="51">
        <f t="shared" si="3"/>
        <v>140</v>
      </c>
      <c r="AC49" s="58">
        <f>'Data 15'!AC149</f>
        <v>0.46875</v>
      </c>
      <c r="AE49" s="57"/>
    </row>
    <row r="50" spans="1:31" x14ac:dyDescent="0.25">
      <c r="A50" s="58">
        <f>'Data 15'!A150</f>
        <v>0.47916666666666702</v>
      </c>
      <c r="B50" s="51">
        <f>ROUNDUP(IF(AND(OR('Input &amp; Findings'!$G$39="S-Bound",'Input &amp; Findings'!$G$40="S-Bound"),'RTF 1'!$D$8="S-Bound"),'RTF 1'!$M59,IF(AND(OR('Input &amp; Findings'!$G$39="S-Bound",'Input &amp; Findings'!$G$40="S-Bound"),'RTF 2'!$D$8="S-Bound"),'RTF 2'!$M59,'Data 15'!B150)),0)</f>
        <v>0</v>
      </c>
      <c r="C50" s="51">
        <f>'Data 15'!C150</f>
        <v>596</v>
      </c>
      <c r="D50" s="51">
        <f>'Data 15'!D150</f>
        <v>348</v>
      </c>
      <c r="E50" s="51">
        <f>'Data 15'!E150</f>
        <v>0</v>
      </c>
      <c r="F50" s="51">
        <f>'Data 15'!F150</f>
        <v>0</v>
      </c>
      <c r="G50" s="51">
        <f t="shared" si="0"/>
        <v>944</v>
      </c>
      <c r="H50" s="58">
        <f>'Data 15'!H150</f>
        <v>0.47916666666666702</v>
      </c>
      <c r="I50" s="51">
        <f>ROUNDUP(IF(AND(OR('Input &amp; Findings'!$G$39="W-Bound",'Input &amp; Findings'!$G$40="W-Bound"),'RTF 1'!$D$8="W-Bound"),'RTF 1'!$M59,IF(AND(OR('Input &amp; Findings'!$G$39="W-Bound",'Input &amp; Findings'!$G$40="W-Bound"),'RTF 2'!$D$8="W-Bound"),'RTF 2'!$M59,'Data 15'!I150)),0)</f>
        <v>0</v>
      </c>
      <c r="J50" s="51">
        <f>'Data 15'!J150</f>
        <v>0</v>
      </c>
      <c r="K50" s="51">
        <f>'Data 15'!K150</f>
        <v>0</v>
      </c>
      <c r="L50" s="51">
        <f>'Data 15'!L150</f>
        <v>0</v>
      </c>
      <c r="M50" s="51">
        <f>'Data 15'!M150</f>
        <v>0</v>
      </c>
      <c r="N50" s="51">
        <f t="shared" si="1"/>
        <v>0</v>
      </c>
      <c r="O50" s="58">
        <f>'Data 15'!O150</f>
        <v>0.47916666666666702</v>
      </c>
      <c r="P50" s="51">
        <f>ROUNDUP(IF(AND(OR('Input &amp; Findings'!$G$39="N-Bound",'Input &amp; Findings'!$G$40="N-Bound"),'RTF 1'!$D$8="N-Bound"),'RTF 1'!$M59,IF(AND(OR('Input &amp; Findings'!$G$39="N-Bound",'Input &amp; Findings'!$G$40="N-Bound"),'RTF 2'!$D$8="N-Bound"),'RTF 2'!$M59,'Data 15'!P150)),0)</f>
        <v>227</v>
      </c>
      <c r="Q50" s="51">
        <f>'Data 15'!Q150</f>
        <v>569</v>
      </c>
      <c r="R50" s="51">
        <f>'Data 15'!R150</f>
        <v>0</v>
      </c>
      <c r="S50" s="51">
        <f>'Data 15'!S150</f>
        <v>0</v>
      </c>
      <c r="T50" s="51">
        <f>'Data 15'!T150</f>
        <v>0</v>
      </c>
      <c r="U50" s="51">
        <f t="shared" si="2"/>
        <v>796</v>
      </c>
      <c r="V50" s="58">
        <f>'Data 15'!V150</f>
        <v>0.47916666666666702</v>
      </c>
      <c r="W50" s="51">
        <f>ROUNDUP(IF(AND(OR('Input &amp; Findings'!$G$39="E-Bound",'Input &amp; Findings'!$G$40="E-Bound"),'RTF 1'!$D$8="E-Bound"),'RTF 1'!$M59,IF(AND(OR('Input &amp; Findings'!$G$39="E-Bound",'Input &amp; Findings'!$G$40="E-Bound"),'RTF 2'!$D$8="E-Bound"),'RTF 2'!$M59,'Data 15'!W150)),0)</f>
        <v>82</v>
      </c>
      <c r="X50" s="51">
        <f>'Data 15'!X150</f>
        <v>0</v>
      </c>
      <c r="Y50" s="51">
        <f>'Data 15'!Y150</f>
        <v>46</v>
      </c>
      <c r="Z50" s="51">
        <f>'Data 15'!Z150</f>
        <v>0</v>
      </c>
      <c r="AA50" s="51">
        <f>'Data 15'!AA150</f>
        <v>0</v>
      </c>
      <c r="AB50" s="51">
        <f t="shared" si="3"/>
        <v>128</v>
      </c>
      <c r="AC50" s="58">
        <f>'Data 15'!AC150</f>
        <v>0.47916666666666702</v>
      </c>
      <c r="AE50" s="57"/>
    </row>
    <row r="51" spans="1:31" x14ac:dyDescent="0.25">
      <c r="A51" s="58">
        <f>'Data 15'!A151</f>
        <v>0.48958333333333298</v>
      </c>
      <c r="B51" s="51">
        <f>ROUNDUP(IF(AND(OR('Input &amp; Findings'!$G$39="S-Bound",'Input &amp; Findings'!$G$40="S-Bound"),'RTF 1'!$D$8="S-Bound"),'RTF 1'!$M60,IF(AND(OR('Input &amp; Findings'!$G$39="S-Bound",'Input &amp; Findings'!$G$40="S-Bound"),'RTF 2'!$D$8="S-Bound"),'RTF 2'!$M60,'Data 15'!B151)),0)</f>
        <v>0</v>
      </c>
      <c r="C51" s="51">
        <f>'Data 15'!C151</f>
        <v>593</v>
      </c>
      <c r="D51" s="51">
        <f>'Data 15'!D151</f>
        <v>343</v>
      </c>
      <c r="E51" s="51">
        <f>'Data 15'!E151</f>
        <v>0</v>
      </c>
      <c r="F51" s="51">
        <f>'Data 15'!F151</f>
        <v>0</v>
      </c>
      <c r="G51" s="51">
        <f t="shared" si="0"/>
        <v>936</v>
      </c>
      <c r="H51" s="58">
        <f>'Data 15'!H151</f>
        <v>0.48958333333333298</v>
      </c>
      <c r="I51" s="51">
        <f>ROUNDUP(IF(AND(OR('Input &amp; Findings'!$G$39="W-Bound",'Input &amp; Findings'!$G$40="W-Bound"),'RTF 1'!$D$8="W-Bound"),'RTF 1'!$M60,IF(AND(OR('Input &amp; Findings'!$G$39="W-Bound",'Input &amp; Findings'!$G$40="W-Bound"),'RTF 2'!$D$8="W-Bound"),'RTF 2'!$M60,'Data 15'!I151)),0)</f>
        <v>0</v>
      </c>
      <c r="J51" s="51">
        <f>'Data 15'!J151</f>
        <v>0</v>
      </c>
      <c r="K51" s="51">
        <f>'Data 15'!K151</f>
        <v>0</v>
      </c>
      <c r="L51" s="51">
        <f>'Data 15'!L151</f>
        <v>0</v>
      </c>
      <c r="M51" s="51">
        <f>'Data 15'!M151</f>
        <v>0</v>
      </c>
      <c r="N51" s="51">
        <f t="shared" si="1"/>
        <v>0</v>
      </c>
      <c r="O51" s="58">
        <f>'Data 15'!O151</f>
        <v>0.48958333333333298</v>
      </c>
      <c r="P51" s="51">
        <f>ROUNDUP(IF(AND(OR('Input &amp; Findings'!$G$39="N-Bound",'Input &amp; Findings'!$G$40="N-Bound"),'RTF 1'!$D$8="N-Bound"),'RTF 1'!$M60,IF(AND(OR('Input &amp; Findings'!$G$39="N-Bound",'Input &amp; Findings'!$G$40="N-Bound"),'RTF 2'!$D$8="N-Bound"),'RTF 2'!$M60,'Data 15'!P151)),0)</f>
        <v>211</v>
      </c>
      <c r="Q51" s="51">
        <f>'Data 15'!Q151</f>
        <v>605</v>
      </c>
      <c r="R51" s="51">
        <f>'Data 15'!R151</f>
        <v>0</v>
      </c>
      <c r="S51" s="51">
        <f>'Data 15'!S151</f>
        <v>0</v>
      </c>
      <c r="T51" s="51">
        <f>'Data 15'!T151</f>
        <v>0</v>
      </c>
      <c r="U51" s="51">
        <f t="shared" si="2"/>
        <v>816</v>
      </c>
      <c r="V51" s="58">
        <f>'Data 15'!V151</f>
        <v>0.48958333333333298</v>
      </c>
      <c r="W51" s="51">
        <f>ROUNDUP(IF(AND(OR('Input &amp; Findings'!$G$39="E-Bound",'Input &amp; Findings'!$G$40="E-Bound"),'RTF 1'!$D$8="E-Bound"),'RTF 1'!$M60,IF(AND(OR('Input &amp; Findings'!$G$39="E-Bound",'Input &amp; Findings'!$G$40="E-Bound"),'RTF 2'!$D$8="E-Bound"),'RTF 2'!$M60,'Data 15'!W151)),0)</f>
        <v>81</v>
      </c>
      <c r="X51" s="51">
        <f>'Data 15'!X151</f>
        <v>0</v>
      </c>
      <c r="Y51" s="51">
        <f>'Data 15'!Y151</f>
        <v>43</v>
      </c>
      <c r="Z51" s="51">
        <f>'Data 15'!Z151</f>
        <v>0</v>
      </c>
      <c r="AA51" s="51">
        <f>'Data 15'!AA151</f>
        <v>0</v>
      </c>
      <c r="AB51" s="51">
        <f t="shared" si="3"/>
        <v>124</v>
      </c>
      <c r="AC51" s="58">
        <f>'Data 15'!AC151</f>
        <v>0.48958333333333298</v>
      </c>
      <c r="AE51" s="57"/>
    </row>
    <row r="52" spans="1:31" x14ac:dyDescent="0.25">
      <c r="A52" s="58">
        <f>'Data 15'!A152</f>
        <v>0.5</v>
      </c>
      <c r="B52" s="51">
        <f>ROUNDUP(IF(AND(OR('Input &amp; Findings'!$G$39="S-Bound",'Input &amp; Findings'!$G$40="S-Bound"),'RTF 1'!$D$8="S-Bound"),'RTF 1'!$M61,IF(AND(OR('Input &amp; Findings'!$G$39="S-Bound",'Input &amp; Findings'!$G$40="S-Bound"),'RTF 2'!$D$8="S-Bound"),'RTF 2'!$M61,'Data 15'!B152)),0)</f>
        <v>0</v>
      </c>
      <c r="C52" s="51">
        <f>'Data 15'!C152</f>
        <v>604</v>
      </c>
      <c r="D52" s="51">
        <f>'Data 15'!D152</f>
        <v>330</v>
      </c>
      <c r="E52" s="51">
        <f>'Data 15'!E152</f>
        <v>0</v>
      </c>
      <c r="F52" s="51">
        <f>'Data 15'!F152</f>
        <v>0</v>
      </c>
      <c r="G52" s="51">
        <f t="shared" si="0"/>
        <v>934</v>
      </c>
      <c r="H52" s="58">
        <f>'Data 15'!H152</f>
        <v>0.5</v>
      </c>
      <c r="I52" s="51">
        <f>ROUNDUP(IF(AND(OR('Input &amp; Findings'!$G$39="W-Bound",'Input &amp; Findings'!$G$40="W-Bound"),'RTF 1'!$D$8="W-Bound"),'RTF 1'!$M61,IF(AND(OR('Input &amp; Findings'!$G$39="W-Bound",'Input &amp; Findings'!$G$40="W-Bound"),'RTF 2'!$D$8="W-Bound"),'RTF 2'!$M61,'Data 15'!I152)),0)</f>
        <v>0</v>
      </c>
      <c r="J52" s="51">
        <f>'Data 15'!J152</f>
        <v>0</v>
      </c>
      <c r="K52" s="51">
        <f>'Data 15'!K152</f>
        <v>0</v>
      </c>
      <c r="L52" s="51">
        <f>'Data 15'!L152</f>
        <v>0</v>
      </c>
      <c r="M52" s="51">
        <f>'Data 15'!M152</f>
        <v>0</v>
      </c>
      <c r="N52" s="51">
        <f t="shared" si="1"/>
        <v>0</v>
      </c>
      <c r="O52" s="58">
        <f>'Data 15'!O152</f>
        <v>0.5</v>
      </c>
      <c r="P52" s="51">
        <f>ROUNDUP(IF(AND(OR('Input &amp; Findings'!$G$39="N-Bound",'Input &amp; Findings'!$G$40="N-Bound"),'RTF 1'!$D$8="N-Bound"),'RTF 1'!$M61,IF(AND(OR('Input &amp; Findings'!$G$39="N-Bound",'Input &amp; Findings'!$G$40="N-Bound"),'RTF 2'!$D$8="N-Bound"),'RTF 2'!$M61,'Data 15'!P152)),0)</f>
        <v>200</v>
      </c>
      <c r="Q52" s="51">
        <f>'Data 15'!Q152</f>
        <v>618</v>
      </c>
      <c r="R52" s="51">
        <f>'Data 15'!R152</f>
        <v>0</v>
      </c>
      <c r="S52" s="51">
        <f>'Data 15'!S152</f>
        <v>0</v>
      </c>
      <c r="T52" s="51">
        <f>'Data 15'!T152</f>
        <v>0</v>
      </c>
      <c r="U52" s="51">
        <f t="shared" si="2"/>
        <v>818</v>
      </c>
      <c r="V52" s="58">
        <f>'Data 15'!V152</f>
        <v>0.5</v>
      </c>
      <c r="W52" s="51">
        <f>ROUNDUP(IF(AND(OR('Input &amp; Findings'!$G$39="E-Bound",'Input &amp; Findings'!$G$40="E-Bound"),'RTF 1'!$D$8="E-Bound"),'RTF 1'!$M61,IF(AND(OR('Input &amp; Findings'!$G$39="E-Bound",'Input &amp; Findings'!$G$40="E-Bound"),'RTF 2'!$D$8="E-Bound"),'RTF 2'!$M61,'Data 15'!W152)),0)</f>
        <v>76</v>
      </c>
      <c r="X52" s="51">
        <f>'Data 15'!X152</f>
        <v>0</v>
      </c>
      <c r="Y52" s="51">
        <f>'Data 15'!Y152</f>
        <v>44</v>
      </c>
      <c r="Z52" s="51">
        <f>'Data 15'!Z152</f>
        <v>0</v>
      </c>
      <c r="AA52" s="51">
        <f>'Data 15'!AA152</f>
        <v>0</v>
      </c>
      <c r="AB52" s="51">
        <f>SUM(W52:Z52)</f>
        <v>120</v>
      </c>
      <c r="AC52" s="58">
        <f>'Data 15'!AC152</f>
        <v>0.5</v>
      </c>
      <c r="AE52" s="57"/>
    </row>
    <row r="53" spans="1:31" x14ac:dyDescent="0.25">
      <c r="A53" s="58">
        <f>'Data 15'!A153</f>
        <v>0.51041666666666696</v>
      </c>
      <c r="B53" s="51">
        <f>ROUNDUP(IF(AND(OR('Input &amp; Findings'!$G$39="S-Bound",'Input &amp; Findings'!$G$40="S-Bound"),'RTF 1'!$D$8="S-Bound"),'RTF 1'!$M62,IF(AND(OR('Input &amp; Findings'!$G$39="S-Bound",'Input &amp; Findings'!$G$40="S-Bound"),'RTF 2'!$D$8="S-Bound"),'RTF 2'!$M62,'Data 15'!B153)),0)</f>
        <v>0</v>
      </c>
      <c r="C53" s="51">
        <f>'Data 15'!C153</f>
        <v>592</v>
      </c>
      <c r="D53" s="51">
        <f>'Data 15'!D153</f>
        <v>337</v>
      </c>
      <c r="E53" s="51">
        <f>'Data 15'!E153</f>
        <v>0</v>
      </c>
      <c r="F53" s="51">
        <f>'Data 15'!F153</f>
        <v>0</v>
      </c>
      <c r="G53" s="51">
        <f t="shared" si="0"/>
        <v>929</v>
      </c>
      <c r="H53" s="58">
        <f>'Data 15'!H153</f>
        <v>0.51041666666666696</v>
      </c>
      <c r="I53" s="51">
        <f>ROUNDUP(IF(AND(OR('Input &amp; Findings'!$G$39="W-Bound",'Input &amp; Findings'!$G$40="W-Bound"),'RTF 1'!$D$8="W-Bound"),'RTF 1'!$M62,IF(AND(OR('Input &amp; Findings'!$G$39="W-Bound",'Input &amp; Findings'!$G$40="W-Bound"),'RTF 2'!$D$8="W-Bound"),'RTF 2'!$M62,'Data 15'!I153)),0)</f>
        <v>0</v>
      </c>
      <c r="J53" s="51">
        <f>'Data 15'!J153</f>
        <v>0</v>
      </c>
      <c r="K53" s="51">
        <f>'Data 15'!K153</f>
        <v>0</v>
      </c>
      <c r="L53" s="51">
        <f>'Data 15'!L153</f>
        <v>0</v>
      </c>
      <c r="M53" s="51">
        <f>'Data 15'!M153</f>
        <v>0</v>
      </c>
      <c r="N53" s="51">
        <f t="shared" si="1"/>
        <v>0</v>
      </c>
      <c r="O53" s="58">
        <f>'Data 15'!O153</f>
        <v>0.51041666666666696</v>
      </c>
      <c r="P53" s="51">
        <f>ROUNDUP(IF(AND(OR('Input &amp; Findings'!$G$39="N-Bound",'Input &amp; Findings'!$G$40="N-Bound"),'RTF 1'!$D$8="N-Bound"),'RTF 1'!$M62,IF(AND(OR('Input &amp; Findings'!$G$39="N-Bound",'Input &amp; Findings'!$G$40="N-Bound"),'RTF 2'!$D$8="N-Bound"),'RTF 2'!$M62,'Data 15'!P153)),0)</f>
        <v>188</v>
      </c>
      <c r="Q53" s="51">
        <f>'Data 15'!Q153</f>
        <v>641</v>
      </c>
      <c r="R53" s="51">
        <f>'Data 15'!R153</f>
        <v>0</v>
      </c>
      <c r="S53" s="51">
        <f>'Data 15'!S153</f>
        <v>0</v>
      </c>
      <c r="T53" s="51">
        <f>'Data 15'!T153</f>
        <v>0</v>
      </c>
      <c r="U53" s="51">
        <f t="shared" si="2"/>
        <v>829</v>
      </c>
      <c r="V53" s="58">
        <f>'Data 15'!V153</f>
        <v>0.51041666666666696</v>
      </c>
      <c r="W53" s="51">
        <f>ROUNDUP(IF(AND(OR('Input &amp; Findings'!$G$39="E-Bound",'Input &amp; Findings'!$G$40="E-Bound"),'RTF 1'!$D$8="E-Bound"),'RTF 1'!$M62,IF(AND(OR('Input &amp; Findings'!$G$39="E-Bound",'Input &amp; Findings'!$G$40="E-Bound"),'RTF 2'!$D$8="E-Bound"),'RTF 2'!$M62,'Data 15'!W153)),0)</f>
        <v>82</v>
      </c>
      <c r="X53" s="51">
        <f>'Data 15'!X153</f>
        <v>0</v>
      </c>
      <c r="Y53" s="51">
        <f>'Data 15'!Y153</f>
        <v>37</v>
      </c>
      <c r="Z53" s="51">
        <f>'Data 15'!Z153</f>
        <v>0</v>
      </c>
      <c r="AA53" s="51">
        <f>'Data 15'!AA153</f>
        <v>0</v>
      </c>
      <c r="AB53" s="51">
        <f t="shared" si="3"/>
        <v>119</v>
      </c>
      <c r="AC53" s="58">
        <f>'Data 15'!AC153</f>
        <v>0.51041666666666696</v>
      </c>
      <c r="AE53" s="57"/>
    </row>
    <row r="54" spans="1:31" x14ac:dyDescent="0.25">
      <c r="A54" s="58">
        <f>'Data 15'!A154</f>
        <v>0.52083333333333304</v>
      </c>
      <c r="B54" s="51">
        <f>ROUNDUP(IF(AND(OR('Input &amp; Findings'!$G$39="S-Bound",'Input &amp; Findings'!$G$40="S-Bound"),'RTF 1'!$D$8="S-Bound"),'RTF 1'!$M63,IF(AND(OR('Input &amp; Findings'!$G$39="S-Bound",'Input &amp; Findings'!$G$40="S-Bound"),'RTF 2'!$D$8="S-Bound"),'RTF 2'!$M63,'Data 15'!B154)),0)</f>
        <v>0</v>
      </c>
      <c r="C54" s="51">
        <f>'Data 15'!C154</f>
        <v>575</v>
      </c>
      <c r="D54" s="51">
        <f>'Data 15'!D154</f>
        <v>333</v>
      </c>
      <c r="E54" s="51">
        <f>'Data 15'!E154</f>
        <v>0</v>
      </c>
      <c r="F54" s="51">
        <f>'Data 15'!F154</f>
        <v>0</v>
      </c>
      <c r="G54" s="51">
        <f t="shared" si="0"/>
        <v>908</v>
      </c>
      <c r="H54" s="58">
        <f>'Data 15'!H154</f>
        <v>0.52083333333333304</v>
      </c>
      <c r="I54" s="51">
        <f>ROUNDUP(IF(AND(OR('Input &amp; Findings'!$G$39="W-Bound",'Input &amp; Findings'!$G$40="W-Bound"),'RTF 1'!$D$8="W-Bound"),'RTF 1'!$M63,IF(AND(OR('Input &amp; Findings'!$G$39="W-Bound",'Input &amp; Findings'!$G$40="W-Bound"),'RTF 2'!$D$8="W-Bound"),'RTF 2'!$M63,'Data 15'!I154)),0)</f>
        <v>0</v>
      </c>
      <c r="J54" s="51">
        <f>'Data 15'!J154</f>
        <v>0</v>
      </c>
      <c r="K54" s="51">
        <f>'Data 15'!K154</f>
        <v>0</v>
      </c>
      <c r="L54" s="51">
        <f>'Data 15'!L154</f>
        <v>0</v>
      </c>
      <c r="M54" s="51">
        <f>'Data 15'!M154</f>
        <v>0</v>
      </c>
      <c r="N54" s="51">
        <f t="shared" si="1"/>
        <v>0</v>
      </c>
      <c r="O54" s="58">
        <f>'Data 15'!O154</f>
        <v>0.52083333333333304</v>
      </c>
      <c r="P54" s="51">
        <f>ROUNDUP(IF(AND(OR('Input &amp; Findings'!$G$39="N-Bound",'Input &amp; Findings'!$G$40="N-Bound"),'RTF 1'!$D$8="N-Bound"),'RTF 1'!$M63,IF(AND(OR('Input &amp; Findings'!$G$39="N-Bound",'Input &amp; Findings'!$G$40="N-Bound"),'RTF 2'!$D$8="N-Bound"),'RTF 2'!$M63,'Data 15'!P154)),0)</f>
        <v>167</v>
      </c>
      <c r="Q54" s="51">
        <f>'Data 15'!Q154</f>
        <v>634</v>
      </c>
      <c r="R54" s="51">
        <f>'Data 15'!R154</f>
        <v>0</v>
      </c>
      <c r="S54" s="51">
        <f>'Data 15'!S154</f>
        <v>0</v>
      </c>
      <c r="T54" s="51">
        <f>'Data 15'!T154</f>
        <v>0</v>
      </c>
      <c r="U54" s="51">
        <f t="shared" si="2"/>
        <v>801</v>
      </c>
      <c r="V54" s="58">
        <f>'Data 15'!V154</f>
        <v>0.52083333333333304</v>
      </c>
      <c r="W54" s="51">
        <f>ROUNDUP(IF(AND(OR('Input &amp; Findings'!$G$39="E-Bound",'Input &amp; Findings'!$G$40="E-Bound"),'RTF 1'!$D$8="E-Bound"),'RTF 1'!$M63,IF(AND(OR('Input &amp; Findings'!$G$39="E-Bound",'Input &amp; Findings'!$G$40="E-Bound"),'RTF 2'!$D$8="E-Bound"),'RTF 2'!$M63,'Data 15'!W154)),0)</f>
        <v>91</v>
      </c>
      <c r="X54" s="51">
        <f>'Data 15'!X154</f>
        <v>0</v>
      </c>
      <c r="Y54" s="51">
        <f>'Data 15'!Y154</f>
        <v>41</v>
      </c>
      <c r="Z54" s="51">
        <f>'Data 15'!Z154</f>
        <v>0</v>
      </c>
      <c r="AA54" s="51">
        <f>'Data 15'!AA154</f>
        <v>0</v>
      </c>
      <c r="AB54" s="51">
        <f t="shared" si="3"/>
        <v>132</v>
      </c>
      <c r="AC54" s="58">
        <f>'Data 15'!AC154</f>
        <v>0.52083333333333304</v>
      </c>
      <c r="AE54" s="57"/>
    </row>
    <row r="55" spans="1:31" x14ac:dyDescent="0.25">
      <c r="A55" s="58">
        <f>'Data 15'!A155</f>
        <v>0.53125</v>
      </c>
      <c r="B55" s="51">
        <f>ROUNDUP(IF(AND(OR('Input &amp; Findings'!$G$39="S-Bound",'Input &amp; Findings'!$G$40="S-Bound"),'RTF 1'!$D$8="S-Bound"),'RTF 1'!$M64,IF(AND(OR('Input &amp; Findings'!$G$39="S-Bound",'Input &amp; Findings'!$G$40="S-Bound"),'RTF 2'!$D$8="S-Bound"),'RTF 2'!$M64,'Data 15'!B155)),0)</f>
        <v>0</v>
      </c>
      <c r="C55" s="51">
        <f>'Data 15'!C155</f>
        <v>557</v>
      </c>
      <c r="D55" s="51">
        <f>'Data 15'!D155</f>
        <v>333</v>
      </c>
      <c r="E55" s="51">
        <f>'Data 15'!E155</f>
        <v>0</v>
      </c>
      <c r="F55" s="51">
        <f>'Data 15'!F155</f>
        <v>0</v>
      </c>
      <c r="G55" s="51">
        <f t="shared" si="0"/>
        <v>890</v>
      </c>
      <c r="H55" s="58">
        <f>'Data 15'!H155</f>
        <v>0.53125</v>
      </c>
      <c r="I55" s="51">
        <f>ROUNDUP(IF(AND(OR('Input &amp; Findings'!$G$39="W-Bound",'Input &amp; Findings'!$G$40="W-Bound"),'RTF 1'!$D$8="W-Bound"),'RTF 1'!$M64,IF(AND(OR('Input &amp; Findings'!$G$39="W-Bound",'Input &amp; Findings'!$G$40="W-Bound"),'RTF 2'!$D$8="W-Bound"),'RTF 2'!$M64,'Data 15'!I155)),0)</f>
        <v>0</v>
      </c>
      <c r="J55" s="51">
        <f>'Data 15'!J155</f>
        <v>0</v>
      </c>
      <c r="K55" s="51">
        <f>'Data 15'!K155</f>
        <v>0</v>
      </c>
      <c r="L55" s="51">
        <f>'Data 15'!L155</f>
        <v>0</v>
      </c>
      <c r="M55" s="51">
        <f>'Data 15'!M155</f>
        <v>0</v>
      </c>
      <c r="N55" s="51">
        <f t="shared" si="1"/>
        <v>0</v>
      </c>
      <c r="O55" s="58">
        <f>'Data 15'!O155</f>
        <v>0.53125</v>
      </c>
      <c r="P55" s="51">
        <f>ROUNDUP(IF(AND(OR('Input &amp; Findings'!$G$39="N-Bound",'Input &amp; Findings'!$G$40="N-Bound"),'RTF 1'!$D$8="N-Bound"),'RTF 1'!$M64,IF(AND(OR('Input &amp; Findings'!$G$39="N-Bound",'Input &amp; Findings'!$G$40="N-Bound"),'RTF 2'!$D$8="N-Bound"),'RTF 2'!$M64,'Data 15'!P155)),0)</f>
        <v>158</v>
      </c>
      <c r="Q55" s="51">
        <f>'Data 15'!Q155</f>
        <v>617</v>
      </c>
      <c r="R55" s="51">
        <f>'Data 15'!R155</f>
        <v>0</v>
      </c>
      <c r="S55" s="51">
        <f>'Data 15'!S155</f>
        <v>0</v>
      </c>
      <c r="T55" s="51">
        <f>'Data 15'!T155</f>
        <v>0</v>
      </c>
      <c r="U55" s="51">
        <f t="shared" si="2"/>
        <v>775</v>
      </c>
      <c r="V55" s="58">
        <f>'Data 15'!V155</f>
        <v>0.53125</v>
      </c>
      <c r="W55" s="51">
        <f>ROUNDUP(IF(AND(OR('Input &amp; Findings'!$G$39="E-Bound",'Input &amp; Findings'!$G$40="E-Bound"),'RTF 1'!$D$8="E-Bound"),'RTF 1'!$M64,IF(AND(OR('Input &amp; Findings'!$G$39="E-Bound",'Input &amp; Findings'!$G$40="E-Bound"),'RTF 2'!$D$8="E-Bound"),'RTF 2'!$M64,'Data 15'!W155)),0)</f>
        <v>95</v>
      </c>
      <c r="X55" s="51">
        <f>'Data 15'!X155</f>
        <v>0</v>
      </c>
      <c r="Y55" s="51">
        <f>'Data 15'!Y155</f>
        <v>41</v>
      </c>
      <c r="Z55" s="51">
        <f>'Data 15'!Z155</f>
        <v>0</v>
      </c>
      <c r="AA55" s="51">
        <f>'Data 15'!AA155</f>
        <v>0</v>
      </c>
      <c r="AB55" s="51">
        <f t="shared" si="3"/>
        <v>136</v>
      </c>
      <c r="AC55" s="58">
        <f>'Data 15'!AC155</f>
        <v>0.53125</v>
      </c>
      <c r="AE55" s="57"/>
    </row>
    <row r="56" spans="1:31" x14ac:dyDescent="0.25">
      <c r="A56" s="58">
        <f>'Data 15'!A156</f>
        <v>0.54166666666666696</v>
      </c>
      <c r="B56" s="51">
        <f>ROUNDUP(IF(AND(OR('Input &amp; Findings'!$G$39="S-Bound",'Input &amp; Findings'!$G$40="S-Bound"),'RTF 1'!$D$8="S-Bound"),'RTF 1'!$M65,IF(AND(OR('Input &amp; Findings'!$G$39="S-Bound",'Input &amp; Findings'!$G$40="S-Bound"),'RTF 2'!$D$8="S-Bound"),'RTF 2'!$M65,'Data 15'!B156)),0)</f>
        <v>0</v>
      </c>
      <c r="C56" s="51">
        <f>'Data 15'!C156</f>
        <v>538</v>
      </c>
      <c r="D56" s="51">
        <f>'Data 15'!D156</f>
        <v>323</v>
      </c>
      <c r="E56" s="51">
        <f>'Data 15'!E156</f>
        <v>0</v>
      </c>
      <c r="F56" s="51">
        <f>'Data 15'!F156</f>
        <v>0</v>
      </c>
      <c r="G56" s="51">
        <f t="shared" si="0"/>
        <v>861</v>
      </c>
      <c r="H56" s="58">
        <f>'Data 15'!H156</f>
        <v>0.54166666666666696</v>
      </c>
      <c r="I56" s="51">
        <f>ROUNDUP(IF(AND(OR('Input &amp; Findings'!$G$39="W-Bound",'Input &amp; Findings'!$G$40="W-Bound"),'RTF 1'!$D$8="W-Bound"),'RTF 1'!$M65,IF(AND(OR('Input &amp; Findings'!$G$39="W-Bound",'Input &amp; Findings'!$G$40="W-Bound"),'RTF 2'!$D$8="W-Bound"),'RTF 2'!$M65,'Data 15'!I156)),0)</f>
        <v>0</v>
      </c>
      <c r="J56" s="51">
        <f>'Data 15'!J156</f>
        <v>0</v>
      </c>
      <c r="K56" s="51">
        <f>'Data 15'!K156</f>
        <v>0</v>
      </c>
      <c r="L56" s="51">
        <f>'Data 15'!L156</f>
        <v>0</v>
      </c>
      <c r="M56" s="51">
        <f>'Data 15'!M156</f>
        <v>0</v>
      </c>
      <c r="N56" s="51">
        <f t="shared" si="1"/>
        <v>0</v>
      </c>
      <c r="O56" s="58">
        <f>'Data 15'!O156</f>
        <v>0.54166666666666696</v>
      </c>
      <c r="P56" s="51">
        <f>ROUNDUP(IF(AND(OR('Input &amp; Findings'!$G$39="N-Bound",'Input &amp; Findings'!$G$40="N-Bound"),'RTF 1'!$D$8="N-Bound"),'RTF 1'!$M65,IF(AND(OR('Input &amp; Findings'!$G$39="N-Bound",'Input &amp; Findings'!$G$40="N-Bound"),'RTF 2'!$D$8="N-Bound"),'RTF 2'!$M65,'Data 15'!P156)),0)</f>
        <v>150</v>
      </c>
      <c r="Q56" s="51">
        <f>'Data 15'!Q156</f>
        <v>640</v>
      </c>
      <c r="R56" s="51">
        <f>'Data 15'!R156</f>
        <v>0</v>
      </c>
      <c r="S56" s="51">
        <f>'Data 15'!S156</f>
        <v>0</v>
      </c>
      <c r="T56" s="51">
        <f>'Data 15'!T156</f>
        <v>0</v>
      </c>
      <c r="U56" s="51">
        <f t="shared" si="2"/>
        <v>790</v>
      </c>
      <c r="V56" s="58">
        <f>'Data 15'!V156</f>
        <v>0.54166666666666696</v>
      </c>
      <c r="W56" s="51">
        <f>ROUNDUP(IF(AND(OR('Input &amp; Findings'!$G$39="E-Bound",'Input &amp; Findings'!$G$40="E-Bound"),'RTF 1'!$D$8="E-Bound"),'RTF 1'!$M65,IF(AND(OR('Input &amp; Findings'!$G$39="E-Bound",'Input &amp; Findings'!$G$40="E-Bound"),'RTF 2'!$D$8="E-Bound"),'RTF 2'!$M65,'Data 15'!W156)),0)</f>
        <v>91</v>
      </c>
      <c r="X56" s="51">
        <f>'Data 15'!X156</f>
        <v>0</v>
      </c>
      <c r="Y56" s="51">
        <f>'Data 15'!Y156</f>
        <v>43</v>
      </c>
      <c r="Z56" s="51">
        <f>'Data 15'!Z156</f>
        <v>0</v>
      </c>
      <c r="AA56" s="51">
        <f>'Data 15'!AA156</f>
        <v>0</v>
      </c>
      <c r="AB56" s="51">
        <f t="shared" si="3"/>
        <v>134</v>
      </c>
      <c r="AC56" s="58">
        <f>'Data 15'!AC156</f>
        <v>0.54166666666666696</v>
      </c>
      <c r="AE56" s="57"/>
    </row>
    <row r="57" spans="1:31" x14ac:dyDescent="0.25">
      <c r="A57" s="58">
        <f>'Data 15'!A157</f>
        <v>0.55208333333333304</v>
      </c>
      <c r="B57" s="51">
        <f>ROUNDUP(IF(AND(OR('Input &amp; Findings'!$G$39="S-Bound",'Input &amp; Findings'!$G$40="S-Bound"),'RTF 1'!$D$8="S-Bound"),'RTF 1'!$M66,IF(AND(OR('Input &amp; Findings'!$G$39="S-Bound",'Input &amp; Findings'!$G$40="S-Bound"),'RTF 2'!$D$8="S-Bound"),'RTF 2'!$M66,'Data 15'!B157)),0)</f>
        <v>0</v>
      </c>
      <c r="C57" s="51">
        <f>'Data 15'!C157</f>
        <v>534</v>
      </c>
      <c r="D57" s="51">
        <f>'Data 15'!D157</f>
        <v>330</v>
      </c>
      <c r="E57" s="51">
        <f>'Data 15'!E157</f>
        <v>0</v>
      </c>
      <c r="F57" s="51">
        <f>'Data 15'!F157</f>
        <v>0</v>
      </c>
      <c r="G57" s="51">
        <f t="shared" si="0"/>
        <v>864</v>
      </c>
      <c r="H57" s="58">
        <f>'Data 15'!H157</f>
        <v>0.55208333333333304</v>
      </c>
      <c r="I57" s="51">
        <f>ROUNDUP(IF(AND(OR('Input &amp; Findings'!$G$39="W-Bound",'Input &amp; Findings'!$G$40="W-Bound"),'RTF 1'!$D$8="W-Bound"),'RTF 1'!$M66,IF(AND(OR('Input &amp; Findings'!$G$39="W-Bound",'Input &amp; Findings'!$G$40="W-Bound"),'RTF 2'!$D$8="W-Bound"),'RTF 2'!$M66,'Data 15'!I157)),0)</f>
        <v>0</v>
      </c>
      <c r="J57" s="51">
        <f>'Data 15'!J157</f>
        <v>0</v>
      </c>
      <c r="K57" s="51">
        <f>'Data 15'!K157</f>
        <v>0</v>
      </c>
      <c r="L57" s="51">
        <f>'Data 15'!L157</f>
        <v>0</v>
      </c>
      <c r="M57" s="51">
        <f>'Data 15'!M157</f>
        <v>0</v>
      </c>
      <c r="N57" s="51">
        <f t="shared" si="1"/>
        <v>0</v>
      </c>
      <c r="O57" s="58">
        <f>'Data 15'!O157</f>
        <v>0.55208333333333304</v>
      </c>
      <c r="P57" s="51">
        <f>ROUNDUP(IF(AND(OR('Input &amp; Findings'!$G$39="N-Bound",'Input &amp; Findings'!$G$40="N-Bound"),'RTF 1'!$D$8="N-Bound"),'RTF 1'!$M66,IF(AND(OR('Input &amp; Findings'!$G$39="N-Bound",'Input &amp; Findings'!$G$40="N-Bound"),'RTF 2'!$D$8="N-Bound"),'RTF 2'!$M66,'Data 15'!P157)),0)</f>
        <v>152</v>
      </c>
      <c r="Q57" s="51">
        <f>'Data 15'!Q157</f>
        <v>640</v>
      </c>
      <c r="R57" s="51">
        <f>'Data 15'!R157</f>
        <v>0</v>
      </c>
      <c r="S57" s="51">
        <f>'Data 15'!S157</f>
        <v>0</v>
      </c>
      <c r="T57" s="51">
        <f>'Data 15'!T157</f>
        <v>0</v>
      </c>
      <c r="U57" s="51">
        <f t="shared" si="2"/>
        <v>792</v>
      </c>
      <c r="V57" s="58">
        <f>'Data 15'!V157</f>
        <v>0.55208333333333304</v>
      </c>
      <c r="W57" s="51">
        <f>ROUNDUP(IF(AND(OR('Input &amp; Findings'!$G$39="E-Bound",'Input &amp; Findings'!$G$40="E-Bound"),'RTF 1'!$D$8="E-Bound"),'RTF 1'!$M66,IF(AND(OR('Input &amp; Findings'!$G$39="E-Bound",'Input &amp; Findings'!$G$40="E-Bound"),'RTF 2'!$D$8="E-Bound"),'RTF 2'!$M66,'Data 15'!W157)),0)</f>
        <v>83</v>
      </c>
      <c r="X57" s="51">
        <f>'Data 15'!X157</f>
        <v>0</v>
      </c>
      <c r="Y57" s="51">
        <f>'Data 15'!Y157</f>
        <v>45</v>
      </c>
      <c r="Z57" s="51">
        <f>'Data 15'!Z157</f>
        <v>0</v>
      </c>
      <c r="AA57" s="51">
        <f>'Data 15'!AA157</f>
        <v>0</v>
      </c>
      <c r="AB57" s="51">
        <f t="shared" si="3"/>
        <v>128</v>
      </c>
      <c r="AC57" s="58">
        <f>'Data 15'!AC157</f>
        <v>0.55208333333333304</v>
      </c>
      <c r="AE57" s="57"/>
    </row>
    <row r="58" spans="1:31" x14ac:dyDescent="0.25">
      <c r="A58" s="58">
        <f>'Data 15'!A158</f>
        <v>0.5625</v>
      </c>
      <c r="B58" s="51">
        <f>ROUNDUP(IF(AND(OR('Input &amp; Findings'!$G$39="S-Bound",'Input &amp; Findings'!$G$40="S-Bound"),'RTF 1'!$D$8="S-Bound"),'RTF 1'!$M67,IF(AND(OR('Input &amp; Findings'!$G$39="S-Bound",'Input &amp; Findings'!$G$40="S-Bound"),'RTF 2'!$D$8="S-Bound"),'RTF 2'!$M67,'Data 15'!B158)),0)</f>
        <v>0</v>
      </c>
      <c r="C58" s="51">
        <f>'Data 15'!C158</f>
        <v>541</v>
      </c>
      <c r="D58" s="51">
        <f>'Data 15'!D158</f>
        <v>321</v>
      </c>
      <c r="E58" s="51">
        <f>'Data 15'!E158</f>
        <v>1</v>
      </c>
      <c r="F58" s="51">
        <f>'Data 15'!F158</f>
        <v>0</v>
      </c>
      <c r="G58" s="51">
        <f t="shared" si="0"/>
        <v>863</v>
      </c>
      <c r="H58" s="58">
        <f>'Data 15'!H158</f>
        <v>0.5625</v>
      </c>
      <c r="I58" s="51">
        <f>ROUNDUP(IF(AND(OR('Input &amp; Findings'!$G$39="W-Bound",'Input &amp; Findings'!$G$40="W-Bound"),'RTF 1'!$D$8="W-Bound"),'RTF 1'!$M67,IF(AND(OR('Input &amp; Findings'!$G$39="W-Bound",'Input &amp; Findings'!$G$40="W-Bound"),'RTF 2'!$D$8="W-Bound"),'RTF 2'!$M67,'Data 15'!I158)),0)</f>
        <v>0</v>
      </c>
      <c r="J58" s="51">
        <f>'Data 15'!J158</f>
        <v>0</v>
      </c>
      <c r="K58" s="51">
        <f>'Data 15'!K158</f>
        <v>0</v>
      </c>
      <c r="L58" s="51">
        <f>'Data 15'!L158</f>
        <v>0</v>
      </c>
      <c r="M58" s="51">
        <f>'Data 15'!M158</f>
        <v>0</v>
      </c>
      <c r="N58" s="51">
        <f t="shared" si="1"/>
        <v>0</v>
      </c>
      <c r="O58" s="58">
        <f>'Data 15'!O158</f>
        <v>0.5625</v>
      </c>
      <c r="P58" s="51">
        <f>ROUNDUP(IF(AND(OR('Input &amp; Findings'!$G$39="N-Bound",'Input &amp; Findings'!$G$40="N-Bound"),'RTF 1'!$D$8="N-Bound"),'RTF 1'!$M67,IF(AND(OR('Input &amp; Findings'!$G$39="N-Bound",'Input &amp; Findings'!$G$40="N-Bound"),'RTF 2'!$D$8="N-Bound"),'RTF 2'!$M67,'Data 15'!P158)),0)</f>
        <v>166</v>
      </c>
      <c r="Q58" s="51">
        <f>'Data 15'!Q158</f>
        <v>649</v>
      </c>
      <c r="R58" s="51">
        <f>'Data 15'!R158</f>
        <v>0</v>
      </c>
      <c r="S58" s="51">
        <f>'Data 15'!S158</f>
        <v>0</v>
      </c>
      <c r="T58" s="51">
        <f>'Data 15'!T158</f>
        <v>0</v>
      </c>
      <c r="U58" s="51">
        <f t="shared" si="2"/>
        <v>815</v>
      </c>
      <c r="V58" s="58">
        <f>'Data 15'!V158</f>
        <v>0.5625</v>
      </c>
      <c r="W58" s="51">
        <f>ROUNDUP(IF(AND(OR('Input &amp; Findings'!$G$39="E-Bound",'Input &amp; Findings'!$G$40="E-Bound"),'RTF 1'!$D$8="E-Bound"),'RTF 1'!$M67,IF(AND(OR('Input &amp; Findings'!$G$39="E-Bound",'Input &amp; Findings'!$G$40="E-Bound"),'RTF 2'!$D$8="E-Bound"),'RTF 2'!$M67,'Data 15'!W158)),0)</f>
        <v>82</v>
      </c>
      <c r="X58" s="51">
        <f>'Data 15'!X158</f>
        <v>0</v>
      </c>
      <c r="Y58" s="51">
        <f>'Data 15'!Y158</f>
        <v>51</v>
      </c>
      <c r="Z58" s="51">
        <f>'Data 15'!Z158</f>
        <v>0</v>
      </c>
      <c r="AA58" s="51">
        <f>'Data 15'!AA158</f>
        <v>0</v>
      </c>
      <c r="AB58" s="51">
        <f t="shared" si="3"/>
        <v>133</v>
      </c>
      <c r="AC58" s="58">
        <f>'Data 15'!AC158</f>
        <v>0.5625</v>
      </c>
      <c r="AE58" s="57"/>
    </row>
    <row r="59" spans="1:31" x14ac:dyDescent="0.25">
      <c r="A59" s="58">
        <f>'Data 15'!A159</f>
        <v>0.57291666666666696</v>
      </c>
      <c r="B59" s="51">
        <f>ROUNDUP(IF(AND(OR('Input &amp; Findings'!$G$39="S-Bound",'Input &amp; Findings'!$G$40="S-Bound"),'RTF 1'!$D$8="S-Bound"),'RTF 1'!$M68,IF(AND(OR('Input &amp; Findings'!$G$39="S-Bound",'Input &amp; Findings'!$G$40="S-Bound"),'RTF 2'!$D$8="S-Bound"),'RTF 2'!$M68,'Data 15'!B159)),0)</f>
        <v>0</v>
      </c>
      <c r="C59" s="51">
        <f>'Data 15'!C159</f>
        <v>551</v>
      </c>
      <c r="D59" s="51">
        <f>'Data 15'!D159</f>
        <v>313</v>
      </c>
      <c r="E59" s="51">
        <f>'Data 15'!E159</f>
        <v>1</v>
      </c>
      <c r="F59" s="51">
        <f>'Data 15'!F159</f>
        <v>0</v>
      </c>
      <c r="G59" s="51">
        <f t="shared" si="0"/>
        <v>865</v>
      </c>
      <c r="H59" s="58">
        <f>'Data 15'!H159</f>
        <v>0.57291666666666696</v>
      </c>
      <c r="I59" s="51">
        <f>ROUNDUP(IF(AND(OR('Input &amp; Findings'!$G$39="W-Bound",'Input &amp; Findings'!$G$40="W-Bound"),'RTF 1'!$D$8="W-Bound"),'RTF 1'!$M68,IF(AND(OR('Input &amp; Findings'!$G$39="W-Bound",'Input &amp; Findings'!$G$40="W-Bound"),'RTF 2'!$D$8="W-Bound"),'RTF 2'!$M68,'Data 15'!I159)),0)</f>
        <v>0</v>
      </c>
      <c r="J59" s="51">
        <f>'Data 15'!J159</f>
        <v>0</v>
      </c>
      <c r="K59" s="51">
        <f>'Data 15'!K159</f>
        <v>0</v>
      </c>
      <c r="L59" s="51">
        <f>'Data 15'!L159</f>
        <v>0</v>
      </c>
      <c r="M59" s="51">
        <f>'Data 15'!M159</f>
        <v>0</v>
      </c>
      <c r="N59" s="51">
        <f t="shared" si="1"/>
        <v>0</v>
      </c>
      <c r="O59" s="58">
        <f>'Data 15'!O159</f>
        <v>0.57291666666666696</v>
      </c>
      <c r="P59" s="51">
        <f>ROUNDUP(IF(AND(OR('Input &amp; Findings'!$G$39="N-Bound",'Input &amp; Findings'!$G$40="N-Bound"),'RTF 1'!$D$8="N-Bound"),'RTF 1'!$M68,IF(AND(OR('Input &amp; Findings'!$G$39="N-Bound",'Input &amp; Findings'!$G$40="N-Bound"),'RTF 2'!$D$8="N-Bound"),'RTF 2'!$M68,'Data 15'!P159)),0)</f>
        <v>181</v>
      </c>
      <c r="Q59" s="51">
        <f>'Data 15'!Q159</f>
        <v>677</v>
      </c>
      <c r="R59" s="51">
        <f>'Data 15'!R159</f>
        <v>0</v>
      </c>
      <c r="S59" s="51">
        <f>'Data 15'!S159</f>
        <v>0</v>
      </c>
      <c r="T59" s="51">
        <f>'Data 15'!T159</f>
        <v>0</v>
      </c>
      <c r="U59" s="51">
        <f t="shared" si="2"/>
        <v>858</v>
      </c>
      <c r="V59" s="58">
        <f>'Data 15'!V159</f>
        <v>0.57291666666666696</v>
      </c>
      <c r="W59" s="51">
        <f>ROUNDUP(IF(AND(OR('Input &amp; Findings'!$G$39="E-Bound",'Input &amp; Findings'!$G$40="E-Bound"),'RTF 1'!$D$8="E-Bound"),'RTF 1'!$M68,IF(AND(OR('Input &amp; Findings'!$G$39="E-Bound",'Input &amp; Findings'!$G$40="E-Bound"),'RTF 2'!$D$8="E-Bound"),'RTF 2'!$M68,'Data 15'!W159)),0)</f>
        <v>78</v>
      </c>
      <c r="X59" s="51">
        <f>'Data 15'!X159</f>
        <v>0</v>
      </c>
      <c r="Y59" s="51">
        <f>'Data 15'!Y159</f>
        <v>49</v>
      </c>
      <c r="Z59" s="51">
        <f>'Data 15'!Z159</f>
        <v>0</v>
      </c>
      <c r="AA59" s="51">
        <f>'Data 15'!AA159</f>
        <v>0</v>
      </c>
      <c r="AB59" s="51">
        <f t="shared" si="3"/>
        <v>127</v>
      </c>
      <c r="AC59" s="58">
        <f>'Data 15'!AC159</f>
        <v>0.57291666666666696</v>
      </c>
      <c r="AE59" s="57"/>
    </row>
    <row r="60" spans="1:31" x14ac:dyDescent="0.25">
      <c r="A60" s="58">
        <f>'Data 15'!A160</f>
        <v>0.58333333333333304</v>
      </c>
      <c r="B60" s="51">
        <f>ROUNDUP(IF(AND(OR('Input &amp; Findings'!$G$39="S-Bound",'Input &amp; Findings'!$G$40="S-Bound"),'RTF 1'!$D$8="S-Bound"),'RTF 1'!$M69,IF(AND(OR('Input &amp; Findings'!$G$39="S-Bound",'Input &amp; Findings'!$G$40="S-Bound"),'RTF 2'!$D$8="S-Bound"),'RTF 2'!$M69,'Data 15'!B160)),0)</f>
        <v>0</v>
      </c>
      <c r="C60" s="51">
        <f>'Data 15'!C160</f>
        <v>562</v>
      </c>
      <c r="D60" s="51">
        <f>'Data 15'!D160</f>
        <v>315</v>
      </c>
      <c r="E60" s="51">
        <f>'Data 15'!E160</f>
        <v>1</v>
      </c>
      <c r="F60" s="51">
        <f>'Data 15'!F160</f>
        <v>0</v>
      </c>
      <c r="G60" s="51">
        <f t="shared" si="0"/>
        <v>878</v>
      </c>
      <c r="H60" s="58">
        <f>'Data 15'!H160</f>
        <v>0.58333333333333304</v>
      </c>
      <c r="I60" s="51">
        <f>ROUNDUP(IF(AND(OR('Input &amp; Findings'!$G$39="W-Bound",'Input &amp; Findings'!$G$40="W-Bound"),'RTF 1'!$D$8="W-Bound"),'RTF 1'!$M69,IF(AND(OR('Input &amp; Findings'!$G$39="W-Bound",'Input &amp; Findings'!$G$40="W-Bound"),'RTF 2'!$D$8="W-Bound"),'RTF 2'!$M69,'Data 15'!I160)),0)</f>
        <v>0</v>
      </c>
      <c r="J60" s="51">
        <f>'Data 15'!J160</f>
        <v>0</v>
      </c>
      <c r="K60" s="51">
        <f>'Data 15'!K160</f>
        <v>0</v>
      </c>
      <c r="L60" s="51">
        <f>'Data 15'!L160</f>
        <v>0</v>
      </c>
      <c r="M60" s="51">
        <f>'Data 15'!M160</f>
        <v>0</v>
      </c>
      <c r="N60" s="51">
        <f t="shared" si="1"/>
        <v>0</v>
      </c>
      <c r="O60" s="58">
        <f>'Data 15'!O160</f>
        <v>0.58333333333333304</v>
      </c>
      <c r="P60" s="51">
        <f>ROUNDUP(IF(AND(OR('Input &amp; Findings'!$G$39="N-Bound",'Input &amp; Findings'!$G$40="N-Bound"),'RTF 1'!$D$8="N-Bound"),'RTF 1'!$M69,IF(AND(OR('Input &amp; Findings'!$G$39="N-Bound",'Input &amp; Findings'!$G$40="N-Bound"),'RTF 2'!$D$8="N-Bound"),'RTF 2'!$M69,'Data 15'!P160)),0)</f>
        <v>195</v>
      </c>
      <c r="Q60" s="51">
        <f>'Data 15'!Q160</f>
        <v>719</v>
      </c>
      <c r="R60" s="51">
        <f>'Data 15'!R160</f>
        <v>0</v>
      </c>
      <c r="S60" s="51">
        <f>'Data 15'!S160</f>
        <v>0</v>
      </c>
      <c r="T60" s="51">
        <f>'Data 15'!T160</f>
        <v>0</v>
      </c>
      <c r="U60" s="51">
        <f t="shared" si="2"/>
        <v>914</v>
      </c>
      <c r="V60" s="58">
        <f>'Data 15'!V160</f>
        <v>0.58333333333333304</v>
      </c>
      <c r="W60" s="51">
        <f>ROUNDUP(IF(AND(OR('Input &amp; Findings'!$G$39="E-Bound",'Input &amp; Findings'!$G$40="E-Bound"),'RTF 1'!$D$8="E-Bound"),'RTF 1'!$M69,IF(AND(OR('Input &amp; Findings'!$G$39="E-Bound",'Input &amp; Findings'!$G$40="E-Bound"),'RTF 2'!$D$8="E-Bound"),'RTF 2'!$M69,'Data 15'!W160)),0)</f>
        <v>71</v>
      </c>
      <c r="X60" s="51">
        <f>'Data 15'!X160</f>
        <v>0</v>
      </c>
      <c r="Y60" s="51">
        <f>'Data 15'!Y160</f>
        <v>48</v>
      </c>
      <c r="Z60" s="51">
        <f>'Data 15'!Z160</f>
        <v>0</v>
      </c>
      <c r="AA60" s="51">
        <f>'Data 15'!AA160</f>
        <v>0</v>
      </c>
      <c r="AB60" s="51">
        <f t="shared" si="3"/>
        <v>119</v>
      </c>
      <c r="AC60" s="58">
        <f>'Data 15'!AC160</f>
        <v>0.58333333333333304</v>
      </c>
      <c r="AE60" s="57"/>
    </row>
    <row r="61" spans="1:31" x14ac:dyDescent="0.25">
      <c r="A61" s="58">
        <f>'Data 15'!A161</f>
        <v>0.59375</v>
      </c>
      <c r="B61" s="51">
        <f>ROUNDUP(IF(AND(OR('Input &amp; Findings'!$G$39="S-Bound",'Input &amp; Findings'!$G$40="S-Bound"),'RTF 1'!$D$8="S-Bound"),'RTF 1'!$M70,IF(AND(OR('Input &amp; Findings'!$G$39="S-Bound",'Input &amp; Findings'!$G$40="S-Bound"),'RTF 2'!$D$8="S-Bound"),'RTF 2'!$M70,'Data 15'!B161)),0)</f>
        <v>0</v>
      </c>
      <c r="C61" s="51">
        <f>'Data 15'!C161</f>
        <v>578</v>
      </c>
      <c r="D61" s="51">
        <f>'Data 15'!D161</f>
        <v>312</v>
      </c>
      <c r="E61" s="51">
        <f>'Data 15'!E161</f>
        <v>1</v>
      </c>
      <c r="F61" s="51">
        <f>'Data 15'!F161</f>
        <v>0</v>
      </c>
      <c r="G61" s="51">
        <f t="shared" si="0"/>
        <v>891</v>
      </c>
      <c r="H61" s="58">
        <f>'Data 15'!H161</f>
        <v>0.59375</v>
      </c>
      <c r="I61" s="51">
        <f>ROUNDUP(IF(AND(OR('Input &amp; Findings'!$G$39="W-Bound",'Input &amp; Findings'!$G$40="W-Bound"),'RTF 1'!$D$8="W-Bound"),'RTF 1'!$M70,IF(AND(OR('Input &amp; Findings'!$G$39="W-Bound",'Input &amp; Findings'!$G$40="W-Bound"),'RTF 2'!$D$8="W-Bound"),'RTF 2'!$M70,'Data 15'!I161)),0)</f>
        <v>0</v>
      </c>
      <c r="J61" s="51">
        <f>'Data 15'!J161</f>
        <v>0</v>
      </c>
      <c r="K61" s="51">
        <f>'Data 15'!K161</f>
        <v>0</v>
      </c>
      <c r="L61" s="51">
        <f>'Data 15'!L161</f>
        <v>0</v>
      </c>
      <c r="M61" s="51">
        <f>'Data 15'!M161</f>
        <v>0</v>
      </c>
      <c r="N61" s="51">
        <f t="shared" si="1"/>
        <v>0</v>
      </c>
      <c r="O61" s="58">
        <f>'Data 15'!O161</f>
        <v>0.59375</v>
      </c>
      <c r="P61" s="51">
        <f>ROUNDUP(IF(AND(OR('Input &amp; Findings'!$G$39="N-Bound",'Input &amp; Findings'!$G$40="N-Bound"),'RTF 1'!$D$8="N-Bound"),'RTF 1'!$M70,IF(AND(OR('Input &amp; Findings'!$G$39="N-Bound",'Input &amp; Findings'!$G$40="N-Bound"),'RTF 2'!$D$8="N-Bound"),'RTF 2'!$M70,'Data 15'!P161)),0)</f>
        <v>213</v>
      </c>
      <c r="Q61" s="51">
        <f>'Data 15'!Q161</f>
        <v>750</v>
      </c>
      <c r="R61" s="51">
        <f>'Data 15'!R161</f>
        <v>0</v>
      </c>
      <c r="S61" s="51">
        <f>'Data 15'!S161</f>
        <v>0</v>
      </c>
      <c r="T61" s="51">
        <f>'Data 15'!T161</f>
        <v>0</v>
      </c>
      <c r="U61" s="51">
        <f t="shared" si="2"/>
        <v>963</v>
      </c>
      <c r="V61" s="58">
        <f>'Data 15'!V161</f>
        <v>0.59375</v>
      </c>
      <c r="W61" s="51">
        <f>ROUNDUP(IF(AND(OR('Input &amp; Findings'!$G$39="E-Bound",'Input &amp; Findings'!$G$40="E-Bound"),'RTF 1'!$D$8="E-Bound"),'RTF 1'!$M70,IF(AND(OR('Input &amp; Findings'!$G$39="E-Bound",'Input &amp; Findings'!$G$40="E-Bound"),'RTF 2'!$D$8="E-Bound"),'RTF 2'!$M70,'Data 15'!W161)),0)</f>
        <v>76</v>
      </c>
      <c r="X61" s="51">
        <f>'Data 15'!X161</f>
        <v>0</v>
      </c>
      <c r="Y61" s="51">
        <f>'Data 15'!Y161</f>
        <v>56</v>
      </c>
      <c r="Z61" s="51">
        <f>'Data 15'!Z161</f>
        <v>0</v>
      </c>
      <c r="AA61" s="51">
        <f>'Data 15'!AA161</f>
        <v>0</v>
      </c>
      <c r="AB61" s="51">
        <f t="shared" si="3"/>
        <v>132</v>
      </c>
      <c r="AC61" s="58">
        <f>'Data 15'!AC161</f>
        <v>0.59375</v>
      </c>
      <c r="AE61" s="57"/>
    </row>
    <row r="62" spans="1:31" x14ac:dyDescent="0.25">
      <c r="A62" s="58">
        <f>'Data 15'!A162</f>
        <v>0.60416666666666696</v>
      </c>
      <c r="B62" s="51">
        <f>ROUNDUP(IF(AND(OR('Input &amp; Findings'!$G$39="S-Bound",'Input &amp; Findings'!$G$40="S-Bound"),'RTF 1'!$D$8="S-Bound"),'RTF 1'!$M71,IF(AND(OR('Input &amp; Findings'!$G$39="S-Bound",'Input &amp; Findings'!$G$40="S-Bound"),'RTF 2'!$D$8="S-Bound"),'RTF 2'!$M71,'Data 15'!B162)),0)</f>
        <v>0</v>
      </c>
      <c r="C62" s="51">
        <f>'Data 15'!C162</f>
        <v>571</v>
      </c>
      <c r="D62" s="51">
        <f>'Data 15'!D162</f>
        <v>326</v>
      </c>
      <c r="E62" s="51">
        <f>'Data 15'!E162</f>
        <v>0</v>
      </c>
      <c r="F62" s="51">
        <f>'Data 15'!F162</f>
        <v>0</v>
      </c>
      <c r="G62" s="51">
        <f t="shared" si="0"/>
        <v>897</v>
      </c>
      <c r="H62" s="58">
        <f>'Data 15'!H162</f>
        <v>0.60416666666666696</v>
      </c>
      <c r="I62" s="51">
        <f>ROUNDUP(IF(AND(OR('Input &amp; Findings'!$G$39="W-Bound",'Input &amp; Findings'!$G$40="W-Bound"),'RTF 1'!$D$8="W-Bound"),'RTF 1'!$M71,IF(AND(OR('Input &amp; Findings'!$G$39="W-Bound",'Input &amp; Findings'!$G$40="W-Bound"),'RTF 2'!$D$8="W-Bound"),'RTF 2'!$M71,'Data 15'!I162)),0)</f>
        <v>0</v>
      </c>
      <c r="J62" s="51">
        <f>'Data 15'!J162</f>
        <v>0</v>
      </c>
      <c r="K62" s="51">
        <f>'Data 15'!K162</f>
        <v>0</v>
      </c>
      <c r="L62" s="51">
        <f>'Data 15'!L162</f>
        <v>0</v>
      </c>
      <c r="M62" s="51">
        <f>'Data 15'!M162</f>
        <v>0</v>
      </c>
      <c r="N62" s="51">
        <f t="shared" si="1"/>
        <v>0</v>
      </c>
      <c r="O62" s="58">
        <f>'Data 15'!O162</f>
        <v>0.60416666666666696</v>
      </c>
      <c r="P62" s="51">
        <f>ROUNDUP(IF(AND(OR('Input &amp; Findings'!$G$39="N-Bound",'Input &amp; Findings'!$G$40="N-Bound"),'RTF 1'!$D$8="N-Bound"),'RTF 1'!$M71,IF(AND(OR('Input &amp; Findings'!$G$39="N-Bound",'Input &amp; Findings'!$G$40="N-Bound"),'RTF 2'!$D$8="N-Bound"),'RTF 2'!$M71,'Data 15'!P162)),0)</f>
        <v>237</v>
      </c>
      <c r="Q62" s="51">
        <f>'Data 15'!Q162</f>
        <v>821</v>
      </c>
      <c r="R62" s="51">
        <f>'Data 15'!R162</f>
        <v>0</v>
      </c>
      <c r="S62" s="51">
        <f>'Data 15'!S162</f>
        <v>0</v>
      </c>
      <c r="T62" s="51">
        <f>'Data 15'!T162</f>
        <v>0</v>
      </c>
      <c r="U62" s="51">
        <f t="shared" si="2"/>
        <v>1058</v>
      </c>
      <c r="V62" s="58">
        <f>'Data 15'!V162</f>
        <v>0.60416666666666696</v>
      </c>
      <c r="W62" s="51">
        <f>ROUNDUP(IF(AND(OR('Input &amp; Findings'!$G$39="E-Bound",'Input &amp; Findings'!$G$40="E-Bound"),'RTF 1'!$D$8="E-Bound"),'RTF 1'!$M71,IF(AND(OR('Input &amp; Findings'!$G$39="E-Bound",'Input &amp; Findings'!$G$40="E-Bound"),'RTF 2'!$D$8="E-Bound"),'RTF 2'!$M71,'Data 15'!W162)),0)</f>
        <v>70</v>
      </c>
      <c r="X62" s="51">
        <f>'Data 15'!X162</f>
        <v>0</v>
      </c>
      <c r="Y62" s="51">
        <f>'Data 15'!Y162</f>
        <v>52</v>
      </c>
      <c r="Z62" s="51">
        <f>'Data 15'!Z162</f>
        <v>0</v>
      </c>
      <c r="AA62" s="51">
        <f>'Data 15'!AA162</f>
        <v>0</v>
      </c>
      <c r="AB62" s="51">
        <f t="shared" si="3"/>
        <v>122</v>
      </c>
      <c r="AC62" s="58">
        <f>'Data 15'!AC162</f>
        <v>0.60416666666666696</v>
      </c>
      <c r="AE62" s="57"/>
    </row>
    <row r="63" spans="1:31" x14ac:dyDescent="0.25">
      <c r="A63" s="58">
        <f>'Data 15'!A163</f>
        <v>0.61458333333333304</v>
      </c>
      <c r="B63" s="51">
        <f>ROUNDUP(IF(AND(OR('Input &amp; Findings'!$G$39="S-Bound",'Input &amp; Findings'!$G$40="S-Bound"),'RTF 1'!$D$8="S-Bound"),'RTF 1'!$M72,IF(AND(OR('Input &amp; Findings'!$G$39="S-Bound",'Input &amp; Findings'!$G$40="S-Bound"),'RTF 2'!$D$8="S-Bound"),'RTF 2'!$M72,'Data 15'!B163)),0)</f>
        <v>0</v>
      </c>
      <c r="C63" s="51">
        <f>'Data 15'!C163</f>
        <v>568</v>
      </c>
      <c r="D63" s="51">
        <f>'Data 15'!D163</f>
        <v>347</v>
      </c>
      <c r="E63" s="51">
        <f>'Data 15'!E163</f>
        <v>0</v>
      </c>
      <c r="F63" s="51">
        <f>'Data 15'!F163</f>
        <v>0</v>
      </c>
      <c r="G63" s="51">
        <f t="shared" si="0"/>
        <v>915</v>
      </c>
      <c r="H63" s="58">
        <f>'Data 15'!H163</f>
        <v>0.61458333333333304</v>
      </c>
      <c r="I63" s="51">
        <f>ROUNDUP(IF(AND(OR('Input &amp; Findings'!$G$39="W-Bound",'Input &amp; Findings'!$G$40="W-Bound"),'RTF 1'!$D$8="W-Bound"),'RTF 1'!$M72,IF(AND(OR('Input &amp; Findings'!$G$39="W-Bound",'Input &amp; Findings'!$G$40="W-Bound"),'RTF 2'!$D$8="W-Bound"),'RTF 2'!$M72,'Data 15'!I163)),0)</f>
        <v>0</v>
      </c>
      <c r="J63" s="51">
        <f>'Data 15'!J163</f>
        <v>0</v>
      </c>
      <c r="K63" s="51">
        <f>'Data 15'!K163</f>
        <v>0</v>
      </c>
      <c r="L63" s="51">
        <f>'Data 15'!L163</f>
        <v>0</v>
      </c>
      <c r="M63" s="51">
        <f>'Data 15'!M163</f>
        <v>0</v>
      </c>
      <c r="N63" s="51">
        <f t="shared" si="1"/>
        <v>0</v>
      </c>
      <c r="O63" s="58">
        <f>'Data 15'!O163</f>
        <v>0.61458333333333304</v>
      </c>
      <c r="P63" s="51">
        <f>ROUNDUP(IF(AND(OR('Input &amp; Findings'!$G$39="N-Bound",'Input &amp; Findings'!$G$40="N-Bound"),'RTF 1'!$D$8="N-Bound"),'RTF 1'!$M72,IF(AND(OR('Input &amp; Findings'!$G$39="N-Bound",'Input &amp; Findings'!$G$40="N-Bound"),'RTF 2'!$D$8="N-Bound"),'RTF 2'!$M72,'Data 15'!P163)),0)</f>
        <v>248</v>
      </c>
      <c r="Q63" s="51">
        <f>'Data 15'!Q163</f>
        <v>861</v>
      </c>
      <c r="R63" s="51">
        <f>'Data 15'!R163</f>
        <v>0</v>
      </c>
      <c r="S63" s="51">
        <f>'Data 15'!S163</f>
        <v>0</v>
      </c>
      <c r="T63" s="51">
        <f>'Data 15'!T163</f>
        <v>0</v>
      </c>
      <c r="U63" s="51">
        <f t="shared" si="2"/>
        <v>1109</v>
      </c>
      <c r="V63" s="58">
        <f>'Data 15'!V163</f>
        <v>0.61458333333333304</v>
      </c>
      <c r="W63" s="51">
        <f>ROUNDUP(IF(AND(OR('Input &amp; Findings'!$G$39="E-Bound",'Input &amp; Findings'!$G$40="E-Bound"),'RTF 1'!$D$8="E-Bound"),'RTF 1'!$M72,IF(AND(OR('Input &amp; Findings'!$G$39="E-Bound",'Input &amp; Findings'!$G$40="E-Bound"),'RTF 2'!$D$8="E-Bound"),'RTF 2'!$M72,'Data 15'!W163)),0)</f>
        <v>73</v>
      </c>
      <c r="X63" s="51">
        <f>'Data 15'!X163</f>
        <v>0</v>
      </c>
      <c r="Y63" s="51">
        <f>'Data 15'!Y163</f>
        <v>57</v>
      </c>
      <c r="Z63" s="51">
        <f>'Data 15'!Z163</f>
        <v>0</v>
      </c>
      <c r="AA63" s="51">
        <f>'Data 15'!AA163</f>
        <v>0</v>
      </c>
      <c r="AB63" s="51">
        <f t="shared" si="3"/>
        <v>130</v>
      </c>
      <c r="AC63" s="58">
        <f>'Data 15'!AC163</f>
        <v>0.61458333333333304</v>
      </c>
      <c r="AE63" s="57"/>
    </row>
    <row r="64" spans="1:31" x14ac:dyDescent="0.25">
      <c r="A64" s="58">
        <f>'Data 15'!A164</f>
        <v>0.625</v>
      </c>
      <c r="B64" s="51">
        <f>ROUNDUP(IF(AND(OR('Input &amp; Findings'!$G$39="S-Bound",'Input &amp; Findings'!$G$40="S-Bound"),'RTF 1'!$D$8="S-Bound"),'RTF 1'!$M73,IF(AND(OR('Input &amp; Findings'!$G$39="S-Bound",'Input &amp; Findings'!$G$40="S-Bound"),'RTF 2'!$D$8="S-Bound"),'RTF 2'!$M73,'Data 15'!B164)),0)</f>
        <v>0</v>
      </c>
      <c r="C64" s="51">
        <f>'Data 15'!C164</f>
        <v>566</v>
      </c>
      <c r="D64" s="51">
        <f>'Data 15'!D164</f>
        <v>333</v>
      </c>
      <c r="E64" s="51">
        <f>'Data 15'!E164</f>
        <v>0</v>
      </c>
      <c r="F64" s="51">
        <f>'Data 15'!F164</f>
        <v>0</v>
      </c>
      <c r="G64" s="51">
        <f t="shared" si="0"/>
        <v>899</v>
      </c>
      <c r="H64" s="58">
        <f>'Data 15'!H164</f>
        <v>0.625</v>
      </c>
      <c r="I64" s="51">
        <f>ROUNDUP(IF(AND(OR('Input &amp; Findings'!$G$39="W-Bound",'Input &amp; Findings'!$G$40="W-Bound"),'RTF 1'!$D$8="W-Bound"),'RTF 1'!$M73,IF(AND(OR('Input &amp; Findings'!$G$39="W-Bound",'Input &amp; Findings'!$G$40="W-Bound"),'RTF 2'!$D$8="W-Bound"),'RTF 2'!$M73,'Data 15'!I164)),0)</f>
        <v>0</v>
      </c>
      <c r="J64" s="51">
        <f>'Data 15'!J164</f>
        <v>0</v>
      </c>
      <c r="K64" s="51">
        <f>'Data 15'!K164</f>
        <v>0</v>
      </c>
      <c r="L64" s="51">
        <f>'Data 15'!L164</f>
        <v>0</v>
      </c>
      <c r="M64" s="51">
        <f>'Data 15'!M164</f>
        <v>0</v>
      </c>
      <c r="N64" s="51">
        <f t="shared" si="1"/>
        <v>0</v>
      </c>
      <c r="O64" s="58">
        <f>'Data 15'!O164</f>
        <v>0.625</v>
      </c>
      <c r="P64" s="51">
        <f>ROUNDUP(IF(AND(OR('Input &amp; Findings'!$G$39="N-Bound",'Input &amp; Findings'!$G$40="N-Bound"),'RTF 1'!$D$8="N-Bound"),'RTF 1'!$M73,IF(AND(OR('Input &amp; Findings'!$G$39="N-Bound",'Input &amp; Findings'!$G$40="N-Bound"),'RTF 2'!$D$8="N-Bound"),'RTF 2'!$M73,'Data 15'!P164)),0)</f>
        <v>265</v>
      </c>
      <c r="Q64" s="51">
        <f>'Data 15'!Q164</f>
        <v>871</v>
      </c>
      <c r="R64" s="51">
        <f>'Data 15'!R164</f>
        <v>0</v>
      </c>
      <c r="S64" s="51">
        <f>'Data 15'!S164</f>
        <v>0</v>
      </c>
      <c r="T64" s="51">
        <f>'Data 15'!T164</f>
        <v>0</v>
      </c>
      <c r="U64" s="51">
        <f t="shared" si="2"/>
        <v>1136</v>
      </c>
      <c r="V64" s="58">
        <f>'Data 15'!V164</f>
        <v>0.625</v>
      </c>
      <c r="W64" s="51">
        <f>ROUNDUP(IF(AND(OR('Input &amp; Findings'!$G$39="E-Bound",'Input &amp; Findings'!$G$40="E-Bound"),'RTF 1'!$D$8="E-Bound"),'RTF 1'!$M73,IF(AND(OR('Input &amp; Findings'!$G$39="E-Bound",'Input &amp; Findings'!$G$40="E-Bound"),'RTF 2'!$D$8="E-Bound"),'RTF 2'!$M73,'Data 15'!W164)),0)</f>
        <v>73</v>
      </c>
      <c r="X64" s="51">
        <f>'Data 15'!X164</f>
        <v>0</v>
      </c>
      <c r="Y64" s="51">
        <f>'Data 15'!Y164</f>
        <v>68</v>
      </c>
      <c r="Z64" s="51">
        <f>'Data 15'!Z164</f>
        <v>0</v>
      </c>
      <c r="AA64" s="51">
        <f>'Data 15'!AA164</f>
        <v>0</v>
      </c>
      <c r="AB64" s="51">
        <f t="shared" si="3"/>
        <v>141</v>
      </c>
      <c r="AC64" s="58">
        <f>'Data 15'!AC164</f>
        <v>0.625</v>
      </c>
      <c r="AE64" s="57"/>
    </row>
    <row r="65" spans="1:31" x14ac:dyDescent="0.25">
      <c r="A65" s="58">
        <f>'Data 15'!A165</f>
        <v>0.63541666666666696</v>
      </c>
      <c r="B65" s="51">
        <f>ROUNDUP(IF(AND(OR('Input &amp; Findings'!$G$39="S-Bound",'Input &amp; Findings'!$G$40="S-Bound"),'RTF 1'!$D$8="S-Bound"),'RTF 1'!$M74,IF(AND(OR('Input &amp; Findings'!$G$39="S-Bound",'Input &amp; Findings'!$G$40="S-Bound"),'RTF 2'!$D$8="S-Bound"),'RTF 2'!$M74,'Data 15'!B165)),0)</f>
        <v>0</v>
      </c>
      <c r="C65" s="51">
        <f>'Data 15'!C165</f>
        <v>564</v>
      </c>
      <c r="D65" s="51">
        <f>'Data 15'!D165</f>
        <v>335</v>
      </c>
      <c r="E65" s="51">
        <f>'Data 15'!E165</f>
        <v>0</v>
      </c>
      <c r="F65" s="51">
        <f>'Data 15'!F165</f>
        <v>0</v>
      </c>
      <c r="G65" s="51">
        <f t="shared" si="0"/>
        <v>899</v>
      </c>
      <c r="H65" s="58">
        <f>'Data 15'!H165</f>
        <v>0.63541666666666696</v>
      </c>
      <c r="I65" s="51">
        <f>ROUNDUP(IF(AND(OR('Input &amp; Findings'!$G$39="W-Bound",'Input &amp; Findings'!$G$40="W-Bound"),'RTF 1'!$D$8="W-Bound"),'RTF 1'!$M74,IF(AND(OR('Input &amp; Findings'!$G$39="W-Bound",'Input &amp; Findings'!$G$40="W-Bound"),'RTF 2'!$D$8="W-Bound"),'RTF 2'!$M74,'Data 15'!I165)),0)</f>
        <v>0</v>
      </c>
      <c r="J65" s="51">
        <f>'Data 15'!J165</f>
        <v>0</v>
      </c>
      <c r="K65" s="51">
        <f>'Data 15'!K165</f>
        <v>0</v>
      </c>
      <c r="L65" s="51">
        <f>'Data 15'!L165</f>
        <v>0</v>
      </c>
      <c r="M65" s="51">
        <f>'Data 15'!M165</f>
        <v>0</v>
      </c>
      <c r="N65" s="51">
        <f t="shared" si="1"/>
        <v>0</v>
      </c>
      <c r="O65" s="58">
        <f>'Data 15'!O165</f>
        <v>0.63541666666666696</v>
      </c>
      <c r="P65" s="51">
        <f>ROUNDUP(IF(AND(OR('Input &amp; Findings'!$G$39="N-Bound",'Input &amp; Findings'!$G$40="N-Bound"),'RTF 1'!$D$8="N-Bound"),'RTF 1'!$M74,IF(AND(OR('Input &amp; Findings'!$G$39="N-Bound",'Input &amp; Findings'!$G$40="N-Bound"),'RTF 2'!$D$8="N-Bound"),'RTF 2'!$M74,'Data 15'!P165)),0)</f>
        <v>274</v>
      </c>
      <c r="Q65" s="51">
        <f>'Data 15'!Q165</f>
        <v>875</v>
      </c>
      <c r="R65" s="51">
        <f>'Data 15'!R165</f>
        <v>0</v>
      </c>
      <c r="S65" s="51">
        <f>'Data 15'!S165</f>
        <v>0</v>
      </c>
      <c r="T65" s="51">
        <f>'Data 15'!T165</f>
        <v>0</v>
      </c>
      <c r="U65" s="51">
        <f t="shared" si="2"/>
        <v>1149</v>
      </c>
      <c r="V65" s="58">
        <f>'Data 15'!V165</f>
        <v>0.63541666666666696</v>
      </c>
      <c r="W65" s="51">
        <f>ROUNDUP(IF(AND(OR('Input &amp; Findings'!$G$39="E-Bound",'Input &amp; Findings'!$G$40="E-Bound"),'RTF 1'!$D$8="E-Bound"),'RTF 1'!$M74,IF(AND(OR('Input &amp; Findings'!$G$39="E-Bound",'Input &amp; Findings'!$G$40="E-Bound"),'RTF 2'!$D$8="E-Bound"),'RTF 2'!$M74,'Data 15'!W165)),0)</f>
        <v>82</v>
      </c>
      <c r="X65" s="51">
        <f>'Data 15'!X165</f>
        <v>0</v>
      </c>
      <c r="Y65" s="51">
        <f>'Data 15'!Y165</f>
        <v>72</v>
      </c>
      <c r="Z65" s="51">
        <f>'Data 15'!Z165</f>
        <v>0</v>
      </c>
      <c r="AA65" s="51">
        <f>'Data 15'!AA165</f>
        <v>0</v>
      </c>
      <c r="AB65" s="51">
        <f t="shared" si="3"/>
        <v>154</v>
      </c>
      <c r="AC65" s="58">
        <f>'Data 15'!AC165</f>
        <v>0.63541666666666696</v>
      </c>
      <c r="AE65" s="57"/>
    </row>
    <row r="66" spans="1:31" x14ac:dyDescent="0.25">
      <c r="A66" s="58">
        <f>'Data 15'!A166</f>
        <v>0.64583333333333304</v>
      </c>
      <c r="B66" s="51">
        <f>ROUNDUP(IF(AND(OR('Input &amp; Findings'!$G$39="S-Bound",'Input &amp; Findings'!$G$40="S-Bound"),'RTF 1'!$D$8="S-Bound"),'RTF 1'!$M75,IF(AND(OR('Input &amp; Findings'!$G$39="S-Bound",'Input &amp; Findings'!$G$40="S-Bound"),'RTF 2'!$D$8="S-Bound"),'RTF 2'!$M75,'Data 15'!B166)),0)</f>
        <v>0</v>
      </c>
      <c r="C66" s="51">
        <f>'Data 15'!C166</f>
        <v>630</v>
      </c>
      <c r="D66" s="51">
        <f>'Data 15'!D166</f>
        <v>327</v>
      </c>
      <c r="E66" s="51">
        <f>'Data 15'!E166</f>
        <v>0</v>
      </c>
      <c r="F66" s="51">
        <f>'Data 15'!F166</f>
        <v>0</v>
      </c>
      <c r="G66" s="51">
        <f t="shared" si="0"/>
        <v>957</v>
      </c>
      <c r="H66" s="58">
        <f>'Data 15'!H166</f>
        <v>0.64583333333333304</v>
      </c>
      <c r="I66" s="51">
        <f>ROUNDUP(IF(AND(OR('Input &amp; Findings'!$G$39="W-Bound",'Input &amp; Findings'!$G$40="W-Bound"),'RTF 1'!$D$8="W-Bound"),'RTF 1'!$M75,IF(AND(OR('Input &amp; Findings'!$G$39="W-Bound",'Input &amp; Findings'!$G$40="W-Bound"),'RTF 2'!$D$8="W-Bound"),'RTF 2'!$M75,'Data 15'!I166)),0)</f>
        <v>0</v>
      </c>
      <c r="J66" s="51">
        <f>'Data 15'!J166</f>
        <v>0</v>
      </c>
      <c r="K66" s="51">
        <f>'Data 15'!K166</f>
        <v>0</v>
      </c>
      <c r="L66" s="51">
        <f>'Data 15'!L166</f>
        <v>0</v>
      </c>
      <c r="M66" s="51">
        <f>'Data 15'!M166</f>
        <v>0</v>
      </c>
      <c r="N66" s="51">
        <f t="shared" si="1"/>
        <v>0</v>
      </c>
      <c r="O66" s="58">
        <f>'Data 15'!O166</f>
        <v>0.64583333333333304</v>
      </c>
      <c r="P66" s="51">
        <f>ROUNDUP(IF(AND(OR('Input &amp; Findings'!$G$39="N-Bound",'Input &amp; Findings'!$G$40="N-Bound"),'RTF 1'!$D$8="N-Bound"),'RTF 1'!$M75,IF(AND(OR('Input &amp; Findings'!$G$39="N-Bound",'Input &amp; Findings'!$G$40="N-Bound"),'RTF 2'!$D$8="N-Bound"),'RTF 2'!$M75,'Data 15'!P166)),0)</f>
        <v>296</v>
      </c>
      <c r="Q66" s="51">
        <f>'Data 15'!Q166</f>
        <v>907</v>
      </c>
      <c r="R66" s="51">
        <f>'Data 15'!R166</f>
        <v>0</v>
      </c>
      <c r="S66" s="51">
        <f>'Data 15'!S166</f>
        <v>0</v>
      </c>
      <c r="T66" s="51">
        <f>'Data 15'!T166</f>
        <v>0</v>
      </c>
      <c r="U66" s="51">
        <f t="shared" si="2"/>
        <v>1203</v>
      </c>
      <c r="V66" s="58">
        <f>'Data 15'!V166</f>
        <v>0.64583333333333304</v>
      </c>
      <c r="W66" s="51">
        <f>ROUNDUP(IF(AND(OR('Input &amp; Findings'!$G$39="E-Bound",'Input &amp; Findings'!$G$40="E-Bound"),'RTF 1'!$D$8="E-Bound"),'RTF 1'!$M75,IF(AND(OR('Input &amp; Findings'!$G$39="E-Bound",'Input &amp; Findings'!$G$40="E-Bound"),'RTF 2'!$D$8="E-Bound"),'RTF 2'!$M75,'Data 15'!W166)),0)</f>
        <v>89</v>
      </c>
      <c r="X66" s="51">
        <f>'Data 15'!X166</f>
        <v>0</v>
      </c>
      <c r="Y66" s="51">
        <f>'Data 15'!Y166</f>
        <v>74</v>
      </c>
      <c r="Z66" s="51">
        <f>'Data 15'!Z166</f>
        <v>0</v>
      </c>
      <c r="AA66" s="51">
        <f>'Data 15'!AA166</f>
        <v>0</v>
      </c>
      <c r="AB66" s="51">
        <f t="shared" si="3"/>
        <v>163</v>
      </c>
      <c r="AC66" s="58">
        <f>'Data 15'!AC166</f>
        <v>0.64583333333333304</v>
      </c>
      <c r="AE66" s="57"/>
    </row>
    <row r="67" spans="1:31" x14ac:dyDescent="0.25">
      <c r="A67" s="58">
        <f>'Data 15'!A167</f>
        <v>0.65625</v>
      </c>
      <c r="B67" s="51">
        <f>ROUNDUP(IF(AND(OR('Input &amp; Findings'!$G$39="S-Bound",'Input &amp; Findings'!$G$40="S-Bound"),'RTF 1'!$D$8="S-Bound"),'RTF 1'!$M76,IF(AND(OR('Input &amp; Findings'!$G$39="S-Bound",'Input &amp; Findings'!$G$40="S-Bound"),'RTF 2'!$D$8="S-Bound"),'RTF 2'!$M76,'Data 15'!B167)),0)</f>
        <v>0</v>
      </c>
      <c r="C67" s="51">
        <f>'Data 15'!C167</f>
        <v>688</v>
      </c>
      <c r="D67" s="51">
        <f>'Data 15'!D167</f>
        <v>320</v>
      </c>
      <c r="E67" s="51">
        <f>'Data 15'!E167</f>
        <v>0</v>
      </c>
      <c r="F67" s="51">
        <f>'Data 15'!F167</f>
        <v>0</v>
      </c>
      <c r="G67" s="51">
        <f t="shared" si="0"/>
        <v>1008</v>
      </c>
      <c r="H67" s="58">
        <f>'Data 15'!H167</f>
        <v>0.65625</v>
      </c>
      <c r="I67" s="51">
        <f>ROUNDUP(IF(AND(OR('Input &amp; Findings'!$G$39="W-Bound",'Input &amp; Findings'!$G$40="W-Bound"),'RTF 1'!$D$8="W-Bound"),'RTF 1'!$M76,IF(AND(OR('Input &amp; Findings'!$G$39="W-Bound",'Input &amp; Findings'!$G$40="W-Bound"),'RTF 2'!$D$8="W-Bound"),'RTF 2'!$M76,'Data 15'!I167)),0)</f>
        <v>0</v>
      </c>
      <c r="J67" s="51">
        <f>'Data 15'!J167</f>
        <v>0</v>
      </c>
      <c r="K67" s="51">
        <f>'Data 15'!K167</f>
        <v>0</v>
      </c>
      <c r="L67" s="51">
        <f>'Data 15'!L167</f>
        <v>0</v>
      </c>
      <c r="M67" s="51">
        <f>'Data 15'!M167</f>
        <v>0</v>
      </c>
      <c r="N67" s="51">
        <f t="shared" si="1"/>
        <v>0</v>
      </c>
      <c r="O67" s="58">
        <f>'Data 15'!O167</f>
        <v>0.65625</v>
      </c>
      <c r="P67" s="51">
        <f>ROUNDUP(IF(AND(OR('Input &amp; Findings'!$G$39="N-Bound",'Input &amp; Findings'!$G$40="N-Bound"),'RTF 1'!$D$8="N-Bound"),'RTF 1'!$M76,IF(AND(OR('Input &amp; Findings'!$G$39="N-Bound",'Input &amp; Findings'!$G$40="N-Bound"),'RTF 2'!$D$8="N-Bound"),'RTF 2'!$M76,'Data 15'!P167)),0)</f>
        <v>298</v>
      </c>
      <c r="Q67" s="51">
        <f>'Data 15'!Q167</f>
        <v>954</v>
      </c>
      <c r="R67" s="51">
        <f>'Data 15'!R167</f>
        <v>0</v>
      </c>
      <c r="S67" s="51">
        <f>'Data 15'!S167</f>
        <v>0</v>
      </c>
      <c r="T67" s="51">
        <f>'Data 15'!T167</f>
        <v>0</v>
      </c>
      <c r="U67" s="51">
        <f t="shared" si="2"/>
        <v>1252</v>
      </c>
      <c r="V67" s="58">
        <f>'Data 15'!V167</f>
        <v>0.65625</v>
      </c>
      <c r="W67" s="51">
        <f>ROUNDUP(IF(AND(OR('Input &amp; Findings'!$G$39="E-Bound",'Input &amp; Findings'!$G$40="E-Bound"),'RTF 1'!$D$8="E-Bound"),'RTF 1'!$M76,IF(AND(OR('Input &amp; Findings'!$G$39="E-Bound",'Input &amp; Findings'!$G$40="E-Bound"),'RTF 2'!$D$8="E-Bound"),'RTF 2'!$M76,'Data 15'!W167)),0)</f>
        <v>95</v>
      </c>
      <c r="X67" s="51">
        <f>'Data 15'!X167</f>
        <v>0</v>
      </c>
      <c r="Y67" s="51">
        <f>'Data 15'!Y167</f>
        <v>81</v>
      </c>
      <c r="Z67" s="51">
        <f>'Data 15'!Z167</f>
        <v>0</v>
      </c>
      <c r="AA67" s="51">
        <f>'Data 15'!AA167</f>
        <v>0</v>
      </c>
      <c r="AB67" s="51">
        <f t="shared" si="3"/>
        <v>176</v>
      </c>
      <c r="AC67" s="58">
        <f>'Data 15'!AC167</f>
        <v>0.65625</v>
      </c>
      <c r="AE67" s="57"/>
    </row>
    <row r="68" spans="1:31" x14ac:dyDescent="0.25">
      <c r="A68" s="58">
        <f>'Data 15'!A168</f>
        <v>0.66666666666666696</v>
      </c>
      <c r="B68" s="51">
        <f>ROUNDUP(IF(AND(OR('Input &amp; Findings'!$G$39="S-Bound",'Input &amp; Findings'!$G$40="S-Bound"),'RTF 1'!$D$8="S-Bound"),'RTF 1'!$M77,IF(AND(OR('Input &amp; Findings'!$G$39="S-Bound",'Input &amp; Findings'!$G$40="S-Bound"),'RTF 2'!$D$8="S-Bound"),'RTF 2'!$M77,'Data 15'!B168)),0)</f>
        <v>0</v>
      </c>
      <c r="C68" s="51">
        <f>'Data 15'!C168</f>
        <v>681</v>
      </c>
      <c r="D68" s="51">
        <f>'Data 15'!D168</f>
        <v>350</v>
      </c>
      <c r="E68" s="51">
        <f>'Data 15'!E168</f>
        <v>0</v>
      </c>
      <c r="F68" s="51">
        <f>'Data 15'!F168</f>
        <v>0</v>
      </c>
      <c r="G68" s="51">
        <f t="shared" si="0"/>
        <v>1031</v>
      </c>
      <c r="H68" s="58">
        <f>'Data 15'!H168</f>
        <v>0.66666666666666696</v>
      </c>
      <c r="I68" s="51">
        <f>ROUNDUP(IF(AND(OR('Input &amp; Findings'!$G$39="W-Bound",'Input &amp; Findings'!$G$40="W-Bound"),'RTF 1'!$D$8="W-Bound"),'RTF 1'!$M77,IF(AND(OR('Input &amp; Findings'!$G$39="W-Bound",'Input &amp; Findings'!$G$40="W-Bound"),'RTF 2'!$D$8="W-Bound"),'RTF 2'!$M77,'Data 15'!I168)),0)</f>
        <v>0</v>
      </c>
      <c r="J68" s="51">
        <f>'Data 15'!J168</f>
        <v>0</v>
      </c>
      <c r="K68" s="51">
        <f>'Data 15'!K168</f>
        <v>0</v>
      </c>
      <c r="L68" s="51">
        <f>'Data 15'!L168</f>
        <v>0</v>
      </c>
      <c r="M68" s="51">
        <f>'Data 15'!M168</f>
        <v>0</v>
      </c>
      <c r="N68" s="51">
        <f t="shared" si="1"/>
        <v>0</v>
      </c>
      <c r="O68" s="58">
        <f>'Data 15'!O168</f>
        <v>0.66666666666666696</v>
      </c>
      <c r="P68" s="51">
        <f>ROUNDUP(IF(AND(OR('Input &amp; Findings'!$G$39="N-Bound",'Input &amp; Findings'!$G$40="N-Bound"),'RTF 1'!$D$8="N-Bound"),'RTF 1'!$M77,IF(AND(OR('Input &amp; Findings'!$G$39="N-Bound",'Input &amp; Findings'!$G$40="N-Bound"),'RTF 2'!$D$8="N-Bound"),'RTF 2'!$M77,'Data 15'!P168)),0)</f>
        <v>309</v>
      </c>
      <c r="Q68" s="51">
        <f>'Data 15'!Q168</f>
        <v>971</v>
      </c>
      <c r="R68" s="51">
        <f>'Data 15'!R168</f>
        <v>0</v>
      </c>
      <c r="S68" s="51">
        <f>'Data 15'!S168</f>
        <v>0</v>
      </c>
      <c r="T68" s="51">
        <f>'Data 15'!T168</f>
        <v>0</v>
      </c>
      <c r="U68" s="51">
        <f t="shared" si="2"/>
        <v>1280</v>
      </c>
      <c r="V68" s="58">
        <f>'Data 15'!V168</f>
        <v>0.66666666666666696</v>
      </c>
      <c r="W68" s="51">
        <f>ROUNDUP(IF(AND(OR('Input &amp; Findings'!$G$39="E-Bound",'Input &amp; Findings'!$G$40="E-Bound"),'RTF 1'!$D$8="E-Bound"),'RTF 1'!$M77,IF(AND(OR('Input &amp; Findings'!$G$39="E-Bound",'Input &amp; Findings'!$G$40="E-Bound"),'RTF 2'!$D$8="E-Bound"),'RTF 2'!$M77,'Data 15'!W168)),0)</f>
        <v>99</v>
      </c>
      <c r="X68" s="51">
        <f>'Data 15'!X168</f>
        <v>0</v>
      </c>
      <c r="Y68" s="51">
        <f>'Data 15'!Y168</f>
        <v>80</v>
      </c>
      <c r="Z68" s="51">
        <f>'Data 15'!Z168</f>
        <v>0</v>
      </c>
      <c r="AA68" s="51">
        <f>'Data 15'!AA168</f>
        <v>0</v>
      </c>
      <c r="AB68" s="51">
        <f t="shared" si="3"/>
        <v>179</v>
      </c>
      <c r="AC68" s="58">
        <f>'Data 15'!AC168</f>
        <v>0.66666666666666696</v>
      </c>
      <c r="AE68" s="57"/>
    </row>
    <row r="69" spans="1:31" x14ac:dyDescent="0.25">
      <c r="A69" s="58">
        <f>'Data 15'!A169</f>
        <v>0.67708333333333304</v>
      </c>
      <c r="B69" s="51">
        <f>ROUNDUP(IF(AND(OR('Input &amp; Findings'!$G$39="S-Bound",'Input &amp; Findings'!$G$40="S-Bound"),'RTF 1'!$D$8="S-Bound"),'RTF 1'!$M78,IF(AND(OR('Input &amp; Findings'!$G$39="S-Bound",'Input &amp; Findings'!$G$40="S-Bound"),'RTF 2'!$D$8="S-Bound"),'RTF 2'!$M78,'Data 15'!B169)),0)</f>
        <v>0</v>
      </c>
      <c r="C69" s="51">
        <f>'Data 15'!C169</f>
        <v>734</v>
      </c>
      <c r="D69" s="51">
        <f>'Data 15'!D169</f>
        <v>369</v>
      </c>
      <c r="E69" s="51">
        <f>'Data 15'!E169</f>
        <v>0</v>
      </c>
      <c r="F69" s="51">
        <f>'Data 15'!F169</f>
        <v>0</v>
      </c>
      <c r="G69" s="51">
        <f t="shared" ref="G69:G99" si="4">SUM(B69:E69)</f>
        <v>1103</v>
      </c>
      <c r="H69" s="58">
        <f>'Data 15'!H169</f>
        <v>0.67708333333333304</v>
      </c>
      <c r="I69" s="51">
        <f>ROUNDUP(IF(AND(OR('Input &amp; Findings'!$G$39="W-Bound",'Input &amp; Findings'!$G$40="W-Bound"),'RTF 1'!$D$8="W-Bound"),'RTF 1'!$M78,IF(AND(OR('Input &amp; Findings'!$G$39="W-Bound",'Input &amp; Findings'!$G$40="W-Bound"),'RTF 2'!$D$8="W-Bound"),'RTF 2'!$M78,'Data 15'!I169)),0)</f>
        <v>0</v>
      </c>
      <c r="J69" s="51">
        <f>'Data 15'!J169</f>
        <v>0</v>
      </c>
      <c r="K69" s="51">
        <f>'Data 15'!K169</f>
        <v>0</v>
      </c>
      <c r="L69" s="51">
        <f>'Data 15'!L169</f>
        <v>0</v>
      </c>
      <c r="M69" s="51">
        <f>'Data 15'!M169</f>
        <v>0</v>
      </c>
      <c r="N69" s="51">
        <f t="shared" ref="N69:N99" si="5">SUM(I69:L69)</f>
        <v>0</v>
      </c>
      <c r="O69" s="58">
        <f>'Data 15'!O169</f>
        <v>0.67708333333333304</v>
      </c>
      <c r="P69" s="51">
        <f>ROUNDUP(IF(AND(OR('Input &amp; Findings'!$G$39="N-Bound",'Input &amp; Findings'!$G$40="N-Bound"),'RTF 1'!$D$8="N-Bound"),'RTF 1'!$M78,IF(AND(OR('Input &amp; Findings'!$G$39="N-Bound",'Input &amp; Findings'!$G$40="N-Bound"),'RTF 2'!$D$8="N-Bound"),'RTF 2'!$M78,'Data 15'!P169)),0)</f>
        <v>318</v>
      </c>
      <c r="Q69" s="51">
        <f>'Data 15'!Q169</f>
        <v>1004</v>
      </c>
      <c r="R69" s="51">
        <f>'Data 15'!R169</f>
        <v>0</v>
      </c>
      <c r="S69" s="51">
        <f>'Data 15'!S169</f>
        <v>0</v>
      </c>
      <c r="T69" s="51">
        <f>'Data 15'!T169</f>
        <v>0</v>
      </c>
      <c r="U69" s="51">
        <f t="shared" ref="U69:U99" si="6">SUM(P69:S69)</f>
        <v>1322</v>
      </c>
      <c r="V69" s="58">
        <f>'Data 15'!V169</f>
        <v>0.67708333333333304</v>
      </c>
      <c r="W69" s="51">
        <f>ROUNDUP(IF(AND(OR('Input &amp; Findings'!$G$39="E-Bound",'Input &amp; Findings'!$G$40="E-Bound"),'RTF 1'!$D$8="E-Bound"),'RTF 1'!$M78,IF(AND(OR('Input &amp; Findings'!$G$39="E-Bound",'Input &amp; Findings'!$G$40="E-Bound"),'RTF 2'!$D$8="E-Bound"),'RTF 2'!$M78,'Data 15'!W169)),0)</f>
        <v>98</v>
      </c>
      <c r="X69" s="51">
        <f>'Data 15'!X169</f>
        <v>0</v>
      </c>
      <c r="Y69" s="51">
        <f>'Data 15'!Y169</f>
        <v>78</v>
      </c>
      <c r="Z69" s="51">
        <f>'Data 15'!Z169</f>
        <v>0</v>
      </c>
      <c r="AA69" s="51">
        <f>'Data 15'!AA169</f>
        <v>0</v>
      </c>
      <c r="AB69" s="51">
        <f t="shared" ref="AB69:AB99" si="7">SUM(W69:Z69)</f>
        <v>176</v>
      </c>
      <c r="AC69" s="58">
        <f>'Data 15'!AC169</f>
        <v>0.67708333333333304</v>
      </c>
      <c r="AE69" s="57"/>
    </row>
    <row r="70" spans="1:31" x14ac:dyDescent="0.25">
      <c r="A70" s="58">
        <f>'Data 15'!A170</f>
        <v>0.6875</v>
      </c>
      <c r="B70" s="51">
        <f>ROUNDUP(IF(AND(OR('Input &amp; Findings'!$G$39="S-Bound",'Input &amp; Findings'!$G$40="S-Bound"),'RTF 1'!$D$8="S-Bound"),'RTF 1'!$M79,IF(AND(OR('Input &amp; Findings'!$G$39="S-Bound",'Input &amp; Findings'!$G$40="S-Bound"),'RTF 2'!$D$8="S-Bound"),'RTF 2'!$M79,'Data 15'!B170)),0)</f>
        <v>0</v>
      </c>
      <c r="C70" s="51">
        <f>'Data 15'!C170</f>
        <v>739</v>
      </c>
      <c r="D70" s="51">
        <f>'Data 15'!D170</f>
        <v>388</v>
      </c>
      <c r="E70" s="51">
        <f>'Data 15'!E170</f>
        <v>0</v>
      </c>
      <c r="F70" s="51">
        <f>'Data 15'!F170</f>
        <v>0</v>
      </c>
      <c r="G70" s="51">
        <f t="shared" si="4"/>
        <v>1127</v>
      </c>
      <c r="H70" s="58">
        <f>'Data 15'!H170</f>
        <v>0.6875</v>
      </c>
      <c r="I70" s="51">
        <f>ROUNDUP(IF(AND(OR('Input &amp; Findings'!$G$39="W-Bound",'Input &amp; Findings'!$G$40="W-Bound"),'RTF 1'!$D$8="W-Bound"),'RTF 1'!$M79,IF(AND(OR('Input &amp; Findings'!$G$39="W-Bound",'Input &amp; Findings'!$G$40="W-Bound"),'RTF 2'!$D$8="W-Bound"),'RTF 2'!$M79,'Data 15'!I170)),0)</f>
        <v>0</v>
      </c>
      <c r="J70" s="51">
        <f>'Data 15'!J170</f>
        <v>0</v>
      </c>
      <c r="K70" s="51">
        <f>'Data 15'!K170</f>
        <v>0</v>
      </c>
      <c r="L70" s="51">
        <f>'Data 15'!L170</f>
        <v>0</v>
      </c>
      <c r="M70" s="51">
        <f>'Data 15'!M170</f>
        <v>0</v>
      </c>
      <c r="N70" s="51">
        <f t="shared" si="5"/>
        <v>0</v>
      </c>
      <c r="O70" s="58">
        <f>'Data 15'!O170</f>
        <v>0.6875</v>
      </c>
      <c r="P70" s="51">
        <f>ROUNDUP(IF(AND(OR('Input &amp; Findings'!$G$39="N-Bound",'Input &amp; Findings'!$G$40="N-Bound"),'RTF 1'!$D$8="N-Bound"),'RTF 1'!$M79,IF(AND(OR('Input &amp; Findings'!$G$39="N-Bound",'Input &amp; Findings'!$G$40="N-Bound"),'RTF 2'!$D$8="N-Bound"),'RTF 2'!$M79,'Data 15'!P170)),0)</f>
        <v>314</v>
      </c>
      <c r="Q70" s="51">
        <f>'Data 15'!Q170</f>
        <v>993</v>
      </c>
      <c r="R70" s="51">
        <f>'Data 15'!R170</f>
        <v>0</v>
      </c>
      <c r="S70" s="51">
        <f>'Data 15'!S170</f>
        <v>0</v>
      </c>
      <c r="T70" s="51">
        <f>'Data 15'!T170</f>
        <v>0</v>
      </c>
      <c r="U70" s="51">
        <f t="shared" si="6"/>
        <v>1307</v>
      </c>
      <c r="V70" s="58">
        <f>'Data 15'!V170</f>
        <v>0.6875</v>
      </c>
      <c r="W70" s="51">
        <f>ROUNDUP(IF(AND(OR('Input &amp; Findings'!$G$39="E-Bound",'Input &amp; Findings'!$G$40="E-Bound"),'RTF 1'!$D$8="E-Bound"),'RTF 1'!$M79,IF(AND(OR('Input &amp; Findings'!$G$39="E-Bound",'Input &amp; Findings'!$G$40="E-Bound"),'RTF 2'!$D$8="E-Bound"),'RTF 2'!$M79,'Data 15'!W170)),0)</f>
        <v>91</v>
      </c>
      <c r="X70" s="51">
        <f>'Data 15'!X170</f>
        <v>0</v>
      </c>
      <c r="Y70" s="51">
        <f>'Data 15'!Y170</f>
        <v>80</v>
      </c>
      <c r="Z70" s="51">
        <f>'Data 15'!Z170</f>
        <v>0</v>
      </c>
      <c r="AA70" s="51">
        <f>'Data 15'!AA170</f>
        <v>0</v>
      </c>
      <c r="AB70" s="51">
        <f t="shared" si="7"/>
        <v>171</v>
      </c>
      <c r="AC70" s="58">
        <f>'Data 15'!AC170</f>
        <v>0.6875</v>
      </c>
      <c r="AE70" s="57"/>
    </row>
    <row r="71" spans="1:31" x14ac:dyDescent="0.25">
      <c r="A71" s="58">
        <f>'Data 15'!A171</f>
        <v>0.69791666666666696</v>
      </c>
      <c r="B71" s="51">
        <f>ROUNDUP(IF(AND(OR('Input &amp; Findings'!$G$39="S-Bound",'Input &amp; Findings'!$G$40="S-Bound"),'RTF 1'!$D$8="S-Bound"),'RTF 1'!$M80,IF(AND(OR('Input &amp; Findings'!$G$39="S-Bound",'Input &amp; Findings'!$G$40="S-Bound"),'RTF 2'!$D$8="S-Bound"),'RTF 2'!$M80,'Data 15'!B171)),0)</f>
        <v>0</v>
      </c>
      <c r="C71" s="51">
        <f>'Data 15'!C171</f>
        <v>730</v>
      </c>
      <c r="D71" s="51">
        <f>'Data 15'!D171</f>
        <v>386</v>
      </c>
      <c r="E71" s="51">
        <f>'Data 15'!E171</f>
        <v>0</v>
      </c>
      <c r="F71" s="51">
        <f>'Data 15'!F171</f>
        <v>0</v>
      </c>
      <c r="G71" s="51">
        <f t="shared" si="4"/>
        <v>1116</v>
      </c>
      <c r="H71" s="58">
        <f>'Data 15'!H171</f>
        <v>0.69791666666666696</v>
      </c>
      <c r="I71" s="51">
        <f>ROUNDUP(IF(AND(OR('Input &amp; Findings'!$G$39="W-Bound",'Input &amp; Findings'!$G$40="W-Bound"),'RTF 1'!$D$8="W-Bound"),'RTF 1'!$M80,IF(AND(OR('Input &amp; Findings'!$G$39="W-Bound",'Input &amp; Findings'!$G$40="W-Bound"),'RTF 2'!$D$8="W-Bound"),'RTF 2'!$M80,'Data 15'!I171)),0)</f>
        <v>0</v>
      </c>
      <c r="J71" s="51">
        <f>'Data 15'!J171</f>
        <v>0</v>
      </c>
      <c r="K71" s="51">
        <f>'Data 15'!K171</f>
        <v>0</v>
      </c>
      <c r="L71" s="51">
        <f>'Data 15'!L171</f>
        <v>0</v>
      </c>
      <c r="M71" s="51">
        <f>'Data 15'!M171</f>
        <v>0</v>
      </c>
      <c r="N71" s="51">
        <f t="shared" si="5"/>
        <v>0</v>
      </c>
      <c r="O71" s="58">
        <f>'Data 15'!O171</f>
        <v>0.69791666666666696</v>
      </c>
      <c r="P71" s="51">
        <f>ROUNDUP(IF(AND(OR('Input &amp; Findings'!$G$39="N-Bound",'Input &amp; Findings'!$G$40="N-Bound"),'RTF 1'!$D$8="N-Bound"),'RTF 1'!$M80,IF(AND(OR('Input &amp; Findings'!$G$39="N-Bound",'Input &amp; Findings'!$G$40="N-Bound"),'RTF 2'!$D$8="N-Bound"),'RTF 2'!$M80,'Data 15'!P171)),0)</f>
        <v>327</v>
      </c>
      <c r="Q71" s="51">
        <f>'Data 15'!Q171</f>
        <v>997</v>
      </c>
      <c r="R71" s="51">
        <f>'Data 15'!R171</f>
        <v>0</v>
      </c>
      <c r="S71" s="51">
        <f>'Data 15'!S171</f>
        <v>0</v>
      </c>
      <c r="T71" s="51">
        <f>'Data 15'!T171</f>
        <v>0</v>
      </c>
      <c r="U71" s="51">
        <f t="shared" si="6"/>
        <v>1324</v>
      </c>
      <c r="V71" s="58">
        <f>'Data 15'!V171</f>
        <v>0.69791666666666696</v>
      </c>
      <c r="W71" s="51">
        <f>ROUNDUP(IF(AND(OR('Input &amp; Findings'!$G$39="E-Bound",'Input &amp; Findings'!$G$40="E-Bound"),'RTF 1'!$D$8="E-Bound"),'RTF 1'!$M80,IF(AND(OR('Input &amp; Findings'!$G$39="E-Bound",'Input &amp; Findings'!$G$40="E-Bound"),'RTF 2'!$D$8="E-Bound"),'RTF 2'!$M80,'Data 15'!W171)),0)</f>
        <v>89</v>
      </c>
      <c r="X71" s="51">
        <f>'Data 15'!X171</f>
        <v>1</v>
      </c>
      <c r="Y71" s="51">
        <f>'Data 15'!Y171</f>
        <v>77</v>
      </c>
      <c r="Z71" s="51">
        <f>'Data 15'!Z171</f>
        <v>0</v>
      </c>
      <c r="AA71" s="51">
        <f>'Data 15'!AA171</f>
        <v>0</v>
      </c>
      <c r="AB71" s="51">
        <f t="shared" si="7"/>
        <v>167</v>
      </c>
      <c r="AC71" s="58">
        <f>'Data 15'!AC171</f>
        <v>0.69791666666666696</v>
      </c>
      <c r="AE71" s="57"/>
    </row>
    <row r="72" spans="1:31" x14ac:dyDescent="0.25">
      <c r="A72" s="58">
        <f>'Data 15'!A172</f>
        <v>0.70833333333333304</v>
      </c>
      <c r="B72" s="51">
        <f>ROUNDUP(IF(AND(OR('Input &amp; Findings'!$G$39="S-Bound",'Input &amp; Findings'!$G$40="S-Bound"),'RTF 1'!$D$8="S-Bound"),'RTF 1'!$M81,IF(AND(OR('Input &amp; Findings'!$G$39="S-Bound",'Input &amp; Findings'!$G$40="S-Bound"),'RTF 2'!$D$8="S-Bound"),'RTF 2'!$M81,'Data 15'!B172)),0)</f>
        <v>0</v>
      </c>
      <c r="C72" s="51">
        <f>'Data 15'!C172</f>
        <v>751</v>
      </c>
      <c r="D72" s="51">
        <f>'Data 15'!D172</f>
        <v>390</v>
      </c>
      <c r="E72" s="51">
        <f>'Data 15'!E172</f>
        <v>0</v>
      </c>
      <c r="F72" s="51">
        <f>'Data 15'!F172</f>
        <v>0</v>
      </c>
      <c r="G72" s="51">
        <f t="shared" si="4"/>
        <v>1141</v>
      </c>
      <c r="H72" s="58">
        <f>'Data 15'!H172</f>
        <v>0.70833333333333304</v>
      </c>
      <c r="I72" s="51">
        <f>ROUNDUP(IF(AND(OR('Input &amp; Findings'!$G$39="W-Bound",'Input &amp; Findings'!$G$40="W-Bound"),'RTF 1'!$D$8="W-Bound"),'RTF 1'!$M81,IF(AND(OR('Input &amp; Findings'!$G$39="W-Bound",'Input &amp; Findings'!$G$40="W-Bound"),'RTF 2'!$D$8="W-Bound"),'RTF 2'!$M81,'Data 15'!I172)),0)</f>
        <v>0</v>
      </c>
      <c r="J72" s="51">
        <f>'Data 15'!J172</f>
        <v>0</v>
      </c>
      <c r="K72" s="51">
        <f>'Data 15'!K172</f>
        <v>0</v>
      </c>
      <c r="L72" s="51">
        <f>'Data 15'!L172</f>
        <v>0</v>
      </c>
      <c r="M72" s="51">
        <f>'Data 15'!M172</f>
        <v>0</v>
      </c>
      <c r="N72" s="51">
        <f t="shared" si="5"/>
        <v>0</v>
      </c>
      <c r="O72" s="58">
        <f>'Data 15'!O172</f>
        <v>0.70833333333333304</v>
      </c>
      <c r="P72" s="51">
        <f>ROUNDUP(IF(AND(OR('Input &amp; Findings'!$G$39="N-Bound",'Input &amp; Findings'!$G$40="N-Bound"),'RTF 1'!$D$8="N-Bound"),'RTF 1'!$M81,IF(AND(OR('Input &amp; Findings'!$G$39="N-Bound",'Input &amp; Findings'!$G$40="N-Bound"),'RTF 2'!$D$8="N-Bound"),'RTF 2'!$M81,'Data 15'!P172)),0)</f>
        <v>321</v>
      </c>
      <c r="Q72" s="51">
        <f>'Data 15'!Q172</f>
        <v>996</v>
      </c>
      <c r="R72" s="51">
        <f>'Data 15'!R172</f>
        <v>0</v>
      </c>
      <c r="S72" s="51">
        <f>'Data 15'!S172</f>
        <v>0</v>
      </c>
      <c r="T72" s="51">
        <f>'Data 15'!T172</f>
        <v>0</v>
      </c>
      <c r="U72" s="51">
        <f t="shared" si="6"/>
        <v>1317</v>
      </c>
      <c r="V72" s="58">
        <f>'Data 15'!V172</f>
        <v>0.70833333333333304</v>
      </c>
      <c r="W72" s="51">
        <f>ROUNDUP(IF(AND(OR('Input &amp; Findings'!$G$39="E-Bound",'Input &amp; Findings'!$G$40="E-Bound"),'RTF 1'!$D$8="E-Bound"),'RTF 1'!$M81,IF(AND(OR('Input &amp; Findings'!$G$39="E-Bound",'Input &amp; Findings'!$G$40="E-Bound"),'RTF 2'!$D$8="E-Bound"),'RTF 2'!$M81,'Data 15'!W172)),0)</f>
        <v>84</v>
      </c>
      <c r="X72" s="51">
        <f>'Data 15'!X172</f>
        <v>1</v>
      </c>
      <c r="Y72" s="51">
        <f>'Data 15'!Y172</f>
        <v>68</v>
      </c>
      <c r="Z72" s="51">
        <f>'Data 15'!Z172</f>
        <v>0</v>
      </c>
      <c r="AA72" s="51">
        <f>'Data 15'!AA172</f>
        <v>0</v>
      </c>
      <c r="AB72" s="51">
        <f t="shared" si="7"/>
        <v>153</v>
      </c>
      <c r="AC72" s="58">
        <f>'Data 15'!AC172</f>
        <v>0.70833333333333304</v>
      </c>
      <c r="AE72" s="57"/>
    </row>
    <row r="73" spans="1:31" x14ac:dyDescent="0.25">
      <c r="A73" s="58">
        <f>'Data 15'!A173</f>
        <v>0.71875</v>
      </c>
      <c r="B73" s="51">
        <f>ROUNDUP(IF(AND(OR('Input &amp; Findings'!$G$39="S-Bound",'Input &amp; Findings'!$G$40="S-Bound"),'RTF 1'!$D$8="S-Bound"),'RTF 1'!$M82,IF(AND(OR('Input &amp; Findings'!$G$39="S-Bound",'Input &amp; Findings'!$G$40="S-Bound"),'RTF 2'!$D$8="S-Bound"),'RTF 2'!$M82,'Data 15'!B173)),0)</f>
        <v>0</v>
      </c>
      <c r="C73" s="51">
        <f>'Data 15'!C173</f>
        <v>681</v>
      </c>
      <c r="D73" s="51">
        <f>'Data 15'!D173</f>
        <v>375</v>
      </c>
      <c r="E73" s="51">
        <f>'Data 15'!E173</f>
        <v>0</v>
      </c>
      <c r="F73" s="51">
        <f>'Data 15'!F173</f>
        <v>0</v>
      </c>
      <c r="G73" s="51">
        <f t="shared" si="4"/>
        <v>1056</v>
      </c>
      <c r="H73" s="58">
        <f>'Data 15'!H173</f>
        <v>0.71875</v>
      </c>
      <c r="I73" s="51">
        <f>ROUNDUP(IF(AND(OR('Input &amp; Findings'!$G$39="W-Bound",'Input &amp; Findings'!$G$40="W-Bound"),'RTF 1'!$D$8="W-Bound"),'RTF 1'!$M82,IF(AND(OR('Input &amp; Findings'!$G$39="W-Bound",'Input &amp; Findings'!$G$40="W-Bound"),'RTF 2'!$D$8="W-Bound"),'RTF 2'!$M82,'Data 15'!I173)),0)</f>
        <v>0</v>
      </c>
      <c r="J73" s="51">
        <f>'Data 15'!J173</f>
        <v>0</v>
      </c>
      <c r="K73" s="51">
        <f>'Data 15'!K173</f>
        <v>0</v>
      </c>
      <c r="L73" s="51">
        <f>'Data 15'!L173</f>
        <v>0</v>
      </c>
      <c r="M73" s="51">
        <f>'Data 15'!M173</f>
        <v>0</v>
      </c>
      <c r="N73" s="51">
        <f t="shared" si="5"/>
        <v>0</v>
      </c>
      <c r="O73" s="58">
        <f>'Data 15'!O173</f>
        <v>0.71875</v>
      </c>
      <c r="P73" s="51">
        <f>ROUNDUP(IF(AND(OR('Input &amp; Findings'!$G$39="N-Bound",'Input &amp; Findings'!$G$40="N-Bound"),'RTF 1'!$D$8="N-Bound"),'RTF 1'!$M82,IF(AND(OR('Input &amp; Findings'!$G$39="N-Bound",'Input &amp; Findings'!$G$40="N-Bound"),'RTF 2'!$D$8="N-Bound"),'RTF 2'!$M82,'Data 15'!P173)),0)</f>
        <v>314</v>
      </c>
      <c r="Q73" s="51">
        <f>'Data 15'!Q173</f>
        <v>962</v>
      </c>
      <c r="R73" s="51">
        <f>'Data 15'!R173</f>
        <v>0</v>
      </c>
      <c r="S73" s="51">
        <f>'Data 15'!S173</f>
        <v>0</v>
      </c>
      <c r="T73" s="51">
        <f>'Data 15'!T173</f>
        <v>0</v>
      </c>
      <c r="U73" s="51">
        <f t="shared" si="6"/>
        <v>1276</v>
      </c>
      <c r="V73" s="58">
        <f>'Data 15'!V173</f>
        <v>0.71875</v>
      </c>
      <c r="W73" s="51">
        <f>ROUNDUP(IF(AND(OR('Input &amp; Findings'!$G$39="E-Bound",'Input &amp; Findings'!$G$40="E-Bound"),'RTF 1'!$D$8="E-Bound"),'RTF 1'!$M82,IF(AND(OR('Input &amp; Findings'!$G$39="E-Bound",'Input &amp; Findings'!$G$40="E-Bound"),'RTF 2'!$D$8="E-Bound"),'RTF 2'!$M82,'Data 15'!W173)),0)</f>
        <v>83</v>
      </c>
      <c r="X73" s="51">
        <f>'Data 15'!X173</f>
        <v>1</v>
      </c>
      <c r="Y73" s="51">
        <f>'Data 15'!Y173</f>
        <v>74</v>
      </c>
      <c r="Z73" s="51">
        <f>'Data 15'!Z173</f>
        <v>0</v>
      </c>
      <c r="AA73" s="51">
        <f>'Data 15'!AA173</f>
        <v>0</v>
      </c>
      <c r="AB73" s="51">
        <f t="shared" si="7"/>
        <v>158</v>
      </c>
      <c r="AC73" s="58">
        <f>'Data 15'!AC173</f>
        <v>0.71875</v>
      </c>
      <c r="AE73" s="57"/>
    </row>
    <row r="74" spans="1:31" x14ac:dyDescent="0.25">
      <c r="A74" s="58">
        <f>'Data 15'!A174</f>
        <v>0.72916666666666696</v>
      </c>
      <c r="B74" s="51">
        <f>ROUNDUP(IF(AND(OR('Input &amp; Findings'!$G$39="S-Bound",'Input &amp; Findings'!$G$40="S-Bound"),'RTF 1'!$D$8="S-Bound"),'RTF 1'!$M83,IF(AND(OR('Input &amp; Findings'!$G$39="S-Bound",'Input &amp; Findings'!$G$40="S-Bound"),'RTF 2'!$D$8="S-Bound"),'RTF 2'!$M83,'Data 15'!B174)),0)</f>
        <v>0</v>
      </c>
      <c r="C74" s="51">
        <f>'Data 15'!C174</f>
        <v>593</v>
      </c>
      <c r="D74" s="51">
        <f>'Data 15'!D174</f>
        <v>371</v>
      </c>
      <c r="E74" s="51">
        <f>'Data 15'!E174</f>
        <v>0</v>
      </c>
      <c r="F74" s="51">
        <f>'Data 15'!F174</f>
        <v>0</v>
      </c>
      <c r="G74" s="51">
        <f t="shared" si="4"/>
        <v>964</v>
      </c>
      <c r="H74" s="58">
        <f>'Data 15'!H174</f>
        <v>0.72916666666666696</v>
      </c>
      <c r="I74" s="51">
        <f>ROUNDUP(IF(AND(OR('Input &amp; Findings'!$G$39="W-Bound",'Input &amp; Findings'!$G$40="W-Bound"),'RTF 1'!$D$8="W-Bound"),'RTF 1'!$M83,IF(AND(OR('Input &amp; Findings'!$G$39="W-Bound",'Input &amp; Findings'!$G$40="W-Bound"),'RTF 2'!$D$8="W-Bound"),'RTF 2'!$M83,'Data 15'!I174)),0)</f>
        <v>0</v>
      </c>
      <c r="J74" s="51">
        <f>'Data 15'!J174</f>
        <v>0</v>
      </c>
      <c r="K74" s="51">
        <f>'Data 15'!K174</f>
        <v>0</v>
      </c>
      <c r="L74" s="51">
        <f>'Data 15'!L174</f>
        <v>0</v>
      </c>
      <c r="M74" s="51">
        <f>'Data 15'!M174</f>
        <v>0</v>
      </c>
      <c r="N74" s="51">
        <f t="shared" si="5"/>
        <v>0</v>
      </c>
      <c r="O74" s="58">
        <f>'Data 15'!O174</f>
        <v>0.72916666666666696</v>
      </c>
      <c r="P74" s="51">
        <f>ROUNDUP(IF(AND(OR('Input &amp; Findings'!$G$39="N-Bound",'Input &amp; Findings'!$G$40="N-Bound"),'RTF 1'!$D$8="N-Bound"),'RTF 1'!$M83,IF(AND(OR('Input &amp; Findings'!$G$39="N-Bound",'Input &amp; Findings'!$G$40="N-Bound"),'RTF 2'!$D$8="N-Bound"),'RTF 2'!$M83,'Data 15'!P174)),0)</f>
        <v>298</v>
      </c>
      <c r="Q74" s="51">
        <f>'Data 15'!Q174</f>
        <v>900</v>
      </c>
      <c r="R74" s="51">
        <f>'Data 15'!R174</f>
        <v>0</v>
      </c>
      <c r="S74" s="51">
        <f>'Data 15'!S174</f>
        <v>0</v>
      </c>
      <c r="T74" s="51">
        <f>'Data 15'!T174</f>
        <v>0</v>
      </c>
      <c r="U74" s="51">
        <f t="shared" si="6"/>
        <v>1198</v>
      </c>
      <c r="V74" s="58">
        <f>'Data 15'!V174</f>
        <v>0.72916666666666696</v>
      </c>
      <c r="W74" s="51">
        <f>ROUNDUP(IF(AND(OR('Input &amp; Findings'!$G$39="E-Bound",'Input &amp; Findings'!$G$40="E-Bound"),'RTF 1'!$D$8="E-Bound"),'RTF 1'!$M83,IF(AND(OR('Input &amp; Findings'!$G$39="E-Bound",'Input &amp; Findings'!$G$40="E-Bound"),'RTF 2'!$D$8="E-Bound"),'RTF 2'!$M83,'Data 15'!W174)),0)</f>
        <v>75</v>
      </c>
      <c r="X74" s="51">
        <f>'Data 15'!X174</f>
        <v>1</v>
      </c>
      <c r="Y74" s="51">
        <f>'Data 15'!Y174</f>
        <v>69</v>
      </c>
      <c r="Z74" s="51">
        <f>'Data 15'!Z174</f>
        <v>0</v>
      </c>
      <c r="AA74" s="51">
        <f>'Data 15'!AA174</f>
        <v>0</v>
      </c>
      <c r="AB74" s="51">
        <f t="shared" si="7"/>
        <v>145</v>
      </c>
      <c r="AC74" s="58">
        <f>'Data 15'!AC174</f>
        <v>0.72916666666666696</v>
      </c>
      <c r="AE74" s="57"/>
    </row>
    <row r="75" spans="1:31" x14ac:dyDescent="0.25">
      <c r="A75" s="58">
        <f>'Data 15'!A175</f>
        <v>0.73958333333333304</v>
      </c>
      <c r="B75" s="51">
        <f>ROUNDUP(IF(AND(OR('Input &amp; Findings'!$G$39="S-Bound",'Input &amp; Findings'!$G$40="S-Bound"),'RTF 1'!$D$8="S-Bound"),'RTF 1'!$M84,IF(AND(OR('Input &amp; Findings'!$G$39="S-Bound",'Input &amp; Findings'!$G$40="S-Bound"),'RTF 2'!$D$8="S-Bound"),'RTF 2'!$M84,'Data 15'!B175)),0)</f>
        <v>0</v>
      </c>
      <c r="C75" s="51">
        <f>'Data 15'!C175</f>
        <v>530</v>
      </c>
      <c r="D75" s="51">
        <f>'Data 15'!D175</f>
        <v>349</v>
      </c>
      <c r="E75" s="51">
        <f>'Data 15'!E175</f>
        <v>0</v>
      </c>
      <c r="F75" s="51">
        <f>'Data 15'!F175</f>
        <v>0</v>
      </c>
      <c r="G75" s="51">
        <f t="shared" si="4"/>
        <v>879</v>
      </c>
      <c r="H75" s="58">
        <f>'Data 15'!H175</f>
        <v>0.73958333333333304</v>
      </c>
      <c r="I75" s="51">
        <f>ROUNDUP(IF(AND(OR('Input &amp; Findings'!$G$39="W-Bound",'Input &amp; Findings'!$G$40="W-Bound"),'RTF 1'!$D$8="W-Bound"),'RTF 1'!$M84,IF(AND(OR('Input &amp; Findings'!$G$39="W-Bound",'Input &amp; Findings'!$G$40="W-Bound"),'RTF 2'!$D$8="W-Bound"),'RTF 2'!$M84,'Data 15'!I175)),0)</f>
        <v>0</v>
      </c>
      <c r="J75" s="51">
        <f>'Data 15'!J175</f>
        <v>0</v>
      </c>
      <c r="K75" s="51">
        <f>'Data 15'!K175</f>
        <v>0</v>
      </c>
      <c r="L75" s="51">
        <f>'Data 15'!L175</f>
        <v>0</v>
      </c>
      <c r="M75" s="51">
        <f>'Data 15'!M175</f>
        <v>0</v>
      </c>
      <c r="N75" s="51">
        <f t="shared" si="5"/>
        <v>0</v>
      </c>
      <c r="O75" s="58">
        <f>'Data 15'!O175</f>
        <v>0.73958333333333304</v>
      </c>
      <c r="P75" s="51">
        <f>ROUNDUP(IF(AND(OR('Input &amp; Findings'!$G$39="N-Bound",'Input &amp; Findings'!$G$40="N-Bound"),'RTF 1'!$D$8="N-Bound"),'RTF 1'!$M84,IF(AND(OR('Input &amp; Findings'!$G$39="N-Bound",'Input &amp; Findings'!$G$40="N-Bound"),'RTF 2'!$D$8="N-Bound"),'RTF 2'!$M84,'Data 15'!P175)),0)</f>
        <v>273</v>
      </c>
      <c r="Q75" s="51">
        <f>'Data 15'!Q175</f>
        <v>822</v>
      </c>
      <c r="R75" s="51">
        <f>'Data 15'!R175</f>
        <v>0</v>
      </c>
      <c r="S75" s="51">
        <f>'Data 15'!S175</f>
        <v>0</v>
      </c>
      <c r="T75" s="51">
        <f>'Data 15'!T175</f>
        <v>0</v>
      </c>
      <c r="U75" s="51">
        <f t="shared" si="6"/>
        <v>1095</v>
      </c>
      <c r="V75" s="58">
        <f>'Data 15'!V175</f>
        <v>0.73958333333333304</v>
      </c>
      <c r="W75" s="51">
        <f>ROUNDUP(IF(AND(OR('Input &amp; Findings'!$G$39="E-Bound",'Input &amp; Findings'!$G$40="E-Bound"),'RTF 1'!$D$8="E-Bound"),'RTF 1'!$M84,IF(AND(OR('Input &amp; Findings'!$G$39="E-Bound",'Input &amp; Findings'!$G$40="E-Bound"),'RTF 2'!$D$8="E-Bound"),'RTF 2'!$M84,'Data 15'!W175)),0)</f>
        <v>70</v>
      </c>
      <c r="X75" s="51">
        <f>'Data 15'!X175</f>
        <v>0</v>
      </c>
      <c r="Y75" s="51">
        <f>'Data 15'!Y175</f>
        <v>62</v>
      </c>
      <c r="Z75" s="51">
        <f>'Data 15'!Z175</f>
        <v>0</v>
      </c>
      <c r="AA75" s="51">
        <f>'Data 15'!AA175</f>
        <v>0</v>
      </c>
      <c r="AB75" s="51">
        <f t="shared" si="7"/>
        <v>132</v>
      </c>
      <c r="AC75" s="58">
        <f>'Data 15'!AC175</f>
        <v>0.73958333333333304</v>
      </c>
      <c r="AE75" s="57"/>
    </row>
    <row r="76" spans="1:31" x14ac:dyDescent="0.25">
      <c r="A76" s="58">
        <f>'Data 15'!A176</f>
        <v>0.75</v>
      </c>
      <c r="B76" s="51">
        <f>ROUNDUP(IF(AND(OR('Input &amp; Findings'!$G$39="S-Bound",'Input &amp; Findings'!$G$40="S-Bound"),'RTF 1'!$D$8="S-Bound"),'RTF 1'!$M85,IF(AND(OR('Input &amp; Findings'!$G$39="S-Bound",'Input &amp; Findings'!$G$40="S-Bound"),'RTF 2'!$D$8="S-Bound"),'RTF 2'!$M85,'Data 15'!B176)),0)</f>
        <v>0</v>
      </c>
      <c r="C76" s="51">
        <f>'Data 15'!C176</f>
        <v>511</v>
      </c>
      <c r="D76" s="51">
        <f>'Data 15'!D176</f>
        <v>321</v>
      </c>
      <c r="E76" s="51">
        <f>'Data 15'!E176</f>
        <v>0</v>
      </c>
      <c r="F76" s="51">
        <f>'Data 15'!F176</f>
        <v>0</v>
      </c>
      <c r="G76" s="51">
        <f t="shared" si="4"/>
        <v>832</v>
      </c>
      <c r="H76" s="58">
        <f>'Data 15'!H176</f>
        <v>0.75</v>
      </c>
      <c r="I76" s="51">
        <f>ROUNDUP(IF(AND(OR('Input &amp; Findings'!$G$39="W-Bound",'Input &amp; Findings'!$G$40="W-Bound"),'RTF 1'!$D$8="W-Bound"),'RTF 1'!$M85,IF(AND(OR('Input &amp; Findings'!$G$39="W-Bound",'Input &amp; Findings'!$G$40="W-Bound"),'RTF 2'!$D$8="W-Bound"),'RTF 2'!$M85,'Data 15'!I176)),0)</f>
        <v>0</v>
      </c>
      <c r="J76" s="51">
        <f>'Data 15'!J176</f>
        <v>0</v>
      </c>
      <c r="K76" s="51">
        <f>'Data 15'!K176</f>
        <v>0</v>
      </c>
      <c r="L76" s="51">
        <f>'Data 15'!L176</f>
        <v>0</v>
      </c>
      <c r="M76" s="51">
        <f>'Data 15'!M176</f>
        <v>0</v>
      </c>
      <c r="N76" s="51">
        <f t="shared" si="5"/>
        <v>0</v>
      </c>
      <c r="O76" s="58">
        <f>'Data 15'!O176</f>
        <v>0.75</v>
      </c>
      <c r="P76" s="51">
        <f>ROUNDUP(IF(AND(OR('Input &amp; Findings'!$G$39="N-Bound",'Input &amp; Findings'!$G$40="N-Bound"),'RTF 1'!$D$8="N-Bound"),'RTF 1'!$M85,IF(AND(OR('Input &amp; Findings'!$G$39="N-Bound",'Input &amp; Findings'!$G$40="N-Bound"),'RTF 2'!$D$8="N-Bound"),'RTF 2'!$M85,'Data 15'!P176)),0)</f>
        <v>241</v>
      </c>
      <c r="Q76" s="51">
        <f>'Data 15'!Q176</f>
        <v>739</v>
      </c>
      <c r="R76" s="51">
        <f>'Data 15'!R176</f>
        <v>0</v>
      </c>
      <c r="S76" s="51">
        <f>'Data 15'!S176</f>
        <v>0</v>
      </c>
      <c r="T76" s="51">
        <f>'Data 15'!T176</f>
        <v>0</v>
      </c>
      <c r="U76" s="51">
        <f t="shared" si="6"/>
        <v>980</v>
      </c>
      <c r="V76" s="58">
        <f>'Data 15'!V176</f>
        <v>0.75</v>
      </c>
      <c r="W76" s="51">
        <f>ROUNDUP(IF(AND(OR('Input &amp; Findings'!$G$39="E-Bound",'Input &amp; Findings'!$G$40="E-Bound"),'RTF 1'!$D$8="E-Bound"),'RTF 1'!$M85,IF(AND(OR('Input &amp; Findings'!$G$39="E-Bound",'Input &amp; Findings'!$G$40="E-Bound"),'RTF 2'!$D$8="E-Bound"),'RTF 2'!$M85,'Data 15'!W176)),0)</f>
        <v>56</v>
      </c>
      <c r="X76" s="51">
        <f>'Data 15'!X176</f>
        <v>0</v>
      </c>
      <c r="Y76" s="51">
        <f>'Data 15'!Y176</f>
        <v>55</v>
      </c>
      <c r="Z76" s="51">
        <f>'Data 15'!Z176</f>
        <v>0</v>
      </c>
      <c r="AA76" s="51">
        <f>'Data 15'!AA176</f>
        <v>0</v>
      </c>
      <c r="AB76" s="51">
        <f t="shared" si="7"/>
        <v>111</v>
      </c>
      <c r="AC76" s="58">
        <f>'Data 15'!AC176</f>
        <v>0.75</v>
      </c>
      <c r="AE76" s="57"/>
    </row>
    <row r="77" spans="1:31" x14ac:dyDescent="0.25">
      <c r="A77" s="58">
        <f>'Data 15'!A177</f>
        <v>0.76041666666666696</v>
      </c>
      <c r="B77" s="51">
        <f>ROUNDUP(IF(AND(OR('Input &amp; Findings'!$G$39="S-Bound",'Input &amp; Findings'!$G$40="S-Bound"),'RTF 1'!$D$8="S-Bound"),'RTF 1'!$M86,IF(AND(OR('Input &amp; Findings'!$G$39="S-Bound",'Input &amp; Findings'!$G$40="S-Bound"),'RTF 2'!$D$8="S-Bound"),'RTF 2'!$M86,'Data 15'!B177)),0)</f>
        <v>0</v>
      </c>
      <c r="C77" s="51">
        <f>'Data 15'!C177</f>
        <v>385</v>
      </c>
      <c r="D77" s="51">
        <f>'Data 15'!D177</f>
        <v>235</v>
      </c>
      <c r="E77" s="51">
        <f>'Data 15'!E177</f>
        <v>0</v>
      </c>
      <c r="F77" s="51">
        <f>'Data 15'!F177</f>
        <v>0</v>
      </c>
      <c r="G77" s="51">
        <f t="shared" si="4"/>
        <v>620</v>
      </c>
      <c r="H77" s="58">
        <f>'Data 15'!H177</f>
        <v>0.76041666666666696</v>
      </c>
      <c r="I77" s="51">
        <f>ROUNDUP(IF(AND(OR('Input &amp; Findings'!$G$39="W-Bound",'Input &amp; Findings'!$G$40="W-Bound"),'RTF 1'!$D$8="W-Bound"),'RTF 1'!$M86,IF(AND(OR('Input &amp; Findings'!$G$39="W-Bound",'Input &amp; Findings'!$G$40="W-Bound"),'RTF 2'!$D$8="W-Bound"),'RTF 2'!$M86,'Data 15'!I177)),0)</f>
        <v>0</v>
      </c>
      <c r="J77" s="51">
        <f>'Data 15'!J177</f>
        <v>0</v>
      </c>
      <c r="K77" s="51">
        <f>'Data 15'!K177</f>
        <v>0</v>
      </c>
      <c r="L77" s="51">
        <f>'Data 15'!L177</f>
        <v>0</v>
      </c>
      <c r="M77" s="51">
        <f>'Data 15'!M177</f>
        <v>0</v>
      </c>
      <c r="N77" s="51">
        <f t="shared" si="5"/>
        <v>0</v>
      </c>
      <c r="O77" s="58">
        <f>'Data 15'!O177</f>
        <v>0.76041666666666696</v>
      </c>
      <c r="P77" s="51">
        <f>ROUNDUP(IF(AND(OR('Input &amp; Findings'!$G$39="N-Bound",'Input &amp; Findings'!$G$40="N-Bound"),'RTF 1'!$D$8="N-Bound"),'RTF 1'!$M86,IF(AND(OR('Input &amp; Findings'!$G$39="N-Bound",'Input &amp; Findings'!$G$40="N-Bound"),'RTF 2'!$D$8="N-Bound"),'RTF 2'!$M86,'Data 15'!P177)),0)</f>
        <v>168</v>
      </c>
      <c r="Q77" s="51">
        <f>'Data 15'!Q177</f>
        <v>532</v>
      </c>
      <c r="R77" s="51">
        <f>'Data 15'!R177</f>
        <v>0</v>
      </c>
      <c r="S77" s="51">
        <f>'Data 15'!S177</f>
        <v>0</v>
      </c>
      <c r="T77" s="51">
        <f>'Data 15'!T177</f>
        <v>0</v>
      </c>
      <c r="U77" s="51">
        <f t="shared" si="6"/>
        <v>700</v>
      </c>
      <c r="V77" s="58">
        <f>'Data 15'!V177</f>
        <v>0.76041666666666696</v>
      </c>
      <c r="W77" s="51">
        <f>ROUNDUP(IF(AND(OR('Input &amp; Findings'!$G$39="E-Bound",'Input &amp; Findings'!$G$40="E-Bound"),'RTF 1'!$D$8="E-Bound"),'RTF 1'!$M86,IF(AND(OR('Input &amp; Findings'!$G$39="E-Bound",'Input &amp; Findings'!$G$40="E-Bound"),'RTF 2'!$D$8="E-Bound"),'RTF 2'!$M86,'Data 15'!W177)),0)</f>
        <v>38</v>
      </c>
      <c r="X77" s="51">
        <f>'Data 15'!X177</f>
        <v>0</v>
      </c>
      <c r="Y77" s="51">
        <f>'Data 15'!Y177</f>
        <v>31</v>
      </c>
      <c r="Z77" s="51">
        <f>'Data 15'!Z177</f>
        <v>0</v>
      </c>
      <c r="AA77" s="51">
        <f>'Data 15'!AA177</f>
        <v>0</v>
      </c>
      <c r="AB77" s="51">
        <f t="shared" si="7"/>
        <v>69</v>
      </c>
      <c r="AC77" s="58">
        <f>'Data 15'!AC177</f>
        <v>0.76041666666666696</v>
      </c>
      <c r="AE77" s="57"/>
    </row>
    <row r="78" spans="1:31" x14ac:dyDescent="0.25">
      <c r="A78" s="58">
        <f>'Data 15'!A178</f>
        <v>0.77083333333333304</v>
      </c>
      <c r="B78" s="51">
        <f>ROUNDUP(IF(AND(OR('Input &amp; Findings'!$G$39="S-Bound",'Input &amp; Findings'!$G$40="S-Bound"),'RTF 1'!$D$8="S-Bound"),'RTF 1'!$M87,IF(AND(OR('Input &amp; Findings'!$G$39="S-Bound",'Input &amp; Findings'!$G$40="S-Bound"),'RTF 2'!$D$8="S-Bound"),'RTF 2'!$M87,'Data 15'!B178)),0)</f>
        <v>0</v>
      </c>
      <c r="C78" s="51">
        <f>'Data 15'!C178</f>
        <v>277</v>
      </c>
      <c r="D78" s="51">
        <f>'Data 15'!D178</f>
        <v>144</v>
      </c>
      <c r="E78" s="51">
        <f>'Data 15'!E178</f>
        <v>0</v>
      </c>
      <c r="F78" s="51">
        <f>'Data 15'!F178</f>
        <v>0</v>
      </c>
      <c r="G78" s="51">
        <f t="shared" si="4"/>
        <v>421</v>
      </c>
      <c r="H78" s="58">
        <f>'Data 15'!H178</f>
        <v>0.77083333333333304</v>
      </c>
      <c r="I78" s="51">
        <f>ROUNDUP(IF(AND(OR('Input &amp; Findings'!$G$39="W-Bound",'Input &amp; Findings'!$G$40="W-Bound"),'RTF 1'!$D$8="W-Bound"),'RTF 1'!$M87,IF(AND(OR('Input &amp; Findings'!$G$39="W-Bound",'Input &amp; Findings'!$G$40="W-Bound"),'RTF 2'!$D$8="W-Bound"),'RTF 2'!$M87,'Data 15'!I178)),0)</f>
        <v>0</v>
      </c>
      <c r="J78" s="51">
        <f>'Data 15'!J178</f>
        <v>0</v>
      </c>
      <c r="K78" s="51">
        <f>'Data 15'!K178</f>
        <v>0</v>
      </c>
      <c r="L78" s="51">
        <f>'Data 15'!L178</f>
        <v>0</v>
      </c>
      <c r="M78" s="51">
        <f>'Data 15'!M178</f>
        <v>0</v>
      </c>
      <c r="N78" s="51">
        <f t="shared" si="5"/>
        <v>0</v>
      </c>
      <c r="O78" s="58">
        <f>'Data 15'!O178</f>
        <v>0.77083333333333304</v>
      </c>
      <c r="P78" s="51">
        <f>ROUNDUP(IF(AND(OR('Input &amp; Findings'!$G$39="N-Bound",'Input &amp; Findings'!$G$40="N-Bound"),'RTF 1'!$D$8="N-Bound"),'RTF 1'!$M87,IF(AND(OR('Input &amp; Findings'!$G$39="N-Bound",'Input &amp; Findings'!$G$40="N-Bound"),'RTF 2'!$D$8="N-Bound"),'RTF 2'!$M87,'Data 15'!P178)),0)</f>
        <v>100</v>
      </c>
      <c r="Q78" s="51">
        <f>'Data 15'!Q178</f>
        <v>350</v>
      </c>
      <c r="R78" s="51">
        <f>'Data 15'!R178</f>
        <v>0</v>
      </c>
      <c r="S78" s="51">
        <f>'Data 15'!S178</f>
        <v>0</v>
      </c>
      <c r="T78" s="51">
        <f>'Data 15'!T178</f>
        <v>0</v>
      </c>
      <c r="U78" s="51">
        <f t="shared" si="6"/>
        <v>450</v>
      </c>
      <c r="V78" s="58">
        <f>'Data 15'!V178</f>
        <v>0.77083333333333304</v>
      </c>
      <c r="W78" s="51">
        <f>ROUNDUP(IF(AND(OR('Input &amp; Findings'!$G$39="E-Bound",'Input &amp; Findings'!$G$40="E-Bound"),'RTF 1'!$D$8="E-Bound"),'RTF 1'!$M87,IF(AND(OR('Input &amp; Findings'!$G$39="E-Bound",'Input &amp; Findings'!$G$40="E-Bound"),'RTF 2'!$D$8="E-Bound"),'RTF 2'!$M87,'Data 15'!W178)),0)</f>
        <v>20</v>
      </c>
      <c r="X78" s="51">
        <f>'Data 15'!X178</f>
        <v>0</v>
      </c>
      <c r="Y78" s="51">
        <f>'Data 15'!Y178</f>
        <v>16</v>
      </c>
      <c r="Z78" s="51">
        <f>'Data 15'!Z178</f>
        <v>0</v>
      </c>
      <c r="AA78" s="51">
        <f>'Data 15'!AA178</f>
        <v>0</v>
      </c>
      <c r="AB78" s="51">
        <f t="shared" si="7"/>
        <v>36</v>
      </c>
      <c r="AC78" s="58">
        <f>'Data 15'!AC178</f>
        <v>0.77083333333333304</v>
      </c>
      <c r="AE78" s="57"/>
    </row>
    <row r="79" spans="1:31" x14ac:dyDescent="0.25">
      <c r="A79" s="58">
        <f>'Data 15'!A179</f>
        <v>0.78125</v>
      </c>
      <c r="B79" s="51">
        <f>ROUNDUP(IF(AND(OR('Input &amp; Findings'!$G$39="S-Bound",'Input &amp; Findings'!$G$40="S-Bound"),'RTF 1'!$D$8="S-Bound"),'RTF 1'!$M88,IF(AND(OR('Input &amp; Findings'!$G$39="S-Bound",'Input &amp; Findings'!$G$40="S-Bound"),'RTF 2'!$D$8="S-Bound"),'RTF 2'!$M88,'Data 15'!B179)),0)</f>
        <v>0</v>
      </c>
      <c r="C79" s="51">
        <f>'Data 15'!C179</f>
        <v>151</v>
      </c>
      <c r="D79" s="51">
        <f>'Data 15'!D179</f>
        <v>78</v>
      </c>
      <c r="E79" s="51">
        <f>'Data 15'!E179</f>
        <v>0</v>
      </c>
      <c r="F79" s="51">
        <f>'Data 15'!F179</f>
        <v>0</v>
      </c>
      <c r="G79" s="51">
        <f t="shared" si="4"/>
        <v>229</v>
      </c>
      <c r="H79" s="58">
        <f>'Data 15'!H179</f>
        <v>0.78125</v>
      </c>
      <c r="I79" s="51">
        <f>ROUNDUP(IF(AND(OR('Input &amp; Findings'!$G$39="W-Bound",'Input &amp; Findings'!$G$40="W-Bound"),'RTF 1'!$D$8="W-Bound"),'RTF 1'!$M88,IF(AND(OR('Input &amp; Findings'!$G$39="W-Bound",'Input &amp; Findings'!$G$40="W-Bound"),'RTF 2'!$D$8="W-Bound"),'RTF 2'!$M88,'Data 15'!I179)),0)</f>
        <v>0</v>
      </c>
      <c r="J79" s="51">
        <f>'Data 15'!J179</f>
        <v>0</v>
      </c>
      <c r="K79" s="51">
        <f>'Data 15'!K179</f>
        <v>0</v>
      </c>
      <c r="L79" s="51">
        <f>'Data 15'!L179</f>
        <v>0</v>
      </c>
      <c r="M79" s="51">
        <f>'Data 15'!M179</f>
        <v>0</v>
      </c>
      <c r="N79" s="51">
        <f t="shared" si="5"/>
        <v>0</v>
      </c>
      <c r="O79" s="58">
        <f>'Data 15'!O179</f>
        <v>0.78125</v>
      </c>
      <c r="P79" s="51">
        <f>ROUNDUP(IF(AND(OR('Input &amp; Findings'!$G$39="N-Bound",'Input &amp; Findings'!$G$40="N-Bound"),'RTF 1'!$D$8="N-Bound"),'RTF 1'!$M88,IF(AND(OR('Input &amp; Findings'!$G$39="N-Bound",'Input &amp; Findings'!$G$40="N-Bound"),'RTF 2'!$D$8="N-Bound"),'RTF 2'!$M88,'Data 15'!P179)),0)</f>
        <v>44</v>
      </c>
      <c r="Q79" s="51">
        <f>'Data 15'!Q179</f>
        <v>155</v>
      </c>
      <c r="R79" s="51">
        <f>'Data 15'!R179</f>
        <v>0</v>
      </c>
      <c r="S79" s="51">
        <f>'Data 15'!S179</f>
        <v>0</v>
      </c>
      <c r="T79" s="51">
        <f>'Data 15'!T179</f>
        <v>0</v>
      </c>
      <c r="U79" s="51">
        <f t="shared" si="6"/>
        <v>199</v>
      </c>
      <c r="V79" s="58">
        <f>'Data 15'!V179</f>
        <v>0.78125</v>
      </c>
      <c r="W79" s="51">
        <f>ROUNDUP(IF(AND(OR('Input &amp; Findings'!$G$39="E-Bound",'Input &amp; Findings'!$G$40="E-Bound"),'RTF 1'!$D$8="E-Bound"),'RTF 1'!$M88,IF(AND(OR('Input &amp; Findings'!$G$39="E-Bound",'Input &amp; Findings'!$G$40="E-Bound"),'RTF 2'!$D$8="E-Bound"),'RTF 2'!$M88,'Data 15'!W179)),0)</f>
        <v>8</v>
      </c>
      <c r="X79" s="51">
        <f>'Data 15'!X179</f>
        <v>0</v>
      </c>
      <c r="Y79" s="51">
        <f>'Data 15'!Y179</f>
        <v>7</v>
      </c>
      <c r="Z79" s="51">
        <f>'Data 15'!Z179</f>
        <v>0</v>
      </c>
      <c r="AA79" s="51">
        <f>'Data 15'!AA179</f>
        <v>0</v>
      </c>
      <c r="AB79" s="51">
        <f t="shared" si="7"/>
        <v>15</v>
      </c>
      <c r="AC79" s="58">
        <f>'Data 15'!AC179</f>
        <v>0.78125</v>
      </c>
      <c r="AE79" s="57"/>
    </row>
    <row r="80" spans="1:31" x14ac:dyDescent="0.25">
      <c r="A80" s="58">
        <f>'Data 15'!A180</f>
        <v>0.79166666666666696</v>
      </c>
      <c r="B80" s="51">
        <f>ROUNDUP(IF(AND(OR('Input &amp; Findings'!$G$39="S-Bound",'Input &amp; Findings'!$G$40="S-Bound"),'RTF 1'!$D$8="S-Bound"),'RTF 1'!$M89,IF(AND(OR('Input &amp; Findings'!$G$39="S-Bound",'Input &amp; Findings'!$G$40="S-Bound"),'RTF 2'!$D$8="S-Bound"),'RTF 2'!$M89,'Data 15'!B180)),0)</f>
        <v>0</v>
      </c>
      <c r="C80" s="51">
        <f>'Data 15'!C180</f>
        <v>0</v>
      </c>
      <c r="D80" s="51">
        <f>'Data 15'!D180</f>
        <v>0</v>
      </c>
      <c r="E80" s="51">
        <f>'Data 15'!E180</f>
        <v>0</v>
      </c>
      <c r="F80" s="51">
        <f>'Data 15'!F180</f>
        <v>0</v>
      </c>
      <c r="G80" s="51">
        <f t="shared" si="4"/>
        <v>0</v>
      </c>
      <c r="H80" s="58">
        <f>'Data 15'!H180</f>
        <v>0.79166666666666696</v>
      </c>
      <c r="I80" s="51">
        <f>ROUNDUP(IF(AND(OR('Input &amp; Findings'!$G$39="W-Bound",'Input &amp; Findings'!$G$40="W-Bound"),'RTF 1'!$D$8="W-Bound"),'RTF 1'!$M89,IF(AND(OR('Input &amp; Findings'!$G$39="W-Bound",'Input &amp; Findings'!$G$40="W-Bound"),'RTF 2'!$D$8="W-Bound"),'RTF 2'!$M89,'Data 15'!I180)),0)</f>
        <v>0</v>
      </c>
      <c r="J80" s="51">
        <f>'Data 15'!J180</f>
        <v>0</v>
      </c>
      <c r="K80" s="51">
        <f>'Data 15'!K180</f>
        <v>0</v>
      </c>
      <c r="L80" s="51">
        <f>'Data 15'!L180</f>
        <v>0</v>
      </c>
      <c r="M80" s="51">
        <f>'Data 15'!M180</f>
        <v>0</v>
      </c>
      <c r="N80" s="51">
        <f t="shared" si="5"/>
        <v>0</v>
      </c>
      <c r="O80" s="58">
        <f>'Data 15'!O180</f>
        <v>0.79166666666666696</v>
      </c>
      <c r="P80" s="51">
        <f>ROUNDUP(IF(AND(OR('Input &amp; Findings'!$G$39="N-Bound",'Input &amp; Findings'!$G$40="N-Bound"),'RTF 1'!$D$8="N-Bound"),'RTF 1'!$M89,IF(AND(OR('Input &amp; Findings'!$G$39="N-Bound",'Input &amp; Findings'!$G$40="N-Bound"),'RTF 2'!$D$8="N-Bound"),'RTF 2'!$M89,'Data 15'!P180)),0)</f>
        <v>0</v>
      </c>
      <c r="Q80" s="51">
        <f>'Data 15'!Q180</f>
        <v>0</v>
      </c>
      <c r="R80" s="51">
        <f>'Data 15'!R180</f>
        <v>0</v>
      </c>
      <c r="S80" s="51">
        <f>'Data 15'!S180</f>
        <v>0</v>
      </c>
      <c r="T80" s="51">
        <f>'Data 15'!T180</f>
        <v>0</v>
      </c>
      <c r="U80" s="51">
        <f t="shared" si="6"/>
        <v>0</v>
      </c>
      <c r="V80" s="58">
        <f>'Data 15'!V180</f>
        <v>0.79166666666666696</v>
      </c>
      <c r="W80" s="51">
        <f>ROUNDUP(IF(AND(OR('Input &amp; Findings'!$G$39="E-Bound",'Input &amp; Findings'!$G$40="E-Bound"),'RTF 1'!$D$8="E-Bound"),'RTF 1'!$M89,IF(AND(OR('Input &amp; Findings'!$G$39="E-Bound",'Input &amp; Findings'!$G$40="E-Bound"),'RTF 2'!$D$8="E-Bound"),'RTF 2'!$M89,'Data 15'!W180)),0)</f>
        <v>0</v>
      </c>
      <c r="X80" s="51">
        <f>'Data 15'!X180</f>
        <v>0</v>
      </c>
      <c r="Y80" s="51">
        <f>'Data 15'!Y180</f>
        <v>0</v>
      </c>
      <c r="Z80" s="51">
        <f>'Data 15'!Z180</f>
        <v>0</v>
      </c>
      <c r="AA80" s="51">
        <f>'Data 15'!AA180</f>
        <v>0</v>
      </c>
      <c r="AB80" s="51">
        <f t="shared" si="7"/>
        <v>0</v>
      </c>
      <c r="AC80" s="58">
        <f>'Data 15'!AC180</f>
        <v>0.79166666666666696</v>
      </c>
      <c r="AE80" s="57"/>
    </row>
    <row r="81" spans="1:31" x14ac:dyDescent="0.25">
      <c r="A81" s="58">
        <f>'Data 15'!A181</f>
        <v>0.80208333333333304</v>
      </c>
      <c r="B81" s="51">
        <f>ROUNDUP(IF(AND(OR('Input &amp; Findings'!$G$39="S-Bound",'Input &amp; Findings'!$G$40="S-Bound"),'RTF 1'!$D$8="S-Bound"),'RTF 1'!$M90,IF(AND(OR('Input &amp; Findings'!$G$39="S-Bound",'Input &amp; Findings'!$G$40="S-Bound"),'RTF 2'!$D$8="S-Bound"),'RTF 2'!$M90,'Data 15'!B181)),0)</f>
        <v>0</v>
      </c>
      <c r="C81" s="51">
        <f>'Data 15'!C181</f>
        <v>0</v>
      </c>
      <c r="D81" s="51">
        <f>'Data 15'!D181</f>
        <v>0</v>
      </c>
      <c r="E81" s="51">
        <f>'Data 15'!E181</f>
        <v>0</v>
      </c>
      <c r="F81" s="51">
        <f>'Data 15'!F181</f>
        <v>0</v>
      </c>
      <c r="G81" s="51">
        <f t="shared" si="4"/>
        <v>0</v>
      </c>
      <c r="H81" s="58">
        <f>'Data 15'!H181</f>
        <v>0.80208333333333304</v>
      </c>
      <c r="I81" s="51">
        <f>ROUNDUP(IF(AND(OR('Input &amp; Findings'!$G$39="W-Bound",'Input &amp; Findings'!$G$40="W-Bound"),'RTF 1'!$D$8="W-Bound"),'RTF 1'!$M90,IF(AND(OR('Input &amp; Findings'!$G$39="W-Bound",'Input &amp; Findings'!$G$40="W-Bound"),'RTF 2'!$D$8="W-Bound"),'RTF 2'!$M90,'Data 15'!I181)),0)</f>
        <v>0</v>
      </c>
      <c r="J81" s="51">
        <f>'Data 15'!J181</f>
        <v>0</v>
      </c>
      <c r="K81" s="51">
        <f>'Data 15'!K181</f>
        <v>0</v>
      </c>
      <c r="L81" s="51">
        <f>'Data 15'!L181</f>
        <v>0</v>
      </c>
      <c r="M81" s="51">
        <f>'Data 15'!M181</f>
        <v>0</v>
      </c>
      <c r="N81" s="51">
        <f t="shared" si="5"/>
        <v>0</v>
      </c>
      <c r="O81" s="58">
        <f>'Data 15'!O181</f>
        <v>0.80208333333333304</v>
      </c>
      <c r="P81" s="51">
        <f>ROUNDUP(IF(AND(OR('Input &amp; Findings'!$G$39="N-Bound",'Input &amp; Findings'!$G$40="N-Bound"),'RTF 1'!$D$8="N-Bound"),'RTF 1'!$M90,IF(AND(OR('Input &amp; Findings'!$G$39="N-Bound",'Input &amp; Findings'!$G$40="N-Bound"),'RTF 2'!$D$8="N-Bound"),'RTF 2'!$M90,'Data 15'!P181)),0)</f>
        <v>0</v>
      </c>
      <c r="Q81" s="51">
        <f>'Data 15'!Q181</f>
        <v>0</v>
      </c>
      <c r="R81" s="51">
        <f>'Data 15'!R181</f>
        <v>0</v>
      </c>
      <c r="S81" s="51">
        <f>'Data 15'!S181</f>
        <v>0</v>
      </c>
      <c r="T81" s="51">
        <f>'Data 15'!T181</f>
        <v>0</v>
      </c>
      <c r="U81" s="51">
        <f t="shared" si="6"/>
        <v>0</v>
      </c>
      <c r="V81" s="58">
        <f>'Data 15'!V181</f>
        <v>0.80208333333333304</v>
      </c>
      <c r="W81" s="51">
        <f>ROUNDUP(IF(AND(OR('Input &amp; Findings'!$G$39="E-Bound",'Input &amp; Findings'!$G$40="E-Bound"),'RTF 1'!$D$8="E-Bound"),'RTF 1'!$M90,IF(AND(OR('Input &amp; Findings'!$G$39="E-Bound",'Input &amp; Findings'!$G$40="E-Bound"),'RTF 2'!$D$8="E-Bound"),'RTF 2'!$M90,'Data 15'!W181)),0)</f>
        <v>0</v>
      </c>
      <c r="X81" s="51">
        <f>'Data 15'!X181</f>
        <v>0</v>
      </c>
      <c r="Y81" s="51">
        <f>'Data 15'!Y181</f>
        <v>0</v>
      </c>
      <c r="Z81" s="51">
        <f>'Data 15'!Z181</f>
        <v>0</v>
      </c>
      <c r="AA81" s="51">
        <f>'Data 15'!AA181</f>
        <v>0</v>
      </c>
      <c r="AB81" s="51">
        <f t="shared" si="7"/>
        <v>0</v>
      </c>
      <c r="AC81" s="58">
        <f>'Data 15'!AC181</f>
        <v>0.80208333333333304</v>
      </c>
      <c r="AE81" s="57"/>
    </row>
    <row r="82" spans="1:31" x14ac:dyDescent="0.25">
      <c r="A82" s="58">
        <f>'Data 15'!A182</f>
        <v>0.8125</v>
      </c>
      <c r="B82" s="51">
        <f>ROUNDUP(IF(AND(OR('Input &amp; Findings'!$G$39="S-Bound",'Input &amp; Findings'!$G$40="S-Bound"),'RTF 1'!$D$8="S-Bound"),'RTF 1'!$M91,IF(AND(OR('Input &amp; Findings'!$G$39="S-Bound",'Input &amp; Findings'!$G$40="S-Bound"),'RTF 2'!$D$8="S-Bound"),'RTF 2'!$M91,'Data 15'!B182)),0)</f>
        <v>0</v>
      </c>
      <c r="C82" s="51">
        <f>'Data 15'!C182</f>
        <v>0</v>
      </c>
      <c r="D82" s="51">
        <f>'Data 15'!D182</f>
        <v>0</v>
      </c>
      <c r="E82" s="51">
        <f>'Data 15'!E182</f>
        <v>0</v>
      </c>
      <c r="F82" s="51">
        <f>'Data 15'!F182</f>
        <v>0</v>
      </c>
      <c r="G82" s="51">
        <f t="shared" si="4"/>
        <v>0</v>
      </c>
      <c r="H82" s="58">
        <f>'Data 15'!H182</f>
        <v>0.8125</v>
      </c>
      <c r="I82" s="51">
        <f>ROUNDUP(IF(AND(OR('Input &amp; Findings'!$G$39="W-Bound",'Input &amp; Findings'!$G$40="W-Bound"),'RTF 1'!$D$8="W-Bound"),'RTF 1'!$M91,IF(AND(OR('Input &amp; Findings'!$G$39="W-Bound",'Input &amp; Findings'!$G$40="W-Bound"),'RTF 2'!$D$8="W-Bound"),'RTF 2'!$M91,'Data 15'!I182)),0)</f>
        <v>0</v>
      </c>
      <c r="J82" s="51">
        <f>'Data 15'!J182</f>
        <v>0</v>
      </c>
      <c r="K82" s="51">
        <f>'Data 15'!K182</f>
        <v>0</v>
      </c>
      <c r="L82" s="51">
        <f>'Data 15'!L182</f>
        <v>0</v>
      </c>
      <c r="M82" s="51">
        <f>'Data 15'!M182</f>
        <v>0</v>
      </c>
      <c r="N82" s="51">
        <f t="shared" si="5"/>
        <v>0</v>
      </c>
      <c r="O82" s="58">
        <f>'Data 15'!O182</f>
        <v>0.8125</v>
      </c>
      <c r="P82" s="51">
        <f>ROUNDUP(IF(AND(OR('Input &amp; Findings'!$G$39="N-Bound",'Input &amp; Findings'!$G$40="N-Bound"),'RTF 1'!$D$8="N-Bound"),'RTF 1'!$M91,IF(AND(OR('Input &amp; Findings'!$G$39="N-Bound",'Input &amp; Findings'!$G$40="N-Bound"),'RTF 2'!$D$8="N-Bound"),'RTF 2'!$M91,'Data 15'!P182)),0)</f>
        <v>0</v>
      </c>
      <c r="Q82" s="51">
        <f>'Data 15'!Q182</f>
        <v>0</v>
      </c>
      <c r="R82" s="51">
        <f>'Data 15'!R182</f>
        <v>0</v>
      </c>
      <c r="S82" s="51">
        <f>'Data 15'!S182</f>
        <v>0</v>
      </c>
      <c r="T82" s="51">
        <f>'Data 15'!T182</f>
        <v>0</v>
      </c>
      <c r="U82" s="51">
        <f t="shared" si="6"/>
        <v>0</v>
      </c>
      <c r="V82" s="58">
        <f>'Data 15'!V182</f>
        <v>0.8125</v>
      </c>
      <c r="W82" s="51">
        <f>ROUNDUP(IF(AND(OR('Input &amp; Findings'!$G$39="E-Bound",'Input &amp; Findings'!$G$40="E-Bound"),'RTF 1'!$D$8="E-Bound"),'RTF 1'!$M91,IF(AND(OR('Input &amp; Findings'!$G$39="E-Bound",'Input &amp; Findings'!$G$40="E-Bound"),'RTF 2'!$D$8="E-Bound"),'RTF 2'!$M91,'Data 15'!W182)),0)</f>
        <v>0</v>
      </c>
      <c r="X82" s="51">
        <f>'Data 15'!X182</f>
        <v>0</v>
      </c>
      <c r="Y82" s="51">
        <f>'Data 15'!Y182</f>
        <v>0</v>
      </c>
      <c r="Z82" s="51">
        <f>'Data 15'!Z182</f>
        <v>0</v>
      </c>
      <c r="AA82" s="51">
        <f>'Data 15'!AA182</f>
        <v>0</v>
      </c>
      <c r="AB82" s="51">
        <f t="shared" si="7"/>
        <v>0</v>
      </c>
      <c r="AC82" s="58">
        <f>'Data 15'!AC182</f>
        <v>0.8125</v>
      </c>
      <c r="AE82" s="57"/>
    </row>
    <row r="83" spans="1:31" x14ac:dyDescent="0.25">
      <c r="A83" s="58">
        <f>'Data 15'!A183</f>
        <v>0.82291666666666696</v>
      </c>
      <c r="B83" s="51">
        <f>ROUNDUP(IF(AND(OR('Input &amp; Findings'!$G$39="S-Bound",'Input &amp; Findings'!$G$40="S-Bound"),'RTF 1'!$D$8="S-Bound"),'RTF 1'!$M92,IF(AND(OR('Input &amp; Findings'!$G$39="S-Bound",'Input &amp; Findings'!$G$40="S-Bound"),'RTF 2'!$D$8="S-Bound"),'RTF 2'!$M92,'Data 15'!B183)),0)</f>
        <v>0</v>
      </c>
      <c r="C83" s="51">
        <f>'Data 15'!C183</f>
        <v>0</v>
      </c>
      <c r="D83" s="51">
        <f>'Data 15'!D183</f>
        <v>0</v>
      </c>
      <c r="E83" s="51">
        <f>'Data 15'!E183</f>
        <v>0</v>
      </c>
      <c r="F83" s="51">
        <f>'Data 15'!F183</f>
        <v>0</v>
      </c>
      <c r="G83" s="51">
        <f t="shared" si="4"/>
        <v>0</v>
      </c>
      <c r="H83" s="58">
        <f>'Data 15'!H183</f>
        <v>0.82291666666666696</v>
      </c>
      <c r="I83" s="51">
        <f>ROUNDUP(IF(AND(OR('Input &amp; Findings'!$G$39="W-Bound",'Input &amp; Findings'!$G$40="W-Bound"),'RTF 1'!$D$8="W-Bound"),'RTF 1'!$M92,IF(AND(OR('Input &amp; Findings'!$G$39="W-Bound",'Input &amp; Findings'!$G$40="W-Bound"),'RTF 2'!$D$8="W-Bound"),'RTF 2'!$M92,'Data 15'!I183)),0)</f>
        <v>0</v>
      </c>
      <c r="J83" s="51">
        <f>'Data 15'!J183</f>
        <v>0</v>
      </c>
      <c r="K83" s="51">
        <f>'Data 15'!K183</f>
        <v>0</v>
      </c>
      <c r="L83" s="51">
        <f>'Data 15'!L183</f>
        <v>0</v>
      </c>
      <c r="M83" s="51">
        <f>'Data 15'!M183</f>
        <v>0</v>
      </c>
      <c r="N83" s="51">
        <f t="shared" si="5"/>
        <v>0</v>
      </c>
      <c r="O83" s="58">
        <f>'Data 15'!O183</f>
        <v>0.82291666666666696</v>
      </c>
      <c r="P83" s="51">
        <f>ROUNDUP(IF(AND(OR('Input &amp; Findings'!$G$39="N-Bound",'Input &amp; Findings'!$G$40="N-Bound"),'RTF 1'!$D$8="N-Bound"),'RTF 1'!$M92,IF(AND(OR('Input &amp; Findings'!$G$39="N-Bound",'Input &amp; Findings'!$G$40="N-Bound"),'RTF 2'!$D$8="N-Bound"),'RTF 2'!$M92,'Data 15'!P183)),0)</f>
        <v>0</v>
      </c>
      <c r="Q83" s="51">
        <f>'Data 15'!Q183</f>
        <v>0</v>
      </c>
      <c r="R83" s="51">
        <f>'Data 15'!R183</f>
        <v>0</v>
      </c>
      <c r="S83" s="51">
        <f>'Data 15'!S183</f>
        <v>0</v>
      </c>
      <c r="T83" s="51">
        <f>'Data 15'!T183</f>
        <v>0</v>
      </c>
      <c r="U83" s="51">
        <f t="shared" si="6"/>
        <v>0</v>
      </c>
      <c r="V83" s="58">
        <f>'Data 15'!V183</f>
        <v>0.82291666666666696</v>
      </c>
      <c r="W83" s="51">
        <f>ROUNDUP(IF(AND(OR('Input &amp; Findings'!$G$39="E-Bound",'Input &amp; Findings'!$G$40="E-Bound"),'RTF 1'!$D$8="E-Bound"),'RTF 1'!$M92,IF(AND(OR('Input &amp; Findings'!$G$39="E-Bound",'Input &amp; Findings'!$G$40="E-Bound"),'RTF 2'!$D$8="E-Bound"),'RTF 2'!$M92,'Data 15'!W183)),0)</f>
        <v>0</v>
      </c>
      <c r="X83" s="51">
        <f>'Data 15'!X183</f>
        <v>0</v>
      </c>
      <c r="Y83" s="51">
        <f>'Data 15'!Y183</f>
        <v>0</v>
      </c>
      <c r="Z83" s="51">
        <f>'Data 15'!Z183</f>
        <v>0</v>
      </c>
      <c r="AA83" s="51">
        <f>'Data 15'!AA183</f>
        <v>0</v>
      </c>
      <c r="AB83" s="51">
        <f t="shared" si="7"/>
        <v>0</v>
      </c>
      <c r="AC83" s="58">
        <f>'Data 15'!AC183</f>
        <v>0.82291666666666696</v>
      </c>
      <c r="AE83" s="57"/>
    </row>
    <row r="84" spans="1:31" x14ac:dyDescent="0.25">
      <c r="A84" s="58">
        <f>'Data 15'!A184</f>
        <v>0.83333333333333304</v>
      </c>
      <c r="B84" s="51">
        <f>ROUNDUP(IF(AND(OR('Input &amp; Findings'!$G$39="S-Bound",'Input &amp; Findings'!$G$40="S-Bound"),'RTF 1'!$D$8="S-Bound"),'RTF 1'!$M93,IF(AND(OR('Input &amp; Findings'!$G$39="S-Bound",'Input &amp; Findings'!$G$40="S-Bound"),'RTF 2'!$D$8="S-Bound"),'RTF 2'!$M93,'Data 15'!B184)),0)</f>
        <v>0</v>
      </c>
      <c r="C84" s="51">
        <f>'Data 15'!C184</f>
        <v>0</v>
      </c>
      <c r="D84" s="51">
        <f>'Data 15'!D184</f>
        <v>0</v>
      </c>
      <c r="E84" s="51">
        <f>'Data 15'!E184</f>
        <v>0</v>
      </c>
      <c r="F84" s="51">
        <f>'Data 15'!F184</f>
        <v>0</v>
      </c>
      <c r="G84" s="51">
        <f t="shared" si="4"/>
        <v>0</v>
      </c>
      <c r="H84" s="58">
        <f>'Data 15'!H184</f>
        <v>0.83333333333333304</v>
      </c>
      <c r="I84" s="51">
        <f>ROUNDUP(IF(AND(OR('Input &amp; Findings'!$G$39="W-Bound",'Input &amp; Findings'!$G$40="W-Bound"),'RTF 1'!$D$8="W-Bound"),'RTF 1'!$M93,IF(AND(OR('Input &amp; Findings'!$G$39="W-Bound",'Input &amp; Findings'!$G$40="W-Bound"),'RTF 2'!$D$8="W-Bound"),'RTF 2'!$M93,'Data 15'!I184)),0)</f>
        <v>0</v>
      </c>
      <c r="J84" s="51">
        <f>'Data 15'!J184</f>
        <v>0</v>
      </c>
      <c r="K84" s="51">
        <f>'Data 15'!K184</f>
        <v>0</v>
      </c>
      <c r="L84" s="51">
        <f>'Data 15'!L184</f>
        <v>0</v>
      </c>
      <c r="M84" s="51">
        <f>'Data 15'!M184</f>
        <v>0</v>
      </c>
      <c r="N84" s="51">
        <f t="shared" si="5"/>
        <v>0</v>
      </c>
      <c r="O84" s="58">
        <f>'Data 15'!O184</f>
        <v>0.83333333333333304</v>
      </c>
      <c r="P84" s="51">
        <f>ROUNDUP(IF(AND(OR('Input &amp; Findings'!$G$39="N-Bound",'Input &amp; Findings'!$G$40="N-Bound"),'RTF 1'!$D$8="N-Bound"),'RTF 1'!$M93,IF(AND(OR('Input &amp; Findings'!$G$39="N-Bound",'Input &amp; Findings'!$G$40="N-Bound"),'RTF 2'!$D$8="N-Bound"),'RTF 2'!$M93,'Data 15'!P184)),0)</f>
        <v>0</v>
      </c>
      <c r="Q84" s="51">
        <f>'Data 15'!Q184</f>
        <v>0</v>
      </c>
      <c r="R84" s="51">
        <f>'Data 15'!R184</f>
        <v>0</v>
      </c>
      <c r="S84" s="51">
        <f>'Data 15'!S184</f>
        <v>0</v>
      </c>
      <c r="T84" s="51">
        <f>'Data 15'!T184</f>
        <v>0</v>
      </c>
      <c r="U84" s="51">
        <f t="shared" si="6"/>
        <v>0</v>
      </c>
      <c r="V84" s="58">
        <f>'Data 15'!V184</f>
        <v>0.83333333333333304</v>
      </c>
      <c r="W84" s="51">
        <f>ROUNDUP(IF(AND(OR('Input &amp; Findings'!$G$39="E-Bound",'Input &amp; Findings'!$G$40="E-Bound"),'RTF 1'!$D$8="E-Bound"),'RTF 1'!$M93,IF(AND(OR('Input &amp; Findings'!$G$39="E-Bound",'Input &amp; Findings'!$G$40="E-Bound"),'RTF 2'!$D$8="E-Bound"),'RTF 2'!$M93,'Data 15'!W184)),0)</f>
        <v>0</v>
      </c>
      <c r="X84" s="51">
        <f>'Data 15'!X184</f>
        <v>0</v>
      </c>
      <c r="Y84" s="51">
        <f>'Data 15'!Y184</f>
        <v>0</v>
      </c>
      <c r="Z84" s="51">
        <f>'Data 15'!Z184</f>
        <v>0</v>
      </c>
      <c r="AA84" s="51">
        <f>'Data 15'!AA184</f>
        <v>0</v>
      </c>
      <c r="AB84" s="51">
        <f t="shared" si="7"/>
        <v>0</v>
      </c>
      <c r="AC84" s="58">
        <f>'Data 15'!AC184</f>
        <v>0.83333333333333304</v>
      </c>
      <c r="AE84" s="57"/>
    </row>
    <row r="85" spans="1:31" x14ac:dyDescent="0.25">
      <c r="A85" s="58">
        <f>'Data 15'!A185</f>
        <v>0.84375</v>
      </c>
      <c r="B85" s="51">
        <f>ROUNDUP(IF(AND(OR('Input &amp; Findings'!$G$39="S-Bound",'Input &amp; Findings'!$G$40="S-Bound"),'RTF 1'!$D$8="S-Bound"),'RTF 1'!$M94,IF(AND(OR('Input &amp; Findings'!$G$39="S-Bound",'Input &amp; Findings'!$G$40="S-Bound"),'RTF 2'!$D$8="S-Bound"),'RTF 2'!$M94,'Data 15'!B185)),0)</f>
        <v>0</v>
      </c>
      <c r="C85" s="51">
        <f>'Data 15'!C185</f>
        <v>0</v>
      </c>
      <c r="D85" s="51">
        <f>'Data 15'!D185</f>
        <v>0</v>
      </c>
      <c r="E85" s="51">
        <f>'Data 15'!E185</f>
        <v>0</v>
      </c>
      <c r="F85" s="51">
        <f>'Data 15'!F185</f>
        <v>0</v>
      </c>
      <c r="G85" s="51">
        <f t="shared" si="4"/>
        <v>0</v>
      </c>
      <c r="H85" s="58">
        <f>'Data 15'!H185</f>
        <v>0.84375</v>
      </c>
      <c r="I85" s="51">
        <f>ROUNDUP(IF(AND(OR('Input &amp; Findings'!$G$39="W-Bound",'Input &amp; Findings'!$G$40="W-Bound"),'RTF 1'!$D$8="W-Bound"),'RTF 1'!$M94,IF(AND(OR('Input &amp; Findings'!$G$39="W-Bound",'Input &amp; Findings'!$G$40="W-Bound"),'RTF 2'!$D$8="W-Bound"),'RTF 2'!$M94,'Data 15'!I185)),0)</f>
        <v>0</v>
      </c>
      <c r="J85" s="51">
        <f>'Data 15'!J185</f>
        <v>0</v>
      </c>
      <c r="K85" s="51">
        <f>'Data 15'!K185</f>
        <v>0</v>
      </c>
      <c r="L85" s="51">
        <f>'Data 15'!L185</f>
        <v>0</v>
      </c>
      <c r="M85" s="51">
        <f>'Data 15'!M185</f>
        <v>0</v>
      </c>
      <c r="N85" s="51">
        <f t="shared" si="5"/>
        <v>0</v>
      </c>
      <c r="O85" s="58">
        <f>'Data 15'!O185</f>
        <v>0.84375</v>
      </c>
      <c r="P85" s="51">
        <f>ROUNDUP(IF(AND(OR('Input &amp; Findings'!$G$39="N-Bound",'Input &amp; Findings'!$G$40="N-Bound"),'RTF 1'!$D$8="N-Bound"),'RTF 1'!$M94,IF(AND(OR('Input &amp; Findings'!$G$39="N-Bound",'Input &amp; Findings'!$G$40="N-Bound"),'RTF 2'!$D$8="N-Bound"),'RTF 2'!$M94,'Data 15'!P185)),0)</f>
        <v>0</v>
      </c>
      <c r="Q85" s="51">
        <f>'Data 15'!Q185</f>
        <v>0</v>
      </c>
      <c r="R85" s="51">
        <f>'Data 15'!R185</f>
        <v>0</v>
      </c>
      <c r="S85" s="51">
        <f>'Data 15'!S185</f>
        <v>0</v>
      </c>
      <c r="T85" s="51">
        <f>'Data 15'!T185</f>
        <v>0</v>
      </c>
      <c r="U85" s="51">
        <f t="shared" si="6"/>
        <v>0</v>
      </c>
      <c r="V85" s="58">
        <f>'Data 15'!V185</f>
        <v>0.84375</v>
      </c>
      <c r="W85" s="51">
        <f>ROUNDUP(IF(AND(OR('Input &amp; Findings'!$G$39="E-Bound",'Input &amp; Findings'!$G$40="E-Bound"),'RTF 1'!$D$8="E-Bound"),'RTF 1'!$M94,IF(AND(OR('Input &amp; Findings'!$G$39="E-Bound",'Input &amp; Findings'!$G$40="E-Bound"),'RTF 2'!$D$8="E-Bound"),'RTF 2'!$M94,'Data 15'!W185)),0)</f>
        <v>0</v>
      </c>
      <c r="X85" s="51">
        <f>'Data 15'!X185</f>
        <v>0</v>
      </c>
      <c r="Y85" s="51">
        <f>'Data 15'!Y185</f>
        <v>0</v>
      </c>
      <c r="Z85" s="51">
        <f>'Data 15'!Z185</f>
        <v>0</v>
      </c>
      <c r="AA85" s="51">
        <f>'Data 15'!AA185</f>
        <v>0</v>
      </c>
      <c r="AB85" s="51">
        <f t="shared" si="7"/>
        <v>0</v>
      </c>
      <c r="AC85" s="58">
        <f>'Data 15'!AC185</f>
        <v>0.84375</v>
      </c>
      <c r="AE85" s="57"/>
    </row>
    <row r="86" spans="1:31" x14ac:dyDescent="0.25">
      <c r="A86" s="58">
        <f>'Data 15'!A186</f>
        <v>0.85416666666666696</v>
      </c>
      <c r="B86" s="51">
        <f>ROUNDUP(IF(AND(OR('Input &amp; Findings'!$G$39="S-Bound",'Input &amp; Findings'!$G$40="S-Bound"),'RTF 1'!$D$8="S-Bound"),'RTF 1'!$M95,IF(AND(OR('Input &amp; Findings'!$G$39="S-Bound",'Input &amp; Findings'!$G$40="S-Bound"),'RTF 2'!$D$8="S-Bound"),'RTF 2'!$M95,'Data 15'!B186)),0)</f>
        <v>0</v>
      </c>
      <c r="C86" s="51">
        <f>'Data 15'!C186</f>
        <v>0</v>
      </c>
      <c r="D86" s="51">
        <f>'Data 15'!D186</f>
        <v>0</v>
      </c>
      <c r="E86" s="51">
        <f>'Data 15'!E186</f>
        <v>0</v>
      </c>
      <c r="F86" s="51">
        <f>'Data 15'!F186</f>
        <v>0</v>
      </c>
      <c r="G86" s="51">
        <f t="shared" si="4"/>
        <v>0</v>
      </c>
      <c r="H86" s="58">
        <f>'Data 15'!H186</f>
        <v>0.85416666666666696</v>
      </c>
      <c r="I86" s="51">
        <f>ROUNDUP(IF(AND(OR('Input &amp; Findings'!$G$39="W-Bound",'Input &amp; Findings'!$G$40="W-Bound"),'RTF 1'!$D$8="W-Bound"),'RTF 1'!$M95,IF(AND(OR('Input &amp; Findings'!$G$39="W-Bound",'Input &amp; Findings'!$G$40="W-Bound"),'RTF 2'!$D$8="W-Bound"),'RTF 2'!$M95,'Data 15'!I186)),0)</f>
        <v>0</v>
      </c>
      <c r="J86" s="51">
        <f>'Data 15'!J186</f>
        <v>0</v>
      </c>
      <c r="K86" s="51">
        <f>'Data 15'!K186</f>
        <v>0</v>
      </c>
      <c r="L86" s="51">
        <f>'Data 15'!L186</f>
        <v>0</v>
      </c>
      <c r="M86" s="51">
        <f>'Data 15'!M186</f>
        <v>0</v>
      </c>
      <c r="N86" s="51">
        <f t="shared" si="5"/>
        <v>0</v>
      </c>
      <c r="O86" s="58">
        <f>'Data 15'!O186</f>
        <v>0.85416666666666696</v>
      </c>
      <c r="P86" s="51">
        <f>ROUNDUP(IF(AND(OR('Input &amp; Findings'!$G$39="N-Bound",'Input &amp; Findings'!$G$40="N-Bound"),'RTF 1'!$D$8="N-Bound"),'RTF 1'!$M95,IF(AND(OR('Input &amp; Findings'!$G$39="N-Bound",'Input &amp; Findings'!$G$40="N-Bound"),'RTF 2'!$D$8="N-Bound"),'RTF 2'!$M95,'Data 15'!P186)),0)</f>
        <v>0</v>
      </c>
      <c r="Q86" s="51">
        <f>'Data 15'!Q186</f>
        <v>0</v>
      </c>
      <c r="R86" s="51">
        <f>'Data 15'!R186</f>
        <v>0</v>
      </c>
      <c r="S86" s="51">
        <f>'Data 15'!S186</f>
        <v>0</v>
      </c>
      <c r="T86" s="51">
        <f>'Data 15'!T186</f>
        <v>0</v>
      </c>
      <c r="U86" s="51">
        <f t="shared" si="6"/>
        <v>0</v>
      </c>
      <c r="V86" s="58">
        <f>'Data 15'!V186</f>
        <v>0.85416666666666696</v>
      </c>
      <c r="W86" s="51">
        <f>ROUNDUP(IF(AND(OR('Input &amp; Findings'!$G$39="E-Bound",'Input &amp; Findings'!$G$40="E-Bound"),'RTF 1'!$D$8="E-Bound"),'RTF 1'!$M95,IF(AND(OR('Input &amp; Findings'!$G$39="E-Bound",'Input &amp; Findings'!$G$40="E-Bound"),'RTF 2'!$D$8="E-Bound"),'RTF 2'!$M95,'Data 15'!W186)),0)</f>
        <v>0</v>
      </c>
      <c r="X86" s="51">
        <f>'Data 15'!X186</f>
        <v>0</v>
      </c>
      <c r="Y86" s="51">
        <f>'Data 15'!Y186</f>
        <v>0</v>
      </c>
      <c r="Z86" s="51">
        <f>'Data 15'!Z186</f>
        <v>0</v>
      </c>
      <c r="AA86" s="51">
        <f>'Data 15'!AA186</f>
        <v>0</v>
      </c>
      <c r="AB86" s="51">
        <f t="shared" si="7"/>
        <v>0</v>
      </c>
      <c r="AC86" s="58">
        <f>'Data 15'!AC186</f>
        <v>0.85416666666666696</v>
      </c>
      <c r="AE86" s="57"/>
    </row>
    <row r="87" spans="1:31" x14ac:dyDescent="0.25">
      <c r="A87" s="58">
        <f>'Data 15'!A187</f>
        <v>0.86458333333333304</v>
      </c>
      <c r="B87" s="51">
        <f>ROUNDUP(IF(AND(OR('Input &amp; Findings'!$G$39="S-Bound",'Input &amp; Findings'!$G$40="S-Bound"),'RTF 1'!$D$8="S-Bound"),'RTF 1'!$M96,IF(AND(OR('Input &amp; Findings'!$G$39="S-Bound",'Input &amp; Findings'!$G$40="S-Bound"),'RTF 2'!$D$8="S-Bound"),'RTF 2'!$M96,'Data 15'!B187)),0)</f>
        <v>0</v>
      </c>
      <c r="C87" s="51">
        <f>'Data 15'!C187</f>
        <v>0</v>
      </c>
      <c r="D87" s="51">
        <f>'Data 15'!D187</f>
        <v>0</v>
      </c>
      <c r="E87" s="51">
        <f>'Data 15'!E187</f>
        <v>0</v>
      </c>
      <c r="F87" s="51">
        <f>'Data 15'!F187</f>
        <v>0</v>
      </c>
      <c r="G87" s="51">
        <f t="shared" si="4"/>
        <v>0</v>
      </c>
      <c r="H87" s="58">
        <f>'Data 15'!H187</f>
        <v>0.86458333333333304</v>
      </c>
      <c r="I87" s="51">
        <f>ROUNDUP(IF(AND(OR('Input &amp; Findings'!$G$39="W-Bound",'Input &amp; Findings'!$G$40="W-Bound"),'RTF 1'!$D$8="W-Bound"),'RTF 1'!$M96,IF(AND(OR('Input &amp; Findings'!$G$39="W-Bound",'Input &amp; Findings'!$G$40="W-Bound"),'RTF 2'!$D$8="W-Bound"),'RTF 2'!$M96,'Data 15'!I187)),0)</f>
        <v>0</v>
      </c>
      <c r="J87" s="51">
        <f>'Data 15'!J187</f>
        <v>0</v>
      </c>
      <c r="K87" s="51">
        <f>'Data 15'!K187</f>
        <v>0</v>
      </c>
      <c r="L87" s="51">
        <f>'Data 15'!L187</f>
        <v>0</v>
      </c>
      <c r="M87" s="51">
        <f>'Data 15'!M187</f>
        <v>0</v>
      </c>
      <c r="N87" s="51">
        <f t="shared" si="5"/>
        <v>0</v>
      </c>
      <c r="O87" s="58">
        <f>'Data 15'!O187</f>
        <v>0.86458333333333304</v>
      </c>
      <c r="P87" s="51">
        <f>ROUNDUP(IF(AND(OR('Input &amp; Findings'!$G$39="N-Bound",'Input &amp; Findings'!$G$40="N-Bound"),'RTF 1'!$D$8="N-Bound"),'RTF 1'!$M96,IF(AND(OR('Input &amp; Findings'!$G$39="N-Bound",'Input &amp; Findings'!$G$40="N-Bound"),'RTF 2'!$D$8="N-Bound"),'RTF 2'!$M96,'Data 15'!P187)),0)</f>
        <v>0</v>
      </c>
      <c r="Q87" s="51">
        <f>'Data 15'!Q187</f>
        <v>0</v>
      </c>
      <c r="R87" s="51">
        <f>'Data 15'!R187</f>
        <v>0</v>
      </c>
      <c r="S87" s="51">
        <f>'Data 15'!S187</f>
        <v>0</v>
      </c>
      <c r="T87" s="51">
        <f>'Data 15'!T187</f>
        <v>0</v>
      </c>
      <c r="U87" s="51">
        <f t="shared" si="6"/>
        <v>0</v>
      </c>
      <c r="V87" s="58">
        <f>'Data 15'!V187</f>
        <v>0.86458333333333304</v>
      </c>
      <c r="W87" s="51">
        <f>ROUNDUP(IF(AND(OR('Input &amp; Findings'!$G$39="E-Bound",'Input &amp; Findings'!$G$40="E-Bound"),'RTF 1'!$D$8="E-Bound"),'RTF 1'!$M96,IF(AND(OR('Input &amp; Findings'!$G$39="E-Bound",'Input &amp; Findings'!$G$40="E-Bound"),'RTF 2'!$D$8="E-Bound"),'RTF 2'!$M96,'Data 15'!W187)),0)</f>
        <v>0</v>
      </c>
      <c r="X87" s="51">
        <f>'Data 15'!X187</f>
        <v>0</v>
      </c>
      <c r="Y87" s="51">
        <f>'Data 15'!Y187</f>
        <v>0</v>
      </c>
      <c r="Z87" s="51">
        <f>'Data 15'!Z187</f>
        <v>0</v>
      </c>
      <c r="AA87" s="51">
        <f>'Data 15'!AA187</f>
        <v>0</v>
      </c>
      <c r="AB87" s="51">
        <f t="shared" si="7"/>
        <v>0</v>
      </c>
      <c r="AC87" s="58">
        <f>'Data 15'!AC187</f>
        <v>0.86458333333333304</v>
      </c>
      <c r="AE87" s="57"/>
    </row>
    <row r="88" spans="1:31" x14ac:dyDescent="0.25">
      <c r="A88" s="58">
        <f>'Data 15'!A188</f>
        <v>0.875</v>
      </c>
      <c r="B88" s="51">
        <f>ROUNDUP(IF(AND(OR('Input &amp; Findings'!$G$39="S-Bound",'Input &amp; Findings'!$G$40="S-Bound"),'RTF 1'!$D$8="S-Bound"),'RTF 1'!$M97,IF(AND(OR('Input &amp; Findings'!$G$39="S-Bound",'Input &amp; Findings'!$G$40="S-Bound"),'RTF 2'!$D$8="S-Bound"),'RTF 2'!$M97,'Data 15'!B188)),0)</f>
        <v>0</v>
      </c>
      <c r="C88" s="51">
        <f>'Data 15'!C188</f>
        <v>0</v>
      </c>
      <c r="D88" s="51">
        <f>'Data 15'!D188</f>
        <v>0</v>
      </c>
      <c r="E88" s="51">
        <f>'Data 15'!E188</f>
        <v>0</v>
      </c>
      <c r="F88" s="51">
        <f>'Data 15'!F188</f>
        <v>0</v>
      </c>
      <c r="G88" s="51">
        <f t="shared" si="4"/>
        <v>0</v>
      </c>
      <c r="H88" s="58">
        <f>'Data 15'!H188</f>
        <v>0.875</v>
      </c>
      <c r="I88" s="51">
        <f>ROUNDUP(IF(AND(OR('Input &amp; Findings'!$G$39="W-Bound",'Input &amp; Findings'!$G$40="W-Bound"),'RTF 1'!$D$8="W-Bound"),'RTF 1'!$M97,IF(AND(OR('Input &amp; Findings'!$G$39="W-Bound",'Input &amp; Findings'!$G$40="W-Bound"),'RTF 2'!$D$8="W-Bound"),'RTF 2'!$M97,'Data 15'!I188)),0)</f>
        <v>0</v>
      </c>
      <c r="J88" s="51">
        <f>'Data 15'!J188</f>
        <v>0</v>
      </c>
      <c r="K88" s="51">
        <f>'Data 15'!K188</f>
        <v>0</v>
      </c>
      <c r="L88" s="51">
        <f>'Data 15'!L188</f>
        <v>0</v>
      </c>
      <c r="M88" s="51">
        <f>'Data 15'!M188</f>
        <v>0</v>
      </c>
      <c r="N88" s="51">
        <f t="shared" si="5"/>
        <v>0</v>
      </c>
      <c r="O88" s="58">
        <f>'Data 15'!O188</f>
        <v>0.875</v>
      </c>
      <c r="P88" s="51">
        <f>ROUNDUP(IF(AND(OR('Input &amp; Findings'!$G$39="N-Bound",'Input &amp; Findings'!$G$40="N-Bound"),'RTF 1'!$D$8="N-Bound"),'RTF 1'!$M97,IF(AND(OR('Input &amp; Findings'!$G$39="N-Bound",'Input &amp; Findings'!$G$40="N-Bound"),'RTF 2'!$D$8="N-Bound"),'RTF 2'!$M97,'Data 15'!P188)),0)</f>
        <v>0</v>
      </c>
      <c r="Q88" s="51">
        <f>'Data 15'!Q188</f>
        <v>0</v>
      </c>
      <c r="R88" s="51">
        <f>'Data 15'!R188</f>
        <v>0</v>
      </c>
      <c r="S88" s="51">
        <f>'Data 15'!S188</f>
        <v>0</v>
      </c>
      <c r="T88" s="51">
        <f>'Data 15'!T188</f>
        <v>0</v>
      </c>
      <c r="U88" s="51">
        <f t="shared" si="6"/>
        <v>0</v>
      </c>
      <c r="V88" s="58">
        <f>'Data 15'!V188</f>
        <v>0.875</v>
      </c>
      <c r="W88" s="51">
        <f>ROUNDUP(IF(AND(OR('Input &amp; Findings'!$G$39="E-Bound",'Input &amp; Findings'!$G$40="E-Bound"),'RTF 1'!$D$8="E-Bound"),'RTF 1'!$M97,IF(AND(OR('Input &amp; Findings'!$G$39="E-Bound",'Input &amp; Findings'!$G$40="E-Bound"),'RTF 2'!$D$8="E-Bound"),'RTF 2'!$M97,'Data 15'!W188)),0)</f>
        <v>0</v>
      </c>
      <c r="X88" s="51">
        <f>'Data 15'!X188</f>
        <v>0</v>
      </c>
      <c r="Y88" s="51">
        <f>'Data 15'!Y188</f>
        <v>0</v>
      </c>
      <c r="Z88" s="51">
        <f>'Data 15'!Z188</f>
        <v>0</v>
      </c>
      <c r="AA88" s="51">
        <f>'Data 15'!AA188</f>
        <v>0</v>
      </c>
      <c r="AB88" s="51">
        <f t="shared" si="7"/>
        <v>0</v>
      </c>
      <c r="AC88" s="58">
        <f>'Data 15'!AC188</f>
        <v>0.875</v>
      </c>
      <c r="AE88" s="57"/>
    </row>
    <row r="89" spans="1:31" x14ac:dyDescent="0.25">
      <c r="A89" s="58">
        <f>'Data 15'!A189</f>
        <v>0.88541666666666696</v>
      </c>
      <c r="B89" s="51">
        <f>ROUNDUP(IF(AND(OR('Input &amp; Findings'!$G$39="S-Bound",'Input &amp; Findings'!$G$40="S-Bound"),'RTF 1'!$D$8="S-Bound"),'RTF 1'!$M98,IF(AND(OR('Input &amp; Findings'!$G$39="S-Bound",'Input &amp; Findings'!$G$40="S-Bound"),'RTF 2'!$D$8="S-Bound"),'RTF 2'!$M98,'Data 15'!B189)),0)</f>
        <v>0</v>
      </c>
      <c r="C89" s="51">
        <f>'Data 15'!C189</f>
        <v>0</v>
      </c>
      <c r="D89" s="51">
        <f>'Data 15'!D189</f>
        <v>0</v>
      </c>
      <c r="E89" s="51">
        <f>'Data 15'!E189</f>
        <v>0</v>
      </c>
      <c r="F89" s="51">
        <f>'Data 15'!F189</f>
        <v>0</v>
      </c>
      <c r="G89" s="51">
        <f t="shared" si="4"/>
        <v>0</v>
      </c>
      <c r="H89" s="58">
        <f>'Data 15'!H189</f>
        <v>0.88541666666666696</v>
      </c>
      <c r="I89" s="51">
        <f>ROUNDUP(IF(AND(OR('Input &amp; Findings'!$G$39="W-Bound",'Input &amp; Findings'!$G$40="W-Bound"),'RTF 1'!$D$8="W-Bound"),'RTF 1'!$M98,IF(AND(OR('Input &amp; Findings'!$G$39="W-Bound",'Input &amp; Findings'!$G$40="W-Bound"),'RTF 2'!$D$8="W-Bound"),'RTF 2'!$M98,'Data 15'!I189)),0)</f>
        <v>0</v>
      </c>
      <c r="J89" s="51">
        <f>'Data 15'!J189</f>
        <v>0</v>
      </c>
      <c r="K89" s="51">
        <f>'Data 15'!K189</f>
        <v>0</v>
      </c>
      <c r="L89" s="51">
        <f>'Data 15'!L189</f>
        <v>0</v>
      </c>
      <c r="M89" s="51">
        <f>'Data 15'!M189</f>
        <v>0</v>
      </c>
      <c r="N89" s="51">
        <f t="shared" si="5"/>
        <v>0</v>
      </c>
      <c r="O89" s="58">
        <f>'Data 15'!O189</f>
        <v>0.88541666666666696</v>
      </c>
      <c r="P89" s="51">
        <f>ROUNDUP(IF(AND(OR('Input &amp; Findings'!$G$39="N-Bound",'Input &amp; Findings'!$G$40="N-Bound"),'RTF 1'!$D$8="N-Bound"),'RTF 1'!$M98,IF(AND(OR('Input &amp; Findings'!$G$39="N-Bound",'Input &amp; Findings'!$G$40="N-Bound"),'RTF 2'!$D$8="N-Bound"),'RTF 2'!$M98,'Data 15'!P189)),0)</f>
        <v>0</v>
      </c>
      <c r="Q89" s="51">
        <f>'Data 15'!Q189</f>
        <v>0</v>
      </c>
      <c r="R89" s="51">
        <f>'Data 15'!R189</f>
        <v>0</v>
      </c>
      <c r="S89" s="51">
        <f>'Data 15'!S189</f>
        <v>0</v>
      </c>
      <c r="T89" s="51">
        <f>'Data 15'!T189</f>
        <v>0</v>
      </c>
      <c r="U89" s="51">
        <f t="shared" si="6"/>
        <v>0</v>
      </c>
      <c r="V89" s="58">
        <f>'Data 15'!V189</f>
        <v>0.88541666666666696</v>
      </c>
      <c r="W89" s="51">
        <f>ROUNDUP(IF(AND(OR('Input &amp; Findings'!$G$39="E-Bound",'Input &amp; Findings'!$G$40="E-Bound"),'RTF 1'!$D$8="E-Bound"),'RTF 1'!$M98,IF(AND(OR('Input &amp; Findings'!$G$39="E-Bound",'Input &amp; Findings'!$G$40="E-Bound"),'RTF 2'!$D$8="E-Bound"),'RTF 2'!$M98,'Data 15'!W189)),0)</f>
        <v>0</v>
      </c>
      <c r="X89" s="51">
        <f>'Data 15'!X189</f>
        <v>0</v>
      </c>
      <c r="Y89" s="51">
        <f>'Data 15'!Y189</f>
        <v>0</v>
      </c>
      <c r="Z89" s="51">
        <f>'Data 15'!Z189</f>
        <v>0</v>
      </c>
      <c r="AA89" s="51">
        <f>'Data 15'!AA189</f>
        <v>0</v>
      </c>
      <c r="AB89" s="51">
        <f t="shared" si="7"/>
        <v>0</v>
      </c>
      <c r="AC89" s="58">
        <f>'Data 15'!AC189</f>
        <v>0.88541666666666696</v>
      </c>
      <c r="AE89" s="57"/>
    </row>
    <row r="90" spans="1:31" x14ac:dyDescent="0.25">
      <c r="A90" s="58">
        <f>'Data 15'!A190</f>
        <v>0.89583333333333304</v>
      </c>
      <c r="B90" s="51">
        <f>ROUNDUP(IF(AND(OR('Input &amp; Findings'!$G$39="S-Bound",'Input &amp; Findings'!$G$40="S-Bound"),'RTF 1'!$D$8="S-Bound"),'RTF 1'!$M99,IF(AND(OR('Input &amp; Findings'!$G$39="S-Bound",'Input &amp; Findings'!$G$40="S-Bound"),'RTF 2'!$D$8="S-Bound"),'RTF 2'!$M99,'Data 15'!B190)),0)</f>
        <v>0</v>
      </c>
      <c r="C90" s="51">
        <f>'Data 15'!C190</f>
        <v>0</v>
      </c>
      <c r="D90" s="51">
        <f>'Data 15'!D190</f>
        <v>0</v>
      </c>
      <c r="E90" s="51">
        <f>'Data 15'!E190</f>
        <v>0</v>
      </c>
      <c r="F90" s="51">
        <f>'Data 15'!F190</f>
        <v>0</v>
      </c>
      <c r="G90" s="51">
        <f t="shared" si="4"/>
        <v>0</v>
      </c>
      <c r="H90" s="58">
        <f>'Data 15'!H190</f>
        <v>0.89583333333333304</v>
      </c>
      <c r="I90" s="51">
        <f>ROUNDUP(IF(AND(OR('Input &amp; Findings'!$G$39="W-Bound",'Input &amp; Findings'!$G$40="W-Bound"),'RTF 1'!$D$8="W-Bound"),'RTF 1'!$M99,IF(AND(OR('Input &amp; Findings'!$G$39="W-Bound",'Input &amp; Findings'!$G$40="W-Bound"),'RTF 2'!$D$8="W-Bound"),'RTF 2'!$M99,'Data 15'!I190)),0)</f>
        <v>0</v>
      </c>
      <c r="J90" s="51">
        <f>'Data 15'!J190</f>
        <v>0</v>
      </c>
      <c r="K90" s="51">
        <f>'Data 15'!K190</f>
        <v>0</v>
      </c>
      <c r="L90" s="51">
        <f>'Data 15'!L190</f>
        <v>0</v>
      </c>
      <c r="M90" s="51">
        <f>'Data 15'!M190</f>
        <v>0</v>
      </c>
      <c r="N90" s="51">
        <f t="shared" si="5"/>
        <v>0</v>
      </c>
      <c r="O90" s="58">
        <f>'Data 15'!O190</f>
        <v>0.89583333333333304</v>
      </c>
      <c r="P90" s="51">
        <f>ROUNDUP(IF(AND(OR('Input &amp; Findings'!$G$39="N-Bound",'Input &amp; Findings'!$G$40="N-Bound"),'RTF 1'!$D$8="N-Bound"),'RTF 1'!$M99,IF(AND(OR('Input &amp; Findings'!$G$39="N-Bound",'Input &amp; Findings'!$G$40="N-Bound"),'RTF 2'!$D$8="N-Bound"),'RTF 2'!$M99,'Data 15'!P190)),0)</f>
        <v>0</v>
      </c>
      <c r="Q90" s="51">
        <f>'Data 15'!Q190</f>
        <v>0</v>
      </c>
      <c r="R90" s="51">
        <f>'Data 15'!R190</f>
        <v>0</v>
      </c>
      <c r="S90" s="51">
        <f>'Data 15'!S190</f>
        <v>0</v>
      </c>
      <c r="T90" s="51">
        <f>'Data 15'!T190</f>
        <v>0</v>
      </c>
      <c r="U90" s="51">
        <f t="shared" si="6"/>
        <v>0</v>
      </c>
      <c r="V90" s="58">
        <f>'Data 15'!V190</f>
        <v>0.89583333333333304</v>
      </c>
      <c r="W90" s="51">
        <f>ROUNDUP(IF(AND(OR('Input &amp; Findings'!$G$39="E-Bound",'Input &amp; Findings'!$G$40="E-Bound"),'RTF 1'!$D$8="E-Bound"),'RTF 1'!$M99,IF(AND(OR('Input &amp; Findings'!$G$39="E-Bound",'Input &amp; Findings'!$G$40="E-Bound"),'RTF 2'!$D$8="E-Bound"),'RTF 2'!$M99,'Data 15'!W190)),0)</f>
        <v>0</v>
      </c>
      <c r="X90" s="51">
        <f>'Data 15'!X190</f>
        <v>0</v>
      </c>
      <c r="Y90" s="51">
        <f>'Data 15'!Y190</f>
        <v>0</v>
      </c>
      <c r="Z90" s="51">
        <f>'Data 15'!Z190</f>
        <v>0</v>
      </c>
      <c r="AA90" s="51">
        <f>'Data 15'!AA190</f>
        <v>0</v>
      </c>
      <c r="AB90" s="51">
        <f t="shared" si="7"/>
        <v>0</v>
      </c>
      <c r="AC90" s="58">
        <f>'Data 15'!AC190</f>
        <v>0.89583333333333304</v>
      </c>
      <c r="AE90" s="57"/>
    </row>
    <row r="91" spans="1:31" x14ac:dyDescent="0.25">
      <c r="A91" s="58">
        <f>'Data 15'!A191</f>
        <v>0.90625</v>
      </c>
      <c r="B91" s="51">
        <f>ROUNDUP(IF(AND(OR('Input &amp; Findings'!$G$39="S-Bound",'Input &amp; Findings'!$G$40="S-Bound"),'RTF 1'!$D$8="S-Bound"),'RTF 1'!$M100,IF(AND(OR('Input &amp; Findings'!$G$39="S-Bound",'Input &amp; Findings'!$G$40="S-Bound"),'RTF 2'!$D$8="S-Bound"),'RTF 2'!$M100,'Data 15'!B191)),0)</f>
        <v>0</v>
      </c>
      <c r="C91" s="51">
        <f>'Data 15'!C191</f>
        <v>0</v>
      </c>
      <c r="D91" s="51">
        <f>'Data 15'!D191</f>
        <v>0</v>
      </c>
      <c r="E91" s="51">
        <f>'Data 15'!E191</f>
        <v>0</v>
      </c>
      <c r="F91" s="51">
        <f>'Data 15'!F191</f>
        <v>0</v>
      </c>
      <c r="G91" s="51">
        <f t="shared" si="4"/>
        <v>0</v>
      </c>
      <c r="H91" s="58">
        <f>'Data 15'!H191</f>
        <v>0.90625</v>
      </c>
      <c r="I91" s="51">
        <f>ROUNDUP(IF(AND(OR('Input &amp; Findings'!$G$39="W-Bound",'Input &amp; Findings'!$G$40="W-Bound"),'RTF 1'!$D$8="W-Bound"),'RTF 1'!$M100,IF(AND(OR('Input &amp; Findings'!$G$39="W-Bound",'Input &amp; Findings'!$G$40="W-Bound"),'RTF 2'!$D$8="W-Bound"),'RTF 2'!$M100,'Data 15'!I191)),0)</f>
        <v>0</v>
      </c>
      <c r="J91" s="51">
        <f>'Data 15'!J191</f>
        <v>0</v>
      </c>
      <c r="K91" s="51">
        <f>'Data 15'!K191</f>
        <v>0</v>
      </c>
      <c r="L91" s="51">
        <f>'Data 15'!L191</f>
        <v>0</v>
      </c>
      <c r="M91" s="51">
        <f>'Data 15'!M191</f>
        <v>0</v>
      </c>
      <c r="N91" s="51">
        <f t="shared" si="5"/>
        <v>0</v>
      </c>
      <c r="O91" s="58">
        <f>'Data 15'!O191</f>
        <v>0.90625</v>
      </c>
      <c r="P91" s="51">
        <f>ROUNDUP(IF(AND(OR('Input &amp; Findings'!$G$39="N-Bound",'Input &amp; Findings'!$G$40="N-Bound"),'RTF 1'!$D$8="N-Bound"),'RTF 1'!$M100,IF(AND(OR('Input &amp; Findings'!$G$39="N-Bound",'Input &amp; Findings'!$G$40="N-Bound"),'RTF 2'!$D$8="N-Bound"),'RTF 2'!$M100,'Data 15'!P191)),0)</f>
        <v>0</v>
      </c>
      <c r="Q91" s="51">
        <f>'Data 15'!Q191</f>
        <v>0</v>
      </c>
      <c r="R91" s="51">
        <f>'Data 15'!R191</f>
        <v>0</v>
      </c>
      <c r="S91" s="51">
        <f>'Data 15'!S191</f>
        <v>0</v>
      </c>
      <c r="T91" s="51">
        <f>'Data 15'!T191</f>
        <v>0</v>
      </c>
      <c r="U91" s="51">
        <f t="shared" si="6"/>
        <v>0</v>
      </c>
      <c r="V91" s="58">
        <f>'Data 15'!V191</f>
        <v>0.90625</v>
      </c>
      <c r="W91" s="51">
        <f>ROUNDUP(IF(AND(OR('Input &amp; Findings'!$G$39="E-Bound",'Input &amp; Findings'!$G$40="E-Bound"),'RTF 1'!$D$8="E-Bound"),'RTF 1'!$M100,IF(AND(OR('Input &amp; Findings'!$G$39="E-Bound",'Input &amp; Findings'!$G$40="E-Bound"),'RTF 2'!$D$8="E-Bound"),'RTF 2'!$M100,'Data 15'!W191)),0)</f>
        <v>0</v>
      </c>
      <c r="X91" s="51">
        <f>'Data 15'!X191</f>
        <v>0</v>
      </c>
      <c r="Y91" s="51">
        <f>'Data 15'!Y191</f>
        <v>0</v>
      </c>
      <c r="Z91" s="51">
        <f>'Data 15'!Z191</f>
        <v>0</v>
      </c>
      <c r="AA91" s="51">
        <f>'Data 15'!AA191</f>
        <v>0</v>
      </c>
      <c r="AB91" s="51">
        <f t="shared" si="7"/>
        <v>0</v>
      </c>
      <c r="AC91" s="58">
        <f>'Data 15'!AC191</f>
        <v>0.90625</v>
      </c>
      <c r="AE91" s="57"/>
    </row>
    <row r="92" spans="1:31" x14ac:dyDescent="0.25">
      <c r="A92" s="58">
        <f>'Data 15'!A192</f>
        <v>0.91666666666666696</v>
      </c>
      <c r="B92" s="51">
        <f>ROUNDUP(IF(AND(OR('Input &amp; Findings'!$G$39="S-Bound",'Input &amp; Findings'!$G$40="S-Bound"),'RTF 1'!$D$8="S-Bound"),'RTF 1'!$M101,IF(AND(OR('Input &amp; Findings'!$G$39="S-Bound",'Input &amp; Findings'!$G$40="S-Bound"),'RTF 2'!$D$8="S-Bound"),'RTF 2'!$M101,'Data 15'!B192)),0)</f>
        <v>0</v>
      </c>
      <c r="C92" s="51">
        <f>'Data 15'!C192</f>
        <v>0</v>
      </c>
      <c r="D92" s="51">
        <f>'Data 15'!D192</f>
        <v>0</v>
      </c>
      <c r="E92" s="51">
        <f>'Data 15'!E192</f>
        <v>0</v>
      </c>
      <c r="F92" s="51">
        <f>'Data 15'!F192</f>
        <v>0</v>
      </c>
      <c r="G92" s="51">
        <f t="shared" si="4"/>
        <v>0</v>
      </c>
      <c r="H92" s="58">
        <f>'Data 15'!H192</f>
        <v>0.91666666666666696</v>
      </c>
      <c r="I92" s="51">
        <f>ROUNDUP(IF(AND(OR('Input &amp; Findings'!$G$39="W-Bound",'Input &amp; Findings'!$G$40="W-Bound"),'RTF 1'!$D$8="W-Bound"),'RTF 1'!$M101,IF(AND(OR('Input &amp; Findings'!$G$39="W-Bound",'Input &amp; Findings'!$G$40="W-Bound"),'RTF 2'!$D$8="W-Bound"),'RTF 2'!$M101,'Data 15'!I192)),0)</f>
        <v>0</v>
      </c>
      <c r="J92" s="51">
        <f>'Data 15'!J192</f>
        <v>0</v>
      </c>
      <c r="K92" s="51">
        <f>'Data 15'!K192</f>
        <v>0</v>
      </c>
      <c r="L92" s="51">
        <f>'Data 15'!L192</f>
        <v>0</v>
      </c>
      <c r="M92" s="51">
        <f>'Data 15'!M192</f>
        <v>0</v>
      </c>
      <c r="N92" s="51">
        <f t="shared" si="5"/>
        <v>0</v>
      </c>
      <c r="O92" s="58">
        <f>'Data 15'!O192</f>
        <v>0.91666666666666696</v>
      </c>
      <c r="P92" s="51">
        <f>ROUNDUP(IF(AND(OR('Input &amp; Findings'!$G$39="N-Bound",'Input &amp; Findings'!$G$40="N-Bound"),'RTF 1'!$D$8="N-Bound"),'RTF 1'!$M101,IF(AND(OR('Input &amp; Findings'!$G$39="N-Bound",'Input &amp; Findings'!$G$40="N-Bound"),'RTF 2'!$D$8="N-Bound"),'RTF 2'!$M101,'Data 15'!P192)),0)</f>
        <v>0</v>
      </c>
      <c r="Q92" s="51">
        <f>'Data 15'!Q192</f>
        <v>0</v>
      </c>
      <c r="R92" s="51">
        <f>'Data 15'!R192</f>
        <v>0</v>
      </c>
      <c r="S92" s="51">
        <f>'Data 15'!S192</f>
        <v>0</v>
      </c>
      <c r="T92" s="51">
        <f>'Data 15'!T192</f>
        <v>0</v>
      </c>
      <c r="U92" s="51">
        <f t="shared" si="6"/>
        <v>0</v>
      </c>
      <c r="V92" s="58">
        <f>'Data 15'!V192</f>
        <v>0.91666666666666696</v>
      </c>
      <c r="W92" s="51">
        <f>ROUNDUP(IF(AND(OR('Input &amp; Findings'!$G$39="E-Bound",'Input &amp; Findings'!$G$40="E-Bound"),'RTF 1'!$D$8="E-Bound"),'RTF 1'!$M101,IF(AND(OR('Input &amp; Findings'!$G$39="E-Bound",'Input &amp; Findings'!$G$40="E-Bound"),'RTF 2'!$D$8="E-Bound"),'RTF 2'!$M101,'Data 15'!W192)),0)</f>
        <v>0</v>
      </c>
      <c r="X92" s="51">
        <f>'Data 15'!X192</f>
        <v>0</v>
      </c>
      <c r="Y92" s="51">
        <f>'Data 15'!Y192</f>
        <v>0</v>
      </c>
      <c r="Z92" s="51">
        <f>'Data 15'!Z192</f>
        <v>0</v>
      </c>
      <c r="AA92" s="51">
        <f>'Data 15'!AA192</f>
        <v>0</v>
      </c>
      <c r="AB92" s="51">
        <f t="shared" si="7"/>
        <v>0</v>
      </c>
      <c r="AC92" s="58">
        <f>'Data 15'!AC192</f>
        <v>0.91666666666666696</v>
      </c>
      <c r="AE92" s="57"/>
    </row>
    <row r="93" spans="1:31" x14ac:dyDescent="0.25">
      <c r="A93" s="58">
        <f>'Data 15'!A193</f>
        <v>0.92708333333333304</v>
      </c>
      <c r="B93" s="51">
        <f>ROUNDUP(IF(AND(OR('Input &amp; Findings'!$G$39="S-Bound",'Input &amp; Findings'!$G$40="S-Bound"),'RTF 1'!$D$8="S-Bound"),'RTF 1'!$M102,IF(AND(OR('Input &amp; Findings'!$G$39="S-Bound",'Input &amp; Findings'!$G$40="S-Bound"),'RTF 2'!$D$8="S-Bound"),'RTF 2'!$M102,'Data 15'!B193)),0)</f>
        <v>0</v>
      </c>
      <c r="C93" s="51">
        <f>'Data 15'!C193</f>
        <v>0</v>
      </c>
      <c r="D93" s="51">
        <f>'Data 15'!D193</f>
        <v>0</v>
      </c>
      <c r="E93" s="51">
        <f>'Data 15'!E193</f>
        <v>0</v>
      </c>
      <c r="F93" s="51">
        <f>'Data 15'!F193</f>
        <v>0</v>
      </c>
      <c r="G93" s="51">
        <f t="shared" si="4"/>
        <v>0</v>
      </c>
      <c r="H93" s="58">
        <f>'Data 15'!H193</f>
        <v>0.92708333333333304</v>
      </c>
      <c r="I93" s="51">
        <f>ROUNDUP(IF(AND(OR('Input &amp; Findings'!$G$39="W-Bound",'Input &amp; Findings'!$G$40="W-Bound"),'RTF 1'!$D$8="W-Bound"),'RTF 1'!$M102,IF(AND(OR('Input &amp; Findings'!$G$39="W-Bound",'Input &amp; Findings'!$G$40="W-Bound"),'RTF 2'!$D$8="W-Bound"),'RTF 2'!$M102,'Data 15'!I193)),0)</f>
        <v>0</v>
      </c>
      <c r="J93" s="51">
        <f>'Data 15'!J193</f>
        <v>0</v>
      </c>
      <c r="K93" s="51">
        <f>'Data 15'!K193</f>
        <v>0</v>
      </c>
      <c r="L93" s="51">
        <f>'Data 15'!L193</f>
        <v>0</v>
      </c>
      <c r="M93" s="51">
        <f>'Data 15'!M193</f>
        <v>0</v>
      </c>
      <c r="N93" s="51">
        <f t="shared" si="5"/>
        <v>0</v>
      </c>
      <c r="O93" s="58">
        <f>'Data 15'!O193</f>
        <v>0.92708333333333304</v>
      </c>
      <c r="P93" s="51">
        <f>ROUNDUP(IF(AND(OR('Input &amp; Findings'!$G$39="N-Bound",'Input &amp; Findings'!$G$40="N-Bound"),'RTF 1'!$D$8="N-Bound"),'RTF 1'!$M102,IF(AND(OR('Input &amp; Findings'!$G$39="N-Bound",'Input &amp; Findings'!$G$40="N-Bound"),'RTF 2'!$D$8="N-Bound"),'RTF 2'!$M102,'Data 15'!P193)),0)</f>
        <v>0</v>
      </c>
      <c r="Q93" s="51">
        <f>'Data 15'!Q193</f>
        <v>0</v>
      </c>
      <c r="R93" s="51">
        <f>'Data 15'!R193</f>
        <v>0</v>
      </c>
      <c r="S93" s="51">
        <f>'Data 15'!S193</f>
        <v>0</v>
      </c>
      <c r="T93" s="51">
        <f>'Data 15'!T193</f>
        <v>0</v>
      </c>
      <c r="U93" s="51">
        <f t="shared" si="6"/>
        <v>0</v>
      </c>
      <c r="V93" s="58">
        <f>'Data 15'!V193</f>
        <v>0.92708333333333304</v>
      </c>
      <c r="W93" s="51">
        <f>ROUNDUP(IF(AND(OR('Input &amp; Findings'!$G$39="E-Bound",'Input &amp; Findings'!$G$40="E-Bound"),'RTF 1'!$D$8="E-Bound"),'RTF 1'!$M102,IF(AND(OR('Input &amp; Findings'!$G$39="E-Bound",'Input &amp; Findings'!$G$40="E-Bound"),'RTF 2'!$D$8="E-Bound"),'RTF 2'!$M102,'Data 15'!W193)),0)</f>
        <v>0</v>
      </c>
      <c r="X93" s="51">
        <f>'Data 15'!X193</f>
        <v>0</v>
      </c>
      <c r="Y93" s="51">
        <f>'Data 15'!Y193</f>
        <v>0</v>
      </c>
      <c r="Z93" s="51">
        <f>'Data 15'!Z193</f>
        <v>0</v>
      </c>
      <c r="AA93" s="51">
        <f>'Data 15'!AA193</f>
        <v>0</v>
      </c>
      <c r="AB93" s="51">
        <f t="shared" si="7"/>
        <v>0</v>
      </c>
      <c r="AC93" s="58">
        <f>'Data 15'!AC193</f>
        <v>0.92708333333333304</v>
      </c>
      <c r="AE93" s="57"/>
    </row>
    <row r="94" spans="1:31" x14ac:dyDescent="0.25">
      <c r="A94" s="58">
        <f>'Data 15'!A194</f>
        <v>0.9375</v>
      </c>
      <c r="B94" s="51">
        <f>ROUNDUP(IF(AND(OR('Input &amp; Findings'!$G$39="S-Bound",'Input &amp; Findings'!$G$40="S-Bound"),'RTF 1'!$D$8="S-Bound"),'RTF 1'!$M103,IF(AND(OR('Input &amp; Findings'!$G$39="S-Bound",'Input &amp; Findings'!$G$40="S-Bound"),'RTF 2'!$D$8="S-Bound"),'RTF 2'!$M103,'Data 15'!B194)),0)</f>
        <v>0</v>
      </c>
      <c r="C94" s="51">
        <f>'Data 15'!C194</f>
        <v>0</v>
      </c>
      <c r="D94" s="51">
        <f>'Data 15'!D194</f>
        <v>0</v>
      </c>
      <c r="E94" s="51">
        <f>'Data 15'!E194</f>
        <v>0</v>
      </c>
      <c r="F94" s="51">
        <f>'Data 15'!F194</f>
        <v>0</v>
      </c>
      <c r="G94" s="51">
        <f t="shared" si="4"/>
        <v>0</v>
      </c>
      <c r="H94" s="58">
        <f>'Data 15'!H194</f>
        <v>0.9375</v>
      </c>
      <c r="I94" s="51">
        <f>ROUNDUP(IF(AND(OR('Input &amp; Findings'!$G$39="W-Bound",'Input &amp; Findings'!$G$40="W-Bound"),'RTF 1'!$D$8="W-Bound"),'RTF 1'!$M103,IF(AND(OR('Input &amp; Findings'!$G$39="W-Bound",'Input &amp; Findings'!$G$40="W-Bound"),'RTF 2'!$D$8="W-Bound"),'RTF 2'!$M103,'Data 15'!I194)),0)</f>
        <v>0</v>
      </c>
      <c r="J94" s="51">
        <f>'Data 15'!J194</f>
        <v>0</v>
      </c>
      <c r="K94" s="51">
        <f>'Data 15'!K194</f>
        <v>0</v>
      </c>
      <c r="L94" s="51">
        <f>'Data 15'!L194</f>
        <v>0</v>
      </c>
      <c r="M94" s="51">
        <f>'Data 15'!M194</f>
        <v>0</v>
      </c>
      <c r="N94" s="51">
        <f t="shared" si="5"/>
        <v>0</v>
      </c>
      <c r="O94" s="58">
        <f>'Data 15'!O194</f>
        <v>0.9375</v>
      </c>
      <c r="P94" s="51">
        <f>ROUNDUP(IF(AND(OR('Input &amp; Findings'!$G$39="N-Bound",'Input &amp; Findings'!$G$40="N-Bound"),'RTF 1'!$D$8="N-Bound"),'RTF 1'!$M103,IF(AND(OR('Input &amp; Findings'!$G$39="N-Bound",'Input &amp; Findings'!$G$40="N-Bound"),'RTF 2'!$D$8="N-Bound"),'RTF 2'!$M103,'Data 15'!P194)),0)</f>
        <v>0</v>
      </c>
      <c r="Q94" s="51">
        <f>'Data 15'!Q194</f>
        <v>0</v>
      </c>
      <c r="R94" s="51">
        <f>'Data 15'!R194</f>
        <v>0</v>
      </c>
      <c r="S94" s="51">
        <f>'Data 15'!S194</f>
        <v>0</v>
      </c>
      <c r="T94" s="51">
        <f>'Data 15'!T194</f>
        <v>0</v>
      </c>
      <c r="U94" s="51">
        <f t="shared" si="6"/>
        <v>0</v>
      </c>
      <c r="V94" s="58">
        <f>'Data 15'!V194</f>
        <v>0.9375</v>
      </c>
      <c r="W94" s="51">
        <f>ROUNDUP(IF(AND(OR('Input &amp; Findings'!$G$39="E-Bound",'Input &amp; Findings'!$G$40="E-Bound"),'RTF 1'!$D$8="E-Bound"),'RTF 1'!$M103,IF(AND(OR('Input &amp; Findings'!$G$39="E-Bound",'Input &amp; Findings'!$G$40="E-Bound"),'RTF 2'!$D$8="E-Bound"),'RTF 2'!$M103,'Data 15'!W194)),0)</f>
        <v>0</v>
      </c>
      <c r="X94" s="51">
        <f>'Data 15'!X194</f>
        <v>0</v>
      </c>
      <c r="Y94" s="51">
        <f>'Data 15'!Y194</f>
        <v>0</v>
      </c>
      <c r="Z94" s="51">
        <f>'Data 15'!Z194</f>
        <v>0</v>
      </c>
      <c r="AA94" s="51">
        <f>'Data 15'!AA194</f>
        <v>0</v>
      </c>
      <c r="AB94" s="51">
        <f t="shared" si="7"/>
        <v>0</v>
      </c>
      <c r="AC94" s="58">
        <f>'Data 15'!AC194</f>
        <v>0.9375</v>
      </c>
      <c r="AE94" s="57"/>
    </row>
    <row r="95" spans="1:31" x14ac:dyDescent="0.25">
      <c r="A95" s="58">
        <f>'Data 15'!A195</f>
        <v>0.94791666666666696</v>
      </c>
      <c r="B95" s="51">
        <f>ROUNDUP(IF(AND(OR('Input &amp; Findings'!$G$39="S-Bound",'Input &amp; Findings'!$G$40="S-Bound"),'RTF 1'!$D$8="S-Bound"),'RTF 1'!$M104,IF(AND(OR('Input &amp; Findings'!$G$39="S-Bound",'Input &amp; Findings'!$G$40="S-Bound"),'RTF 2'!$D$8="S-Bound"),'RTF 2'!$M104,'Data 15'!B195)),0)</f>
        <v>0</v>
      </c>
      <c r="C95" s="51">
        <f>'Data 15'!C195</f>
        <v>0</v>
      </c>
      <c r="D95" s="51">
        <f>'Data 15'!D195</f>
        <v>0</v>
      </c>
      <c r="E95" s="51">
        <f>'Data 15'!E195</f>
        <v>0</v>
      </c>
      <c r="F95" s="51">
        <f>'Data 15'!F195</f>
        <v>0</v>
      </c>
      <c r="G95" s="51">
        <f t="shared" si="4"/>
        <v>0</v>
      </c>
      <c r="H95" s="58">
        <f>'Data 15'!H195</f>
        <v>0.94791666666666696</v>
      </c>
      <c r="I95" s="51">
        <f>ROUNDUP(IF(AND(OR('Input &amp; Findings'!$G$39="W-Bound",'Input &amp; Findings'!$G$40="W-Bound"),'RTF 1'!$D$8="W-Bound"),'RTF 1'!$M104,IF(AND(OR('Input &amp; Findings'!$G$39="W-Bound",'Input &amp; Findings'!$G$40="W-Bound"),'RTF 2'!$D$8="W-Bound"),'RTF 2'!$M104,'Data 15'!I195)),0)</f>
        <v>0</v>
      </c>
      <c r="J95" s="51">
        <f>'Data 15'!J195</f>
        <v>0</v>
      </c>
      <c r="K95" s="51">
        <f>'Data 15'!K195</f>
        <v>0</v>
      </c>
      <c r="L95" s="51">
        <f>'Data 15'!L195</f>
        <v>0</v>
      </c>
      <c r="M95" s="51">
        <f>'Data 15'!M195</f>
        <v>0</v>
      </c>
      <c r="N95" s="51">
        <f t="shared" si="5"/>
        <v>0</v>
      </c>
      <c r="O95" s="58">
        <f>'Data 15'!O195</f>
        <v>0.94791666666666696</v>
      </c>
      <c r="P95" s="51">
        <f>ROUNDUP(IF(AND(OR('Input &amp; Findings'!$G$39="N-Bound",'Input &amp; Findings'!$G$40="N-Bound"),'RTF 1'!$D$8="N-Bound"),'RTF 1'!$M104,IF(AND(OR('Input &amp; Findings'!$G$39="N-Bound",'Input &amp; Findings'!$G$40="N-Bound"),'RTF 2'!$D$8="N-Bound"),'RTF 2'!$M104,'Data 15'!P195)),0)</f>
        <v>0</v>
      </c>
      <c r="Q95" s="51">
        <f>'Data 15'!Q195</f>
        <v>0</v>
      </c>
      <c r="R95" s="51">
        <f>'Data 15'!R195</f>
        <v>0</v>
      </c>
      <c r="S95" s="51">
        <f>'Data 15'!S195</f>
        <v>0</v>
      </c>
      <c r="T95" s="51">
        <f>'Data 15'!T195</f>
        <v>0</v>
      </c>
      <c r="U95" s="51">
        <f t="shared" si="6"/>
        <v>0</v>
      </c>
      <c r="V95" s="58">
        <f>'Data 15'!V195</f>
        <v>0.94791666666666696</v>
      </c>
      <c r="W95" s="51">
        <f>ROUNDUP(IF(AND(OR('Input &amp; Findings'!$G$39="E-Bound",'Input &amp; Findings'!$G$40="E-Bound"),'RTF 1'!$D$8="E-Bound"),'RTF 1'!$M104,IF(AND(OR('Input &amp; Findings'!$G$39="E-Bound",'Input &amp; Findings'!$G$40="E-Bound"),'RTF 2'!$D$8="E-Bound"),'RTF 2'!$M104,'Data 15'!W195)),0)</f>
        <v>0</v>
      </c>
      <c r="X95" s="51">
        <f>'Data 15'!X195</f>
        <v>0</v>
      </c>
      <c r="Y95" s="51">
        <f>'Data 15'!Y195</f>
        <v>0</v>
      </c>
      <c r="Z95" s="51">
        <f>'Data 15'!Z195</f>
        <v>0</v>
      </c>
      <c r="AA95" s="51">
        <f>'Data 15'!AA195</f>
        <v>0</v>
      </c>
      <c r="AB95" s="51">
        <f t="shared" si="7"/>
        <v>0</v>
      </c>
      <c r="AC95" s="58">
        <f>'Data 15'!AC195</f>
        <v>0.94791666666666696</v>
      </c>
      <c r="AE95" s="57"/>
    </row>
    <row r="96" spans="1:31" x14ac:dyDescent="0.25">
      <c r="A96" s="58">
        <f>'Data 15'!A196</f>
        <v>0.95833333333333304</v>
      </c>
      <c r="B96" s="51">
        <f>ROUNDUP(IF(AND(OR('Input &amp; Findings'!$G$39="S-Bound",'Input &amp; Findings'!$G$40="S-Bound"),'RTF 1'!$D$8="S-Bound"),'RTF 1'!$M105,IF(AND(OR('Input &amp; Findings'!$G$39="S-Bound",'Input &amp; Findings'!$G$40="S-Bound"),'RTF 2'!$D$8="S-Bound"),'RTF 2'!$M105,'Data 15'!B196)),0)</f>
        <v>0</v>
      </c>
      <c r="C96" s="51">
        <f>'Data 15'!C196</f>
        <v>0</v>
      </c>
      <c r="D96" s="51">
        <f>'Data 15'!D196</f>
        <v>0</v>
      </c>
      <c r="E96" s="51">
        <f>'Data 15'!E196</f>
        <v>0</v>
      </c>
      <c r="F96" s="51">
        <f>'Data 15'!F196</f>
        <v>0</v>
      </c>
      <c r="G96" s="51">
        <f t="shared" si="4"/>
        <v>0</v>
      </c>
      <c r="H96" s="58">
        <f>'Data 15'!H196</f>
        <v>0.95833333333333304</v>
      </c>
      <c r="I96" s="51">
        <f>ROUNDUP(IF(AND(OR('Input &amp; Findings'!$G$39="W-Bound",'Input &amp; Findings'!$G$40="W-Bound"),'RTF 1'!$D$8="W-Bound"),'RTF 1'!$M105,IF(AND(OR('Input &amp; Findings'!$G$39="W-Bound",'Input &amp; Findings'!$G$40="W-Bound"),'RTF 2'!$D$8="W-Bound"),'RTF 2'!$M105,'Data 15'!I196)),0)</f>
        <v>0</v>
      </c>
      <c r="J96" s="51">
        <f>'Data 15'!J196</f>
        <v>0</v>
      </c>
      <c r="K96" s="51">
        <f>'Data 15'!K196</f>
        <v>0</v>
      </c>
      <c r="L96" s="51">
        <f>'Data 15'!L196</f>
        <v>0</v>
      </c>
      <c r="M96" s="51">
        <f>'Data 15'!M196</f>
        <v>0</v>
      </c>
      <c r="N96" s="51">
        <f t="shared" si="5"/>
        <v>0</v>
      </c>
      <c r="O96" s="58">
        <f>'Data 15'!O196</f>
        <v>0.95833333333333304</v>
      </c>
      <c r="P96" s="51">
        <f>ROUNDUP(IF(AND(OR('Input &amp; Findings'!$G$39="N-Bound",'Input &amp; Findings'!$G$40="N-Bound"),'RTF 1'!$D$8="N-Bound"),'RTF 1'!$M105,IF(AND(OR('Input &amp; Findings'!$G$39="N-Bound",'Input &amp; Findings'!$G$40="N-Bound"),'RTF 2'!$D$8="N-Bound"),'RTF 2'!$M105,'Data 15'!P196)),0)</f>
        <v>0</v>
      </c>
      <c r="Q96" s="51">
        <f>'Data 15'!Q196</f>
        <v>0</v>
      </c>
      <c r="R96" s="51">
        <f>'Data 15'!R196</f>
        <v>0</v>
      </c>
      <c r="S96" s="51">
        <f>'Data 15'!S196</f>
        <v>0</v>
      </c>
      <c r="T96" s="51">
        <f>'Data 15'!T196</f>
        <v>0</v>
      </c>
      <c r="U96" s="51">
        <f t="shared" si="6"/>
        <v>0</v>
      </c>
      <c r="V96" s="58">
        <f>'Data 15'!V196</f>
        <v>0.95833333333333304</v>
      </c>
      <c r="W96" s="51">
        <f>ROUNDUP(IF(AND(OR('Input &amp; Findings'!$G$39="E-Bound",'Input &amp; Findings'!$G$40="E-Bound"),'RTF 1'!$D$8="E-Bound"),'RTF 1'!$M105,IF(AND(OR('Input &amp; Findings'!$G$39="E-Bound",'Input &amp; Findings'!$G$40="E-Bound"),'RTF 2'!$D$8="E-Bound"),'RTF 2'!$M105,'Data 15'!W196)),0)</f>
        <v>0</v>
      </c>
      <c r="X96" s="51">
        <f>'Data 15'!X196</f>
        <v>0</v>
      </c>
      <c r="Y96" s="51">
        <f>'Data 15'!Y196</f>
        <v>0</v>
      </c>
      <c r="Z96" s="51">
        <f>'Data 15'!Z196</f>
        <v>0</v>
      </c>
      <c r="AA96" s="51">
        <f>'Data 15'!AA196</f>
        <v>0</v>
      </c>
      <c r="AB96" s="51">
        <f t="shared" si="7"/>
        <v>0</v>
      </c>
      <c r="AC96" s="58">
        <f>'Data 15'!AC196</f>
        <v>0.95833333333333304</v>
      </c>
      <c r="AE96" s="57"/>
    </row>
    <row r="97" spans="1:31" x14ac:dyDescent="0.25">
      <c r="A97" s="58">
        <f>'Data 15'!A197</f>
        <v>0.96875</v>
      </c>
      <c r="B97" s="51">
        <f>ROUNDUP(IF(AND(OR('Input &amp; Findings'!$G$39="S-Bound",'Input &amp; Findings'!$G$40="S-Bound"),'RTF 1'!$D$8="S-Bound"),'RTF 1'!$M106,IF(AND(OR('Input &amp; Findings'!$G$39="S-Bound",'Input &amp; Findings'!$G$40="S-Bound"),'RTF 2'!$D$8="S-Bound"),'RTF 2'!$M106,'Data 15'!B197)),0)</f>
        <v>0</v>
      </c>
      <c r="C97" s="51">
        <f>'Data 15'!C197</f>
        <v>0</v>
      </c>
      <c r="D97" s="51">
        <f>'Data 15'!D197</f>
        <v>0</v>
      </c>
      <c r="E97" s="51">
        <f>'Data 15'!E197</f>
        <v>0</v>
      </c>
      <c r="F97" s="51">
        <f>'Data 15'!F197</f>
        <v>0</v>
      </c>
      <c r="G97" s="51">
        <f t="shared" si="4"/>
        <v>0</v>
      </c>
      <c r="H97" s="58">
        <f>'Data 15'!H197</f>
        <v>0.96875</v>
      </c>
      <c r="I97" s="51">
        <f>ROUNDUP(IF(AND(OR('Input &amp; Findings'!$G$39="W-Bound",'Input &amp; Findings'!$G$40="W-Bound"),'RTF 1'!$D$8="W-Bound"),'RTF 1'!$M106,IF(AND(OR('Input &amp; Findings'!$G$39="W-Bound",'Input &amp; Findings'!$G$40="W-Bound"),'RTF 2'!$D$8="W-Bound"),'RTF 2'!$M106,'Data 15'!I197)),0)</f>
        <v>0</v>
      </c>
      <c r="J97" s="51">
        <f>'Data 15'!J197</f>
        <v>0</v>
      </c>
      <c r="K97" s="51">
        <f>'Data 15'!K197</f>
        <v>0</v>
      </c>
      <c r="L97" s="51">
        <f>'Data 15'!L197</f>
        <v>0</v>
      </c>
      <c r="M97" s="51">
        <f>'Data 15'!M197</f>
        <v>0</v>
      </c>
      <c r="N97" s="51">
        <f t="shared" si="5"/>
        <v>0</v>
      </c>
      <c r="O97" s="58">
        <f>'Data 15'!O197</f>
        <v>0.96875</v>
      </c>
      <c r="P97" s="51">
        <f>ROUNDUP(IF(AND(OR('Input &amp; Findings'!$G$39="N-Bound",'Input &amp; Findings'!$G$40="N-Bound"),'RTF 1'!$D$8="N-Bound"),'RTF 1'!$M106,IF(AND(OR('Input &amp; Findings'!$G$39="N-Bound",'Input &amp; Findings'!$G$40="N-Bound"),'RTF 2'!$D$8="N-Bound"),'RTF 2'!$M106,'Data 15'!P197)),0)</f>
        <v>0</v>
      </c>
      <c r="Q97" s="51">
        <f>'Data 15'!Q197</f>
        <v>0</v>
      </c>
      <c r="R97" s="51">
        <f>'Data 15'!R197</f>
        <v>0</v>
      </c>
      <c r="S97" s="51">
        <f>'Data 15'!S197</f>
        <v>0</v>
      </c>
      <c r="T97" s="51">
        <f>'Data 15'!T197</f>
        <v>0</v>
      </c>
      <c r="U97" s="51">
        <f t="shared" si="6"/>
        <v>0</v>
      </c>
      <c r="V97" s="58">
        <f>'Data 15'!V197</f>
        <v>0.96875</v>
      </c>
      <c r="W97" s="51">
        <f>ROUNDUP(IF(AND(OR('Input &amp; Findings'!$G$39="E-Bound",'Input &amp; Findings'!$G$40="E-Bound"),'RTF 1'!$D$8="E-Bound"),'RTF 1'!$M106,IF(AND(OR('Input &amp; Findings'!$G$39="E-Bound",'Input &amp; Findings'!$G$40="E-Bound"),'RTF 2'!$D$8="E-Bound"),'RTF 2'!$M106,'Data 15'!W197)),0)</f>
        <v>0</v>
      </c>
      <c r="X97" s="51">
        <f>'Data 15'!X197</f>
        <v>0</v>
      </c>
      <c r="Y97" s="51">
        <f>'Data 15'!Y197</f>
        <v>0</v>
      </c>
      <c r="Z97" s="51">
        <f>'Data 15'!Z197</f>
        <v>0</v>
      </c>
      <c r="AA97" s="51">
        <f>'Data 15'!AA197</f>
        <v>0</v>
      </c>
      <c r="AB97" s="51">
        <f t="shared" si="7"/>
        <v>0</v>
      </c>
      <c r="AC97" s="58">
        <f>'Data 15'!AC197</f>
        <v>0.96875</v>
      </c>
      <c r="AE97" s="57"/>
    </row>
    <row r="98" spans="1:31" x14ac:dyDescent="0.25">
      <c r="A98" s="58">
        <f>'Data 15'!A198</f>
        <v>0.97916666666666696</v>
      </c>
      <c r="B98" s="51">
        <f>ROUNDUP(IF(AND(OR('Input &amp; Findings'!$G$39="S-Bound",'Input &amp; Findings'!$G$40="S-Bound"),'RTF 1'!$D$8="S-Bound"),'RTF 1'!$M107,IF(AND(OR('Input &amp; Findings'!$G$39="S-Bound",'Input &amp; Findings'!$G$40="S-Bound"),'RTF 2'!$D$8="S-Bound"),'RTF 2'!$M107,'Data 15'!B198)),0)</f>
        <v>0</v>
      </c>
      <c r="C98" s="51">
        <f>'Data 15'!C198</f>
        <v>0</v>
      </c>
      <c r="D98" s="51">
        <f>'Data 15'!D198</f>
        <v>0</v>
      </c>
      <c r="E98" s="51">
        <f>'Data 15'!E198</f>
        <v>0</v>
      </c>
      <c r="F98" s="51">
        <f>'Data 15'!F198</f>
        <v>0</v>
      </c>
      <c r="G98" s="51">
        <f t="shared" si="4"/>
        <v>0</v>
      </c>
      <c r="H98" s="58">
        <f>'Data 15'!H198</f>
        <v>0.97916666666666696</v>
      </c>
      <c r="I98" s="51">
        <f>ROUNDUP(IF(AND(OR('Input &amp; Findings'!$G$39="W-Bound",'Input &amp; Findings'!$G$40="W-Bound"),'RTF 1'!$D$8="W-Bound"),'RTF 1'!$M107,IF(AND(OR('Input &amp; Findings'!$G$39="W-Bound",'Input &amp; Findings'!$G$40="W-Bound"),'RTF 2'!$D$8="W-Bound"),'RTF 2'!$M107,'Data 15'!I198)),0)</f>
        <v>0</v>
      </c>
      <c r="J98" s="51">
        <f>'Data 15'!J198</f>
        <v>0</v>
      </c>
      <c r="K98" s="51">
        <f>'Data 15'!K198</f>
        <v>0</v>
      </c>
      <c r="L98" s="51">
        <f>'Data 15'!L198</f>
        <v>0</v>
      </c>
      <c r="M98" s="51">
        <f>'Data 15'!M198</f>
        <v>0</v>
      </c>
      <c r="N98" s="51">
        <f t="shared" si="5"/>
        <v>0</v>
      </c>
      <c r="O98" s="58">
        <f>'Data 15'!O198</f>
        <v>0.97916666666666696</v>
      </c>
      <c r="P98" s="51">
        <f>ROUNDUP(IF(AND(OR('Input &amp; Findings'!$G$39="N-Bound",'Input &amp; Findings'!$G$40="N-Bound"),'RTF 1'!$D$8="N-Bound"),'RTF 1'!$M107,IF(AND(OR('Input &amp; Findings'!$G$39="N-Bound",'Input &amp; Findings'!$G$40="N-Bound"),'RTF 2'!$D$8="N-Bound"),'RTF 2'!$M107,'Data 15'!P198)),0)</f>
        <v>0</v>
      </c>
      <c r="Q98" s="51">
        <f>'Data 15'!Q198</f>
        <v>0</v>
      </c>
      <c r="R98" s="51">
        <f>'Data 15'!R198</f>
        <v>0</v>
      </c>
      <c r="S98" s="51">
        <f>'Data 15'!S198</f>
        <v>0</v>
      </c>
      <c r="T98" s="51">
        <f>'Data 15'!T198</f>
        <v>0</v>
      </c>
      <c r="U98" s="51">
        <f t="shared" si="6"/>
        <v>0</v>
      </c>
      <c r="V98" s="58">
        <f>'Data 15'!V198</f>
        <v>0.97916666666666696</v>
      </c>
      <c r="W98" s="51">
        <f>ROUNDUP(IF(AND(OR('Input &amp; Findings'!$G$39="E-Bound",'Input &amp; Findings'!$G$40="E-Bound"),'RTF 1'!$D$8="E-Bound"),'RTF 1'!$M107,IF(AND(OR('Input &amp; Findings'!$G$39="E-Bound",'Input &amp; Findings'!$G$40="E-Bound"),'RTF 2'!$D$8="E-Bound"),'RTF 2'!$M107,'Data 15'!W198)),0)</f>
        <v>0</v>
      </c>
      <c r="X98" s="51">
        <f>'Data 15'!X198</f>
        <v>0</v>
      </c>
      <c r="Y98" s="51">
        <f>'Data 15'!Y198</f>
        <v>0</v>
      </c>
      <c r="Z98" s="51">
        <f>'Data 15'!Z198</f>
        <v>0</v>
      </c>
      <c r="AA98" s="51">
        <f>'Data 15'!AA198</f>
        <v>0</v>
      </c>
      <c r="AB98" s="51">
        <f t="shared" si="7"/>
        <v>0</v>
      </c>
      <c r="AC98" s="58">
        <f>'Data 15'!AC198</f>
        <v>0.97916666666666696</v>
      </c>
      <c r="AE98" s="57"/>
    </row>
    <row r="99" spans="1:31" x14ac:dyDescent="0.25">
      <c r="A99" s="58">
        <f>'Data 15'!A199</f>
        <v>0.98958333333333304</v>
      </c>
      <c r="B99" s="51">
        <f>ROUNDUP(IF(AND(OR('Input &amp; Findings'!$G$39="S-Bound",'Input &amp; Findings'!$G$40="S-Bound"),'RTF 1'!$D$8="S-Bound"),'RTF 1'!$M108,IF(AND(OR('Input &amp; Findings'!$G$39="S-Bound",'Input &amp; Findings'!$G$40="S-Bound"),'RTF 2'!$D$8="S-Bound"),'RTF 2'!$M108,'Data 15'!B199)),0)</f>
        <v>0</v>
      </c>
      <c r="C99" s="51">
        <f>'Data 15'!C199</f>
        <v>0</v>
      </c>
      <c r="D99" s="51">
        <f>'Data 15'!D199</f>
        <v>0</v>
      </c>
      <c r="E99" s="51">
        <f>'Data 15'!E199</f>
        <v>0</v>
      </c>
      <c r="F99" s="51">
        <f>'Data 15'!F199</f>
        <v>0</v>
      </c>
      <c r="G99" s="51">
        <f t="shared" si="4"/>
        <v>0</v>
      </c>
      <c r="H99" s="58">
        <f>'Data 15'!H199</f>
        <v>0.98958333333333304</v>
      </c>
      <c r="I99" s="51">
        <f>ROUNDUP(IF(AND(OR('Input &amp; Findings'!$G$39="W-Bound",'Input &amp; Findings'!$G$40="W-Bound"),'RTF 1'!$D$8="W-Bound"),'RTF 1'!$M108,IF(AND(OR('Input &amp; Findings'!$G$39="W-Bound",'Input &amp; Findings'!$G$40="W-Bound"),'RTF 2'!$D$8="W-Bound"),'RTF 2'!$M108,'Data 15'!I199)),0)</f>
        <v>0</v>
      </c>
      <c r="J99" s="51">
        <f>'Data 15'!J199</f>
        <v>0</v>
      </c>
      <c r="K99" s="51">
        <f>'Data 15'!K199</f>
        <v>0</v>
      </c>
      <c r="L99" s="51">
        <f>'Data 15'!L199</f>
        <v>0</v>
      </c>
      <c r="M99" s="51">
        <f>'Data 15'!M199</f>
        <v>0</v>
      </c>
      <c r="N99" s="51">
        <f t="shared" si="5"/>
        <v>0</v>
      </c>
      <c r="O99" s="58">
        <f>'Data 15'!O199</f>
        <v>0.98958333333333304</v>
      </c>
      <c r="P99" s="51">
        <f>ROUNDUP(IF(AND(OR('Input &amp; Findings'!$G$39="N-Bound",'Input &amp; Findings'!$G$40="N-Bound"),'RTF 1'!$D$8="N-Bound"),'RTF 1'!$M108,IF(AND(OR('Input &amp; Findings'!$G$39="N-Bound",'Input &amp; Findings'!$G$40="N-Bound"),'RTF 2'!$D$8="N-Bound"),'RTF 2'!$M108,'Data 15'!P199)),0)</f>
        <v>0</v>
      </c>
      <c r="Q99" s="51">
        <f>'Data 15'!Q199</f>
        <v>0</v>
      </c>
      <c r="R99" s="51">
        <f>'Data 15'!R199</f>
        <v>0</v>
      </c>
      <c r="S99" s="51">
        <f>'Data 15'!S199</f>
        <v>0</v>
      </c>
      <c r="T99" s="51">
        <f>'Data 15'!T199</f>
        <v>0</v>
      </c>
      <c r="U99" s="51">
        <f t="shared" si="6"/>
        <v>0</v>
      </c>
      <c r="V99" s="58">
        <f>'Data 15'!V199</f>
        <v>0.98958333333333304</v>
      </c>
      <c r="W99" s="51">
        <f>ROUNDUP(IF(AND(OR('Input &amp; Findings'!$G$39="E-Bound",'Input &amp; Findings'!$G$40="E-Bound"),'RTF 1'!$D$8="E-Bound"),'RTF 1'!$M108,IF(AND(OR('Input &amp; Findings'!$G$39="E-Bound",'Input &amp; Findings'!$G$40="E-Bound"),'RTF 2'!$D$8="E-Bound"),'RTF 2'!$M108,'Data 15'!W199)),0)</f>
        <v>0</v>
      </c>
      <c r="X99" s="51">
        <f>'Data 15'!X199</f>
        <v>0</v>
      </c>
      <c r="Y99" s="51">
        <f>'Data 15'!Y199</f>
        <v>0</v>
      </c>
      <c r="Z99" s="51">
        <f>'Data 15'!Z199</f>
        <v>0</v>
      </c>
      <c r="AA99" s="51">
        <f>'Data 15'!AA199</f>
        <v>0</v>
      </c>
      <c r="AB99" s="51">
        <f t="shared" si="7"/>
        <v>0</v>
      </c>
      <c r="AC99" s="58">
        <f>'Data 15'!AC199</f>
        <v>0.98958333333333304</v>
      </c>
      <c r="AE99" s="57"/>
    </row>
    <row r="102" spans="1:31" x14ac:dyDescent="0.25">
      <c r="A102" s="59" t="s">
        <v>220</v>
      </c>
      <c r="B102" s="58">
        <f>VLOOKUP(MAX(B4:B99),B$4:$H$99,7, FALSE)</f>
        <v>0</v>
      </c>
      <c r="C102" s="58">
        <f>VLOOKUP(MAX(C4:C99),C$4:$H$99,6, FALSE)</f>
        <v>0.30208333333333298</v>
      </c>
      <c r="D102" s="58">
        <f>VLOOKUP(MAX(D4:D99),D$4:$H$99,5, FALSE)</f>
        <v>0.29166666666666702</v>
      </c>
      <c r="E102" s="58">
        <f>VLOOKUP(MAX(E4:E99),E$4:$H$99,4, FALSE)</f>
        <v>0.3125</v>
      </c>
      <c r="F102" s="58">
        <f>VLOOKUP(MAX(F4:F99),F$4:$H$99,3, FALSE)</f>
        <v>0</v>
      </c>
      <c r="G102" s="58">
        <f>VLOOKUP(MAX(G4:G99),G$4:$H$99,2, FALSE)</f>
        <v>0.30208333333333298</v>
      </c>
      <c r="H102" s="59" t="s">
        <v>220</v>
      </c>
      <c r="I102" s="58">
        <f>VLOOKUP(MAX(I4:I99),I$4:$O$99,7, FALSE)</f>
        <v>0</v>
      </c>
      <c r="J102" s="58">
        <f>VLOOKUP(MAX(J4:J99),J$4:$O$99,6, FALSE)</f>
        <v>0</v>
      </c>
      <c r="K102" s="58">
        <f>VLOOKUP(MAX(K4:K99),K$4:$O$99,5, FALSE)</f>
        <v>0</v>
      </c>
      <c r="L102" s="58">
        <f>VLOOKUP(MAX(L4:L99),L$4:$O$99,4, FALSE)</f>
        <v>0</v>
      </c>
      <c r="M102" s="58">
        <f>VLOOKUP(MAX(M4:M99),M$4:$O$99,3, FALSE)</f>
        <v>0</v>
      </c>
      <c r="N102" s="58">
        <f>VLOOKUP(MAX(N4:N99),N$4:$O$99,2, FALSE)</f>
        <v>0</v>
      </c>
      <c r="O102" s="59" t="s">
        <v>220</v>
      </c>
      <c r="P102" s="58">
        <f>VLOOKUP(MAX(P4:P99),$P$4:V$99,7, FALSE)</f>
        <v>0.69791666666666696</v>
      </c>
      <c r="Q102" s="58">
        <f>VLOOKUP(MAX(Q4:Q99),$Q$4:V$99,6, FALSE)</f>
        <v>0.67708333333333304</v>
      </c>
      <c r="R102" s="58">
        <f>VLOOKUP(MAX(R4:R99),$R$4:V$99,5, FALSE)</f>
        <v>0</v>
      </c>
      <c r="S102" s="58">
        <f>VLOOKUP(MAX(S4:S99),$S$4:V$99,4, FALSE)</f>
        <v>0</v>
      </c>
      <c r="T102" s="58">
        <f>VLOOKUP(MAX(T4:T99),$T$4:V$99,3, FALSE)</f>
        <v>0</v>
      </c>
      <c r="U102" s="58">
        <f>VLOOKUP(MAX(U4:U99),U$4:$V$99,2, FALSE)</f>
        <v>0.69791666666666696</v>
      </c>
      <c r="V102" s="59" t="s">
        <v>220</v>
      </c>
      <c r="W102" s="58">
        <f>VLOOKUP(MAX(W4:W99),$W$4:AC$99,7, FALSE)</f>
        <v>0.29166666666666702</v>
      </c>
      <c r="X102" s="58">
        <f>VLOOKUP(MAX(X4:X99),$X$4:AC$99,6, FALSE)</f>
        <v>0.69791666666666696</v>
      </c>
      <c r="Y102" s="58">
        <f>VLOOKUP(MAX(Y4:Y99),$Y$4:AC$99,5, FALSE)</f>
        <v>0.65625</v>
      </c>
      <c r="Z102" s="58">
        <f>VLOOKUP(MAX(Z4:Z99),$Z$4:AC$99,4, FALSE)</f>
        <v>0</v>
      </c>
      <c r="AA102" s="58">
        <f>VLOOKUP(MAX(AA4:AA99),$AA$4:AC$99,3, FALSE)</f>
        <v>0</v>
      </c>
      <c r="AB102" s="58">
        <f>VLOOKUP(MAX(AB4:AB99),$AB$4:AC$99,2, FALSE)</f>
        <v>0.29166666666666702</v>
      </c>
    </row>
    <row r="103" spans="1:31" x14ac:dyDescent="0.25">
      <c r="A103" s="59" t="s">
        <v>221</v>
      </c>
      <c r="B103" s="58">
        <f>VLOOKUP(MAX(B4:B99),B$4:$H$99,7, FALSE)+0.041666667</f>
        <v>4.1666666999999998E-2</v>
      </c>
      <c r="C103" s="58">
        <f>VLOOKUP(MAX(C4:C99),C$4:$H$99,6, FALSE)+0.041666667</f>
        <v>0.34375000033333297</v>
      </c>
      <c r="D103" s="58">
        <f>VLOOKUP(MAX(D4:D99),D$4:$H$99,5, FALSE)+0.041666667</f>
        <v>0.33333333366666701</v>
      </c>
      <c r="E103" s="58">
        <f>VLOOKUP(MAX(E4:E99),E$4:$H$99,4, FALSE)+0.041666667</f>
        <v>0.35416666699999999</v>
      </c>
      <c r="F103" s="58">
        <f>VLOOKUP(MAX(F4:F99),F$4:$H$99,3, FALSE)+0.041666667</f>
        <v>4.1666666999999998E-2</v>
      </c>
      <c r="G103" s="58">
        <f>VLOOKUP(MAX(G4:G99),G$4:$H$99,2, FALSE)+0.041666667</f>
        <v>0.34375000033333297</v>
      </c>
      <c r="H103" s="59" t="s">
        <v>221</v>
      </c>
      <c r="I103" s="58">
        <f>VLOOKUP(MAX(I4:I99),I$4:$O$99,7, FALSE)+0.041666667</f>
        <v>4.1666666999999998E-2</v>
      </c>
      <c r="J103" s="58">
        <f>VLOOKUP(MAX(J4:J99),J$4:$O$99,6, FALSE)+0.041666667</f>
        <v>4.1666666999999998E-2</v>
      </c>
      <c r="K103" s="58">
        <f>VLOOKUP(MAX(K4:K99),K$4:$O$99,5, FALSE)+0.041666667</f>
        <v>4.1666666999999998E-2</v>
      </c>
      <c r="L103" s="58">
        <f>VLOOKUP(MAX(L4:L99),L$4:$O$99,4, FALSE)+0.041666667</f>
        <v>4.1666666999999998E-2</v>
      </c>
      <c r="M103" s="58">
        <f>VLOOKUP(MAX(M4:M99),M$4:$O$99,3, FALSE)+0.041666667</f>
        <v>4.1666666999999998E-2</v>
      </c>
      <c r="N103" s="58">
        <f>VLOOKUP(MAX(N4:N99),N$4:$O$99,2, FALSE)+0.041666667</f>
        <v>4.1666666999999998E-2</v>
      </c>
      <c r="O103" s="59" t="s">
        <v>221</v>
      </c>
      <c r="P103" s="58">
        <f>VLOOKUP(MAX(P4:P99),$P$4:V$99,7, FALSE)+0.041666667</f>
        <v>0.73958333366666695</v>
      </c>
      <c r="Q103" s="58">
        <f>VLOOKUP(MAX(Q4:Q99),$Q$4:V$99,6, FALSE)+0.041666667</f>
        <v>0.71875000033333303</v>
      </c>
      <c r="R103" s="58">
        <f>VLOOKUP(MAX(R4:R99),$R$4:V$99,5, FALSE)+0.041666667</f>
        <v>4.1666666999999998E-2</v>
      </c>
      <c r="S103" s="58">
        <f>VLOOKUP(MAX(S4:S99),$S$4:V$99,4, FALSE)+0.041666667</f>
        <v>4.1666666999999998E-2</v>
      </c>
      <c r="T103" s="58">
        <f>VLOOKUP(MAX(T4:T99),$T$4:V$99,3, FALSE)+0.041666667</f>
        <v>4.1666666999999998E-2</v>
      </c>
      <c r="U103" s="58">
        <f>VLOOKUP(MAX(U4:U99),U$4:$V$99,2, FALSE)+0.041666667</f>
        <v>0.73958333366666695</v>
      </c>
      <c r="V103" s="59" t="s">
        <v>221</v>
      </c>
      <c r="W103" s="58">
        <f>VLOOKUP(MAX(W4:W99),$W$4:AC$99,7, FALSE)+0.041666667</f>
        <v>0.33333333366666701</v>
      </c>
      <c r="X103" s="58">
        <f>VLOOKUP(MAX(X4:X99),$X$4:AC$99,6, FALSE)+0.041666667</f>
        <v>0.73958333366666695</v>
      </c>
      <c r="Y103" s="58">
        <f>VLOOKUP(MAX(Y4:Y99),$Y$4:AC$99,5, FALSE)+0.041666667</f>
        <v>0.69791666699999999</v>
      </c>
      <c r="Z103" s="58">
        <f>VLOOKUP(MAX(Z4:Z99),$Z$4:AC$99,4, FALSE)+0.041666667</f>
        <v>4.1666666999999998E-2</v>
      </c>
      <c r="AA103" s="58">
        <f>VLOOKUP(MAX(AA4:AA99),$AA$4:AC$99,3, FALSE)+0.041666667</f>
        <v>4.1666666999999998E-2</v>
      </c>
      <c r="AB103" s="58">
        <f>VLOOKUP(MAX(AB4:AB99),$AB$4:AC$99,2, FALSE)+0.041666667</f>
        <v>0.33333333366666701</v>
      </c>
    </row>
    <row r="105" spans="1:31" x14ac:dyDescent="0.25">
      <c r="A105" s="59"/>
      <c r="H105" s="59"/>
      <c r="O105" s="59"/>
      <c r="V105" s="59"/>
    </row>
    <row r="106" spans="1:31" x14ac:dyDescent="0.25">
      <c r="A106" s="57"/>
      <c r="H106" s="57"/>
      <c r="O106" s="57"/>
      <c r="V106" s="57"/>
    </row>
    <row r="107" spans="1:31" x14ac:dyDescent="0.25">
      <c r="A107" s="57"/>
      <c r="H107" s="57"/>
      <c r="O107" s="57"/>
      <c r="V107" s="57"/>
    </row>
    <row r="108" spans="1:31" x14ac:dyDescent="0.25">
      <c r="A108" s="57"/>
      <c r="H108" s="57"/>
      <c r="O108" s="57"/>
      <c r="V108" s="57"/>
    </row>
    <row r="109" spans="1:31" x14ac:dyDescent="0.25">
      <c r="A109" s="57"/>
      <c r="H109" s="57"/>
      <c r="O109" s="57"/>
      <c r="V109" s="57"/>
    </row>
    <row r="110" spans="1:31" x14ac:dyDescent="0.25">
      <c r="A110" s="57"/>
      <c r="H110" s="57"/>
      <c r="O110" s="57"/>
      <c r="V110" s="57"/>
    </row>
    <row r="111" spans="1:31" x14ac:dyDescent="0.25">
      <c r="A111" s="57"/>
      <c r="H111" s="57"/>
      <c r="O111" s="57"/>
      <c r="V111" s="57"/>
    </row>
    <row r="112" spans="1:31" x14ac:dyDescent="0.25">
      <c r="A112" s="57"/>
      <c r="H112" s="57"/>
      <c r="O112" s="57"/>
      <c r="V112" s="57"/>
    </row>
    <row r="113" spans="1:22" x14ac:dyDescent="0.25">
      <c r="A113" s="57"/>
      <c r="H113" s="57"/>
      <c r="O113" s="57"/>
      <c r="V113" s="57"/>
    </row>
    <row r="114" spans="1:22" x14ac:dyDescent="0.25">
      <c r="A114" s="57"/>
      <c r="H114" s="57"/>
      <c r="O114" s="57"/>
      <c r="V114" s="57"/>
    </row>
    <row r="115" spans="1:22" x14ac:dyDescent="0.25">
      <c r="A115" s="57"/>
      <c r="H115" s="57"/>
      <c r="O115" s="57"/>
      <c r="V115" s="57"/>
    </row>
    <row r="116" spans="1:22" x14ac:dyDescent="0.25">
      <c r="A116" s="57"/>
      <c r="H116" s="57"/>
      <c r="O116" s="57"/>
      <c r="V116" s="57"/>
    </row>
    <row r="117" spans="1:22" x14ac:dyDescent="0.25">
      <c r="A117" s="57"/>
      <c r="H117" s="57"/>
      <c r="O117" s="57"/>
      <c r="V117" s="57"/>
    </row>
    <row r="118" spans="1:22" x14ac:dyDescent="0.25">
      <c r="A118" s="57"/>
      <c r="H118" s="57"/>
      <c r="O118" s="57"/>
      <c r="V118" s="57"/>
    </row>
    <row r="119" spans="1:22" x14ac:dyDescent="0.25">
      <c r="A119" s="57"/>
      <c r="H119" s="57"/>
      <c r="O119" s="57"/>
      <c r="V119" s="57"/>
    </row>
    <row r="120" spans="1:22" x14ac:dyDescent="0.25">
      <c r="A120" s="57"/>
      <c r="H120" s="57"/>
      <c r="O120" s="57"/>
      <c r="V120" s="57"/>
    </row>
    <row r="121" spans="1:22" x14ac:dyDescent="0.25">
      <c r="A121" s="57"/>
      <c r="H121" s="57"/>
      <c r="O121" s="57"/>
      <c r="V121" s="57"/>
    </row>
    <row r="122" spans="1:22" x14ac:dyDescent="0.25">
      <c r="A122" s="57"/>
      <c r="H122" s="57"/>
      <c r="O122" s="57"/>
      <c r="V122" s="57"/>
    </row>
    <row r="123" spans="1:22" x14ac:dyDescent="0.25">
      <c r="A123" s="57"/>
      <c r="H123" s="57"/>
      <c r="O123" s="57"/>
      <c r="V123" s="57"/>
    </row>
    <row r="124" spans="1:22" x14ac:dyDescent="0.25">
      <c r="A124" s="57"/>
      <c r="H124" s="57"/>
      <c r="O124" s="57"/>
      <c r="V124" s="57"/>
    </row>
    <row r="125" spans="1:22" x14ac:dyDescent="0.25">
      <c r="A125" s="57"/>
      <c r="H125" s="57"/>
      <c r="O125" s="57"/>
      <c r="V125" s="57"/>
    </row>
    <row r="126" spans="1:22" x14ac:dyDescent="0.25">
      <c r="A126" s="57"/>
      <c r="H126" s="57"/>
      <c r="O126" s="57"/>
      <c r="V126" s="57"/>
    </row>
    <row r="127" spans="1:22" x14ac:dyDescent="0.25">
      <c r="A127" s="57"/>
      <c r="H127" s="57"/>
      <c r="O127" s="57"/>
      <c r="V127" s="57"/>
    </row>
    <row r="128" spans="1:22" x14ac:dyDescent="0.25">
      <c r="A128" s="57"/>
      <c r="H128" s="57"/>
      <c r="O128" s="57"/>
      <c r="V128" s="57"/>
    </row>
    <row r="129" spans="1:22" x14ac:dyDescent="0.25">
      <c r="A129" s="57"/>
      <c r="H129" s="57"/>
      <c r="O129" s="57"/>
      <c r="V129" s="57"/>
    </row>
    <row r="130" spans="1:22" x14ac:dyDescent="0.25">
      <c r="A130" s="57"/>
      <c r="H130" s="57"/>
      <c r="O130" s="57"/>
      <c r="V130" s="57"/>
    </row>
    <row r="131" spans="1:22" x14ac:dyDescent="0.25">
      <c r="A131" s="57"/>
      <c r="H131" s="57"/>
      <c r="O131" s="57"/>
      <c r="V131" s="57"/>
    </row>
    <row r="132" spans="1:22" x14ac:dyDescent="0.25">
      <c r="A132" s="57"/>
      <c r="H132" s="57"/>
      <c r="O132" s="57"/>
      <c r="V132" s="57"/>
    </row>
    <row r="133" spans="1:22" x14ac:dyDescent="0.25">
      <c r="A133" s="57"/>
      <c r="H133" s="57"/>
      <c r="O133" s="57"/>
      <c r="V133" s="57"/>
    </row>
    <row r="134" spans="1:22" x14ac:dyDescent="0.25">
      <c r="A134" s="57"/>
      <c r="H134" s="57"/>
      <c r="O134" s="57"/>
      <c r="V134" s="57"/>
    </row>
    <row r="135" spans="1:22" x14ac:dyDescent="0.25">
      <c r="A135" s="57"/>
      <c r="H135" s="57"/>
      <c r="O135" s="57"/>
      <c r="V135" s="57"/>
    </row>
    <row r="136" spans="1:22" x14ac:dyDescent="0.25">
      <c r="A136" s="57"/>
      <c r="H136" s="57"/>
      <c r="O136" s="57"/>
      <c r="V136" s="57"/>
    </row>
    <row r="137" spans="1:22" x14ac:dyDescent="0.25">
      <c r="A137" s="57"/>
      <c r="H137" s="57"/>
      <c r="O137" s="57"/>
      <c r="V137" s="57"/>
    </row>
    <row r="138" spans="1:22" x14ac:dyDescent="0.25">
      <c r="A138" s="57"/>
      <c r="H138" s="57"/>
      <c r="O138" s="57"/>
      <c r="V138" s="57"/>
    </row>
    <row r="139" spans="1:22" x14ac:dyDescent="0.25">
      <c r="A139" s="57"/>
      <c r="H139" s="57"/>
      <c r="O139" s="57"/>
      <c r="V139" s="57"/>
    </row>
    <row r="140" spans="1:22" x14ac:dyDescent="0.25">
      <c r="A140" s="57"/>
      <c r="H140" s="57"/>
      <c r="O140" s="57"/>
      <c r="V140" s="57"/>
    </row>
    <row r="141" spans="1:22" x14ac:dyDescent="0.25">
      <c r="A141" s="57"/>
      <c r="H141" s="57"/>
      <c r="O141" s="57"/>
      <c r="V141" s="57"/>
    </row>
    <row r="142" spans="1:22" x14ac:dyDescent="0.25">
      <c r="A142" s="57"/>
      <c r="H142" s="57"/>
      <c r="O142" s="57"/>
      <c r="V142" s="57"/>
    </row>
    <row r="143" spans="1:22" x14ac:dyDescent="0.25">
      <c r="A143" s="57"/>
      <c r="H143" s="57"/>
      <c r="O143" s="57"/>
      <c r="V143" s="57"/>
    </row>
    <row r="144" spans="1:22" x14ac:dyDescent="0.25">
      <c r="A144" s="57"/>
      <c r="H144" s="57"/>
      <c r="O144" s="57"/>
      <c r="V144" s="57"/>
    </row>
    <row r="145" spans="1:22" x14ac:dyDescent="0.25">
      <c r="A145" s="57"/>
      <c r="H145" s="57"/>
      <c r="O145" s="57"/>
      <c r="V145" s="57"/>
    </row>
    <row r="146" spans="1:22" x14ac:dyDescent="0.25">
      <c r="A146" s="57"/>
      <c r="H146" s="57"/>
      <c r="O146" s="57"/>
      <c r="V146" s="57"/>
    </row>
    <row r="147" spans="1:22" x14ac:dyDescent="0.25">
      <c r="A147" s="57"/>
      <c r="H147" s="57"/>
      <c r="O147" s="57"/>
      <c r="V147" s="57"/>
    </row>
    <row r="148" spans="1:22" x14ac:dyDescent="0.25">
      <c r="A148" s="57"/>
      <c r="H148" s="57"/>
      <c r="O148" s="57"/>
      <c r="V148" s="57"/>
    </row>
    <row r="149" spans="1:22" x14ac:dyDescent="0.25">
      <c r="A149" s="57"/>
      <c r="H149" s="57"/>
      <c r="O149" s="57"/>
      <c r="V149" s="57"/>
    </row>
    <row r="150" spans="1:22" x14ac:dyDescent="0.25">
      <c r="A150" s="57"/>
      <c r="H150" s="57"/>
      <c r="O150" s="57"/>
      <c r="V150" s="57"/>
    </row>
    <row r="151" spans="1:22" x14ac:dyDescent="0.25">
      <c r="A151" s="57"/>
      <c r="H151" s="57"/>
      <c r="O151" s="57"/>
      <c r="V151" s="57"/>
    </row>
    <row r="152" spans="1:22" x14ac:dyDescent="0.25">
      <c r="A152" s="57"/>
      <c r="H152" s="57"/>
      <c r="O152" s="57"/>
      <c r="V152" s="57"/>
    </row>
    <row r="153" spans="1:22" x14ac:dyDescent="0.25">
      <c r="A153" s="57"/>
      <c r="H153" s="57"/>
      <c r="O153" s="57"/>
      <c r="V153" s="57"/>
    </row>
    <row r="154" spans="1:22" x14ac:dyDescent="0.25">
      <c r="A154" s="57"/>
      <c r="H154" s="57"/>
      <c r="O154" s="57"/>
      <c r="V154" s="57"/>
    </row>
    <row r="155" spans="1:22" x14ac:dyDescent="0.25">
      <c r="A155" s="57"/>
      <c r="H155" s="57"/>
      <c r="O155" s="57"/>
      <c r="V155" s="57"/>
    </row>
    <row r="156" spans="1:22" x14ac:dyDescent="0.25">
      <c r="A156" s="57"/>
      <c r="H156" s="57"/>
      <c r="O156" s="57"/>
      <c r="V156" s="57"/>
    </row>
    <row r="157" spans="1:22" x14ac:dyDescent="0.25">
      <c r="A157" s="57"/>
      <c r="H157" s="57"/>
      <c r="O157" s="57"/>
      <c r="V157" s="57"/>
    </row>
    <row r="158" spans="1:22" x14ac:dyDescent="0.25">
      <c r="A158" s="57"/>
      <c r="H158" s="57"/>
      <c r="O158" s="57"/>
      <c r="V158" s="57"/>
    </row>
    <row r="159" spans="1:22" x14ac:dyDescent="0.25">
      <c r="A159" s="57"/>
      <c r="H159" s="57"/>
      <c r="O159" s="57"/>
      <c r="V159" s="57"/>
    </row>
    <row r="160" spans="1:22" x14ac:dyDescent="0.25">
      <c r="A160" s="57"/>
      <c r="H160" s="57"/>
      <c r="O160" s="57"/>
      <c r="V160" s="57"/>
    </row>
    <row r="161" spans="1:22" x14ac:dyDescent="0.25">
      <c r="A161" s="57"/>
      <c r="H161" s="57"/>
      <c r="O161" s="57"/>
      <c r="V161" s="57"/>
    </row>
    <row r="162" spans="1:22" x14ac:dyDescent="0.25">
      <c r="A162" s="57"/>
      <c r="H162" s="57"/>
      <c r="O162" s="57"/>
      <c r="V162" s="57"/>
    </row>
    <row r="163" spans="1:22" x14ac:dyDescent="0.25">
      <c r="A163" s="57"/>
      <c r="H163" s="57"/>
      <c r="O163" s="57"/>
      <c r="V163" s="57"/>
    </row>
    <row r="164" spans="1:22" x14ac:dyDescent="0.25">
      <c r="A164" s="57"/>
      <c r="H164" s="57"/>
      <c r="O164" s="57"/>
      <c r="V164" s="57"/>
    </row>
    <row r="165" spans="1:22" x14ac:dyDescent="0.25">
      <c r="A165" s="57"/>
      <c r="H165" s="57"/>
      <c r="O165" s="57"/>
      <c r="V165" s="57"/>
    </row>
    <row r="166" spans="1:22" x14ac:dyDescent="0.25">
      <c r="A166" s="57"/>
      <c r="H166" s="57"/>
      <c r="O166" s="57"/>
      <c r="V166" s="57"/>
    </row>
    <row r="167" spans="1:22" x14ac:dyDescent="0.25">
      <c r="A167" s="57"/>
      <c r="H167" s="57"/>
      <c r="O167" s="57"/>
      <c r="V167" s="57"/>
    </row>
    <row r="168" spans="1:22" x14ac:dyDescent="0.25">
      <c r="A168" s="57"/>
      <c r="H168" s="57"/>
      <c r="O168" s="57"/>
      <c r="V168" s="57"/>
    </row>
    <row r="169" spans="1:22" x14ac:dyDescent="0.25">
      <c r="A169" s="57"/>
      <c r="H169" s="57"/>
      <c r="O169" s="57"/>
      <c r="V169" s="57"/>
    </row>
    <row r="170" spans="1:22" x14ac:dyDescent="0.25">
      <c r="A170" s="57"/>
      <c r="H170" s="57"/>
      <c r="O170" s="57"/>
      <c r="V170" s="57"/>
    </row>
    <row r="171" spans="1:22" x14ac:dyDescent="0.25">
      <c r="A171" s="57"/>
      <c r="H171" s="57"/>
      <c r="O171" s="57"/>
      <c r="V171" s="57"/>
    </row>
    <row r="172" spans="1:22" x14ac:dyDescent="0.25">
      <c r="A172" s="57"/>
      <c r="H172" s="57"/>
      <c r="O172" s="57"/>
      <c r="V172" s="57"/>
    </row>
    <row r="173" spans="1:22" x14ac:dyDescent="0.25">
      <c r="A173" s="57"/>
      <c r="H173" s="57"/>
      <c r="O173" s="57"/>
      <c r="V173" s="57"/>
    </row>
    <row r="174" spans="1:22" x14ac:dyDescent="0.25">
      <c r="A174" s="57"/>
      <c r="H174" s="57"/>
      <c r="O174" s="57"/>
      <c r="V174" s="57"/>
    </row>
    <row r="175" spans="1:22" x14ac:dyDescent="0.25">
      <c r="A175" s="57"/>
      <c r="H175" s="57"/>
      <c r="O175" s="57"/>
      <c r="V175" s="57"/>
    </row>
    <row r="176" spans="1:22" x14ac:dyDescent="0.25">
      <c r="A176" s="57"/>
      <c r="H176" s="57"/>
      <c r="O176" s="57"/>
      <c r="V176" s="57"/>
    </row>
    <row r="177" spans="1:22" x14ac:dyDescent="0.25">
      <c r="A177" s="57"/>
      <c r="H177" s="57"/>
      <c r="O177" s="57"/>
      <c r="V177" s="57"/>
    </row>
    <row r="178" spans="1:22" x14ac:dyDescent="0.25">
      <c r="A178" s="57"/>
      <c r="H178" s="57"/>
      <c r="O178" s="57"/>
      <c r="V178" s="57"/>
    </row>
    <row r="179" spans="1:22" x14ac:dyDescent="0.25">
      <c r="A179" s="57"/>
      <c r="H179" s="57"/>
      <c r="O179" s="57"/>
      <c r="V179" s="57"/>
    </row>
    <row r="180" spans="1:22" x14ac:dyDescent="0.25">
      <c r="A180" s="57"/>
      <c r="H180" s="57"/>
      <c r="O180" s="57"/>
      <c r="V180" s="57"/>
    </row>
    <row r="181" spans="1:22" x14ac:dyDescent="0.25">
      <c r="A181" s="57"/>
      <c r="H181" s="57"/>
      <c r="O181" s="57"/>
      <c r="V181" s="57"/>
    </row>
    <row r="182" spans="1:22" x14ac:dyDescent="0.25">
      <c r="A182" s="57"/>
      <c r="H182" s="57"/>
      <c r="O182" s="57"/>
      <c r="V182" s="57"/>
    </row>
    <row r="183" spans="1:22" x14ac:dyDescent="0.25">
      <c r="A183" s="57"/>
      <c r="H183" s="57"/>
      <c r="O183" s="57"/>
      <c r="V183" s="57"/>
    </row>
    <row r="184" spans="1:22" x14ac:dyDescent="0.25">
      <c r="A184" s="57"/>
      <c r="H184" s="57"/>
      <c r="O184" s="57"/>
      <c r="V184" s="57"/>
    </row>
    <row r="185" spans="1:22" x14ac:dyDescent="0.25">
      <c r="A185" s="57"/>
      <c r="H185" s="57"/>
      <c r="O185" s="57"/>
      <c r="V185" s="57"/>
    </row>
    <row r="186" spans="1:22" x14ac:dyDescent="0.25">
      <c r="A186" s="57"/>
      <c r="H186" s="57"/>
      <c r="O186" s="57"/>
      <c r="V186" s="57"/>
    </row>
    <row r="187" spans="1:22" x14ac:dyDescent="0.25">
      <c r="A187" s="57"/>
      <c r="H187" s="57"/>
      <c r="O187" s="57"/>
      <c r="V187" s="57"/>
    </row>
    <row r="188" spans="1:22" x14ac:dyDescent="0.25">
      <c r="A188" s="57"/>
      <c r="H188" s="57"/>
      <c r="O188" s="57"/>
      <c r="V188" s="57"/>
    </row>
    <row r="189" spans="1:22" x14ac:dyDescent="0.25">
      <c r="A189" s="57"/>
      <c r="H189" s="57"/>
      <c r="O189" s="57"/>
      <c r="V189" s="57"/>
    </row>
    <row r="190" spans="1:22" x14ac:dyDescent="0.25">
      <c r="A190" s="57"/>
      <c r="H190" s="57"/>
      <c r="O190" s="57"/>
      <c r="V190" s="57"/>
    </row>
    <row r="191" spans="1:22" x14ac:dyDescent="0.25">
      <c r="A191" s="57"/>
      <c r="H191" s="57"/>
      <c r="O191" s="57"/>
      <c r="V191" s="57"/>
    </row>
    <row r="192" spans="1:22" x14ac:dyDescent="0.25">
      <c r="A192" s="57"/>
      <c r="H192" s="57"/>
      <c r="O192" s="57"/>
      <c r="V192" s="57"/>
    </row>
    <row r="193" spans="1:22" x14ac:dyDescent="0.25">
      <c r="A193" s="57"/>
      <c r="H193" s="57"/>
      <c r="O193" s="57"/>
      <c r="V193" s="57"/>
    </row>
    <row r="194" spans="1:22" x14ac:dyDescent="0.25">
      <c r="A194" s="57"/>
      <c r="H194" s="57"/>
      <c r="O194" s="57"/>
      <c r="V194" s="57"/>
    </row>
    <row r="195" spans="1:22" x14ac:dyDescent="0.25">
      <c r="A195" s="57"/>
      <c r="H195" s="57"/>
      <c r="O195" s="57"/>
      <c r="V195" s="57"/>
    </row>
    <row r="196" spans="1:22" x14ac:dyDescent="0.25">
      <c r="A196" s="57"/>
      <c r="H196" s="57"/>
      <c r="O196" s="57"/>
      <c r="V196" s="57"/>
    </row>
    <row r="197" spans="1:22" x14ac:dyDescent="0.25">
      <c r="A197" s="57"/>
      <c r="H197" s="57"/>
      <c r="O197" s="57"/>
      <c r="V197" s="57"/>
    </row>
    <row r="198" spans="1:22" x14ac:dyDescent="0.25">
      <c r="A198" s="57"/>
      <c r="H198" s="57"/>
      <c r="O198" s="57"/>
      <c r="V198" s="57"/>
    </row>
    <row r="199" spans="1:22" x14ac:dyDescent="0.25">
      <c r="A199" s="57"/>
      <c r="H199" s="57"/>
      <c r="O199" s="57"/>
      <c r="V199" s="57"/>
    </row>
    <row r="200" spans="1:22" x14ac:dyDescent="0.25">
      <c r="A200" s="57"/>
      <c r="H200" s="57"/>
      <c r="O200" s="57"/>
      <c r="V200" s="57"/>
    </row>
    <row r="201" spans="1:22" x14ac:dyDescent="0.25">
      <c r="A201" s="57"/>
      <c r="H201" s="57"/>
      <c r="O201" s="57"/>
      <c r="V201" s="57"/>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AX1:BC1"/>
    <mergeCell ref="W2:AB2"/>
    <mergeCell ref="AF1:AK1"/>
    <mergeCell ref="AL1:AQ1"/>
    <mergeCell ref="AR1:AW1"/>
    <mergeCell ref="AE2:AE3"/>
    <mergeCell ref="AF2:AK2"/>
    <mergeCell ref="AL2:AQ2"/>
    <mergeCell ref="AR2:AW2"/>
    <mergeCell ref="AX2:BC2"/>
    <mergeCell ref="B1:G1"/>
    <mergeCell ref="I1:N1"/>
    <mergeCell ref="P1:U1"/>
    <mergeCell ref="W1:AB1"/>
    <mergeCell ref="P2:U2"/>
    <mergeCell ref="B2:G2"/>
    <mergeCell ref="I2:N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topLeftCell="A148" zoomScale="90" zoomScaleNormal="90" workbookViewId="0">
      <selection activeCell="B171" sqref="B171"/>
    </sheetView>
  </sheetViews>
  <sheetFormatPr defaultRowHeight="13.2" x14ac:dyDescent="0.25"/>
  <cols>
    <col min="1" max="1" width="16.44140625" bestFit="1" customWidth="1"/>
    <col min="2" max="2" width="22.5546875" customWidth="1"/>
    <col min="3" max="4" width="35" bestFit="1" customWidth="1"/>
    <col min="5" max="5" width="23" bestFit="1" customWidth="1"/>
    <col min="6" max="6" width="8.44140625" bestFit="1" customWidth="1"/>
    <col min="7" max="8" width="4.21875" customWidth="1"/>
    <col min="9" max="9" width="33.21875" bestFit="1" customWidth="1"/>
    <col min="10" max="10" width="19" bestFit="1" customWidth="1"/>
    <col min="11" max="11" width="8.21875" bestFit="1" customWidth="1"/>
    <col min="12" max="12" width="33.21875" bestFit="1" customWidth="1"/>
    <col min="13" max="13" width="19.5546875" bestFit="1" customWidth="1"/>
    <col min="14" max="15" width="3.5546875" bestFit="1" customWidth="1"/>
    <col min="16" max="16" width="15.21875" bestFit="1" customWidth="1"/>
    <col min="17" max="17" width="18.44140625" customWidth="1"/>
    <col min="18" max="18" width="11.5546875" bestFit="1" customWidth="1"/>
    <col min="19" max="19" width="7.5546875" bestFit="1" customWidth="1"/>
    <col min="20" max="20" width="10.77734375" bestFit="1" customWidth="1"/>
    <col min="21" max="21" width="7.5546875" bestFit="1" customWidth="1"/>
    <col min="22" max="22" width="3.5546875" bestFit="1" customWidth="1"/>
    <col min="23" max="24" width="9.5546875" bestFit="1" customWidth="1"/>
    <col min="25" max="25" width="16.77734375" bestFit="1" customWidth="1"/>
    <col min="26" max="28" width="9.5546875" bestFit="1" customWidth="1"/>
    <col min="29" max="29" width="7.5546875" bestFit="1" customWidth="1"/>
    <col min="30" max="30" width="9.5546875" bestFit="1" customWidth="1"/>
    <col min="31" max="31" width="10.77734375" bestFit="1" customWidth="1"/>
    <col min="32" max="32" width="7.5546875" bestFit="1" customWidth="1"/>
    <col min="36" max="36" width="7.21875" bestFit="1" customWidth="1"/>
    <col min="37" max="37" width="15.21875" bestFit="1" customWidth="1"/>
    <col min="38" max="38" width="10" bestFit="1" customWidth="1"/>
    <col min="39" max="39" width="7" bestFit="1" customWidth="1"/>
    <col min="40" max="40" width="10.21875" bestFit="1" customWidth="1"/>
    <col min="41" max="41" width="7.21875" bestFit="1" customWidth="1"/>
    <col min="42" max="42" width="3" bestFit="1" customWidth="1"/>
    <col min="43" max="44" width="7.77734375" bestFit="1" customWidth="1"/>
    <col min="45" max="45" width="15.44140625" bestFit="1" customWidth="1"/>
    <col min="46" max="47" width="7.5546875" bestFit="1" customWidth="1"/>
    <col min="48" max="49" width="7" bestFit="1" customWidth="1"/>
    <col min="50" max="50" width="9.21875" bestFit="1" customWidth="1"/>
    <col min="51" max="51" width="9.77734375" bestFit="1" customWidth="1"/>
    <col min="52" max="52" width="7" bestFit="1" customWidth="1"/>
  </cols>
  <sheetData>
    <row r="1" spans="1:27" x14ac:dyDescent="0.25">
      <c r="A1" s="820" t="s">
        <v>18</v>
      </c>
      <c r="B1" s="820"/>
      <c r="C1" s="820"/>
      <c r="D1" s="820"/>
      <c r="E1" s="820"/>
      <c r="F1" s="8"/>
      <c r="I1" s="819" t="s">
        <v>242</v>
      </c>
      <c r="J1" s="819"/>
      <c r="K1" s="819"/>
      <c r="L1" s="819"/>
      <c r="M1" s="819"/>
      <c r="AA1" s="2"/>
    </row>
    <row r="2" spans="1:27" x14ac:dyDescent="0.25">
      <c r="A2" s="820"/>
      <c r="B2" s="820"/>
      <c r="C2" s="820"/>
      <c r="D2" s="820"/>
      <c r="E2" s="820"/>
      <c r="F2" s="8"/>
      <c r="I2" s="819"/>
      <c r="J2" s="819"/>
      <c r="K2" s="819"/>
      <c r="L2" s="819"/>
      <c r="M2" s="819"/>
      <c r="AA2" s="2"/>
    </row>
    <row r="3" spans="1:27" x14ac:dyDescent="0.25">
      <c r="A3" s="820"/>
      <c r="B3" s="820"/>
      <c r="C3" s="820"/>
      <c r="D3" s="820"/>
      <c r="E3" s="820"/>
      <c r="F3" s="8"/>
      <c r="I3" s="819"/>
      <c r="J3" s="819"/>
      <c r="K3" s="819"/>
      <c r="L3" s="819"/>
      <c r="M3" s="819"/>
      <c r="AA3" s="2"/>
    </row>
    <row r="4" spans="1:27" x14ac:dyDescent="0.25">
      <c r="A4" s="9" t="s">
        <v>0</v>
      </c>
      <c r="B4" s="9" t="s">
        <v>1</v>
      </c>
      <c r="C4" s="8"/>
      <c r="D4" s="8"/>
      <c r="E4" s="8"/>
      <c r="F4" s="8"/>
      <c r="I4" s="15" t="s">
        <v>256</v>
      </c>
      <c r="J4" s="12" t="s">
        <v>264</v>
      </c>
      <c r="K4" s="12"/>
      <c r="L4" s="15" t="s">
        <v>256</v>
      </c>
      <c r="M4" s="12" t="s">
        <v>265</v>
      </c>
      <c r="AA4" s="2"/>
    </row>
    <row r="5" spans="1:27" ht="26.4" x14ac:dyDescent="0.25">
      <c r="A5" s="10" t="s">
        <v>19</v>
      </c>
      <c r="B5" s="10" t="s">
        <v>80</v>
      </c>
      <c r="C5" s="46" t="s">
        <v>460</v>
      </c>
      <c r="D5" s="46" t="s">
        <v>461</v>
      </c>
      <c r="E5" s="8" t="s">
        <v>82</v>
      </c>
      <c r="F5" s="8"/>
      <c r="I5" s="12" t="s">
        <v>257</v>
      </c>
      <c r="J5">
        <v>0.5</v>
      </c>
      <c r="L5" s="12" t="s">
        <v>257</v>
      </c>
      <c r="M5">
        <v>0.5</v>
      </c>
      <c r="AA5" s="2"/>
    </row>
    <row r="6" spans="1:27" x14ac:dyDescent="0.25">
      <c r="A6" s="10">
        <v>0</v>
      </c>
      <c r="B6" s="392">
        <f xml:space="preserve"> 550.22697349-0.6996410769*A6+0.0002462697*A6^2</f>
        <v>550.22697348999998</v>
      </c>
      <c r="C6" s="392">
        <f>651.50622395-0.7483745392*A6+0.000240228*A6^2</f>
        <v>651.50622395000005</v>
      </c>
      <c r="D6" s="392">
        <f>651.50622395-0.7483745392*A6+0.000240228*A6^2</f>
        <v>651.50622395000005</v>
      </c>
      <c r="E6" s="392">
        <f>879.232228-1.011380233*A6+0.0003253082*A6^2</f>
        <v>879.23222799999996</v>
      </c>
      <c r="F6" s="8"/>
      <c r="I6" s="12" t="s">
        <v>258</v>
      </c>
      <c r="J6">
        <v>0.75</v>
      </c>
      <c r="L6" s="12" t="s">
        <v>258</v>
      </c>
      <c r="M6">
        <v>0.75</v>
      </c>
      <c r="AA6" s="2"/>
    </row>
    <row r="7" spans="1:27" x14ac:dyDescent="0.25">
      <c r="A7" s="10">
        <v>100</v>
      </c>
      <c r="B7" s="392">
        <f t="shared" ref="B7:B16" si="0" xml:space="preserve"> 550.22697349-0.6996410769*A7+0.0002462697*A7^2</f>
        <v>482.72556279999998</v>
      </c>
      <c r="C7" s="392">
        <f t="shared" ref="C7:C22" si="1">651.50622395-0.7483745392*A7+0.000240228*A7^2</f>
        <v>579.07105003000004</v>
      </c>
      <c r="D7" s="392">
        <f t="shared" ref="D7:D18" si="2">651.50622395-0.7483745392*A7+0.000240228*A7^2</f>
        <v>579.07105003000004</v>
      </c>
      <c r="E7" s="392">
        <f t="shared" ref="E7:E19" si="3">879.232228-1.011380233*A7+0.0003253082*A7^2</f>
        <v>781.34728669999993</v>
      </c>
      <c r="F7" s="8"/>
      <c r="I7" s="12" t="s">
        <v>259</v>
      </c>
      <c r="J7">
        <v>1</v>
      </c>
      <c r="L7" s="12" t="s">
        <v>259</v>
      </c>
      <c r="M7">
        <v>1</v>
      </c>
      <c r="AA7" s="2"/>
    </row>
    <row r="8" spans="1:27" x14ac:dyDescent="0.25">
      <c r="A8" s="10">
        <v>200</v>
      </c>
      <c r="B8" s="392">
        <f t="shared" si="0"/>
        <v>420.14954611000002</v>
      </c>
      <c r="C8" s="392">
        <f t="shared" si="1"/>
        <v>511.44043611000006</v>
      </c>
      <c r="D8" s="392">
        <f t="shared" si="2"/>
        <v>511.44043611000006</v>
      </c>
      <c r="E8" s="392">
        <f t="shared" si="3"/>
        <v>689.96850940000002</v>
      </c>
      <c r="F8" s="8"/>
      <c r="I8" s="12" t="s">
        <v>260</v>
      </c>
      <c r="J8">
        <v>2.2999999999999998</v>
      </c>
      <c r="L8" s="12" t="s">
        <v>260</v>
      </c>
      <c r="M8">
        <v>1.1499999999999999</v>
      </c>
      <c r="AA8" s="2"/>
    </row>
    <row r="9" spans="1:27" x14ac:dyDescent="0.25">
      <c r="A9" s="10">
        <v>300</v>
      </c>
      <c r="B9" s="392">
        <f t="shared" si="0"/>
        <v>362.49892341999998</v>
      </c>
      <c r="C9" s="392">
        <f t="shared" si="1"/>
        <v>448.61438219000007</v>
      </c>
      <c r="D9" s="392">
        <f t="shared" si="2"/>
        <v>448.61438219000007</v>
      </c>
      <c r="E9" s="392">
        <f t="shared" si="3"/>
        <v>605.0958961</v>
      </c>
      <c r="F9" s="8"/>
      <c r="I9" s="12" t="s">
        <v>261</v>
      </c>
      <c r="J9">
        <v>2.7</v>
      </c>
      <c r="L9" s="12" t="s">
        <v>261</v>
      </c>
      <c r="M9">
        <v>1.35</v>
      </c>
      <c r="AA9" s="2"/>
    </row>
    <row r="10" spans="1:27" x14ac:dyDescent="0.25">
      <c r="A10" s="8">
        <v>400</v>
      </c>
      <c r="B10" s="392">
        <f t="shared" si="0"/>
        <v>309.77369472999993</v>
      </c>
      <c r="C10" s="392">
        <f t="shared" si="1"/>
        <v>390.59288827000006</v>
      </c>
      <c r="D10" s="392">
        <f t="shared" si="2"/>
        <v>390.59288827000006</v>
      </c>
      <c r="E10" s="392">
        <f t="shared" si="3"/>
        <v>526.72944680000001</v>
      </c>
      <c r="F10" s="8"/>
      <c r="I10" s="12" t="s">
        <v>262</v>
      </c>
      <c r="J10">
        <v>3.28</v>
      </c>
      <c r="L10" s="12" t="s">
        <v>262</v>
      </c>
      <c r="M10">
        <v>1.64</v>
      </c>
      <c r="AA10" s="2"/>
    </row>
    <row r="11" spans="1:27" x14ac:dyDescent="0.25">
      <c r="A11" s="8">
        <v>500</v>
      </c>
      <c r="B11" s="392">
        <f t="shared" si="0"/>
        <v>261.97386003999998</v>
      </c>
      <c r="C11" s="392">
        <f t="shared" si="1"/>
        <v>337.37595435000009</v>
      </c>
      <c r="D11" s="392">
        <f t="shared" si="2"/>
        <v>337.37595435000009</v>
      </c>
      <c r="E11" s="392">
        <f t="shared" si="3"/>
        <v>454.86916150000002</v>
      </c>
      <c r="F11" s="8"/>
      <c r="I11" s="12" t="s">
        <v>263</v>
      </c>
      <c r="J11">
        <v>4.18</v>
      </c>
      <c r="L11" s="12" t="s">
        <v>263</v>
      </c>
      <c r="M11">
        <v>2.09</v>
      </c>
      <c r="AA11" s="2"/>
    </row>
    <row r="12" spans="1:27" x14ac:dyDescent="0.25">
      <c r="A12" s="8">
        <v>600</v>
      </c>
      <c r="B12" s="392">
        <f t="shared" si="0"/>
        <v>219.09941934999995</v>
      </c>
      <c r="C12" s="392">
        <f t="shared" si="1"/>
        <v>288.96358043000009</v>
      </c>
      <c r="D12" s="392">
        <f t="shared" si="2"/>
        <v>288.96358043000009</v>
      </c>
      <c r="E12" s="392">
        <f t="shared" si="3"/>
        <v>389.51504020000004</v>
      </c>
      <c r="F12" s="8"/>
      <c r="AA12" s="2"/>
    </row>
    <row r="13" spans="1:27" x14ac:dyDescent="0.25">
      <c r="A13" s="8">
        <v>700</v>
      </c>
      <c r="B13" s="392">
        <f t="shared" si="0"/>
        <v>181.15037265999996</v>
      </c>
      <c r="C13" s="392">
        <f t="shared" si="1"/>
        <v>245.35576651000008</v>
      </c>
      <c r="D13" s="392">
        <f t="shared" si="2"/>
        <v>245.35576651000008</v>
      </c>
      <c r="E13" s="392">
        <f t="shared" si="3"/>
        <v>330.66708290000008</v>
      </c>
      <c r="F13" s="8"/>
      <c r="AA13" s="2"/>
    </row>
    <row r="14" spans="1:27" x14ac:dyDescent="0.25">
      <c r="A14" s="8">
        <v>800</v>
      </c>
      <c r="B14" s="392">
        <f t="shared" si="0"/>
        <v>148.12671996999993</v>
      </c>
      <c r="C14" s="392">
        <f t="shared" si="1"/>
        <v>206.55251259000002</v>
      </c>
      <c r="D14" s="392">
        <f t="shared" si="2"/>
        <v>206.55251259000002</v>
      </c>
      <c r="E14" s="392">
        <f t="shared" si="3"/>
        <v>278.32528960000008</v>
      </c>
      <c r="F14" s="8"/>
      <c r="AA14" s="2"/>
    </row>
    <row r="15" spans="1:27" x14ac:dyDescent="0.25">
      <c r="A15" s="8">
        <v>900</v>
      </c>
      <c r="B15" s="392">
        <f t="shared" si="0"/>
        <v>120.02846127999993</v>
      </c>
      <c r="C15" s="392">
        <f t="shared" si="1"/>
        <v>172.55381867000011</v>
      </c>
      <c r="D15" s="392">
        <f t="shared" si="2"/>
        <v>172.55381867000011</v>
      </c>
      <c r="E15" s="392">
        <f t="shared" si="3"/>
        <v>232.48966030000008</v>
      </c>
      <c r="F15" s="8"/>
      <c r="I15" s="12" t="s">
        <v>248</v>
      </c>
      <c r="J15" s="12" t="s">
        <v>242</v>
      </c>
      <c r="AA15" s="2"/>
    </row>
    <row r="16" spans="1:27" x14ac:dyDescent="0.25">
      <c r="A16" s="8">
        <v>1000</v>
      </c>
      <c r="B16" s="392">
        <f t="shared" si="0"/>
        <v>96.855596589999948</v>
      </c>
      <c r="C16" s="392">
        <f t="shared" ref="C16" si="4">651.50622395-0.7483745392*A16+0.000240228*A16^2</f>
        <v>143.35968475000007</v>
      </c>
      <c r="D16" s="392">
        <f t="shared" ref="D16" si="5">651.50622395-0.7483745392*A16+0.000240228*A16^2</f>
        <v>143.35968475000007</v>
      </c>
      <c r="E16" s="392">
        <f t="shared" ref="E16" si="6">879.232228-1.011380233*A16+0.0003253082*A16^2</f>
        <v>193.1601950000001</v>
      </c>
      <c r="F16" s="8"/>
      <c r="I16" s="1">
        <v>1</v>
      </c>
      <c r="J16" s="1">
        <v>0.67</v>
      </c>
      <c r="AA16" s="2"/>
    </row>
    <row r="17" spans="1:27" x14ac:dyDescent="0.25">
      <c r="A17" s="8">
        <v>1092</v>
      </c>
      <c r="B17" s="392">
        <v>80</v>
      </c>
      <c r="C17" s="392">
        <f t="shared" si="1"/>
        <v>120.74446893560003</v>
      </c>
      <c r="D17" s="392">
        <f t="shared" si="2"/>
        <v>120.74446893560003</v>
      </c>
      <c r="E17" s="392">
        <f t="shared" si="3"/>
        <v>162.72333096879998</v>
      </c>
      <c r="F17" s="8"/>
      <c r="I17" s="1">
        <v>2</v>
      </c>
      <c r="J17" s="1">
        <v>0.91</v>
      </c>
      <c r="AA17" s="2"/>
    </row>
    <row r="18" spans="1:27" x14ac:dyDescent="0.25">
      <c r="A18" s="8">
        <v>1100</v>
      </c>
      <c r="B18" s="392">
        <v>80</v>
      </c>
      <c r="C18" s="392">
        <f t="shared" si="1"/>
        <v>118.97011083000007</v>
      </c>
      <c r="D18" s="392">
        <f t="shared" si="2"/>
        <v>118.97011083000007</v>
      </c>
      <c r="E18" s="392">
        <f t="shared" si="3"/>
        <v>160.33689370000013</v>
      </c>
      <c r="F18" s="8"/>
      <c r="I18" s="22" t="s">
        <v>249</v>
      </c>
      <c r="J18" s="1">
        <v>1</v>
      </c>
      <c r="AA18" s="2"/>
    </row>
    <row r="19" spans="1:27" x14ac:dyDescent="0.25">
      <c r="A19" s="8">
        <v>1118</v>
      </c>
      <c r="B19" s="392">
        <v>80</v>
      </c>
      <c r="C19" s="392">
        <f t="shared" si="1"/>
        <v>115.09023179640008</v>
      </c>
      <c r="D19" s="393">
        <v>115</v>
      </c>
      <c r="E19" s="392">
        <f t="shared" si="3"/>
        <v>155.11965408280008</v>
      </c>
      <c r="F19" s="8"/>
      <c r="I19" s="22" t="s">
        <v>250</v>
      </c>
      <c r="J19" s="1">
        <v>1.18</v>
      </c>
      <c r="AA19" s="2"/>
    </row>
    <row r="20" spans="1:27" x14ac:dyDescent="0.25">
      <c r="A20" s="8">
        <v>1200</v>
      </c>
      <c r="B20" s="8">
        <v>80</v>
      </c>
      <c r="C20" s="392">
        <f t="shared" si="1"/>
        <v>99.385096910000129</v>
      </c>
      <c r="D20" s="8">
        <v>115</v>
      </c>
      <c r="E20" s="392">
        <f t="shared" ref="E20" si="7">879.232228-1.011380233*A20+0.0003253082*A20^2</f>
        <v>134.01975640000018</v>
      </c>
      <c r="F20" s="8"/>
      <c r="I20" s="22" t="s">
        <v>251</v>
      </c>
      <c r="J20" s="1">
        <v>1.25</v>
      </c>
      <c r="AA20" s="2"/>
    </row>
    <row r="21" spans="1:27" x14ac:dyDescent="0.25">
      <c r="A21" s="8">
        <v>1295</v>
      </c>
      <c r="B21" s="8">
        <v>80</v>
      </c>
      <c r="C21" s="392">
        <f t="shared" si="1"/>
        <v>85.229557386000067</v>
      </c>
      <c r="D21" s="8">
        <v>115</v>
      </c>
      <c r="E21" s="393">
        <v>115</v>
      </c>
      <c r="F21" s="8"/>
      <c r="I21" s="22" t="s">
        <v>252</v>
      </c>
      <c r="J21" s="1">
        <v>1.33</v>
      </c>
      <c r="AA21" s="2"/>
    </row>
    <row r="22" spans="1:27" x14ac:dyDescent="0.25">
      <c r="A22" s="8">
        <v>1300</v>
      </c>
      <c r="B22" s="8">
        <v>80</v>
      </c>
      <c r="C22" s="392">
        <f t="shared" si="1"/>
        <v>84.604642990000116</v>
      </c>
      <c r="D22" s="8">
        <v>115</v>
      </c>
      <c r="E22" s="393">
        <v>115</v>
      </c>
      <c r="F22" s="8"/>
      <c r="AA22" s="2"/>
    </row>
    <row r="23" spans="1:27" x14ac:dyDescent="0.25">
      <c r="A23" s="8">
        <v>1340</v>
      </c>
      <c r="B23" s="8">
        <v>80</v>
      </c>
      <c r="C23" s="393">
        <v>80</v>
      </c>
      <c r="D23" s="8">
        <v>115</v>
      </c>
      <c r="E23" s="393">
        <v>115</v>
      </c>
      <c r="F23" s="8"/>
      <c r="AA23" s="2"/>
    </row>
    <row r="24" spans="1:27" x14ac:dyDescent="0.25">
      <c r="A24" s="8">
        <v>1400</v>
      </c>
      <c r="B24" s="8">
        <v>80</v>
      </c>
      <c r="C24" s="8">
        <v>80</v>
      </c>
      <c r="D24" s="8">
        <v>115</v>
      </c>
      <c r="E24" s="8">
        <v>115</v>
      </c>
      <c r="F24" s="8"/>
      <c r="AA24" s="2"/>
    </row>
    <row r="25" spans="1:27" x14ac:dyDescent="0.25">
      <c r="A25" s="8">
        <v>1500</v>
      </c>
      <c r="B25" s="8">
        <v>80</v>
      </c>
      <c r="C25" s="8">
        <v>80</v>
      </c>
      <c r="D25" s="8">
        <v>115</v>
      </c>
      <c r="E25" s="8">
        <v>115</v>
      </c>
      <c r="F25" s="8"/>
      <c r="I25" s="15" t="s">
        <v>254</v>
      </c>
      <c r="J25" s="24" t="s">
        <v>242</v>
      </c>
      <c r="AA25" s="2"/>
    </row>
    <row r="26" spans="1:27" x14ac:dyDescent="0.25">
      <c r="A26" s="8">
        <v>1600</v>
      </c>
      <c r="B26" s="8">
        <v>80</v>
      </c>
      <c r="C26" s="8">
        <v>80</v>
      </c>
      <c r="D26" s="8">
        <v>115</v>
      </c>
      <c r="E26" s="8">
        <v>115</v>
      </c>
      <c r="F26" s="8"/>
      <c r="I26" s="23">
        <v>0</v>
      </c>
      <c r="J26">
        <v>1</v>
      </c>
      <c r="AA26" s="2"/>
    </row>
    <row r="27" spans="1:27" x14ac:dyDescent="0.25">
      <c r="A27" s="8">
        <v>1700</v>
      </c>
      <c r="B27" s="8">
        <v>80</v>
      </c>
      <c r="C27" s="8">
        <v>80</v>
      </c>
      <c r="D27" s="8">
        <v>115</v>
      </c>
      <c r="E27" s="8">
        <v>115</v>
      </c>
      <c r="F27" s="8"/>
      <c r="I27" s="23">
        <v>0.02</v>
      </c>
      <c r="J27">
        <v>1.0900000000000001</v>
      </c>
      <c r="AA27" s="2"/>
    </row>
    <row r="28" spans="1:27" x14ac:dyDescent="0.25">
      <c r="A28" s="8">
        <v>1800</v>
      </c>
      <c r="B28" s="8">
        <v>80</v>
      </c>
      <c r="C28" s="8">
        <v>80</v>
      </c>
      <c r="D28" s="8">
        <v>115</v>
      </c>
      <c r="E28" s="8">
        <v>115</v>
      </c>
      <c r="I28" s="23">
        <v>0.04</v>
      </c>
      <c r="J28">
        <v>1.19</v>
      </c>
      <c r="AA28" s="2"/>
    </row>
    <row r="29" spans="1:27" x14ac:dyDescent="0.25">
      <c r="A29" s="8">
        <v>1900</v>
      </c>
      <c r="B29" s="8">
        <v>80</v>
      </c>
      <c r="C29" s="8">
        <v>80</v>
      </c>
      <c r="D29" s="8">
        <v>115</v>
      </c>
      <c r="E29" s="8">
        <v>115</v>
      </c>
      <c r="I29" s="22" t="s">
        <v>255</v>
      </c>
      <c r="J29">
        <v>1.32</v>
      </c>
      <c r="AA29" s="2"/>
    </row>
    <row r="30" spans="1:27" x14ac:dyDescent="0.25">
      <c r="A30" s="8">
        <v>2000</v>
      </c>
      <c r="B30" s="8">
        <v>80</v>
      </c>
      <c r="C30" s="8">
        <v>80</v>
      </c>
      <c r="D30" s="8">
        <v>115</v>
      </c>
      <c r="E30" s="8">
        <v>115</v>
      </c>
      <c r="AA30" s="2"/>
    </row>
    <row r="31" spans="1:27" x14ac:dyDescent="0.25">
      <c r="A31" s="8"/>
      <c r="B31" s="8"/>
      <c r="C31" s="8"/>
      <c r="D31" s="8"/>
      <c r="E31" s="8"/>
      <c r="AA31" s="2"/>
    </row>
    <row r="32" spans="1:27" x14ac:dyDescent="0.25">
      <c r="AA32" s="2"/>
    </row>
    <row r="33" spans="1:32" x14ac:dyDescent="0.25">
      <c r="A33" s="819" t="s">
        <v>22</v>
      </c>
      <c r="B33" s="819"/>
      <c r="C33" s="819"/>
      <c r="D33" s="819"/>
      <c r="E33" s="819"/>
      <c r="I33" s="376"/>
      <c r="J33" s="376"/>
      <c r="K33" s="377"/>
      <c r="L33" s="378"/>
      <c r="M33" s="378"/>
      <c r="N33" s="378"/>
      <c r="O33" s="378"/>
      <c r="P33" s="376"/>
      <c r="Q33" s="376"/>
      <c r="R33" s="375"/>
      <c r="AA33" s="2"/>
    </row>
    <row r="34" spans="1:32" x14ac:dyDescent="0.25">
      <c r="A34" s="819"/>
      <c r="B34" s="819"/>
      <c r="C34" s="819"/>
      <c r="D34" s="819"/>
      <c r="E34" s="819"/>
      <c r="I34" s="829" t="s">
        <v>666</v>
      </c>
      <c r="J34" s="829"/>
      <c r="K34" s="829"/>
      <c r="L34" s="829"/>
      <c r="M34" s="829"/>
      <c r="N34" s="829"/>
      <c r="O34" s="829"/>
      <c r="P34" s="829"/>
      <c r="Q34" s="829"/>
      <c r="R34" s="829"/>
      <c r="S34" s="829"/>
      <c r="T34" s="829"/>
      <c r="U34" s="829"/>
      <c r="V34" s="829"/>
      <c r="W34" s="829"/>
      <c r="X34" s="829"/>
      <c r="Y34" s="829"/>
      <c r="Z34" s="829"/>
      <c r="AA34" s="829"/>
      <c r="AB34" s="829"/>
      <c r="AC34" s="829"/>
      <c r="AD34" s="829"/>
      <c r="AE34" s="829"/>
      <c r="AF34" s="829"/>
    </row>
    <row r="35" spans="1:32" x14ac:dyDescent="0.25">
      <c r="A35" s="819"/>
      <c r="B35" s="819"/>
      <c r="C35" s="819"/>
      <c r="D35" s="819"/>
      <c r="E35" s="81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row>
    <row r="36" spans="1:32" x14ac:dyDescent="0.25">
      <c r="A36" s="1" t="s">
        <v>0</v>
      </c>
      <c r="B36" s="1" t="s">
        <v>1</v>
      </c>
      <c r="I36" s="830"/>
      <c r="J36" s="830"/>
      <c r="K36" s="830"/>
      <c r="L36" s="830"/>
      <c r="M36" s="830"/>
      <c r="N36" s="830"/>
      <c r="O36" s="830"/>
      <c r="P36" s="830"/>
      <c r="Q36" s="830"/>
      <c r="R36" s="830"/>
      <c r="S36" s="830"/>
      <c r="T36" s="830"/>
      <c r="U36" s="830"/>
      <c r="V36" s="830"/>
      <c r="W36" s="830"/>
      <c r="X36" s="830"/>
      <c r="Y36" s="830"/>
      <c r="Z36" s="830"/>
      <c r="AA36" s="830"/>
      <c r="AB36" s="830"/>
      <c r="AC36" s="830"/>
      <c r="AD36" s="830"/>
      <c r="AE36" s="830"/>
      <c r="AF36" s="830"/>
    </row>
    <row r="37" spans="1:32" ht="27" thickBot="1" x14ac:dyDescent="0.3">
      <c r="A37" s="3" t="s">
        <v>19</v>
      </c>
      <c r="B37" s="3" t="s">
        <v>20</v>
      </c>
      <c r="C37" s="26" t="s">
        <v>462</v>
      </c>
      <c r="D37" s="26" t="s">
        <v>463</v>
      </c>
      <c r="E37" t="s">
        <v>21</v>
      </c>
      <c r="I37" s="50"/>
      <c r="P37" s="823">
        <v>1</v>
      </c>
      <c r="Q37" s="823"/>
      <c r="R37" s="824"/>
      <c r="S37" s="825">
        <v>2</v>
      </c>
      <c r="T37" s="823"/>
      <c r="U37" s="824"/>
      <c r="V37" s="39">
        <v>3</v>
      </c>
      <c r="W37" s="826">
        <v>4</v>
      </c>
      <c r="X37" s="827"/>
      <c r="Y37" s="827"/>
      <c r="Z37" s="827"/>
      <c r="AA37" s="827"/>
      <c r="AB37" s="828"/>
      <c r="AC37" s="825">
        <v>5</v>
      </c>
      <c r="AD37" s="823"/>
      <c r="AE37" s="823"/>
      <c r="AF37" s="823"/>
    </row>
    <row r="38" spans="1:32" ht="13.8" thickBot="1" x14ac:dyDescent="0.3">
      <c r="A38">
        <v>0</v>
      </c>
      <c r="B38" s="394">
        <f>377.22710663-0.6793503652*A38+0.0003501046*A38^2</f>
        <v>377.22710662999998</v>
      </c>
      <c r="C38" s="394">
        <f>460.53837044-0.7635806818*A38+0.0003591016*A38^2</f>
        <v>460.53837043999999</v>
      </c>
      <c r="D38" s="394">
        <f>460.53837044-0.7635806818*A38+0.0003591016*A38^2</f>
        <v>460.53837043999999</v>
      </c>
      <c r="E38" s="394">
        <f>613.77772474-0.98936782818*A38+0.0004377428*A38^2</f>
        <v>613.77772474000005</v>
      </c>
      <c r="I38" s="50"/>
      <c r="P38" s="33" t="s">
        <v>327</v>
      </c>
      <c r="Q38" s="33" t="s">
        <v>328</v>
      </c>
      <c r="R38" s="34" t="s">
        <v>329</v>
      </c>
      <c r="S38" s="26" t="s">
        <v>324</v>
      </c>
      <c r="T38" s="26" t="s">
        <v>325</v>
      </c>
      <c r="U38" s="36" t="s">
        <v>326</v>
      </c>
      <c r="V38" s="41"/>
      <c r="W38" s="26" t="s">
        <v>330</v>
      </c>
      <c r="X38" s="26" t="s">
        <v>331</v>
      </c>
      <c r="Y38" s="26" t="s">
        <v>338</v>
      </c>
      <c r="Z38" s="26" t="s">
        <v>332</v>
      </c>
      <c r="AA38" s="44" t="s">
        <v>333</v>
      </c>
      <c r="AB38" s="43"/>
      <c r="AC38" s="26" t="s">
        <v>334</v>
      </c>
      <c r="AD38" s="26" t="s">
        <v>335</v>
      </c>
      <c r="AE38" s="26" t="s">
        <v>336</v>
      </c>
      <c r="AF38" s="33" t="s">
        <v>337</v>
      </c>
    </row>
    <row r="39" spans="1:32" x14ac:dyDescent="0.25">
      <c r="A39">
        <v>100</v>
      </c>
      <c r="B39" s="394">
        <f t="shared" ref="B39:B45" si="8">377.22710663-0.6793503652*A39+0.0003501046*A39^2</f>
        <v>312.79311610999997</v>
      </c>
      <c r="C39" s="394">
        <f t="shared" ref="C39:C50" si="9">460.53837044-0.7635806818*A39+0.0003591016*A39^2</f>
        <v>387.77131825999999</v>
      </c>
      <c r="D39" s="394">
        <f t="shared" ref="D39:D46" si="10">460.53837044-0.7635806818*A39+0.0003591016*A39^2</f>
        <v>387.77131825999999</v>
      </c>
      <c r="E39" s="394">
        <f t="shared" ref="E39:E48" si="11">613.77772474-0.98936782818*A39+0.0004377428*A39^2</f>
        <v>519.21836992200008</v>
      </c>
      <c r="I39" s="50"/>
      <c r="J39">
        <v>1</v>
      </c>
      <c r="K39">
        <v>2</v>
      </c>
      <c r="L39">
        <v>3</v>
      </c>
      <c r="M39">
        <v>4</v>
      </c>
      <c r="N39">
        <v>5</v>
      </c>
      <c r="P39" s="8">
        <v>60</v>
      </c>
      <c r="Q39" s="8">
        <v>40</v>
      </c>
      <c r="R39" s="35">
        <v>20</v>
      </c>
      <c r="S39" s="8">
        <v>60</v>
      </c>
      <c r="T39" s="8">
        <v>40</v>
      </c>
      <c r="U39" s="35">
        <v>20</v>
      </c>
      <c r="V39" s="45">
        <v>75</v>
      </c>
      <c r="W39" s="8">
        <v>65</v>
      </c>
      <c r="X39" s="47"/>
      <c r="Y39" s="8">
        <v>40</v>
      </c>
      <c r="Z39" s="8">
        <v>20</v>
      </c>
      <c r="AA39" s="11">
        <v>50</v>
      </c>
      <c r="AB39" s="45">
        <v>30</v>
      </c>
      <c r="AC39" s="8">
        <v>75</v>
      </c>
      <c r="AD39" s="8">
        <v>50</v>
      </c>
      <c r="AE39" s="8">
        <v>30</v>
      </c>
      <c r="AF39" s="8">
        <v>15</v>
      </c>
    </row>
    <row r="40" spans="1:32" x14ac:dyDescent="0.25">
      <c r="A40">
        <v>200</v>
      </c>
      <c r="B40" s="394">
        <f t="shared" si="8"/>
        <v>255.36121759</v>
      </c>
      <c r="C40" s="394">
        <f t="shared" si="9"/>
        <v>322.18629807999997</v>
      </c>
      <c r="D40" s="394">
        <f t="shared" si="10"/>
        <v>322.18629807999997</v>
      </c>
      <c r="E40" s="394">
        <f t="shared" si="11"/>
        <v>433.41387110400007</v>
      </c>
      <c r="I40" s="49">
        <f>IF('RTF 1'!$D$9=1,'Lookup Tables'!$J40,IF('RTF 1'!$D$9=2,'Lookup Tables'!$K40,IF('RTF 1'!$D$9=3,'Lookup Tables'!$L40,IF('RTF 1'!$D$9=4,'Lookup Tables'!$M40,'Lookup Tables'!$N40))))</f>
        <v>20</v>
      </c>
      <c r="J40">
        <f t="shared" ref="J40:J71" si="12">IF(P40=TRUE,$P$39,IF(Q40=TRUE,$Q$39,$R$39))</f>
        <v>20</v>
      </c>
      <c r="K40">
        <f t="shared" ref="K40:K71" si="13">IF(S40=TRUE,$S$39,IF(T40=TRUE,$T$39,$U$39))</f>
        <v>20</v>
      </c>
      <c r="L40">
        <f>IF('RTF 1'!$D$9=3,'Lookup Tables'!$V$39,0)</f>
        <v>0</v>
      </c>
      <c r="M40">
        <f t="shared" ref="M40:M71" si="14">IF(W40=TRUE,$W$39,IF(X40=TRUE,(IF(S40=TRUE,$S$39,IF(T40=TRUE,$T$39,$U$39))),IF($Y$40=TRUE,$Y$39,IF(Z40=TRUE,$Z$39,IF(AA40=TRUE,$AA$39,$AB$39)))))</f>
        <v>40</v>
      </c>
      <c r="N40">
        <f t="shared" ref="N40:N71" si="15">IF(AC40=TRUE,$AC$39,IF(AD40=TRUE,$AD$39,IF(AE40=TRUE,$AE$39,$AF$39)))</f>
        <v>15</v>
      </c>
      <c r="P40" s="8" t="b">
        <f>'RTF 1'!Q13&gt;'RTF 1'!S13</f>
        <v>0</v>
      </c>
      <c r="Q40" s="8" t="b">
        <f>AND('RTF 1'!S13&gt;='RTF 1'!Q13,'RTF 1'!Q13&gt;'RTF 1'!T13)</f>
        <v>0</v>
      </c>
      <c r="R40" s="35" t="b">
        <f>'RTF 1'!Q13&lt;='RTF 1'!T13</f>
        <v>1</v>
      </c>
      <c r="S40" s="8" t="b">
        <f>'RTF 1'!$Q13&gt;'RTF 1'!$U13</f>
        <v>0</v>
      </c>
      <c r="T40" s="8" t="b">
        <f>AND('RTF 1'!$U13&gt;='RTF 1'!$Q13,'RTF 1'!$Q13&gt;'RTF 1'!$V13)</f>
        <v>0</v>
      </c>
      <c r="U40" s="35" t="b">
        <f>'RTF 1'!$Q13&lt;='RTF 1'!$V13</f>
        <v>1</v>
      </c>
      <c r="V40" s="42"/>
      <c r="W40" s="8" t="b">
        <f>'RTF 1'!$Q13&gt;('RTF 1'!$P13+'RTF 1'!$O13)</f>
        <v>0</v>
      </c>
      <c r="X40" s="8" t="b">
        <f>'RTF 1'!$O13&gt;('RTF 1'!$P13+'RTF 1'!$Q13)</f>
        <v>0</v>
      </c>
      <c r="Y40" s="8" t="b">
        <f>AND(('RTF 1'!$O13+10)&gt;='RTF 1'!$P13,('RTF 1'!$O13-10)&lt;='RTF 1'!$P13,('RTF 1'!$P13+10)&gt;='RTF 1'!$Q13,('RTF 1'!$P13-10)&lt;='RTF 1'!$Q13,('RTF 1'!$O13+10)&gt;='RTF 1'!$Q13,('RTF 1'!$O13-10)&lt;='RTF 1'!$Q13)</f>
        <v>1</v>
      </c>
      <c r="Z40" s="8" t="b">
        <f>AND(('RTF 1'!$O13+10)&gt;='RTF 1'!$P13,('RTF 1'!$O13-10)&lt;='RTF 1'!$P13,OR('RTF 1'!$P13&gt;'RTF 1'!$Y13,'RTF 1'!$O13&gt;'RTF 1'!$Y13))</f>
        <v>0</v>
      </c>
      <c r="AA40" s="11" t="b">
        <f>AND(('RTF 1'!$Q13+10)&gt;='RTF 1'!$P13,('RTF 1'!$Q13-10)&lt;='RTF 1'!$P13,OR('RTF 1'!$P13&gt;'RTF 1'!$Z13,'RTF 1'!$Q13&gt;'RTF 1'!$Z13))</f>
        <v>0</v>
      </c>
      <c r="AB40" s="35" t="b">
        <f>IF(AND($W40=FALSE,$X40=FALSE,$Y40=FALSE,$Z40=FALSE,$AA40=FALSE),TRUE,FALSE)</f>
        <v>0</v>
      </c>
      <c r="AC40" s="8" t="b">
        <f>'RTF 1'!$Q13&gt;'RTF 1'!$P13</f>
        <v>0</v>
      </c>
      <c r="AD40" s="8" t="b">
        <f>AND('RTF 1'!$P13&gt;='RTF 1'!$Q13,'RTF 1'!$Q13&gt;'RTF 1'!$AA13)</f>
        <v>0</v>
      </c>
      <c r="AE40" s="8" t="b">
        <f>AND('RTF 1'!$AA13&gt;'RTF 1'!$Q13,'RTF 1'!$Q13&gt;'RTF 1'!$AB13)</f>
        <v>0</v>
      </c>
      <c r="AF40" s="8" t="b">
        <f>'RTF 1'!$Q13&lt;'RTF 1'!$AB13</f>
        <v>1</v>
      </c>
    </row>
    <row r="41" spans="1:32" x14ac:dyDescent="0.25">
      <c r="A41">
        <v>300</v>
      </c>
      <c r="B41" s="394">
        <f t="shared" si="8"/>
        <v>204.93141106999997</v>
      </c>
      <c r="C41" s="394">
        <f t="shared" si="9"/>
        <v>263.78330990000001</v>
      </c>
      <c r="D41" s="394">
        <f t="shared" si="10"/>
        <v>263.78330990000001</v>
      </c>
      <c r="E41" s="394">
        <f t="shared" si="11"/>
        <v>356.36422828600007</v>
      </c>
      <c r="I41" s="49">
        <f>IF('RTF 1'!$D$9=1,'Lookup Tables'!$J41,IF('RTF 1'!$D$9=2,'Lookup Tables'!$K41,IF('RTF 1'!$D$9=3,'Lookup Tables'!$L41,IF('RTF 1'!$D$9=4,'Lookup Tables'!$M41,'Lookup Tables'!$N41))))</f>
        <v>20</v>
      </c>
      <c r="J41">
        <f t="shared" si="12"/>
        <v>20</v>
      </c>
      <c r="K41">
        <f t="shared" si="13"/>
        <v>20</v>
      </c>
      <c r="L41">
        <f>IF('RTF 1'!$D$9=3,'Lookup Tables'!$V$39,0)</f>
        <v>0</v>
      </c>
      <c r="M41">
        <f t="shared" si="14"/>
        <v>40</v>
      </c>
      <c r="N41">
        <f t="shared" si="15"/>
        <v>15</v>
      </c>
      <c r="P41" s="8" t="b">
        <f>'RTF 1'!Q14&gt;'RTF 1'!S14</f>
        <v>0</v>
      </c>
      <c r="Q41" s="8" t="b">
        <f>AND('RTF 1'!S14&gt;='RTF 1'!Q14,'RTF 1'!Q14&gt;'RTF 1'!T14)</f>
        <v>0</v>
      </c>
      <c r="R41" s="35" t="b">
        <f>'RTF 1'!Q14&lt;='RTF 1'!T14</f>
        <v>1</v>
      </c>
      <c r="S41" s="8" t="b">
        <f>'RTF 1'!Q14&gt;'RTF 1'!U14</f>
        <v>0</v>
      </c>
      <c r="T41" s="8" t="b">
        <f>AND('RTF 1'!U14&gt;='RTF 1'!Q14,'RTF 1'!Q14&gt;'RTF 1'!V14)</f>
        <v>0</v>
      </c>
      <c r="U41" s="35" t="b">
        <f>'RTF 1'!Q14&lt;='RTF 1'!V14</f>
        <v>1</v>
      </c>
      <c r="V41" s="42"/>
      <c r="W41" s="8" t="b">
        <f>'RTF 1'!Q14&gt;('RTF 1'!P14+'RTF 1'!O14)</f>
        <v>0</v>
      </c>
      <c r="X41" s="8" t="b">
        <f>'RTF 1'!O14&gt;('RTF 1'!P14+'RTF 1'!Q14)</f>
        <v>0</v>
      </c>
      <c r="Y41" s="8" t="b">
        <f>AND(('RTF 1'!O14+10)&gt;='RTF 1'!P14,('RTF 1'!O14-10)&lt;='RTF 1'!P14,('RTF 1'!P14+10)&gt;='RTF 1'!Q14,('RTF 1'!P14-10)&lt;='RTF 1'!Q14,('RTF 1'!O14+10)&gt;='RTF 1'!Q14,('RTF 1'!O14-10)&lt;='RTF 1'!Q14)</f>
        <v>1</v>
      </c>
      <c r="Z41" s="8" t="b">
        <f>AND(('RTF 1'!O14+10)&gt;='RTF 1'!P14,('RTF 1'!O14-10)&lt;='RTF 1'!P14,OR('RTF 1'!P14&gt;'RTF 1'!Y14,'RTF 1'!O14&gt;'RTF 1'!Y14))</f>
        <v>0</v>
      </c>
      <c r="AA41" s="11" t="b">
        <f>AND(('RTF 1'!Q14+10)&gt;='RTF 1'!P14,('RTF 1'!Q14-10)&lt;='RTF 1'!P14,OR('RTF 1'!P14&gt;'RTF 1'!Z14,'RTF 1'!Q14&gt;'RTF 1'!Z14))</f>
        <v>0</v>
      </c>
      <c r="AB41" s="35" t="b">
        <f t="shared" ref="AB41:AB104" si="16">IF(AND(W41=FALSE,X41=FALSE,Y41=FALSE,Z41=FALSE,AA41=FALSE),TRUE,FALSE)</f>
        <v>0</v>
      </c>
      <c r="AC41" s="8" t="b">
        <f>'RTF 1'!Q14&gt;'RTF 1'!P14</f>
        <v>0</v>
      </c>
      <c r="AD41" s="8" t="b">
        <f>AND('RTF 1'!P14&gt;='RTF 1'!Q14,'RTF 1'!Q14&gt;'RTF 1'!AA14)</f>
        <v>0</v>
      </c>
      <c r="AE41" s="8" t="b">
        <f>AND('RTF 1'!AA14&gt;'RTF 1'!Q14,'RTF 1'!Q14&gt;'RTF 1'!AB14)</f>
        <v>0</v>
      </c>
      <c r="AF41" s="8" t="b">
        <f>'RTF 1'!Q14&lt;'RTF 1'!AB14</f>
        <v>1</v>
      </c>
    </row>
    <row r="42" spans="1:32" x14ac:dyDescent="0.25">
      <c r="A42">
        <v>400</v>
      </c>
      <c r="B42" s="394">
        <f t="shared" si="8"/>
        <v>161.50369655</v>
      </c>
      <c r="C42" s="394">
        <f t="shared" si="9"/>
        <v>212.56235371999998</v>
      </c>
      <c r="D42" s="394">
        <f t="shared" si="10"/>
        <v>212.56235371999998</v>
      </c>
      <c r="E42" s="394">
        <f t="shared" si="11"/>
        <v>288.06944146800004</v>
      </c>
      <c r="I42" s="49">
        <f>IF('RTF 1'!$D$9=1,'Lookup Tables'!$J42,IF('RTF 1'!$D$9=2,'Lookup Tables'!$K42,IF('RTF 1'!$D$9=3,'Lookup Tables'!$L42,IF('RTF 1'!$D$9=4,'Lookup Tables'!$M42,'Lookup Tables'!$N42))))</f>
        <v>20</v>
      </c>
      <c r="J42">
        <f t="shared" si="12"/>
        <v>20</v>
      </c>
      <c r="K42">
        <f t="shared" si="13"/>
        <v>20</v>
      </c>
      <c r="L42">
        <f>IF('RTF 1'!$D$9=3,'Lookup Tables'!$V$39,0)</f>
        <v>0</v>
      </c>
      <c r="M42">
        <f t="shared" si="14"/>
        <v>40</v>
      </c>
      <c r="N42">
        <f t="shared" si="15"/>
        <v>15</v>
      </c>
      <c r="P42" s="8" t="b">
        <f>'RTF 1'!Q15&gt;'RTF 1'!S15</f>
        <v>0</v>
      </c>
      <c r="Q42" s="8" t="b">
        <f>AND('RTF 1'!S15&gt;='RTF 1'!Q15,'RTF 1'!Q15&gt;'RTF 1'!T15)</f>
        <v>0</v>
      </c>
      <c r="R42" s="35" t="b">
        <f>'RTF 1'!Q15&lt;='RTF 1'!T15</f>
        <v>1</v>
      </c>
      <c r="S42" s="8" t="b">
        <f>'RTF 1'!Q15&gt;'RTF 1'!U15</f>
        <v>0</v>
      </c>
      <c r="T42" s="8" t="b">
        <f>AND('RTF 1'!U15&gt;='RTF 1'!Q15,'RTF 1'!Q15&gt;'RTF 1'!V15)</f>
        <v>0</v>
      </c>
      <c r="U42" s="35" t="b">
        <f>'RTF 1'!Q15&lt;='RTF 1'!V15</f>
        <v>1</v>
      </c>
      <c r="V42" s="42"/>
      <c r="W42" s="8" t="b">
        <f>'RTF 1'!Q15&gt;('RTF 1'!P15+'RTF 1'!O15)</f>
        <v>0</v>
      </c>
      <c r="X42" s="8" t="b">
        <f>'RTF 1'!O15&gt;('RTF 1'!P15+'RTF 1'!Q15)</f>
        <v>0</v>
      </c>
      <c r="Y42" s="8" t="b">
        <f>AND(('RTF 1'!O15+10)&gt;='RTF 1'!P15,('RTF 1'!O15-10)&lt;='RTF 1'!P15,('RTF 1'!P15+10)&gt;='RTF 1'!Q15,('RTF 1'!P15-10)&lt;='RTF 1'!Q15,('RTF 1'!O15+10)&gt;='RTF 1'!Q15,('RTF 1'!O15-10)&lt;='RTF 1'!Q15)</f>
        <v>1</v>
      </c>
      <c r="Z42" s="8" t="b">
        <f>AND(('RTF 1'!O15+10)&gt;='RTF 1'!P15,('RTF 1'!O15-10)&lt;='RTF 1'!P15,OR('RTF 1'!P15&gt;'RTF 1'!Y15,'RTF 1'!O15&gt;'RTF 1'!Y15))</f>
        <v>0</v>
      </c>
      <c r="AA42" s="11" t="b">
        <f>AND(('RTF 1'!Q15+10)&gt;='RTF 1'!P15,('RTF 1'!Q15-10)&lt;='RTF 1'!P15,OR('RTF 1'!P15&gt;'RTF 1'!Z15,'RTF 1'!Q15&gt;'RTF 1'!Z15))</f>
        <v>0</v>
      </c>
      <c r="AB42" s="35" t="b">
        <f t="shared" si="16"/>
        <v>0</v>
      </c>
      <c r="AC42" s="8" t="b">
        <f>'RTF 1'!Q15&gt;'RTF 1'!P15</f>
        <v>0</v>
      </c>
      <c r="AD42" s="8" t="b">
        <f>AND('RTF 1'!P15&gt;='RTF 1'!Q15,'RTF 1'!Q15&gt;'RTF 1'!AA15)</f>
        <v>0</v>
      </c>
      <c r="AE42" s="8" t="b">
        <f>AND('RTF 1'!AA15&gt;'RTF 1'!Q15,'RTF 1'!Q15&gt;'RTF 1'!AB15)</f>
        <v>0</v>
      </c>
      <c r="AF42" s="8" t="b">
        <f>'RTF 1'!Q15&lt;'RTF 1'!AB15</f>
        <v>1</v>
      </c>
    </row>
    <row r="43" spans="1:32" x14ac:dyDescent="0.25">
      <c r="A43">
        <v>500</v>
      </c>
      <c r="B43" s="394">
        <f t="shared" si="8"/>
        <v>125.07807402999995</v>
      </c>
      <c r="C43" s="394">
        <f t="shared" si="9"/>
        <v>168.52342953999994</v>
      </c>
      <c r="D43" s="394">
        <f t="shared" si="10"/>
        <v>168.52342953999994</v>
      </c>
      <c r="E43" s="394">
        <f t="shared" si="11"/>
        <v>228.52951065000002</v>
      </c>
      <c r="I43" s="49">
        <f>IF('RTF 1'!$D$9=1,'Lookup Tables'!$J43,IF('RTF 1'!$D$9=2,'Lookup Tables'!$K43,IF('RTF 1'!$D$9=3,'Lookup Tables'!$L43,IF('RTF 1'!$D$9=4,'Lookup Tables'!$M43,'Lookup Tables'!$N43))))</f>
        <v>20</v>
      </c>
      <c r="J43">
        <f t="shared" si="12"/>
        <v>20</v>
      </c>
      <c r="K43">
        <f t="shared" si="13"/>
        <v>20</v>
      </c>
      <c r="L43">
        <f>IF('RTF 1'!$D$9=3,'Lookup Tables'!$V$39,0)</f>
        <v>0</v>
      </c>
      <c r="M43">
        <f t="shared" si="14"/>
        <v>40</v>
      </c>
      <c r="N43">
        <f t="shared" si="15"/>
        <v>15</v>
      </c>
      <c r="P43" s="8" t="b">
        <f>'RTF 1'!Q16&gt;'RTF 1'!S16</f>
        <v>0</v>
      </c>
      <c r="Q43" s="8" t="b">
        <f>AND('RTF 1'!S16&gt;='RTF 1'!Q16,'RTF 1'!Q16&gt;'RTF 1'!T16)</f>
        <v>0</v>
      </c>
      <c r="R43" s="35" t="b">
        <f>'RTF 1'!Q16&lt;='RTF 1'!T16</f>
        <v>1</v>
      </c>
      <c r="S43" s="8" t="b">
        <f>'RTF 1'!Q16&gt;'RTF 1'!U16</f>
        <v>0</v>
      </c>
      <c r="T43" s="8" t="b">
        <f>AND('RTF 1'!U16&gt;='RTF 1'!Q16,'RTF 1'!Q16&gt;'RTF 1'!V16)</f>
        <v>0</v>
      </c>
      <c r="U43" s="35" t="b">
        <f>'RTF 1'!Q16&lt;='RTF 1'!V16</f>
        <v>1</v>
      </c>
      <c r="V43" s="42"/>
      <c r="W43" s="8" t="b">
        <f>'RTF 1'!Q16&gt;('RTF 1'!P16+'RTF 1'!O16)</f>
        <v>0</v>
      </c>
      <c r="X43" s="8" t="b">
        <f>'RTF 1'!O16&gt;('RTF 1'!P16+'RTF 1'!Q16)</f>
        <v>0</v>
      </c>
      <c r="Y43" s="8" t="b">
        <f>AND(('RTF 1'!O16+10)&gt;='RTF 1'!P16,('RTF 1'!O16-10)&lt;='RTF 1'!P16,('RTF 1'!P16+10)&gt;='RTF 1'!Q16,('RTF 1'!P16-10)&lt;='RTF 1'!Q16,('RTF 1'!O16+10)&gt;='RTF 1'!Q16,('RTF 1'!O16-10)&lt;='RTF 1'!Q16)</f>
        <v>1</v>
      </c>
      <c r="Z43" s="8" t="b">
        <f>AND(('RTF 1'!O16+10)&gt;='RTF 1'!P16,('RTF 1'!O16-10)&lt;='RTF 1'!P16,OR('RTF 1'!P16&gt;'RTF 1'!Y16,'RTF 1'!O16&gt;'RTF 1'!Y16))</f>
        <v>0</v>
      </c>
      <c r="AA43" s="11" t="b">
        <f>AND(('RTF 1'!Q16+10)&gt;='RTF 1'!P16,('RTF 1'!Q16-10)&lt;='RTF 1'!P16,OR('RTF 1'!P16&gt;'RTF 1'!Z16,'RTF 1'!Q16&gt;'RTF 1'!Z16))</f>
        <v>0</v>
      </c>
      <c r="AB43" s="35" t="b">
        <f t="shared" si="16"/>
        <v>0</v>
      </c>
      <c r="AC43" s="8" t="b">
        <f>'RTF 1'!Q16&gt;'RTF 1'!P16</f>
        <v>0</v>
      </c>
      <c r="AD43" s="8" t="b">
        <f>AND('RTF 1'!P16&gt;='RTF 1'!Q16,'RTF 1'!Q16&gt;'RTF 1'!AA16)</f>
        <v>0</v>
      </c>
      <c r="AE43" s="8" t="b">
        <f>AND('RTF 1'!AA16&gt;'RTF 1'!Q16,'RTF 1'!Q16&gt;'RTF 1'!AB16)</f>
        <v>0</v>
      </c>
      <c r="AF43" s="8" t="b">
        <f>'RTF 1'!Q16&lt;'RTF 1'!AB16</f>
        <v>1</v>
      </c>
    </row>
    <row r="44" spans="1:32" x14ac:dyDescent="0.25">
      <c r="A44">
        <v>600</v>
      </c>
      <c r="B44" s="394">
        <f t="shared" si="8"/>
        <v>95.654543509999968</v>
      </c>
      <c r="C44" s="394">
        <f t="shared" si="9"/>
        <v>131.66653735999998</v>
      </c>
      <c r="D44" s="394">
        <f t="shared" si="10"/>
        <v>131.66653735999998</v>
      </c>
      <c r="E44" s="394">
        <f t="shared" si="11"/>
        <v>177.74443583200005</v>
      </c>
      <c r="I44" s="49">
        <f>IF('RTF 1'!$D$9=1,'Lookup Tables'!$J44,IF('RTF 1'!$D$9=2,'Lookup Tables'!$K44,IF('RTF 1'!$D$9=3,'Lookup Tables'!$L44,IF('RTF 1'!$D$9=4,'Lookup Tables'!$M44,'Lookup Tables'!$N44))))</f>
        <v>20</v>
      </c>
      <c r="J44">
        <f t="shared" si="12"/>
        <v>20</v>
      </c>
      <c r="K44">
        <f t="shared" si="13"/>
        <v>20</v>
      </c>
      <c r="L44">
        <f>IF('RTF 1'!$D$9=3,'Lookup Tables'!$V$39,0)</f>
        <v>0</v>
      </c>
      <c r="M44">
        <f t="shared" si="14"/>
        <v>40</v>
      </c>
      <c r="N44">
        <f t="shared" si="15"/>
        <v>15</v>
      </c>
      <c r="P44" s="8" t="b">
        <f>'RTF 1'!Q17&gt;'RTF 1'!S17</f>
        <v>0</v>
      </c>
      <c r="Q44" s="8" t="b">
        <f>AND('RTF 1'!S17&gt;='RTF 1'!Q17,'RTF 1'!Q17&gt;'RTF 1'!T17)</f>
        <v>0</v>
      </c>
      <c r="R44" s="35" t="b">
        <f>'RTF 1'!Q17&lt;='RTF 1'!T17</f>
        <v>1</v>
      </c>
      <c r="S44" s="8" t="b">
        <f>'RTF 1'!Q17&gt;'RTF 1'!U17</f>
        <v>0</v>
      </c>
      <c r="T44" s="8" t="b">
        <f>AND('RTF 1'!U17&gt;='RTF 1'!Q17,'RTF 1'!Q17&gt;'RTF 1'!V17)</f>
        <v>0</v>
      </c>
      <c r="U44" s="35" t="b">
        <f>'RTF 1'!Q17&lt;='RTF 1'!V17</f>
        <v>1</v>
      </c>
      <c r="V44" s="42"/>
      <c r="W44" s="8" t="b">
        <f>'RTF 1'!Q17&gt;('RTF 1'!P17+'RTF 1'!O17)</f>
        <v>0</v>
      </c>
      <c r="X44" s="8" t="b">
        <f>'RTF 1'!O17&gt;('RTF 1'!P17+'RTF 1'!Q17)</f>
        <v>0</v>
      </c>
      <c r="Y44" s="8" t="b">
        <f>AND(('RTF 1'!O17+10)&gt;='RTF 1'!P17,('RTF 1'!O17-10)&lt;='RTF 1'!P17,('RTF 1'!P17+10)&gt;='RTF 1'!Q17,('RTF 1'!P17-10)&lt;='RTF 1'!Q17,('RTF 1'!O17+10)&gt;='RTF 1'!Q17,('RTF 1'!O17-10)&lt;='RTF 1'!Q17)</f>
        <v>1</v>
      </c>
      <c r="Z44" s="8" t="b">
        <f>AND(('RTF 1'!O17+10)&gt;='RTF 1'!P17,('RTF 1'!O17-10)&lt;='RTF 1'!P17,OR('RTF 1'!P17&gt;'RTF 1'!Y17,'RTF 1'!O17&gt;'RTF 1'!Y17))</f>
        <v>0</v>
      </c>
      <c r="AA44" s="11" t="b">
        <f>AND(('RTF 1'!Q17+10)&gt;='RTF 1'!P17,('RTF 1'!Q17-10)&lt;='RTF 1'!P17,OR('RTF 1'!P17&gt;'RTF 1'!Z17,'RTF 1'!Q17&gt;'RTF 1'!Z17))</f>
        <v>0</v>
      </c>
      <c r="AB44" s="35" t="b">
        <f t="shared" si="16"/>
        <v>0</v>
      </c>
      <c r="AC44" s="8" t="b">
        <f>'RTF 1'!Q17&gt;'RTF 1'!P17</f>
        <v>0</v>
      </c>
      <c r="AD44" s="8" t="b">
        <f>AND('RTF 1'!P17&gt;='RTF 1'!Q17,'RTF 1'!Q17&gt;'RTF 1'!AA17)</f>
        <v>0</v>
      </c>
      <c r="AE44" s="8" t="b">
        <f>AND('RTF 1'!AA17&gt;'RTF 1'!Q17,'RTF 1'!Q17&gt;'RTF 1'!AB17)</f>
        <v>0</v>
      </c>
      <c r="AF44" s="8" t="b">
        <f>'RTF 1'!Q17&lt;'RTF 1'!AB17</f>
        <v>1</v>
      </c>
    </row>
    <row r="45" spans="1:32" x14ac:dyDescent="0.25">
      <c r="A45">
        <v>700</v>
      </c>
      <c r="B45" s="394">
        <f t="shared" si="8"/>
        <v>73.233104989999987</v>
      </c>
      <c r="C45" s="394">
        <f t="shared" si="9"/>
        <v>101.99167718000001</v>
      </c>
      <c r="D45" s="394">
        <f t="shared" si="10"/>
        <v>101.99167718000001</v>
      </c>
      <c r="E45" s="394">
        <f t="shared" si="11"/>
        <v>135.71421701400007</v>
      </c>
      <c r="I45" s="49">
        <f>IF('RTF 1'!$D$9=1,'Lookup Tables'!$J45,IF('RTF 1'!$D$9=2,'Lookup Tables'!$K45,IF('RTF 1'!$D$9=3,'Lookup Tables'!$L45,IF('RTF 1'!$D$9=4,'Lookup Tables'!$M45,'Lookup Tables'!$N45))))</f>
        <v>20</v>
      </c>
      <c r="J45">
        <f t="shared" si="12"/>
        <v>20</v>
      </c>
      <c r="K45">
        <f t="shared" si="13"/>
        <v>20</v>
      </c>
      <c r="L45">
        <f>IF('RTF 1'!$D$9=3,'Lookup Tables'!$V$39,0)</f>
        <v>0</v>
      </c>
      <c r="M45">
        <f t="shared" si="14"/>
        <v>40</v>
      </c>
      <c r="N45">
        <f t="shared" si="15"/>
        <v>15</v>
      </c>
      <c r="P45" s="8" t="b">
        <f>'RTF 1'!Q18&gt;'RTF 1'!S18</f>
        <v>0</v>
      </c>
      <c r="Q45" s="8" t="b">
        <f>AND('RTF 1'!S18&gt;='RTF 1'!Q18,'RTF 1'!Q18&gt;'RTF 1'!T18)</f>
        <v>0</v>
      </c>
      <c r="R45" s="35" t="b">
        <f>'RTF 1'!Q18&lt;='RTF 1'!T18</f>
        <v>1</v>
      </c>
      <c r="S45" s="8" t="b">
        <f>'RTF 1'!Q18&gt;'RTF 1'!U18</f>
        <v>0</v>
      </c>
      <c r="T45" s="8" t="b">
        <f>AND('RTF 1'!U18&gt;='RTF 1'!Q18,'RTF 1'!Q18&gt;'RTF 1'!V18)</f>
        <v>0</v>
      </c>
      <c r="U45" s="35" t="b">
        <f>'RTF 1'!Q18&lt;='RTF 1'!V18</f>
        <v>1</v>
      </c>
      <c r="V45" s="42"/>
      <c r="W45" s="8" t="b">
        <f>'RTF 1'!Q18&gt;('RTF 1'!P18+'RTF 1'!O18)</f>
        <v>0</v>
      </c>
      <c r="X45" s="8" t="b">
        <f>'RTF 1'!O18&gt;('RTF 1'!P18+'RTF 1'!Q18)</f>
        <v>0</v>
      </c>
      <c r="Y45" s="8" t="b">
        <f>AND(('RTF 1'!O18+10)&gt;='RTF 1'!P18,('RTF 1'!O18-10)&lt;='RTF 1'!P18,('RTF 1'!P18+10)&gt;='RTF 1'!Q18,('RTF 1'!P18-10)&lt;='RTF 1'!Q18,('RTF 1'!O18+10)&gt;='RTF 1'!Q18,('RTF 1'!O18-10)&lt;='RTF 1'!Q18)</f>
        <v>1</v>
      </c>
      <c r="Z45" s="8" t="b">
        <f>AND(('RTF 1'!O18+10)&gt;='RTF 1'!P18,('RTF 1'!O18-10)&lt;='RTF 1'!P18,OR('RTF 1'!P18&gt;'RTF 1'!Y18,'RTF 1'!O18&gt;'RTF 1'!Y18))</f>
        <v>0</v>
      </c>
      <c r="AA45" s="11" t="b">
        <f>AND(('RTF 1'!Q18+10)&gt;='RTF 1'!P18,('RTF 1'!Q18-10)&lt;='RTF 1'!P18,OR('RTF 1'!P18&gt;'RTF 1'!Z18,'RTF 1'!Q18&gt;'RTF 1'!Z18))</f>
        <v>0</v>
      </c>
      <c r="AB45" s="35" t="b">
        <f t="shared" si="16"/>
        <v>0</v>
      </c>
      <c r="AC45" s="8" t="b">
        <f>'RTF 1'!Q18&gt;'RTF 1'!P18</f>
        <v>0</v>
      </c>
      <c r="AD45" s="8" t="b">
        <f>AND('RTF 1'!P18&gt;='RTF 1'!Q18,'RTF 1'!Q18&gt;'RTF 1'!AA18)</f>
        <v>0</v>
      </c>
      <c r="AE45" s="8" t="b">
        <f>AND('RTF 1'!AA18&gt;'RTF 1'!Q18,'RTF 1'!Q18&gt;'RTF 1'!AB18)</f>
        <v>0</v>
      </c>
      <c r="AF45" s="8" t="b">
        <f>'RTF 1'!Q18&lt;'RTF 1'!AB18</f>
        <v>1</v>
      </c>
    </row>
    <row r="46" spans="1:32" x14ac:dyDescent="0.25">
      <c r="A46">
        <v>782</v>
      </c>
      <c r="B46">
        <v>60</v>
      </c>
      <c r="C46" s="394">
        <f t="shared" si="9"/>
        <v>83.017524110799911</v>
      </c>
      <c r="D46" s="394">
        <f t="shared" si="10"/>
        <v>83.017524110799911</v>
      </c>
      <c r="E46" s="394">
        <f t="shared" si="11"/>
        <v>107.78231113044006</v>
      </c>
      <c r="I46" s="49">
        <f>IF('RTF 1'!$D$9=1,'Lookup Tables'!$J46,IF('RTF 1'!$D$9=2,'Lookup Tables'!$K46,IF('RTF 1'!$D$9=3,'Lookup Tables'!$L46,IF('RTF 1'!$D$9=4,'Lookup Tables'!$M46,'Lookup Tables'!$N46))))</f>
        <v>20</v>
      </c>
      <c r="J46">
        <f t="shared" si="12"/>
        <v>20</v>
      </c>
      <c r="K46">
        <f t="shared" si="13"/>
        <v>20</v>
      </c>
      <c r="L46">
        <f>IF('RTF 1'!$D$9=3,'Lookup Tables'!$V$39,0)</f>
        <v>0</v>
      </c>
      <c r="M46">
        <f t="shared" si="14"/>
        <v>40</v>
      </c>
      <c r="N46">
        <f t="shared" si="15"/>
        <v>15</v>
      </c>
      <c r="P46" s="8" t="b">
        <f>'RTF 1'!Q19&gt;'RTF 1'!S19</f>
        <v>0</v>
      </c>
      <c r="Q46" s="8" t="b">
        <f>AND('RTF 1'!S19&gt;='RTF 1'!Q19,'RTF 1'!Q19&gt;'RTF 1'!T19)</f>
        <v>0</v>
      </c>
      <c r="R46" s="35" t="b">
        <f>'RTF 1'!Q19&lt;='RTF 1'!T19</f>
        <v>1</v>
      </c>
      <c r="S46" s="8" t="b">
        <f>'RTF 1'!Q19&gt;'RTF 1'!U19</f>
        <v>0</v>
      </c>
      <c r="T46" s="8" t="b">
        <f>AND('RTF 1'!U19&gt;='RTF 1'!Q19,'RTF 1'!Q19&gt;'RTF 1'!V19)</f>
        <v>0</v>
      </c>
      <c r="U46" s="35" t="b">
        <f>'RTF 1'!Q19&lt;='RTF 1'!V19</f>
        <v>1</v>
      </c>
      <c r="V46" s="42"/>
      <c r="W46" s="8" t="b">
        <f>'RTF 1'!Q19&gt;('RTF 1'!P19+'RTF 1'!O19)</f>
        <v>0</v>
      </c>
      <c r="X46" s="8" t="b">
        <f>'RTF 1'!O19&gt;('RTF 1'!P19+'RTF 1'!Q19)</f>
        <v>0</v>
      </c>
      <c r="Y46" s="8" t="b">
        <f>AND(('RTF 1'!O19+10)&gt;='RTF 1'!P19,('RTF 1'!O19-10)&lt;='RTF 1'!P19,('RTF 1'!P19+10)&gt;='RTF 1'!Q19,('RTF 1'!P19-10)&lt;='RTF 1'!Q19,('RTF 1'!O19+10)&gt;='RTF 1'!Q19,('RTF 1'!O19-10)&lt;='RTF 1'!Q19)</f>
        <v>1</v>
      </c>
      <c r="Z46" s="8" t="b">
        <f>AND(('RTF 1'!O19+10)&gt;='RTF 1'!P19,('RTF 1'!O19-10)&lt;='RTF 1'!P19,OR('RTF 1'!P19&gt;'RTF 1'!Y19,'RTF 1'!O19&gt;'RTF 1'!Y19))</f>
        <v>0</v>
      </c>
      <c r="AA46" s="11" t="b">
        <f>AND(('RTF 1'!Q19+10)&gt;='RTF 1'!P19,('RTF 1'!Q19-10)&lt;='RTF 1'!P19,OR('RTF 1'!P19&gt;'RTF 1'!Z19,'RTF 1'!Q19&gt;'RTF 1'!Z19))</f>
        <v>0</v>
      </c>
      <c r="AB46" s="35" t="b">
        <f t="shared" si="16"/>
        <v>0</v>
      </c>
      <c r="AC46" s="8" t="b">
        <f>'RTF 1'!Q19&gt;'RTF 1'!P19</f>
        <v>0</v>
      </c>
      <c r="AD46" s="8" t="b">
        <f>AND('RTF 1'!P19&gt;='RTF 1'!Q19,'RTF 1'!Q19&gt;'RTF 1'!AA19)</f>
        <v>0</v>
      </c>
      <c r="AE46" s="8" t="b">
        <f>AND('RTF 1'!AA19&gt;'RTF 1'!Q19,'RTF 1'!Q19&gt;'RTF 1'!AB19)</f>
        <v>0</v>
      </c>
      <c r="AF46" s="8" t="b">
        <f>'RTF 1'!Q19&lt;'RTF 1'!AB19</f>
        <v>1</v>
      </c>
    </row>
    <row r="47" spans="1:32" x14ac:dyDescent="0.25">
      <c r="A47">
        <v>797</v>
      </c>
      <c r="B47">
        <v>60</v>
      </c>
      <c r="C47" s="394">
        <f t="shared" si="9"/>
        <v>80.069135279799923</v>
      </c>
      <c r="D47">
        <v>80</v>
      </c>
      <c r="E47" s="394">
        <f t="shared" si="11"/>
        <v>103.30973192574004</v>
      </c>
      <c r="I47" s="49">
        <f>IF('RTF 1'!$D$9=1,'Lookup Tables'!$J47,IF('RTF 1'!$D$9=2,'Lookup Tables'!$K47,IF('RTF 1'!$D$9=3,'Lookup Tables'!$L47,IF('RTF 1'!$D$9=4,'Lookup Tables'!$M47,'Lookup Tables'!$N47))))</f>
        <v>20</v>
      </c>
      <c r="J47">
        <f t="shared" si="12"/>
        <v>20</v>
      </c>
      <c r="K47">
        <f t="shared" si="13"/>
        <v>20</v>
      </c>
      <c r="L47">
        <f>IF('RTF 1'!$D$9=3,'Lookup Tables'!$V$39,0)</f>
        <v>0</v>
      </c>
      <c r="M47">
        <f t="shared" si="14"/>
        <v>40</v>
      </c>
      <c r="N47">
        <f t="shared" si="15"/>
        <v>15</v>
      </c>
      <c r="P47" s="8" t="b">
        <f>'RTF 1'!Q20&gt;'RTF 1'!S20</f>
        <v>0</v>
      </c>
      <c r="Q47" s="8" t="b">
        <f>AND('RTF 1'!S20&gt;='RTF 1'!Q20,'RTF 1'!Q20&gt;'RTF 1'!T20)</f>
        <v>0</v>
      </c>
      <c r="R47" s="35" t="b">
        <f>'RTF 1'!Q20&lt;='RTF 1'!T20</f>
        <v>1</v>
      </c>
      <c r="S47" s="8" t="b">
        <f>'RTF 1'!Q20&gt;'RTF 1'!U20</f>
        <v>0</v>
      </c>
      <c r="T47" s="8" t="b">
        <f>AND('RTF 1'!U20&gt;='RTF 1'!Q20,'RTF 1'!Q20&gt;'RTF 1'!V20)</f>
        <v>0</v>
      </c>
      <c r="U47" s="35" t="b">
        <f>'RTF 1'!Q20&lt;='RTF 1'!V20</f>
        <v>1</v>
      </c>
      <c r="V47" s="42"/>
      <c r="W47" s="8" t="b">
        <f>'RTF 1'!Q20&gt;('RTF 1'!P20+'RTF 1'!O20)</f>
        <v>0</v>
      </c>
      <c r="X47" s="8" t="b">
        <f>'RTF 1'!O20&gt;('RTF 1'!P20+'RTF 1'!Q20)</f>
        <v>0</v>
      </c>
      <c r="Y47" s="8" t="b">
        <f>AND(('RTF 1'!O20+10)&gt;='RTF 1'!P20,('RTF 1'!O20-10)&lt;='RTF 1'!P20,('RTF 1'!P20+10)&gt;='RTF 1'!Q20,('RTF 1'!P20-10)&lt;='RTF 1'!Q20,('RTF 1'!O20+10)&gt;='RTF 1'!Q20,('RTF 1'!O20-10)&lt;='RTF 1'!Q20)</f>
        <v>1</v>
      </c>
      <c r="Z47" s="8" t="b">
        <f>AND(('RTF 1'!O20+10)&gt;='RTF 1'!P20,('RTF 1'!O20-10)&lt;='RTF 1'!P20,OR('RTF 1'!P20&gt;'RTF 1'!Y20,'RTF 1'!O20&gt;'RTF 1'!Y20))</f>
        <v>0</v>
      </c>
      <c r="AA47" s="11" t="b">
        <f>AND(('RTF 1'!Q20+10)&gt;='RTF 1'!P20,('RTF 1'!Q20-10)&lt;='RTF 1'!P20,OR('RTF 1'!P20&gt;'RTF 1'!Z20,'RTF 1'!Q20&gt;'RTF 1'!Z20))</f>
        <v>0</v>
      </c>
      <c r="AB47" s="35" t="b">
        <f t="shared" si="16"/>
        <v>0</v>
      </c>
      <c r="AC47" s="8" t="b">
        <f>'RTF 1'!Q20&gt;'RTF 1'!P20</f>
        <v>0</v>
      </c>
      <c r="AD47" s="8" t="b">
        <f>AND('RTF 1'!P20&gt;='RTF 1'!Q20,'RTF 1'!Q20&gt;'RTF 1'!AA20)</f>
        <v>0</v>
      </c>
      <c r="AE47" s="8" t="b">
        <f>AND('RTF 1'!AA20&gt;'RTF 1'!Q20,'RTF 1'!Q20&gt;'RTF 1'!AB20)</f>
        <v>0</v>
      </c>
      <c r="AF47" s="8" t="b">
        <f>'RTF 1'!Q20&lt;'RTF 1'!AB20</f>
        <v>1</v>
      </c>
    </row>
    <row r="48" spans="1:32" x14ac:dyDescent="0.25">
      <c r="A48">
        <v>800</v>
      </c>
      <c r="B48">
        <v>60</v>
      </c>
      <c r="C48" s="394">
        <f t="shared" si="9"/>
        <v>79.498848999999979</v>
      </c>
      <c r="D48">
        <v>80</v>
      </c>
      <c r="E48" s="394">
        <f t="shared" si="11"/>
        <v>102.43885419600008</v>
      </c>
      <c r="I48" s="49">
        <f>IF('RTF 1'!$D$9=1,'Lookup Tables'!$J48,IF('RTF 1'!$D$9=2,'Lookup Tables'!$K48,IF('RTF 1'!$D$9=3,'Lookup Tables'!$L48,IF('RTF 1'!$D$9=4,'Lookup Tables'!$M48,'Lookup Tables'!$N48))))</f>
        <v>20</v>
      </c>
      <c r="J48">
        <f t="shared" si="12"/>
        <v>20</v>
      </c>
      <c r="K48">
        <f t="shared" si="13"/>
        <v>20</v>
      </c>
      <c r="L48">
        <f>IF('RTF 1'!$D$9=3,'Lookup Tables'!$V$39,0)</f>
        <v>0</v>
      </c>
      <c r="M48">
        <f t="shared" si="14"/>
        <v>40</v>
      </c>
      <c r="N48">
        <f t="shared" si="15"/>
        <v>15</v>
      </c>
      <c r="P48" s="8" t="b">
        <f>'RTF 1'!Q21&gt;'RTF 1'!S21</f>
        <v>0</v>
      </c>
      <c r="Q48" s="8" t="b">
        <f>AND('RTF 1'!S21&gt;='RTF 1'!Q21,'RTF 1'!Q21&gt;'RTF 1'!T21)</f>
        <v>0</v>
      </c>
      <c r="R48" s="35" t="b">
        <f>'RTF 1'!Q21&lt;='RTF 1'!T21</f>
        <v>1</v>
      </c>
      <c r="S48" s="8" t="b">
        <f>'RTF 1'!Q21&gt;'RTF 1'!U21</f>
        <v>0</v>
      </c>
      <c r="T48" s="8" t="b">
        <f>AND('RTF 1'!U21&gt;='RTF 1'!Q21,'RTF 1'!Q21&gt;'RTF 1'!V21)</f>
        <v>0</v>
      </c>
      <c r="U48" s="35" t="b">
        <f>'RTF 1'!Q21&lt;='RTF 1'!V21</f>
        <v>1</v>
      </c>
      <c r="V48" s="42"/>
      <c r="W48" s="8" t="b">
        <f>'RTF 1'!Q21&gt;('RTF 1'!P21+'RTF 1'!O21)</f>
        <v>0</v>
      </c>
      <c r="X48" s="8" t="b">
        <f>'RTF 1'!O21&gt;('RTF 1'!P21+'RTF 1'!Q21)</f>
        <v>0</v>
      </c>
      <c r="Y48" s="8" t="b">
        <f>AND(('RTF 1'!O21+10)&gt;='RTF 1'!P21,('RTF 1'!O21-10)&lt;='RTF 1'!P21,('RTF 1'!P21+10)&gt;='RTF 1'!Q21,('RTF 1'!P21-10)&lt;='RTF 1'!Q21,('RTF 1'!O21+10)&gt;='RTF 1'!Q21,('RTF 1'!O21-10)&lt;='RTF 1'!Q21)</f>
        <v>1</v>
      </c>
      <c r="Z48" s="8" t="b">
        <f>AND(('RTF 1'!O21+10)&gt;='RTF 1'!P21,('RTF 1'!O21-10)&lt;='RTF 1'!P21,OR('RTF 1'!P21&gt;'RTF 1'!Y21,'RTF 1'!O21&gt;'RTF 1'!Y21))</f>
        <v>0</v>
      </c>
      <c r="AA48" s="11" t="b">
        <f>AND(('RTF 1'!Q21+10)&gt;='RTF 1'!P21,('RTF 1'!Q21-10)&lt;='RTF 1'!P21,OR('RTF 1'!P21&gt;'RTF 1'!Z21,'RTF 1'!Q21&gt;'RTF 1'!Z21))</f>
        <v>0</v>
      </c>
      <c r="AB48" s="35" t="b">
        <f t="shared" si="16"/>
        <v>0</v>
      </c>
      <c r="AC48" s="8" t="b">
        <f>'RTF 1'!Q21&gt;'RTF 1'!P21</f>
        <v>0</v>
      </c>
      <c r="AD48" s="8" t="b">
        <f>AND('RTF 1'!P21&gt;='RTF 1'!Q21,'RTF 1'!Q21&gt;'RTF 1'!AA21)</f>
        <v>0</v>
      </c>
      <c r="AE48" s="8" t="b">
        <f>AND('RTF 1'!AA21&gt;'RTF 1'!Q21,'RTF 1'!Q21&gt;'RTF 1'!AB21)</f>
        <v>0</v>
      </c>
      <c r="AF48" s="8" t="b">
        <f>'RTF 1'!Q21&lt;'RTF 1'!AB21</f>
        <v>1</v>
      </c>
    </row>
    <row r="49" spans="1:32" x14ac:dyDescent="0.25">
      <c r="A49">
        <v>890</v>
      </c>
      <c r="B49">
        <v>60</v>
      </c>
      <c r="C49" s="394">
        <f t="shared" si="9"/>
        <v>65.395940997999901</v>
      </c>
      <c r="D49">
        <v>80</v>
      </c>
      <c r="E49">
        <v>80</v>
      </c>
      <c r="I49" s="49">
        <f>IF('RTF 1'!$D$9=1,'Lookup Tables'!$J49,IF('RTF 1'!$D$9=2,'Lookup Tables'!$K49,IF('RTF 1'!$D$9=3,'Lookup Tables'!$L49,IF('RTF 1'!$D$9=4,'Lookup Tables'!$M49,'Lookup Tables'!$N49))))</f>
        <v>20</v>
      </c>
      <c r="J49">
        <f t="shared" si="12"/>
        <v>20</v>
      </c>
      <c r="K49">
        <f t="shared" si="13"/>
        <v>20</v>
      </c>
      <c r="L49">
        <f>IF('RTF 1'!$D$9=3,'Lookup Tables'!$V$39,0)</f>
        <v>0</v>
      </c>
      <c r="M49">
        <f t="shared" si="14"/>
        <v>40</v>
      </c>
      <c r="N49">
        <f t="shared" si="15"/>
        <v>15</v>
      </c>
      <c r="P49" s="8" t="b">
        <f>'RTF 1'!Q22&gt;'RTF 1'!S22</f>
        <v>0</v>
      </c>
      <c r="Q49" s="8" t="b">
        <f>AND('RTF 1'!S22&gt;='RTF 1'!Q22,'RTF 1'!Q22&gt;'RTF 1'!T22)</f>
        <v>0</v>
      </c>
      <c r="R49" s="35" t="b">
        <f>'RTF 1'!Q22&lt;='RTF 1'!T22</f>
        <v>1</v>
      </c>
      <c r="S49" s="8" t="b">
        <f>'RTF 1'!Q22&gt;'RTF 1'!U22</f>
        <v>0</v>
      </c>
      <c r="T49" s="8" t="b">
        <f>AND('RTF 1'!U22&gt;='RTF 1'!Q22,'RTF 1'!Q22&gt;'RTF 1'!V22)</f>
        <v>0</v>
      </c>
      <c r="U49" s="35" t="b">
        <f>'RTF 1'!Q22&lt;='RTF 1'!V22</f>
        <v>1</v>
      </c>
      <c r="V49" s="42"/>
      <c r="W49" s="8" t="b">
        <f>'RTF 1'!Q22&gt;('RTF 1'!P22+'RTF 1'!O22)</f>
        <v>0</v>
      </c>
      <c r="X49" s="8" t="b">
        <f>'RTF 1'!O22&gt;('RTF 1'!P22+'RTF 1'!Q22)</f>
        <v>0</v>
      </c>
      <c r="Y49" s="8" t="b">
        <f>AND(('RTF 1'!O22+10)&gt;='RTF 1'!P22,('RTF 1'!O22-10)&lt;='RTF 1'!P22,('RTF 1'!P22+10)&gt;='RTF 1'!Q22,('RTF 1'!P22-10)&lt;='RTF 1'!Q22,('RTF 1'!O22+10)&gt;='RTF 1'!Q22,('RTF 1'!O22-10)&lt;='RTF 1'!Q22)</f>
        <v>1</v>
      </c>
      <c r="Z49" s="8" t="b">
        <f>AND(('RTF 1'!O22+10)&gt;='RTF 1'!P22,('RTF 1'!O22-10)&lt;='RTF 1'!P22,OR('RTF 1'!P22&gt;'RTF 1'!Y22,'RTF 1'!O22&gt;'RTF 1'!Y22))</f>
        <v>0</v>
      </c>
      <c r="AA49" s="11" t="b">
        <f>AND(('RTF 1'!Q22+10)&gt;='RTF 1'!P22,('RTF 1'!Q22-10)&lt;='RTF 1'!P22,OR('RTF 1'!P22&gt;'RTF 1'!Z22,'RTF 1'!Q22&gt;'RTF 1'!Z22))</f>
        <v>0</v>
      </c>
      <c r="AB49" s="35" t="b">
        <f t="shared" si="16"/>
        <v>0</v>
      </c>
      <c r="AC49" s="8" t="b">
        <f>'RTF 1'!Q22&gt;'RTF 1'!P22</f>
        <v>0</v>
      </c>
      <c r="AD49" s="8" t="b">
        <f>AND('RTF 1'!P22&gt;='RTF 1'!Q22,'RTF 1'!Q22&gt;'RTF 1'!AA22)</f>
        <v>0</v>
      </c>
      <c r="AE49" s="8" t="b">
        <f>AND('RTF 1'!AA22&gt;'RTF 1'!Q22,'RTF 1'!Q22&gt;'RTF 1'!AB22)</f>
        <v>0</v>
      </c>
      <c r="AF49" s="8" t="b">
        <f>'RTF 1'!Q22&lt;'RTF 1'!AB22</f>
        <v>1</v>
      </c>
    </row>
    <row r="50" spans="1:32" x14ac:dyDescent="0.25">
      <c r="A50">
        <v>900</v>
      </c>
      <c r="B50">
        <v>60</v>
      </c>
      <c r="C50" s="394">
        <f t="shared" si="9"/>
        <v>64.188052819999939</v>
      </c>
      <c r="D50">
        <v>80</v>
      </c>
      <c r="E50">
        <v>80</v>
      </c>
      <c r="I50" s="49">
        <f>IF('RTF 1'!$D$9=1,'Lookup Tables'!$J50,IF('RTF 1'!$D$9=2,'Lookup Tables'!$K50,IF('RTF 1'!$D$9=3,'Lookup Tables'!$L50,IF('RTF 1'!$D$9=4,'Lookup Tables'!$M50,'Lookup Tables'!$N50))))</f>
        <v>20</v>
      </c>
      <c r="J50">
        <f t="shared" si="12"/>
        <v>20</v>
      </c>
      <c r="K50">
        <f t="shared" si="13"/>
        <v>20</v>
      </c>
      <c r="L50">
        <f>IF('RTF 1'!$D$9=3,'Lookup Tables'!$V$39,0)</f>
        <v>0</v>
      </c>
      <c r="M50">
        <f t="shared" si="14"/>
        <v>40</v>
      </c>
      <c r="N50">
        <f t="shared" si="15"/>
        <v>15</v>
      </c>
      <c r="P50" s="8" t="b">
        <f>'RTF 1'!Q23&gt;'RTF 1'!S23</f>
        <v>0</v>
      </c>
      <c r="Q50" s="8" t="b">
        <f>AND('RTF 1'!S23&gt;='RTF 1'!Q23,'RTF 1'!Q23&gt;'RTF 1'!T23)</f>
        <v>0</v>
      </c>
      <c r="R50" s="35" t="b">
        <f>'RTF 1'!Q23&lt;='RTF 1'!T23</f>
        <v>1</v>
      </c>
      <c r="S50" s="8" t="b">
        <f>'RTF 1'!Q23&gt;'RTF 1'!U23</f>
        <v>0</v>
      </c>
      <c r="T50" s="8" t="b">
        <f>AND('RTF 1'!U23&gt;='RTF 1'!Q23,'RTF 1'!Q23&gt;'RTF 1'!V23)</f>
        <v>0</v>
      </c>
      <c r="U50" s="35" t="b">
        <f>'RTF 1'!Q23&lt;='RTF 1'!V23</f>
        <v>1</v>
      </c>
      <c r="V50" s="42"/>
      <c r="W50" s="8" t="b">
        <f>'RTF 1'!Q23&gt;('RTF 1'!P23+'RTF 1'!O23)</f>
        <v>0</v>
      </c>
      <c r="X50" s="8" t="b">
        <f>'RTF 1'!O23&gt;('RTF 1'!P23+'RTF 1'!Q23)</f>
        <v>0</v>
      </c>
      <c r="Y50" s="8" t="b">
        <f>AND(('RTF 1'!O23+10)&gt;='RTF 1'!P23,('RTF 1'!O23-10)&lt;='RTF 1'!P23,('RTF 1'!P23+10)&gt;='RTF 1'!Q23,('RTF 1'!P23-10)&lt;='RTF 1'!Q23,('RTF 1'!O23+10)&gt;='RTF 1'!Q23,('RTF 1'!O23-10)&lt;='RTF 1'!Q23)</f>
        <v>1</v>
      </c>
      <c r="Z50" s="8" t="b">
        <f>AND(('RTF 1'!O23+10)&gt;='RTF 1'!P23,('RTF 1'!O23-10)&lt;='RTF 1'!P23,OR('RTF 1'!P23&gt;'RTF 1'!Y23,'RTF 1'!O23&gt;'RTF 1'!Y23))</f>
        <v>0</v>
      </c>
      <c r="AA50" s="11" t="b">
        <f>AND(('RTF 1'!Q23+10)&gt;='RTF 1'!P23,('RTF 1'!Q23-10)&lt;='RTF 1'!P23,OR('RTF 1'!P23&gt;'RTF 1'!Z23,'RTF 1'!Q23&gt;'RTF 1'!Z23))</f>
        <v>0</v>
      </c>
      <c r="AB50" s="35" t="b">
        <f t="shared" si="16"/>
        <v>0</v>
      </c>
      <c r="AC50" s="8" t="b">
        <f>'RTF 1'!Q23&gt;'RTF 1'!P23</f>
        <v>0</v>
      </c>
      <c r="AD50" s="8" t="b">
        <f>AND('RTF 1'!P23&gt;='RTF 1'!Q23,'RTF 1'!Q23&gt;'RTF 1'!AA23)</f>
        <v>0</v>
      </c>
      <c r="AE50" s="8" t="b">
        <f>AND('RTF 1'!AA23&gt;'RTF 1'!Q23,'RTF 1'!Q23&gt;'RTF 1'!AB23)</f>
        <v>0</v>
      </c>
      <c r="AF50" s="8" t="b">
        <f>'RTF 1'!Q23&lt;'RTF 1'!AB23</f>
        <v>1</v>
      </c>
    </row>
    <row r="51" spans="1:32" x14ac:dyDescent="0.25">
      <c r="A51">
        <v>940</v>
      </c>
      <c r="B51">
        <v>60</v>
      </c>
      <c r="C51">
        <v>60</v>
      </c>
      <c r="D51">
        <v>80</v>
      </c>
      <c r="E51">
        <v>80</v>
      </c>
      <c r="I51" s="49">
        <f>IF('RTF 1'!$D$9=1,'Lookup Tables'!$J51,IF('RTF 1'!$D$9=2,'Lookup Tables'!$K51,IF('RTF 1'!$D$9=3,'Lookup Tables'!$L51,IF('RTF 1'!$D$9=4,'Lookup Tables'!$M51,'Lookup Tables'!$N51))))</f>
        <v>20</v>
      </c>
      <c r="J51">
        <f t="shared" si="12"/>
        <v>20</v>
      </c>
      <c r="K51">
        <f t="shared" si="13"/>
        <v>20</v>
      </c>
      <c r="L51">
        <f>IF('RTF 1'!$D$9=3,'Lookup Tables'!$V$39,0)</f>
        <v>0</v>
      </c>
      <c r="M51">
        <f t="shared" si="14"/>
        <v>40</v>
      </c>
      <c r="N51">
        <f t="shared" si="15"/>
        <v>15</v>
      </c>
      <c r="P51" s="8" t="b">
        <f>'RTF 1'!Q24&gt;'RTF 1'!S24</f>
        <v>0</v>
      </c>
      <c r="Q51" s="8" t="b">
        <f>AND('RTF 1'!S24&gt;='RTF 1'!Q24,'RTF 1'!Q24&gt;'RTF 1'!T24)</f>
        <v>0</v>
      </c>
      <c r="R51" s="35" t="b">
        <f>'RTF 1'!Q24&lt;='RTF 1'!T24</f>
        <v>1</v>
      </c>
      <c r="S51" s="8" t="b">
        <f>'RTF 1'!Q24&gt;'RTF 1'!U24</f>
        <v>0</v>
      </c>
      <c r="T51" s="8" t="b">
        <f>AND('RTF 1'!U24&gt;='RTF 1'!Q24,'RTF 1'!Q24&gt;'RTF 1'!V24)</f>
        <v>0</v>
      </c>
      <c r="U51" s="35" t="b">
        <f>'RTF 1'!Q24&lt;='RTF 1'!V24</f>
        <v>1</v>
      </c>
      <c r="V51" s="42"/>
      <c r="W51" s="8" t="b">
        <f>'RTF 1'!Q24&gt;('RTF 1'!P24+'RTF 1'!O24)</f>
        <v>0</v>
      </c>
      <c r="X51" s="8" t="b">
        <f>'RTF 1'!O24&gt;('RTF 1'!P24+'RTF 1'!Q24)</f>
        <v>0</v>
      </c>
      <c r="Y51" s="8" t="b">
        <f>AND(('RTF 1'!O24+10)&gt;='RTF 1'!P24,('RTF 1'!O24-10)&lt;='RTF 1'!P24,('RTF 1'!P24+10)&gt;='RTF 1'!Q24,('RTF 1'!P24-10)&lt;='RTF 1'!Q24,('RTF 1'!O24+10)&gt;='RTF 1'!Q24,('RTF 1'!O24-10)&lt;='RTF 1'!Q24)</f>
        <v>1</v>
      </c>
      <c r="Z51" s="8" t="b">
        <f>AND(('RTF 1'!O24+10)&gt;='RTF 1'!P24,('RTF 1'!O24-10)&lt;='RTF 1'!P24,OR('RTF 1'!P24&gt;'RTF 1'!Y24,'RTF 1'!O24&gt;'RTF 1'!Y24))</f>
        <v>0</v>
      </c>
      <c r="AA51" s="11" t="b">
        <f>AND(('RTF 1'!Q24+10)&gt;='RTF 1'!P24,('RTF 1'!Q24-10)&lt;='RTF 1'!P24,OR('RTF 1'!P24&gt;'RTF 1'!Z24,'RTF 1'!Q24&gt;'RTF 1'!Z24))</f>
        <v>0</v>
      </c>
      <c r="AB51" s="35" t="b">
        <f t="shared" si="16"/>
        <v>0</v>
      </c>
      <c r="AC51" s="8" t="b">
        <f>'RTF 1'!Q24&gt;'RTF 1'!P24</f>
        <v>0</v>
      </c>
      <c r="AD51" s="8" t="b">
        <f>AND('RTF 1'!P24&gt;='RTF 1'!Q24,'RTF 1'!Q24&gt;'RTF 1'!AA24)</f>
        <v>0</v>
      </c>
      <c r="AE51" s="8" t="b">
        <f>AND('RTF 1'!AA24&gt;'RTF 1'!Q24,'RTF 1'!Q24&gt;'RTF 1'!AB24)</f>
        <v>0</v>
      </c>
      <c r="AF51" s="8" t="b">
        <f>'RTF 1'!Q24&lt;'RTF 1'!AB24</f>
        <v>1</v>
      </c>
    </row>
    <row r="52" spans="1:32" x14ac:dyDescent="0.25">
      <c r="A52">
        <v>1000</v>
      </c>
      <c r="B52">
        <v>60</v>
      </c>
      <c r="C52">
        <v>60</v>
      </c>
      <c r="D52">
        <v>80</v>
      </c>
      <c r="E52">
        <v>80</v>
      </c>
      <c r="I52" s="49">
        <f>IF('RTF 1'!$D$9=1,'Lookup Tables'!$J52,IF('RTF 1'!$D$9=2,'Lookup Tables'!$K52,IF('RTF 1'!$D$9=3,'Lookup Tables'!$L52,IF('RTF 1'!$D$9=4,'Lookup Tables'!$M52,'Lookup Tables'!$N52))))</f>
        <v>20</v>
      </c>
      <c r="J52">
        <f t="shared" si="12"/>
        <v>20</v>
      </c>
      <c r="K52">
        <f t="shared" si="13"/>
        <v>20</v>
      </c>
      <c r="L52">
        <f>IF('RTF 1'!$D$9=3,'Lookup Tables'!$V$39,0)</f>
        <v>0</v>
      </c>
      <c r="M52">
        <f t="shared" si="14"/>
        <v>40</v>
      </c>
      <c r="N52">
        <f t="shared" si="15"/>
        <v>15</v>
      </c>
      <c r="P52" s="8" t="b">
        <f>'RTF 1'!Q25&gt;'RTF 1'!S25</f>
        <v>0</v>
      </c>
      <c r="Q52" s="8" t="b">
        <f>AND('RTF 1'!S25&gt;='RTF 1'!Q25,'RTF 1'!Q25&gt;'RTF 1'!T25)</f>
        <v>0</v>
      </c>
      <c r="R52" s="35" t="b">
        <f>'RTF 1'!Q25&lt;='RTF 1'!T25</f>
        <v>1</v>
      </c>
      <c r="S52" s="8" t="b">
        <f>'RTF 1'!Q25&gt;'RTF 1'!U25</f>
        <v>0</v>
      </c>
      <c r="T52" s="8" t="b">
        <f>AND('RTF 1'!U25&gt;='RTF 1'!Q25,'RTF 1'!Q25&gt;'RTF 1'!V25)</f>
        <v>0</v>
      </c>
      <c r="U52" s="35" t="b">
        <f>'RTF 1'!Q25&lt;='RTF 1'!V25</f>
        <v>1</v>
      </c>
      <c r="V52" s="42"/>
      <c r="W52" s="8" t="b">
        <f>'RTF 1'!Q25&gt;('RTF 1'!P25+'RTF 1'!O25)</f>
        <v>0</v>
      </c>
      <c r="X52" s="8" t="b">
        <f>'RTF 1'!O25&gt;('RTF 1'!P25+'RTF 1'!Q25)</f>
        <v>0</v>
      </c>
      <c r="Y52" s="8" t="b">
        <f>AND(('RTF 1'!O25+10)&gt;='RTF 1'!P25,('RTF 1'!O25-10)&lt;='RTF 1'!P25,('RTF 1'!P25+10)&gt;='RTF 1'!Q25,('RTF 1'!P25-10)&lt;='RTF 1'!Q25,('RTF 1'!O25+10)&gt;='RTF 1'!Q25,('RTF 1'!O25-10)&lt;='RTF 1'!Q25)</f>
        <v>1</v>
      </c>
      <c r="Z52" s="8" t="b">
        <f>AND(('RTF 1'!O25+10)&gt;='RTF 1'!P25,('RTF 1'!O25-10)&lt;='RTF 1'!P25,OR('RTF 1'!P25&gt;'RTF 1'!Y25,'RTF 1'!O25&gt;'RTF 1'!Y25))</f>
        <v>0</v>
      </c>
      <c r="AA52" s="11" t="b">
        <f>AND(('RTF 1'!Q25+10)&gt;='RTF 1'!P25,('RTF 1'!Q25-10)&lt;='RTF 1'!P25,OR('RTF 1'!P25&gt;'RTF 1'!Z25,'RTF 1'!Q25&gt;'RTF 1'!Z25))</f>
        <v>0</v>
      </c>
      <c r="AB52" s="35" t="b">
        <f t="shared" si="16"/>
        <v>0</v>
      </c>
      <c r="AC52" s="8" t="b">
        <f>'RTF 1'!Q25&gt;'RTF 1'!P25</f>
        <v>0</v>
      </c>
      <c r="AD52" s="8" t="b">
        <f>AND('RTF 1'!P25&gt;='RTF 1'!Q25,'RTF 1'!Q25&gt;'RTF 1'!AA25)</f>
        <v>0</v>
      </c>
      <c r="AE52" s="8" t="b">
        <f>AND('RTF 1'!AA25&gt;'RTF 1'!Q25,'RTF 1'!Q25&gt;'RTF 1'!AB25)</f>
        <v>0</v>
      </c>
      <c r="AF52" s="8" t="b">
        <f>'RTF 1'!Q25&lt;'RTF 1'!AB25</f>
        <v>1</v>
      </c>
    </row>
    <row r="53" spans="1:32" x14ac:dyDescent="0.25">
      <c r="A53">
        <v>1100</v>
      </c>
      <c r="B53">
        <v>60</v>
      </c>
      <c r="C53">
        <v>60</v>
      </c>
      <c r="D53">
        <v>80</v>
      </c>
      <c r="E53">
        <v>80</v>
      </c>
      <c r="I53" s="49">
        <f>IF('RTF 1'!$D$9=1,'Lookup Tables'!$J53,IF('RTF 1'!$D$9=2,'Lookup Tables'!$K53,IF('RTF 1'!$D$9=3,'Lookup Tables'!$L53,IF('RTF 1'!$D$9=4,'Lookup Tables'!$M53,'Lookup Tables'!$N53))))</f>
        <v>20</v>
      </c>
      <c r="J53">
        <f t="shared" si="12"/>
        <v>20</v>
      </c>
      <c r="K53">
        <f t="shared" si="13"/>
        <v>20</v>
      </c>
      <c r="L53">
        <f>IF('RTF 1'!$D$9=3,'Lookup Tables'!$V$39,0)</f>
        <v>0</v>
      </c>
      <c r="M53">
        <f t="shared" si="14"/>
        <v>40</v>
      </c>
      <c r="N53">
        <f t="shared" si="15"/>
        <v>15</v>
      </c>
      <c r="P53" s="8" t="b">
        <f>'RTF 1'!Q26&gt;'RTF 1'!S26</f>
        <v>0</v>
      </c>
      <c r="Q53" s="8" t="b">
        <f>AND('RTF 1'!S26&gt;='RTF 1'!Q26,'RTF 1'!Q26&gt;'RTF 1'!T26)</f>
        <v>0</v>
      </c>
      <c r="R53" s="35" t="b">
        <f>'RTF 1'!Q26&lt;='RTF 1'!T26</f>
        <v>1</v>
      </c>
      <c r="S53" s="8" t="b">
        <f>'RTF 1'!Q26&gt;'RTF 1'!U26</f>
        <v>0</v>
      </c>
      <c r="T53" s="8" t="b">
        <f>AND('RTF 1'!U26&gt;='RTF 1'!Q26,'RTF 1'!Q26&gt;'RTF 1'!V26)</f>
        <v>0</v>
      </c>
      <c r="U53" s="35" t="b">
        <f>'RTF 1'!Q26&lt;='RTF 1'!V26</f>
        <v>1</v>
      </c>
      <c r="V53" s="42"/>
      <c r="W53" s="8" t="b">
        <f>'RTF 1'!Q26&gt;('RTF 1'!P26+'RTF 1'!O26)</f>
        <v>0</v>
      </c>
      <c r="X53" s="8" t="b">
        <f>'RTF 1'!O26&gt;('RTF 1'!P26+'RTF 1'!Q26)</f>
        <v>0</v>
      </c>
      <c r="Y53" s="8" t="b">
        <f>AND(('RTF 1'!O26+10)&gt;='RTF 1'!P26,('RTF 1'!O26-10)&lt;='RTF 1'!P26,('RTF 1'!P26+10)&gt;='RTF 1'!Q26,('RTF 1'!P26-10)&lt;='RTF 1'!Q26,('RTF 1'!O26+10)&gt;='RTF 1'!Q26,('RTF 1'!O26-10)&lt;='RTF 1'!Q26)</f>
        <v>1</v>
      </c>
      <c r="Z53" s="8" t="b">
        <f>AND(('RTF 1'!O26+10)&gt;='RTF 1'!P26,('RTF 1'!O26-10)&lt;='RTF 1'!P26,OR('RTF 1'!P26&gt;'RTF 1'!Y26,'RTF 1'!O26&gt;'RTF 1'!Y26))</f>
        <v>0</v>
      </c>
      <c r="AA53" s="11" t="b">
        <f>AND(('RTF 1'!Q26+10)&gt;='RTF 1'!P26,('RTF 1'!Q26-10)&lt;='RTF 1'!P26,OR('RTF 1'!P26&gt;'RTF 1'!Z26,'RTF 1'!Q26&gt;'RTF 1'!Z26))</f>
        <v>0</v>
      </c>
      <c r="AB53" s="35" t="b">
        <f t="shared" si="16"/>
        <v>0</v>
      </c>
      <c r="AC53" s="8" t="b">
        <f>'RTF 1'!Q26&gt;'RTF 1'!P26</f>
        <v>0</v>
      </c>
      <c r="AD53" s="8" t="b">
        <f>AND('RTF 1'!P26&gt;='RTF 1'!Q26,'RTF 1'!Q26&gt;'RTF 1'!AA26)</f>
        <v>0</v>
      </c>
      <c r="AE53" s="8" t="b">
        <f>AND('RTF 1'!AA26&gt;'RTF 1'!Q26,'RTF 1'!Q26&gt;'RTF 1'!AB26)</f>
        <v>0</v>
      </c>
      <c r="AF53" s="8" t="b">
        <f>'RTF 1'!Q26&lt;'RTF 1'!AB26</f>
        <v>1</v>
      </c>
    </row>
    <row r="54" spans="1:32" x14ac:dyDescent="0.25">
      <c r="A54">
        <v>1200</v>
      </c>
      <c r="B54">
        <v>60</v>
      </c>
      <c r="C54">
        <v>60</v>
      </c>
      <c r="D54">
        <v>80</v>
      </c>
      <c r="E54">
        <v>80</v>
      </c>
      <c r="I54" s="49">
        <f>IF('RTF 1'!$D$9=1,'Lookup Tables'!$J54,IF('RTF 1'!$D$9=2,'Lookup Tables'!$K54,IF('RTF 1'!$D$9=3,'Lookup Tables'!$L54,IF('RTF 1'!$D$9=4,'Lookup Tables'!$M54,'Lookup Tables'!$N54))))</f>
        <v>20</v>
      </c>
      <c r="J54">
        <f t="shared" si="12"/>
        <v>20</v>
      </c>
      <c r="K54">
        <f t="shared" si="13"/>
        <v>20</v>
      </c>
      <c r="L54">
        <f>IF('RTF 1'!$D$9=3,'Lookup Tables'!$V$39,0)</f>
        <v>0</v>
      </c>
      <c r="M54">
        <f t="shared" si="14"/>
        <v>40</v>
      </c>
      <c r="N54">
        <f t="shared" si="15"/>
        <v>15</v>
      </c>
      <c r="P54" s="8" t="b">
        <f>'RTF 1'!Q27&gt;'RTF 1'!S27</f>
        <v>0</v>
      </c>
      <c r="Q54" s="8" t="b">
        <f>AND('RTF 1'!S27&gt;='RTF 1'!Q27,'RTF 1'!Q27&gt;'RTF 1'!T27)</f>
        <v>0</v>
      </c>
      <c r="R54" s="35" t="b">
        <f>'RTF 1'!Q27&lt;='RTF 1'!T27</f>
        <v>1</v>
      </c>
      <c r="S54" s="8" t="b">
        <f>'RTF 1'!Q27&gt;'RTF 1'!U27</f>
        <v>0</v>
      </c>
      <c r="T54" s="8" t="b">
        <f>AND('RTF 1'!U27&gt;='RTF 1'!Q27,'RTF 1'!Q27&gt;'RTF 1'!V27)</f>
        <v>0</v>
      </c>
      <c r="U54" s="35" t="b">
        <f>'RTF 1'!Q27&lt;='RTF 1'!V27</f>
        <v>1</v>
      </c>
      <c r="V54" s="42"/>
      <c r="W54" s="8" t="b">
        <f>'RTF 1'!Q27&gt;('RTF 1'!P27+'RTF 1'!O27)</f>
        <v>0</v>
      </c>
      <c r="X54" s="8" t="b">
        <f>'RTF 1'!O27&gt;('RTF 1'!P27+'RTF 1'!Q27)</f>
        <v>0</v>
      </c>
      <c r="Y54" s="8" t="b">
        <f>AND(('RTF 1'!O27+10)&gt;='RTF 1'!P27,('RTF 1'!O27-10)&lt;='RTF 1'!P27,('RTF 1'!P27+10)&gt;='RTF 1'!Q27,('RTF 1'!P27-10)&lt;='RTF 1'!Q27,('RTF 1'!O27+10)&gt;='RTF 1'!Q27,('RTF 1'!O27-10)&lt;='RTF 1'!Q27)</f>
        <v>1</v>
      </c>
      <c r="Z54" s="8" t="b">
        <f>AND(('RTF 1'!O27+10)&gt;='RTF 1'!P27,('RTF 1'!O27-10)&lt;='RTF 1'!P27,OR('RTF 1'!P27&gt;'RTF 1'!Y27,'RTF 1'!O27&gt;'RTF 1'!Y27))</f>
        <v>0</v>
      </c>
      <c r="AA54" s="11" t="b">
        <f>AND(('RTF 1'!Q27+10)&gt;='RTF 1'!P27,('RTF 1'!Q27-10)&lt;='RTF 1'!P27,OR('RTF 1'!P27&gt;'RTF 1'!Z27,'RTF 1'!Q27&gt;'RTF 1'!Z27))</f>
        <v>0</v>
      </c>
      <c r="AB54" s="35" t="b">
        <f t="shared" si="16"/>
        <v>0</v>
      </c>
      <c r="AC54" s="8" t="b">
        <f>'RTF 1'!Q27&gt;'RTF 1'!P27</f>
        <v>0</v>
      </c>
      <c r="AD54" s="8" t="b">
        <f>AND('RTF 1'!P27&gt;='RTF 1'!Q27,'RTF 1'!Q27&gt;'RTF 1'!AA27)</f>
        <v>0</v>
      </c>
      <c r="AE54" s="8" t="b">
        <f>AND('RTF 1'!AA27&gt;'RTF 1'!Q27,'RTF 1'!Q27&gt;'RTF 1'!AB27)</f>
        <v>0</v>
      </c>
      <c r="AF54" s="8" t="b">
        <f>'RTF 1'!Q27&lt;'RTF 1'!AB27</f>
        <v>1</v>
      </c>
    </row>
    <row r="55" spans="1:32" x14ac:dyDescent="0.25">
      <c r="A55">
        <v>1300</v>
      </c>
      <c r="B55">
        <v>60</v>
      </c>
      <c r="C55">
        <v>60</v>
      </c>
      <c r="D55">
        <v>80</v>
      </c>
      <c r="E55">
        <v>80</v>
      </c>
      <c r="I55" s="49">
        <f>IF('RTF 1'!$D$9=1,'Lookup Tables'!$J55,IF('RTF 1'!$D$9=2,'Lookup Tables'!$K55,IF('RTF 1'!$D$9=3,'Lookup Tables'!$L55,IF('RTF 1'!$D$9=4,'Lookup Tables'!$M55,'Lookup Tables'!$N55))))</f>
        <v>20</v>
      </c>
      <c r="J55">
        <f t="shared" si="12"/>
        <v>20</v>
      </c>
      <c r="K55">
        <f t="shared" si="13"/>
        <v>20</v>
      </c>
      <c r="L55">
        <f>IF('RTF 1'!$D$9=3,'Lookup Tables'!$V$39,0)</f>
        <v>0</v>
      </c>
      <c r="M55">
        <f t="shared" si="14"/>
        <v>40</v>
      </c>
      <c r="N55">
        <f t="shared" si="15"/>
        <v>15</v>
      </c>
      <c r="P55" s="8" t="b">
        <f>'RTF 1'!Q28&gt;'RTF 1'!S28</f>
        <v>0</v>
      </c>
      <c r="Q55" s="8" t="b">
        <f>AND('RTF 1'!S28&gt;='RTF 1'!Q28,'RTF 1'!Q28&gt;'RTF 1'!T28)</f>
        <v>0</v>
      </c>
      <c r="R55" s="35" t="b">
        <f>'RTF 1'!Q28&lt;='RTF 1'!T28</f>
        <v>1</v>
      </c>
      <c r="S55" s="8" t="b">
        <f>'RTF 1'!Q28&gt;'RTF 1'!U28</f>
        <v>0</v>
      </c>
      <c r="T55" s="8" t="b">
        <f>AND('RTF 1'!U28&gt;='RTF 1'!Q28,'RTF 1'!Q28&gt;'RTF 1'!V28)</f>
        <v>0</v>
      </c>
      <c r="U55" s="35" t="b">
        <f>'RTF 1'!Q28&lt;='RTF 1'!V28</f>
        <v>1</v>
      </c>
      <c r="V55" s="42"/>
      <c r="W55" s="8" t="b">
        <f>'RTF 1'!Q28&gt;('RTF 1'!P28+'RTF 1'!O28)</f>
        <v>0</v>
      </c>
      <c r="X55" s="8" t="b">
        <f>'RTF 1'!O28&gt;('RTF 1'!P28+'RTF 1'!Q28)</f>
        <v>0</v>
      </c>
      <c r="Y55" s="8" t="b">
        <f>AND(('RTF 1'!O28+10)&gt;='RTF 1'!P28,('RTF 1'!O28-10)&lt;='RTF 1'!P28,('RTF 1'!P28+10)&gt;='RTF 1'!Q28,('RTF 1'!P28-10)&lt;='RTF 1'!Q28,('RTF 1'!O28+10)&gt;='RTF 1'!Q28,('RTF 1'!O28-10)&lt;='RTF 1'!Q28)</f>
        <v>1</v>
      </c>
      <c r="Z55" s="8" t="b">
        <f>AND(('RTF 1'!O28+10)&gt;='RTF 1'!P28,('RTF 1'!O28-10)&lt;='RTF 1'!P28,OR('RTF 1'!P28&gt;'RTF 1'!Y28,'RTF 1'!O28&gt;'RTF 1'!Y28))</f>
        <v>0</v>
      </c>
      <c r="AA55" s="11" t="b">
        <f>AND(('RTF 1'!Q28+10)&gt;='RTF 1'!P28,('RTF 1'!Q28-10)&lt;='RTF 1'!P28,OR('RTF 1'!P28&gt;'RTF 1'!Z28,'RTF 1'!Q28&gt;'RTF 1'!Z28))</f>
        <v>0</v>
      </c>
      <c r="AB55" s="35" t="b">
        <f t="shared" si="16"/>
        <v>0</v>
      </c>
      <c r="AC55" s="8" t="b">
        <f>'RTF 1'!Q28&gt;'RTF 1'!P28</f>
        <v>0</v>
      </c>
      <c r="AD55" s="8" t="b">
        <f>AND('RTF 1'!P28&gt;='RTF 1'!Q28,'RTF 1'!Q28&gt;'RTF 1'!AA28)</f>
        <v>0</v>
      </c>
      <c r="AE55" s="8" t="b">
        <f>AND('RTF 1'!AA28&gt;'RTF 1'!Q28,'RTF 1'!Q28&gt;'RTF 1'!AB28)</f>
        <v>0</v>
      </c>
      <c r="AF55" s="8" t="b">
        <f>'RTF 1'!Q28&lt;'RTF 1'!AB28</f>
        <v>1</v>
      </c>
    </row>
    <row r="56" spans="1:32" x14ac:dyDescent="0.25">
      <c r="A56">
        <v>1400</v>
      </c>
      <c r="B56">
        <v>60</v>
      </c>
      <c r="C56">
        <v>60</v>
      </c>
      <c r="D56">
        <v>80</v>
      </c>
      <c r="E56">
        <v>80</v>
      </c>
      <c r="I56" s="49">
        <f>IF('RTF 1'!$D$9=1,'Lookup Tables'!$J56,IF('RTF 1'!$D$9=2,'Lookup Tables'!$K56,IF('RTF 1'!$D$9=3,'Lookup Tables'!$L56,IF('RTF 1'!$D$9=4,'Lookup Tables'!$M56,'Lookup Tables'!$N56))))</f>
        <v>20</v>
      </c>
      <c r="J56">
        <f t="shared" si="12"/>
        <v>20</v>
      </c>
      <c r="K56">
        <f t="shared" si="13"/>
        <v>20</v>
      </c>
      <c r="L56">
        <f>IF('RTF 1'!$D$9=3,'Lookup Tables'!$V$39,0)</f>
        <v>0</v>
      </c>
      <c r="M56">
        <f t="shared" si="14"/>
        <v>40</v>
      </c>
      <c r="N56">
        <f t="shared" si="15"/>
        <v>15</v>
      </c>
      <c r="P56" s="8" t="b">
        <f>'RTF 1'!Q29&gt;'RTF 1'!S29</f>
        <v>0</v>
      </c>
      <c r="Q56" s="8" t="b">
        <f>AND('RTF 1'!S29&gt;='RTF 1'!Q29,'RTF 1'!Q29&gt;'RTF 1'!T29)</f>
        <v>0</v>
      </c>
      <c r="R56" s="35" t="b">
        <f>'RTF 1'!Q29&lt;='RTF 1'!T29</f>
        <v>1</v>
      </c>
      <c r="S56" s="8" t="b">
        <f>'RTF 1'!Q29&gt;'RTF 1'!U29</f>
        <v>0</v>
      </c>
      <c r="T56" s="8" t="b">
        <f>AND('RTF 1'!U29&gt;='RTF 1'!Q29,'RTF 1'!Q29&gt;'RTF 1'!V29)</f>
        <v>0</v>
      </c>
      <c r="U56" s="35" t="b">
        <f>'RTF 1'!Q29&lt;='RTF 1'!V29</f>
        <v>1</v>
      </c>
      <c r="V56" s="42"/>
      <c r="W56" s="8" t="b">
        <f>'RTF 1'!Q29&gt;('RTF 1'!P29+'RTF 1'!O29)</f>
        <v>0</v>
      </c>
      <c r="X56" s="8" t="b">
        <f>'RTF 1'!O29&gt;('RTF 1'!P29+'RTF 1'!Q29)</f>
        <v>0</v>
      </c>
      <c r="Y56" s="8" t="b">
        <f>AND(('RTF 1'!O29+10)&gt;='RTF 1'!P29,('RTF 1'!O29-10)&lt;='RTF 1'!P29,('RTF 1'!P29+10)&gt;='RTF 1'!Q29,('RTF 1'!P29-10)&lt;='RTF 1'!Q29,('RTF 1'!O29+10)&gt;='RTF 1'!Q29,('RTF 1'!O29-10)&lt;='RTF 1'!Q29)</f>
        <v>1</v>
      </c>
      <c r="Z56" s="8" t="b">
        <f>AND(('RTF 1'!O29+10)&gt;='RTF 1'!P29,('RTF 1'!O29-10)&lt;='RTF 1'!P29,OR('RTF 1'!P29&gt;'RTF 1'!Y29,'RTF 1'!O29&gt;'RTF 1'!Y29))</f>
        <v>0</v>
      </c>
      <c r="AA56" s="11" t="b">
        <f>AND(('RTF 1'!Q29+10)&gt;='RTF 1'!P29,('RTF 1'!Q29-10)&lt;='RTF 1'!P29,OR('RTF 1'!P29&gt;'RTF 1'!Z29,'RTF 1'!Q29&gt;'RTF 1'!Z29))</f>
        <v>0</v>
      </c>
      <c r="AB56" s="35" t="b">
        <f t="shared" si="16"/>
        <v>0</v>
      </c>
      <c r="AC56" s="8" t="b">
        <f>'RTF 1'!Q29&gt;'RTF 1'!P29</f>
        <v>0</v>
      </c>
      <c r="AD56" s="8" t="b">
        <f>AND('RTF 1'!P29&gt;='RTF 1'!Q29,'RTF 1'!Q29&gt;'RTF 1'!AA29)</f>
        <v>0</v>
      </c>
      <c r="AE56" s="8" t="b">
        <f>AND('RTF 1'!AA29&gt;'RTF 1'!Q29,'RTF 1'!Q29&gt;'RTF 1'!AB29)</f>
        <v>0</v>
      </c>
      <c r="AF56" s="8" t="b">
        <f>'RTF 1'!Q29&lt;'RTF 1'!AB29</f>
        <v>1</v>
      </c>
    </row>
    <row r="57" spans="1:32" x14ac:dyDescent="0.25">
      <c r="A57">
        <v>1500</v>
      </c>
      <c r="B57">
        <v>60</v>
      </c>
      <c r="C57">
        <v>60</v>
      </c>
      <c r="D57">
        <v>80</v>
      </c>
      <c r="E57">
        <v>80</v>
      </c>
      <c r="F57" s="8"/>
      <c r="G57" s="8"/>
      <c r="I57" s="49">
        <f>IF('RTF 1'!$D$9=1,'Lookup Tables'!$J57,IF('RTF 1'!$D$9=2,'Lookup Tables'!$K57,IF('RTF 1'!$D$9=3,'Lookup Tables'!$L57,IF('RTF 1'!$D$9=4,'Lookup Tables'!$M57,'Lookup Tables'!$N57))))</f>
        <v>20</v>
      </c>
      <c r="J57">
        <f t="shared" si="12"/>
        <v>20</v>
      </c>
      <c r="K57">
        <f t="shared" si="13"/>
        <v>20</v>
      </c>
      <c r="L57">
        <f>IF('RTF 1'!$D$9=3,'Lookup Tables'!$V$39,0)</f>
        <v>0</v>
      </c>
      <c r="M57">
        <f t="shared" si="14"/>
        <v>40</v>
      </c>
      <c r="N57">
        <f t="shared" si="15"/>
        <v>15</v>
      </c>
      <c r="P57" s="8" t="b">
        <f>'RTF 1'!Q30&gt;'RTF 1'!S30</f>
        <v>0</v>
      </c>
      <c r="Q57" s="8" t="b">
        <f>AND('RTF 1'!S30&gt;='RTF 1'!Q30,'RTF 1'!Q30&gt;'RTF 1'!T30)</f>
        <v>0</v>
      </c>
      <c r="R57" s="35" t="b">
        <f>'RTF 1'!Q30&lt;='RTF 1'!T30</f>
        <v>1</v>
      </c>
      <c r="S57" s="8" t="b">
        <f>'RTF 1'!Q30&gt;'RTF 1'!U30</f>
        <v>0</v>
      </c>
      <c r="T57" s="8" t="b">
        <f>AND('RTF 1'!U30&gt;='RTF 1'!Q30,'RTF 1'!Q30&gt;'RTF 1'!V30)</f>
        <v>0</v>
      </c>
      <c r="U57" s="35" t="b">
        <f>'RTF 1'!Q30&lt;='RTF 1'!V30</f>
        <v>1</v>
      </c>
      <c r="V57" s="42"/>
      <c r="W57" s="8" t="b">
        <f>'RTF 1'!Q30&gt;('RTF 1'!P30+'RTF 1'!O30)</f>
        <v>0</v>
      </c>
      <c r="X57" s="8" t="b">
        <f>'RTF 1'!O30&gt;('RTF 1'!P30+'RTF 1'!Q30)</f>
        <v>0</v>
      </c>
      <c r="Y57" s="8" t="b">
        <f>AND(('RTF 1'!O30+10)&gt;='RTF 1'!P30,('RTF 1'!O30-10)&lt;='RTF 1'!P30,('RTF 1'!P30+10)&gt;='RTF 1'!Q30,('RTF 1'!P30-10)&lt;='RTF 1'!Q30,('RTF 1'!O30+10)&gt;='RTF 1'!Q30,('RTF 1'!O30-10)&lt;='RTF 1'!Q30)</f>
        <v>1</v>
      </c>
      <c r="Z57" s="8" t="b">
        <f>AND(('RTF 1'!O30+10)&gt;='RTF 1'!P30,('RTF 1'!O30-10)&lt;='RTF 1'!P30,OR('RTF 1'!P30&gt;'RTF 1'!Y30,'RTF 1'!O30&gt;'RTF 1'!Y30))</f>
        <v>0</v>
      </c>
      <c r="AA57" s="11" t="b">
        <f>AND(('RTF 1'!Q30+10)&gt;='RTF 1'!P30,('RTF 1'!Q30-10)&lt;='RTF 1'!P30,OR('RTF 1'!P30&gt;'RTF 1'!Z30,'RTF 1'!Q30&gt;'RTF 1'!Z30))</f>
        <v>0</v>
      </c>
      <c r="AB57" s="35" t="b">
        <f t="shared" si="16"/>
        <v>0</v>
      </c>
      <c r="AC57" s="8" t="b">
        <f>'RTF 1'!Q30&gt;'RTF 1'!P30</f>
        <v>0</v>
      </c>
      <c r="AD57" s="8" t="b">
        <f>AND('RTF 1'!P30&gt;='RTF 1'!Q30,'RTF 1'!Q30&gt;'RTF 1'!AA30)</f>
        <v>0</v>
      </c>
      <c r="AE57" s="8" t="b">
        <f>AND('RTF 1'!AA30&gt;'RTF 1'!Q30,'RTF 1'!Q30&gt;'RTF 1'!AB30)</f>
        <v>0</v>
      </c>
      <c r="AF57" s="8" t="b">
        <f>'RTF 1'!Q30&lt;'RTF 1'!AB30</f>
        <v>1</v>
      </c>
    </row>
    <row r="58" spans="1:32" x14ac:dyDescent="0.25">
      <c r="A58">
        <v>1600</v>
      </c>
      <c r="B58">
        <v>60</v>
      </c>
      <c r="C58">
        <v>60</v>
      </c>
      <c r="D58">
        <v>80</v>
      </c>
      <c r="E58">
        <v>80</v>
      </c>
      <c r="F58" s="8"/>
      <c r="G58" s="8"/>
      <c r="I58" s="49">
        <f>IF('RTF 1'!$D$9=1,'Lookup Tables'!$J58,IF('RTF 1'!$D$9=2,'Lookup Tables'!$K58,IF('RTF 1'!$D$9=3,'Lookup Tables'!$L58,IF('RTF 1'!$D$9=4,'Lookup Tables'!$M58,'Lookup Tables'!$N58))))</f>
        <v>20</v>
      </c>
      <c r="J58">
        <f t="shared" si="12"/>
        <v>20</v>
      </c>
      <c r="K58">
        <f t="shared" si="13"/>
        <v>20</v>
      </c>
      <c r="L58">
        <f>IF('RTF 1'!$D$9=3,'Lookup Tables'!$V$39,0)</f>
        <v>0</v>
      </c>
      <c r="M58">
        <f t="shared" si="14"/>
        <v>40</v>
      </c>
      <c r="N58">
        <f t="shared" si="15"/>
        <v>15</v>
      </c>
      <c r="P58" s="8" t="b">
        <f>'RTF 1'!Q31&gt;'RTF 1'!S31</f>
        <v>0</v>
      </c>
      <c r="Q58" s="8" t="b">
        <f>AND('RTF 1'!S31&gt;='RTF 1'!Q31,'RTF 1'!Q31&gt;'RTF 1'!T31)</f>
        <v>0</v>
      </c>
      <c r="R58" s="35" t="b">
        <f>'RTF 1'!Q31&lt;='RTF 1'!T31</f>
        <v>1</v>
      </c>
      <c r="S58" s="8" t="b">
        <f>'RTF 1'!Q31&gt;'RTF 1'!U31</f>
        <v>0</v>
      </c>
      <c r="T58" s="8" t="b">
        <f>AND('RTF 1'!U31&gt;='RTF 1'!Q31,'RTF 1'!Q31&gt;'RTF 1'!V31)</f>
        <v>0</v>
      </c>
      <c r="U58" s="35" t="b">
        <f>'RTF 1'!Q31&lt;='RTF 1'!V31</f>
        <v>1</v>
      </c>
      <c r="V58" s="42"/>
      <c r="W58" s="8" t="b">
        <f>'RTF 1'!Q31&gt;('RTF 1'!P31+'RTF 1'!O31)</f>
        <v>0</v>
      </c>
      <c r="X58" s="8" t="b">
        <f>'RTF 1'!O31&gt;('RTF 1'!P31+'RTF 1'!Q31)</f>
        <v>0</v>
      </c>
      <c r="Y58" s="8" t="b">
        <f>AND(('RTF 1'!O31+10)&gt;='RTF 1'!P31,('RTF 1'!O31-10)&lt;='RTF 1'!P31,('RTF 1'!P31+10)&gt;='RTF 1'!Q31,('RTF 1'!P31-10)&lt;='RTF 1'!Q31,('RTF 1'!O31+10)&gt;='RTF 1'!Q31,('RTF 1'!O31-10)&lt;='RTF 1'!Q31)</f>
        <v>1</v>
      </c>
      <c r="Z58" s="8" t="b">
        <f>AND(('RTF 1'!O31+10)&gt;='RTF 1'!P31,('RTF 1'!O31-10)&lt;='RTF 1'!P31,OR('RTF 1'!P31&gt;'RTF 1'!Y31,'RTF 1'!O31&gt;'RTF 1'!Y31))</f>
        <v>0</v>
      </c>
      <c r="AA58" s="11" t="b">
        <f>AND(('RTF 1'!Q31+10)&gt;='RTF 1'!P31,('RTF 1'!Q31-10)&lt;='RTF 1'!P31,OR('RTF 1'!P31&gt;'RTF 1'!Z31,'RTF 1'!Q31&gt;'RTF 1'!Z31))</f>
        <v>0</v>
      </c>
      <c r="AB58" s="35" t="b">
        <f t="shared" si="16"/>
        <v>0</v>
      </c>
      <c r="AC58" s="8" t="b">
        <f>'RTF 1'!Q31&gt;'RTF 1'!P31</f>
        <v>0</v>
      </c>
      <c r="AD58" s="8" t="b">
        <f>AND('RTF 1'!P31&gt;='RTF 1'!Q31,'RTF 1'!Q31&gt;'RTF 1'!AA31)</f>
        <v>0</v>
      </c>
      <c r="AE58" s="8" t="b">
        <f>AND('RTF 1'!AA31&gt;'RTF 1'!Q31,'RTF 1'!Q31&gt;'RTF 1'!AB31)</f>
        <v>0</v>
      </c>
      <c r="AF58" s="8" t="b">
        <f>'RTF 1'!Q31&lt;'RTF 1'!AB31</f>
        <v>1</v>
      </c>
    </row>
    <row r="59" spans="1:32" x14ac:dyDescent="0.25">
      <c r="A59">
        <v>1700</v>
      </c>
      <c r="B59">
        <v>60</v>
      </c>
      <c r="C59">
        <v>60</v>
      </c>
      <c r="D59">
        <v>80</v>
      </c>
      <c r="E59">
        <v>80</v>
      </c>
      <c r="F59" s="8"/>
      <c r="G59" s="8"/>
      <c r="I59" s="49">
        <f>IF('RTF 1'!$D$9=1,'Lookup Tables'!$J59,IF('RTF 1'!$D$9=2,'Lookup Tables'!$K59,IF('RTF 1'!$D$9=3,'Lookup Tables'!$L59,IF('RTF 1'!$D$9=4,'Lookup Tables'!$M59,'Lookup Tables'!$N59))))</f>
        <v>20</v>
      </c>
      <c r="J59">
        <f t="shared" si="12"/>
        <v>20</v>
      </c>
      <c r="K59">
        <f t="shared" si="13"/>
        <v>20</v>
      </c>
      <c r="L59">
        <f>IF('RTF 1'!$D$9=3,'Lookup Tables'!$V$39,0)</f>
        <v>0</v>
      </c>
      <c r="M59">
        <f t="shared" si="14"/>
        <v>40</v>
      </c>
      <c r="N59">
        <f t="shared" si="15"/>
        <v>15</v>
      </c>
      <c r="P59" s="8" t="b">
        <f>'RTF 1'!Q32&gt;'RTF 1'!S32</f>
        <v>0</v>
      </c>
      <c r="Q59" s="8" t="b">
        <f>AND('RTF 1'!S32&gt;='RTF 1'!Q32,'RTF 1'!Q32&gt;'RTF 1'!T32)</f>
        <v>0</v>
      </c>
      <c r="R59" s="35" t="b">
        <f>'RTF 1'!Q32&lt;='RTF 1'!T32</f>
        <v>1</v>
      </c>
      <c r="S59" s="8" t="b">
        <f>'RTF 1'!Q32&gt;'RTF 1'!U32</f>
        <v>0</v>
      </c>
      <c r="T59" s="8" t="b">
        <f>AND('RTF 1'!U32&gt;='RTF 1'!Q32,'RTF 1'!Q32&gt;'RTF 1'!V32)</f>
        <v>0</v>
      </c>
      <c r="U59" s="35" t="b">
        <f>'RTF 1'!Q32&lt;='RTF 1'!V32</f>
        <v>1</v>
      </c>
      <c r="V59" s="42"/>
      <c r="W59" s="8" t="b">
        <f>'RTF 1'!Q32&gt;('RTF 1'!P32+'RTF 1'!O32)</f>
        <v>0</v>
      </c>
      <c r="X59" s="8" t="b">
        <f>'RTF 1'!O32&gt;('RTF 1'!P32+'RTF 1'!Q32)</f>
        <v>0</v>
      </c>
      <c r="Y59" s="8" t="b">
        <f>AND(('RTF 1'!O32+10)&gt;='RTF 1'!P32,('RTF 1'!O32-10)&lt;='RTF 1'!P32,('RTF 1'!P32+10)&gt;='RTF 1'!Q32,('RTF 1'!P32-10)&lt;='RTF 1'!Q32,('RTF 1'!O32+10)&gt;='RTF 1'!Q32,('RTF 1'!O32-10)&lt;='RTF 1'!Q32)</f>
        <v>1</v>
      </c>
      <c r="Z59" s="8" t="b">
        <f>AND(('RTF 1'!O32+10)&gt;='RTF 1'!P32,('RTF 1'!O32-10)&lt;='RTF 1'!P32,OR('RTF 1'!P32&gt;'RTF 1'!Y32,'RTF 1'!O32&gt;'RTF 1'!Y32))</f>
        <v>0</v>
      </c>
      <c r="AA59" s="11" t="b">
        <f>AND(('RTF 1'!Q32+10)&gt;='RTF 1'!P32,('RTF 1'!Q32-10)&lt;='RTF 1'!P32,OR('RTF 1'!P32&gt;'RTF 1'!Z32,'RTF 1'!Q32&gt;'RTF 1'!Z32))</f>
        <v>0</v>
      </c>
      <c r="AB59" s="35" t="b">
        <f t="shared" si="16"/>
        <v>0</v>
      </c>
      <c r="AC59" s="8" t="b">
        <f>'RTF 1'!Q32&gt;'RTF 1'!P32</f>
        <v>0</v>
      </c>
      <c r="AD59" s="8" t="b">
        <f>AND('RTF 1'!P32&gt;='RTF 1'!Q32,'RTF 1'!Q32&gt;'RTF 1'!AA32)</f>
        <v>0</v>
      </c>
      <c r="AE59" s="8" t="b">
        <f>AND('RTF 1'!AA32&gt;'RTF 1'!Q32,'RTF 1'!Q32&gt;'RTF 1'!AB32)</f>
        <v>0</v>
      </c>
      <c r="AF59" s="8" t="b">
        <f>'RTF 1'!Q32&lt;'RTF 1'!AB32</f>
        <v>1</v>
      </c>
    </row>
    <row r="60" spans="1:32" x14ac:dyDescent="0.25">
      <c r="A60">
        <v>1800</v>
      </c>
      <c r="B60">
        <v>60</v>
      </c>
      <c r="C60">
        <v>60</v>
      </c>
      <c r="D60">
        <v>80</v>
      </c>
      <c r="E60">
        <v>80</v>
      </c>
      <c r="F60" s="8"/>
      <c r="G60" s="8"/>
      <c r="I60" s="49">
        <f>IF('RTF 1'!$D$9=1,'Lookup Tables'!$J60,IF('RTF 1'!$D$9=2,'Lookup Tables'!$K60,IF('RTF 1'!$D$9=3,'Lookup Tables'!$L60,IF('RTF 1'!$D$9=4,'Lookup Tables'!$M60,'Lookup Tables'!$N60))))</f>
        <v>20</v>
      </c>
      <c r="J60">
        <f t="shared" si="12"/>
        <v>20</v>
      </c>
      <c r="K60">
        <f t="shared" si="13"/>
        <v>20</v>
      </c>
      <c r="L60">
        <f>IF('RTF 1'!$D$9=3,'Lookup Tables'!$V$39,0)</f>
        <v>0</v>
      </c>
      <c r="M60">
        <f t="shared" si="14"/>
        <v>40</v>
      </c>
      <c r="N60">
        <f t="shared" si="15"/>
        <v>15</v>
      </c>
      <c r="P60" s="8" t="b">
        <f>'RTF 1'!Q33&gt;'RTF 1'!S33</f>
        <v>0</v>
      </c>
      <c r="Q60" s="8" t="b">
        <f>AND('RTF 1'!S33&gt;='RTF 1'!Q33,'RTF 1'!Q33&gt;'RTF 1'!T33)</f>
        <v>0</v>
      </c>
      <c r="R60" s="35" t="b">
        <f>'RTF 1'!Q33&lt;='RTF 1'!T33</f>
        <v>1</v>
      </c>
      <c r="S60" s="8" t="b">
        <f>'RTF 1'!Q33&gt;'RTF 1'!U33</f>
        <v>0</v>
      </c>
      <c r="T60" s="8" t="b">
        <f>AND('RTF 1'!U33&gt;='RTF 1'!Q33,'RTF 1'!Q33&gt;'RTF 1'!V33)</f>
        <v>0</v>
      </c>
      <c r="U60" s="35" t="b">
        <f>'RTF 1'!Q33&lt;='RTF 1'!V33</f>
        <v>1</v>
      </c>
      <c r="V60" s="42"/>
      <c r="W60" s="8" t="b">
        <f>'RTF 1'!Q33&gt;('RTF 1'!P33+'RTF 1'!O33)</f>
        <v>0</v>
      </c>
      <c r="X60" s="8" t="b">
        <f>'RTF 1'!O33&gt;('RTF 1'!P33+'RTF 1'!Q33)</f>
        <v>0</v>
      </c>
      <c r="Y60" s="8" t="b">
        <f>AND(('RTF 1'!O33+10)&gt;='RTF 1'!P33,('RTF 1'!O33-10)&lt;='RTF 1'!P33,('RTF 1'!P33+10)&gt;='RTF 1'!Q33,('RTF 1'!P33-10)&lt;='RTF 1'!Q33,('RTF 1'!O33+10)&gt;='RTF 1'!Q33,('RTF 1'!O33-10)&lt;='RTF 1'!Q33)</f>
        <v>1</v>
      </c>
      <c r="Z60" s="8" t="b">
        <f>AND(('RTF 1'!O33+10)&gt;='RTF 1'!P33,('RTF 1'!O33-10)&lt;='RTF 1'!P33,OR('RTF 1'!P33&gt;'RTF 1'!Y33,'RTF 1'!O33&gt;'RTF 1'!Y33))</f>
        <v>0</v>
      </c>
      <c r="AA60" s="11" t="b">
        <f>AND(('RTF 1'!Q33+10)&gt;='RTF 1'!P33,('RTF 1'!Q33-10)&lt;='RTF 1'!P33,OR('RTF 1'!P33&gt;'RTF 1'!Z33,'RTF 1'!Q33&gt;'RTF 1'!Z33))</f>
        <v>0</v>
      </c>
      <c r="AB60" s="35" t="b">
        <f t="shared" si="16"/>
        <v>0</v>
      </c>
      <c r="AC60" s="8" t="b">
        <f>'RTF 1'!Q33&gt;'RTF 1'!P33</f>
        <v>0</v>
      </c>
      <c r="AD60" s="8" t="b">
        <f>AND('RTF 1'!P33&gt;='RTF 1'!Q33,'RTF 1'!Q33&gt;'RTF 1'!AA33)</f>
        <v>0</v>
      </c>
      <c r="AE60" s="8" t="b">
        <f>AND('RTF 1'!AA33&gt;'RTF 1'!Q33,'RTF 1'!Q33&gt;'RTF 1'!AB33)</f>
        <v>0</v>
      </c>
      <c r="AF60" s="8" t="b">
        <f>'RTF 1'!Q33&lt;'RTF 1'!AB33</f>
        <v>1</v>
      </c>
    </row>
    <row r="61" spans="1:32" x14ac:dyDescent="0.25">
      <c r="A61">
        <v>1900</v>
      </c>
      <c r="B61">
        <v>60</v>
      </c>
      <c r="C61">
        <v>60</v>
      </c>
      <c r="D61">
        <v>80</v>
      </c>
      <c r="E61">
        <v>80</v>
      </c>
      <c r="F61" s="8"/>
      <c r="G61" s="8"/>
      <c r="I61" s="49">
        <f>IF('RTF 1'!$D$9=1,'Lookup Tables'!$J61,IF('RTF 1'!$D$9=2,'Lookup Tables'!$K61,IF('RTF 1'!$D$9=3,'Lookup Tables'!$L61,IF('RTF 1'!$D$9=4,'Lookup Tables'!$M61,'Lookup Tables'!$N61))))</f>
        <v>20</v>
      </c>
      <c r="J61">
        <f t="shared" si="12"/>
        <v>20</v>
      </c>
      <c r="K61">
        <f t="shared" si="13"/>
        <v>20</v>
      </c>
      <c r="L61">
        <f>IF('RTF 1'!$D$9=3,'Lookup Tables'!$V$39,0)</f>
        <v>0</v>
      </c>
      <c r="M61">
        <f t="shared" si="14"/>
        <v>40</v>
      </c>
      <c r="N61">
        <f t="shared" si="15"/>
        <v>15</v>
      </c>
      <c r="P61" s="8" t="b">
        <f>'RTF 1'!Q34&gt;'RTF 1'!S34</f>
        <v>0</v>
      </c>
      <c r="Q61" s="8" t="b">
        <f>AND('RTF 1'!S34&gt;='RTF 1'!Q34,'RTF 1'!Q34&gt;'RTF 1'!T34)</f>
        <v>0</v>
      </c>
      <c r="R61" s="35" t="b">
        <f>'RTF 1'!Q34&lt;='RTF 1'!T34</f>
        <v>1</v>
      </c>
      <c r="S61" s="8" t="b">
        <f>'RTF 1'!Q34&gt;'RTF 1'!U34</f>
        <v>0</v>
      </c>
      <c r="T61" s="8" t="b">
        <f>AND('RTF 1'!U34&gt;='RTF 1'!Q34,'RTF 1'!Q34&gt;'RTF 1'!V34)</f>
        <v>0</v>
      </c>
      <c r="U61" s="35" t="b">
        <f>'RTF 1'!Q34&lt;='RTF 1'!V34</f>
        <v>1</v>
      </c>
      <c r="V61" s="42"/>
      <c r="W61" s="8" t="b">
        <f>'RTF 1'!Q34&gt;('RTF 1'!P34+'RTF 1'!O34)</f>
        <v>0</v>
      </c>
      <c r="X61" s="8" t="b">
        <f>'RTF 1'!O34&gt;('RTF 1'!P34+'RTF 1'!Q34)</f>
        <v>0</v>
      </c>
      <c r="Y61" s="8" t="b">
        <f>AND(('RTF 1'!O34+10)&gt;='RTF 1'!P34,('RTF 1'!O34-10)&lt;='RTF 1'!P34,('RTF 1'!P34+10)&gt;='RTF 1'!Q34,('RTF 1'!P34-10)&lt;='RTF 1'!Q34,('RTF 1'!O34+10)&gt;='RTF 1'!Q34,('RTF 1'!O34-10)&lt;='RTF 1'!Q34)</f>
        <v>1</v>
      </c>
      <c r="Z61" s="8" t="b">
        <f>AND(('RTF 1'!O34+10)&gt;='RTF 1'!P34,('RTF 1'!O34-10)&lt;='RTF 1'!P34,OR('RTF 1'!P34&gt;'RTF 1'!Y34,'RTF 1'!O34&gt;'RTF 1'!Y34))</f>
        <v>0</v>
      </c>
      <c r="AA61" s="11" t="b">
        <f>AND(('RTF 1'!Q34+10)&gt;='RTF 1'!P34,('RTF 1'!Q34-10)&lt;='RTF 1'!P34,OR('RTF 1'!P34&gt;'RTF 1'!Z34,'RTF 1'!Q34&gt;'RTF 1'!Z34))</f>
        <v>0</v>
      </c>
      <c r="AB61" s="35" t="b">
        <f t="shared" si="16"/>
        <v>0</v>
      </c>
      <c r="AC61" s="8" t="b">
        <f>'RTF 1'!Q34&gt;'RTF 1'!P34</f>
        <v>0</v>
      </c>
      <c r="AD61" s="8" t="b">
        <f>AND('RTF 1'!P34&gt;='RTF 1'!Q34,'RTF 1'!Q34&gt;'RTF 1'!AA34)</f>
        <v>0</v>
      </c>
      <c r="AE61" s="8" t="b">
        <f>AND('RTF 1'!AA34&gt;'RTF 1'!Q34,'RTF 1'!Q34&gt;'RTF 1'!AB34)</f>
        <v>0</v>
      </c>
      <c r="AF61" s="8" t="b">
        <f>'RTF 1'!Q34&lt;'RTF 1'!AB34</f>
        <v>1</v>
      </c>
    </row>
    <row r="62" spans="1:32" x14ac:dyDescent="0.25">
      <c r="A62">
        <v>2000</v>
      </c>
      <c r="B62">
        <v>60</v>
      </c>
      <c r="C62">
        <v>60</v>
      </c>
      <c r="D62">
        <v>80</v>
      </c>
      <c r="E62">
        <v>80</v>
      </c>
      <c r="F62" s="8"/>
      <c r="G62" s="8"/>
      <c r="I62" s="49">
        <f>IF('RTF 1'!$D$9=1,'Lookup Tables'!$J62,IF('RTF 1'!$D$9=2,'Lookup Tables'!$K62,IF('RTF 1'!$D$9=3,'Lookup Tables'!$L62,IF('RTF 1'!$D$9=4,'Lookup Tables'!$M62,'Lookup Tables'!$N62))))</f>
        <v>20</v>
      </c>
      <c r="J62">
        <f t="shared" si="12"/>
        <v>20</v>
      </c>
      <c r="K62">
        <f t="shared" si="13"/>
        <v>20</v>
      </c>
      <c r="L62">
        <f>IF('RTF 1'!$D$9=3,'Lookup Tables'!$V$39,0)</f>
        <v>0</v>
      </c>
      <c r="M62">
        <f t="shared" si="14"/>
        <v>40</v>
      </c>
      <c r="N62">
        <f t="shared" si="15"/>
        <v>15</v>
      </c>
      <c r="P62" s="8" t="b">
        <f>'RTF 1'!Q35&gt;'RTF 1'!S35</f>
        <v>0</v>
      </c>
      <c r="Q62" s="8" t="b">
        <f>AND('RTF 1'!S35&gt;='RTF 1'!Q35,'RTF 1'!Q35&gt;'RTF 1'!T35)</f>
        <v>0</v>
      </c>
      <c r="R62" s="35" t="b">
        <f>'RTF 1'!Q35&lt;='RTF 1'!T35</f>
        <v>1</v>
      </c>
      <c r="S62" s="8" t="b">
        <f>'RTF 1'!Q35&gt;'RTF 1'!U35</f>
        <v>0</v>
      </c>
      <c r="T62" s="8" t="b">
        <f>AND('RTF 1'!U35&gt;='RTF 1'!Q35,'RTF 1'!Q35&gt;'RTF 1'!V35)</f>
        <v>0</v>
      </c>
      <c r="U62" s="35" t="b">
        <f>'RTF 1'!Q35&lt;='RTF 1'!V35</f>
        <v>1</v>
      </c>
      <c r="V62" s="42"/>
      <c r="W62" s="8" t="b">
        <f>'RTF 1'!Q35&gt;('RTF 1'!P35+'RTF 1'!O35)</f>
        <v>0</v>
      </c>
      <c r="X62" s="8" t="b">
        <f>'RTF 1'!O35&gt;('RTF 1'!P35+'RTF 1'!Q35)</f>
        <v>0</v>
      </c>
      <c r="Y62" s="8" t="b">
        <f>AND(('RTF 1'!O35+10)&gt;='RTF 1'!P35,('RTF 1'!O35-10)&lt;='RTF 1'!P35,('RTF 1'!P35+10)&gt;='RTF 1'!Q35,('RTF 1'!P35-10)&lt;='RTF 1'!Q35,('RTF 1'!O35+10)&gt;='RTF 1'!Q35,('RTF 1'!O35-10)&lt;='RTF 1'!Q35)</f>
        <v>1</v>
      </c>
      <c r="Z62" s="8" t="b">
        <f>AND(('RTF 1'!O35+10)&gt;='RTF 1'!P35,('RTF 1'!O35-10)&lt;='RTF 1'!P35,OR('RTF 1'!P35&gt;'RTF 1'!Y35,'RTF 1'!O35&gt;'RTF 1'!Y35))</f>
        <v>0</v>
      </c>
      <c r="AA62" s="11" t="b">
        <f>AND(('RTF 1'!Q35+10)&gt;='RTF 1'!P35,('RTF 1'!Q35-10)&lt;='RTF 1'!P35,OR('RTF 1'!P35&gt;'RTF 1'!Z35,'RTF 1'!Q35&gt;'RTF 1'!Z35))</f>
        <v>0</v>
      </c>
      <c r="AB62" s="35" t="b">
        <f t="shared" si="16"/>
        <v>0</v>
      </c>
      <c r="AC62" s="8" t="b">
        <f>'RTF 1'!Q35&gt;'RTF 1'!P35</f>
        <v>0</v>
      </c>
      <c r="AD62" s="8" t="b">
        <f>AND('RTF 1'!P35&gt;='RTF 1'!Q35,'RTF 1'!Q35&gt;'RTF 1'!AA35)</f>
        <v>0</v>
      </c>
      <c r="AE62" s="8" t="b">
        <f>AND('RTF 1'!AA35&gt;'RTF 1'!Q35,'RTF 1'!Q35&gt;'RTF 1'!AB35)</f>
        <v>0</v>
      </c>
      <c r="AF62" s="8" t="b">
        <f>'RTF 1'!Q35&lt;'RTF 1'!AB35</f>
        <v>1</v>
      </c>
    </row>
    <row r="63" spans="1:32" x14ac:dyDescent="0.25">
      <c r="F63" s="8"/>
      <c r="G63" s="8"/>
      <c r="I63" s="49">
        <f>IF('RTF 1'!$D$9=1,'Lookup Tables'!$J63,IF('RTF 1'!$D$9=2,'Lookup Tables'!$K63,IF('RTF 1'!$D$9=3,'Lookup Tables'!$L63,IF('RTF 1'!$D$9=4,'Lookup Tables'!$M63,'Lookup Tables'!$N63))))</f>
        <v>20</v>
      </c>
      <c r="J63">
        <f t="shared" si="12"/>
        <v>20</v>
      </c>
      <c r="K63">
        <f t="shared" si="13"/>
        <v>20</v>
      </c>
      <c r="L63">
        <f>IF('RTF 1'!$D$9=3,'Lookup Tables'!$V$39,0)</f>
        <v>0</v>
      </c>
      <c r="M63">
        <f t="shared" si="14"/>
        <v>40</v>
      </c>
      <c r="N63">
        <f t="shared" si="15"/>
        <v>15</v>
      </c>
      <c r="P63" s="8" t="b">
        <f>'RTF 1'!Q36&gt;'RTF 1'!S36</f>
        <v>0</v>
      </c>
      <c r="Q63" s="8" t="b">
        <f>AND('RTF 1'!S36&gt;='RTF 1'!Q36,'RTF 1'!Q36&gt;'RTF 1'!T36)</f>
        <v>0</v>
      </c>
      <c r="R63" s="35" t="b">
        <f>'RTF 1'!Q36&lt;='RTF 1'!T36</f>
        <v>1</v>
      </c>
      <c r="S63" s="8" t="b">
        <f>'RTF 1'!Q36&gt;'RTF 1'!U36</f>
        <v>0</v>
      </c>
      <c r="T63" s="8" t="b">
        <f>AND('RTF 1'!U36&gt;='RTF 1'!Q36,'RTF 1'!Q36&gt;'RTF 1'!V36)</f>
        <v>0</v>
      </c>
      <c r="U63" s="35" t="b">
        <f>'RTF 1'!Q36&lt;='RTF 1'!V36</f>
        <v>1</v>
      </c>
      <c r="V63" s="42"/>
      <c r="W63" s="8" t="b">
        <f>'RTF 1'!Q36&gt;('RTF 1'!P36+'RTF 1'!O36)</f>
        <v>0</v>
      </c>
      <c r="X63" s="8" t="b">
        <f>'RTF 1'!O36&gt;('RTF 1'!P36+'RTF 1'!Q36)</f>
        <v>0</v>
      </c>
      <c r="Y63" s="8" t="b">
        <f>AND(('RTF 1'!O36+10)&gt;='RTF 1'!P36,('RTF 1'!O36-10)&lt;='RTF 1'!P36,('RTF 1'!P36+10)&gt;='RTF 1'!Q36,('RTF 1'!P36-10)&lt;='RTF 1'!Q36,('RTF 1'!O36+10)&gt;='RTF 1'!Q36,('RTF 1'!O36-10)&lt;='RTF 1'!Q36)</f>
        <v>1</v>
      </c>
      <c r="Z63" s="8" t="b">
        <f>AND(('RTF 1'!O36+10)&gt;='RTF 1'!P36,('RTF 1'!O36-10)&lt;='RTF 1'!P36,OR('RTF 1'!P36&gt;'RTF 1'!Y36,'RTF 1'!O36&gt;'RTF 1'!Y36))</f>
        <v>0</v>
      </c>
      <c r="AA63" s="11" t="b">
        <f>AND(('RTF 1'!Q36+10)&gt;='RTF 1'!P36,('RTF 1'!Q36-10)&lt;='RTF 1'!P36,OR('RTF 1'!P36&gt;'RTF 1'!Z36,'RTF 1'!Q36&gt;'RTF 1'!Z36))</f>
        <v>0</v>
      </c>
      <c r="AB63" s="35" t="b">
        <f t="shared" si="16"/>
        <v>0</v>
      </c>
      <c r="AC63" s="8" t="b">
        <f>'RTF 1'!Q36&gt;'RTF 1'!P36</f>
        <v>0</v>
      </c>
      <c r="AD63" s="8" t="b">
        <f>AND('RTF 1'!P36&gt;='RTF 1'!Q36,'RTF 1'!Q36&gt;'RTF 1'!AA36)</f>
        <v>0</v>
      </c>
      <c r="AE63" s="8" t="b">
        <f>AND('RTF 1'!AA36&gt;'RTF 1'!Q36,'RTF 1'!Q36&gt;'RTF 1'!AB36)</f>
        <v>0</v>
      </c>
      <c r="AF63" s="8" t="b">
        <f>'RTF 1'!Q36&lt;'RTF 1'!AB36</f>
        <v>1</v>
      </c>
    </row>
    <row r="64" spans="1:32" x14ac:dyDescent="0.25">
      <c r="A64" s="820" t="s">
        <v>23</v>
      </c>
      <c r="B64" s="820"/>
      <c r="C64" s="820"/>
      <c r="D64" s="820"/>
      <c r="E64" s="820"/>
      <c r="F64" s="8"/>
      <c r="G64" s="8"/>
      <c r="I64" s="49">
        <f>IF('RTF 1'!$D$9=1,'Lookup Tables'!$J64,IF('RTF 1'!$D$9=2,'Lookup Tables'!$K64,IF('RTF 1'!$D$9=3,'Lookup Tables'!$L64,IF('RTF 1'!$D$9=4,'Lookup Tables'!$M64,'Lookup Tables'!$N64))))</f>
        <v>20</v>
      </c>
      <c r="J64">
        <f t="shared" si="12"/>
        <v>20</v>
      </c>
      <c r="K64">
        <f t="shared" si="13"/>
        <v>20</v>
      </c>
      <c r="L64">
        <f>IF('RTF 1'!$D$9=3,'Lookup Tables'!$V$39,0)</f>
        <v>0</v>
      </c>
      <c r="M64">
        <f t="shared" si="14"/>
        <v>40</v>
      </c>
      <c r="N64">
        <f t="shared" si="15"/>
        <v>15</v>
      </c>
      <c r="P64" s="8" t="b">
        <f>'RTF 1'!Q37&gt;'RTF 1'!S37</f>
        <v>0</v>
      </c>
      <c r="Q64" s="8" t="b">
        <f>AND('RTF 1'!S37&gt;='RTF 1'!Q37,'RTF 1'!Q37&gt;'RTF 1'!T37)</f>
        <v>0</v>
      </c>
      <c r="R64" s="35" t="b">
        <f>'RTF 1'!Q37&lt;='RTF 1'!T37</f>
        <v>1</v>
      </c>
      <c r="S64" s="8" t="b">
        <f>'RTF 1'!Q37&gt;'RTF 1'!U37</f>
        <v>0</v>
      </c>
      <c r="T64" s="8" t="b">
        <f>AND('RTF 1'!U37&gt;='RTF 1'!Q37,'RTF 1'!Q37&gt;'RTF 1'!V37)</f>
        <v>0</v>
      </c>
      <c r="U64" s="35" t="b">
        <f>'RTF 1'!Q37&lt;='RTF 1'!V37</f>
        <v>1</v>
      </c>
      <c r="V64" s="42"/>
      <c r="W64" s="8" t="b">
        <f>'RTF 1'!Q37&gt;('RTF 1'!P37+'RTF 1'!O37)</f>
        <v>0</v>
      </c>
      <c r="X64" s="8" t="b">
        <f>'RTF 1'!O37&gt;('RTF 1'!P37+'RTF 1'!Q37)</f>
        <v>0</v>
      </c>
      <c r="Y64" s="8" t="b">
        <f>AND(('RTF 1'!O37+10)&gt;='RTF 1'!P37,('RTF 1'!O37-10)&lt;='RTF 1'!P37,('RTF 1'!P37+10)&gt;='RTF 1'!Q37,('RTF 1'!P37-10)&lt;='RTF 1'!Q37,('RTF 1'!O37+10)&gt;='RTF 1'!Q37,('RTF 1'!O37-10)&lt;='RTF 1'!Q37)</f>
        <v>1</v>
      </c>
      <c r="Z64" s="8" t="b">
        <f>AND(('RTF 1'!O37+10)&gt;='RTF 1'!P37,('RTF 1'!O37-10)&lt;='RTF 1'!P37,OR('RTF 1'!P37&gt;'RTF 1'!Y37,'RTF 1'!O37&gt;'RTF 1'!Y37))</f>
        <v>0</v>
      </c>
      <c r="AA64" s="11" t="b">
        <f>AND(('RTF 1'!Q37+10)&gt;='RTF 1'!P37,('RTF 1'!Q37-10)&lt;='RTF 1'!P37,OR('RTF 1'!P37&gt;'RTF 1'!Z37,'RTF 1'!Q37&gt;'RTF 1'!Z37))</f>
        <v>0</v>
      </c>
      <c r="AB64" s="35" t="b">
        <f t="shared" si="16"/>
        <v>0</v>
      </c>
      <c r="AC64" s="8" t="b">
        <f>'RTF 1'!Q37&gt;'RTF 1'!P37</f>
        <v>0</v>
      </c>
      <c r="AD64" s="8" t="b">
        <f>AND('RTF 1'!P37&gt;='RTF 1'!Q37,'RTF 1'!Q37&gt;'RTF 1'!AA37)</f>
        <v>0</v>
      </c>
      <c r="AE64" s="8" t="b">
        <f>AND('RTF 1'!AA37&gt;'RTF 1'!Q37,'RTF 1'!Q37&gt;'RTF 1'!AB37)</f>
        <v>0</v>
      </c>
      <c r="AF64" s="8" t="b">
        <f>'RTF 1'!Q37&lt;'RTF 1'!AB37</f>
        <v>1</v>
      </c>
    </row>
    <row r="65" spans="1:32" x14ac:dyDescent="0.25">
      <c r="A65" s="820"/>
      <c r="B65" s="820"/>
      <c r="C65" s="820"/>
      <c r="D65" s="820"/>
      <c r="E65" s="820"/>
      <c r="F65" s="8"/>
      <c r="G65" s="8"/>
      <c r="I65" s="49">
        <f>IF('RTF 1'!$D$9=1,'Lookup Tables'!$J65,IF('RTF 1'!$D$9=2,'Lookup Tables'!$K65,IF('RTF 1'!$D$9=3,'Lookup Tables'!$L65,IF('RTF 1'!$D$9=4,'Lookup Tables'!$M65,'Lookup Tables'!$N65))))</f>
        <v>60</v>
      </c>
      <c r="J65">
        <f t="shared" si="12"/>
        <v>60</v>
      </c>
      <c r="K65">
        <f t="shared" si="13"/>
        <v>60</v>
      </c>
      <c r="L65">
        <f>IF('RTF 1'!$D$9=3,'Lookup Tables'!$V$39,0)</f>
        <v>0</v>
      </c>
      <c r="M65">
        <f t="shared" si="14"/>
        <v>65</v>
      </c>
      <c r="N65">
        <f t="shared" si="15"/>
        <v>75</v>
      </c>
      <c r="P65" s="8" t="b">
        <f>'RTF 1'!Q38&gt;'RTF 1'!S38</f>
        <v>1</v>
      </c>
      <c r="Q65" s="8" t="b">
        <f>AND('RTF 1'!S38&gt;='RTF 1'!Q38,'RTF 1'!Q38&gt;'RTF 1'!T38)</f>
        <v>0</v>
      </c>
      <c r="R65" s="35" t="b">
        <f>'RTF 1'!Q38&lt;='RTF 1'!T38</f>
        <v>0</v>
      </c>
      <c r="S65" s="8" t="b">
        <f>'RTF 1'!Q38&gt;'RTF 1'!U38</f>
        <v>1</v>
      </c>
      <c r="T65" s="8" t="b">
        <f>AND('RTF 1'!U38&gt;='RTF 1'!Q38,'RTF 1'!Q38&gt;'RTF 1'!V38)</f>
        <v>0</v>
      </c>
      <c r="U65" s="35" t="b">
        <f>'RTF 1'!Q38&lt;='RTF 1'!V38</f>
        <v>0</v>
      </c>
      <c r="V65" s="42"/>
      <c r="W65" s="8" t="b">
        <f>'RTF 1'!Q38&gt;('RTF 1'!P38+'RTF 1'!O38)</f>
        <v>1</v>
      </c>
      <c r="X65" s="8" t="b">
        <f>'RTF 1'!O38&gt;('RTF 1'!P38+'RTF 1'!Q38)</f>
        <v>0</v>
      </c>
      <c r="Y65" s="8" t="b">
        <f>AND(('RTF 1'!O38+10)&gt;='RTF 1'!P38,('RTF 1'!O38-10)&lt;='RTF 1'!P38,('RTF 1'!P38+10)&gt;='RTF 1'!Q38,('RTF 1'!P38-10)&lt;='RTF 1'!Q38,('RTF 1'!O38+10)&gt;='RTF 1'!Q38,('RTF 1'!O38-10)&lt;='RTF 1'!Q38)</f>
        <v>0</v>
      </c>
      <c r="Z65" s="8" t="b">
        <f>AND(('RTF 1'!O38+10)&gt;='RTF 1'!P38,('RTF 1'!O38-10)&lt;='RTF 1'!P38,OR('RTF 1'!P38&gt;'RTF 1'!Y38,'RTF 1'!O38&gt;'RTF 1'!Y38))</f>
        <v>0</v>
      </c>
      <c r="AA65" s="11" t="b">
        <f>AND(('RTF 1'!Q38+10)&gt;='RTF 1'!P38,('RTF 1'!Q38-10)&lt;='RTF 1'!P38,OR('RTF 1'!P38&gt;'RTF 1'!Z38,'RTF 1'!Q38&gt;'RTF 1'!Z38))</f>
        <v>0</v>
      </c>
      <c r="AB65" s="35" t="b">
        <f t="shared" si="16"/>
        <v>0</v>
      </c>
      <c r="AC65" s="8" t="b">
        <f>'RTF 1'!Q38&gt;'RTF 1'!P38</f>
        <v>1</v>
      </c>
      <c r="AD65" s="8" t="b">
        <f>AND('RTF 1'!P38&gt;='RTF 1'!Q38,'RTF 1'!Q38&gt;'RTF 1'!AA38)</f>
        <v>0</v>
      </c>
      <c r="AE65" s="8" t="b">
        <f>AND('RTF 1'!AA38&gt;'RTF 1'!Q38,'RTF 1'!Q38&gt;'RTF 1'!AB38)</f>
        <v>0</v>
      </c>
      <c r="AF65" s="8" t="b">
        <f>'RTF 1'!Q38&lt;'RTF 1'!AB38</f>
        <v>0</v>
      </c>
    </row>
    <row r="66" spans="1:32" x14ac:dyDescent="0.25">
      <c r="A66" s="820"/>
      <c r="B66" s="820"/>
      <c r="C66" s="820"/>
      <c r="D66" s="820"/>
      <c r="E66" s="820"/>
      <c r="F66" s="8"/>
      <c r="G66" s="8"/>
      <c r="I66" s="49">
        <f>IF('RTF 1'!$D$9=1,'Lookup Tables'!$J66,IF('RTF 1'!$D$9=2,'Lookup Tables'!$K66,IF('RTF 1'!$D$9=3,'Lookup Tables'!$L66,IF('RTF 1'!$D$9=4,'Lookup Tables'!$M66,'Lookup Tables'!$N66))))</f>
        <v>60</v>
      </c>
      <c r="J66">
        <f t="shared" si="12"/>
        <v>60</v>
      </c>
      <c r="K66">
        <f t="shared" si="13"/>
        <v>60</v>
      </c>
      <c r="L66">
        <f>IF('RTF 1'!$D$9=3,'Lookup Tables'!$V$39,0)</f>
        <v>0</v>
      </c>
      <c r="M66">
        <f t="shared" si="14"/>
        <v>65</v>
      </c>
      <c r="N66">
        <f t="shared" si="15"/>
        <v>75</v>
      </c>
      <c r="P66" s="8" t="b">
        <f>'RTF 1'!Q39&gt;'RTF 1'!S39</f>
        <v>1</v>
      </c>
      <c r="Q66" s="8" t="b">
        <f>AND('RTF 1'!S39&gt;='RTF 1'!Q39,'RTF 1'!Q39&gt;'RTF 1'!T39)</f>
        <v>0</v>
      </c>
      <c r="R66" s="35" t="b">
        <f>'RTF 1'!Q39&lt;='RTF 1'!T39</f>
        <v>0</v>
      </c>
      <c r="S66" s="8" t="b">
        <f>'RTF 1'!Q39&gt;'RTF 1'!U39</f>
        <v>1</v>
      </c>
      <c r="T66" s="8" t="b">
        <f>AND('RTF 1'!U39&gt;='RTF 1'!Q39,'RTF 1'!Q39&gt;'RTF 1'!V39)</f>
        <v>0</v>
      </c>
      <c r="U66" s="35" t="b">
        <f>'RTF 1'!Q39&lt;='RTF 1'!V39</f>
        <v>0</v>
      </c>
      <c r="V66" s="42"/>
      <c r="W66" s="8" t="b">
        <f>'RTF 1'!Q39&gt;('RTF 1'!P39+'RTF 1'!O39)</f>
        <v>1</v>
      </c>
      <c r="X66" s="8" t="b">
        <f>'RTF 1'!O39&gt;('RTF 1'!P39+'RTF 1'!Q39)</f>
        <v>0</v>
      </c>
      <c r="Y66" s="8" t="b">
        <f>AND(('RTF 1'!O39+10)&gt;='RTF 1'!P39,('RTF 1'!O39-10)&lt;='RTF 1'!P39,('RTF 1'!P39+10)&gt;='RTF 1'!Q39,('RTF 1'!P39-10)&lt;='RTF 1'!Q39,('RTF 1'!O39+10)&gt;='RTF 1'!Q39,('RTF 1'!O39-10)&lt;='RTF 1'!Q39)</f>
        <v>0</v>
      </c>
      <c r="Z66" s="8" t="b">
        <f>AND(('RTF 1'!O39+10)&gt;='RTF 1'!P39,('RTF 1'!O39-10)&lt;='RTF 1'!P39,OR('RTF 1'!P39&gt;'RTF 1'!Y39,'RTF 1'!O39&gt;'RTF 1'!Y39))</f>
        <v>0</v>
      </c>
      <c r="AA66" s="11" t="b">
        <f>AND(('RTF 1'!Q39+10)&gt;='RTF 1'!P39,('RTF 1'!Q39-10)&lt;='RTF 1'!P39,OR('RTF 1'!P39&gt;'RTF 1'!Z39,'RTF 1'!Q39&gt;'RTF 1'!Z39))</f>
        <v>0</v>
      </c>
      <c r="AB66" s="35" t="b">
        <f t="shared" si="16"/>
        <v>0</v>
      </c>
      <c r="AC66" s="8" t="b">
        <f>'RTF 1'!Q39&gt;'RTF 1'!P39</f>
        <v>1</v>
      </c>
      <c r="AD66" s="8" t="b">
        <f>AND('RTF 1'!P39&gt;='RTF 1'!Q39,'RTF 1'!Q39&gt;'RTF 1'!AA39)</f>
        <v>0</v>
      </c>
      <c r="AE66" s="8" t="b">
        <f>AND('RTF 1'!AA39&gt;'RTF 1'!Q39,'RTF 1'!Q39&gt;'RTF 1'!AB39)</f>
        <v>0</v>
      </c>
      <c r="AF66" s="8" t="b">
        <f>'RTF 1'!Q39&lt;'RTF 1'!AB39</f>
        <v>0</v>
      </c>
    </row>
    <row r="67" spans="1:32" x14ac:dyDescent="0.25">
      <c r="A67" s="9" t="s">
        <v>0</v>
      </c>
      <c r="B67" s="9" t="s">
        <v>1</v>
      </c>
      <c r="C67" s="8"/>
      <c r="D67" s="8"/>
      <c r="E67" s="8"/>
      <c r="F67" s="8"/>
      <c r="G67" s="8"/>
      <c r="I67" s="49">
        <f>IF('RTF 1'!$D$9=1,'Lookup Tables'!$J67,IF('RTF 1'!$D$9=2,'Lookup Tables'!$K67,IF('RTF 1'!$D$9=3,'Lookup Tables'!$L67,IF('RTF 1'!$D$9=4,'Lookup Tables'!$M67,'Lookup Tables'!$N67))))</f>
        <v>60</v>
      </c>
      <c r="J67">
        <f t="shared" si="12"/>
        <v>60</v>
      </c>
      <c r="K67">
        <f t="shared" si="13"/>
        <v>60</v>
      </c>
      <c r="L67">
        <f>IF('RTF 1'!$D$9=3,'Lookup Tables'!$V$39,0)</f>
        <v>0</v>
      </c>
      <c r="M67">
        <f t="shared" si="14"/>
        <v>65</v>
      </c>
      <c r="N67">
        <f t="shared" si="15"/>
        <v>75</v>
      </c>
      <c r="P67" s="8" t="b">
        <f>'RTF 1'!Q40&gt;'RTF 1'!S40</f>
        <v>1</v>
      </c>
      <c r="Q67" s="8" t="b">
        <f>AND('RTF 1'!S40&gt;='RTF 1'!Q40,'RTF 1'!Q40&gt;'RTF 1'!T40)</f>
        <v>0</v>
      </c>
      <c r="R67" s="35" t="b">
        <f>'RTF 1'!Q40&lt;='RTF 1'!T40</f>
        <v>0</v>
      </c>
      <c r="S67" s="8" t="b">
        <f>'RTF 1'!Q40&gt;'RTF 1'!U40</f>
        <v>1</v>
      </c>
      <c r="T67" s="8" t="b">
        <f>AND('RTF 1'!U40&gt;='RTF 1'!Q40,'RTF 1'!Q40&gt;'RTF 1'!V40)</f>
        <v>0</v>
      </c>
      <c r="U67" s="35" t="b">
        <f>'RTF 1'!Q40&lt;='RTF 1'!V40</f>
        <v>0</v>
      </c>
      <c r="V67" s="42"/>
      <c r="W67" s="8" t="b">
        <f>'RTF 1'!Q40&gt;('RTF 1'!P40+'RTF 1'!O40)</f>
        <v>1</v>
      </c>
      <c r="X67" s="8" t="b">
        <f>'RTF 1'!O40&gt;('RTF 1'!P40+'RTF 1'!Q40)</f>
        <v>0</v>
      </c>
      <c r="Y67" s="8" t="b">
        <f>AND(('RTF 1'!O40+10)&gt;='RTF 1'!P40,('RTF 1'!O40-10)&lt;='RTF 1'!P40,('RTF 1'!P40+10)&gt;='RTF 1'!Q40,('RTF 1'!P40-10)&lt;='RTF 1'!Q40,('RTF 1'!O40+10)&gt;='RTF 1'!Q40,('RTF 1'!O40-10)&lt;='RTF 1'!Q40)</f>
        <v>0</v>
      </c>
      <c r="Z67" s="8" t="b">
        <f>AND(('RTF 1'!O40+10)&gt;='RTF 1'!P40,('RTF 1'!O40-10)&lt;='RTF 1'!P40,OR('RTF 1'!P40&gt;'RTF 1'!Y40,'RTF 1'!O40&gt;'RTF 1'!Y40))</f>
        <v>0</v>
      </c>
      <c r="AA67" s="11" t="b">
        <f>AND(('RTF 1'!Q40+10)&gt;='RTF 1'!P40,('RTF 1'!Q40-10)&lt;='RTF 1'!P40,OR('RTF 1'!P40&gt;'RTF 1'!Z40,'RTF 1'!Q40&gt;'RTF 1'!Z40))</f>
        <v>0</v>
      </c>
      <c r="AB67" s="35" t="b">
        <f t="shared" si="16"/>
        <v>0</v>
      </c>
      <c r="AC67" s="8" t="b">
        <f>'RTF 1'!Q40&gt;'RTF 1'!P40</f>
        <v>1</v>
      </c>
      <c r="AD67" s="8" t="b">
        <f>AND('RTF 1'!P40&gt;='RTF 1'!Q40,'RTF 1'!Q40&gt;'RTF 1'!AA40)</f>
        <v>0</v>
      </c>
      <c r="AE67" s="8" t="b">
        <f>AND('RTF 1'!AA40&gt;'RTF 1'!Q40,'RTF 1'!Q40&gt;'RTF 1'!AB40)</f>
        <v>0</v>
      </c>
      <c r="AF67" s="8" t="b">
        <f>'RTF 1'!Q40&lt;'RTF 1'!AB40</f>
        <v>0</v>
      </c>
    </row>
    <row r="68" spans="1:32" ht="26.4" x14ac:dyDescent="0.25">
      <c r="A68" s="10" t="s">
        <v>19</v>
      </c>
      <c r="B68" s="10" t="s">
        <v>80</v>
      </c>
      <c r="C68" s="33" t="s">
        <v>464</v>
      </c>
      <c r="D68" s="33" t="s">
        <v>461</v>
      </c>
      <c r="E68" s="8" t="s">
        <v>82</v>
      </c>
      <c r="F68" s="8"/>
      <c r="G68" s="8"/>
      <c r="I68" s="49">
        <f>IF('RTF 1'!$D$9=1,'Lookup Tables'!$J68,IF('RTF 1'!$D$9=2,'Lookup Tables'!$K68,IF('RTF 1'!$D$9=3,'Lookup Tables'!$L68,IF('RTF 1'!$D$9=4,'Lookup Tables'!$M68,'Lookup Tables'!$N68))))</f>
        <v>60</v>
      </c>
      <c r="J68">
        <f t="shared" si="12"/>
        <v>60</v>
      </c>
      <c r="K68">
        <f t="shared" si="13"/>
        <v>60</v>
      </c>
      <c r="L68">
        <f>IF('RTF 1'!$D$9=3,'Lookup Tables'!$V$39,0)</f>
        <v>0</v>
      </c>
      <c r="M68">
        <f t="shared" si="14"/>
        <v>65</v>
      </c>
      <c r="N68">
        <f t="shared" si="15"/>
        <v>75</v>
      </c>
      <c r="P68" s="8" t="b">
        <f>'RTF 1'!Q41&gt;'RTF 1'!S41</f>
        <v>1</v>
      </c>
      <c r="Q68" s="8" t="b">
        <f>AND('RTF 1'!S41&gt;='RTF 1'!Q41,'RTF 1'!Q41&gt;'RTF 1'!T41)</f>
        <v>0</v>
      </c>
      <c r="R68" s="35" t="b">
        <f>'RTF 1'!Q41&lt;='RTF 1'!T41</f>
        <v>0</v>
      </c>
      <c r="S68" s="8" t="b">
        <f>'RTF 1'!Q41&gt;'RTF 1'!U41</f>
        <v>1</v>
      </c>
      <c r="T68" s="8" t="b">
        <f>AND('RTF 1'!U41&gt;='RTF 1'!Q41,'RTF 1'!Q41&gt;'RTF 1'!V41)</f>
        <v>0</v>
      </c>
      <c r="U68" s="35" t="b">
        <f>'RTF 1'!Q41&lt;='RTF 1'!V41</f>
        <v>0</v>
      </c>
      <c r="V68" s="42"/>
      <c r="W68" s="8" t="b">
        <f>'RTF 1'!Q41&gt;('RTF 1'!P41+'RTF 1'!O41)</f>
        <v>1</v>
      </c>
      <c r="X68" s="8" t="b">
        <f>'RTF 1'!O41&gt;('RTF 1'!P41+'RTF 1'!Q41)</f>
        <v>0</v>
      </c>
      <c r="Y68" s="8" t="b">
        <f>AND(('RTF 1'!O41+10)&gt;='RTF 1'!P41,('RTF 1'!O41-10)&lt;='RTF 1'!P41,('RTF 1'!P41+10)&gt;='RTF 1'!Q41,('RTF 1'!P41-10)&lt;='RTF 1'!Q41,('RTF 1'!O41+10)&gt;='RTF 1'!Q41,('RTF 1'!O41-10)&lt;='RTF 1'!Q41)</f>
        <v>0</v>
      </c>
      <c r="Z68" s="8" t="b">
        <f>AND(('RTF 1'!O41+10)&gt;='RTF 1'!P41,('RTF 1'!O41-10)&lt;='RTF 1'!P41,OR('RTF 1'!P41&gt;'RTF 1'!Y41,'RTF 1'!O41&gt;'RTF 1'!Y41))</f>
        <v>0</v>
      </c>
      <c r="AA68" s="11" t="b">
        <f>AND(('RTF 1'!Q41+10)&gt;='RTF 1'!P41,('RTF 1'!Q41-10)&lt;='RTF 1'!P41,OR('RTF 1'!P41&gt;'RTF 1'!Z41,'RTF 1'!Q41&gt;'RTF 1'!Z41))</f>
        <v>0</v>
      </c>
      <c r="AB68" s="35" t="b">
        <f t="shared" si="16"/>
        <v>0</v>
      </c>
      <c r="AC68" s="8" t="b">
        <f>'RTF 1'!Q41&gt;'RTF 1'!P41</f>
        <v>1</v>
      </c>
      <c r="AD68" s="8" t="b">
        <f>AND('RTF 1'!P41&gt;='RTF 1'!Q41,'RTF 1'!Q41&gt;'RTF 1'!AA41)</f>
        <v>0</v>
      </c>
      <c r="AE68" s="8" t="b">
        <f>AND('RTF 1'!AA41&gt;'RTF 1'!Q41,'RTF 1'!Q41&gt;'RTF 1'!AB41)</f>
        <v>0</v>
      </c>
      <c r="AF68" s="8" t="b">
        <f>'RTF 1'!Q41&lt;'RTF 1'!AB41</f>
        <v>0</v>
      </c>
    </row>
    <row r="69" spans="1:32" x14ac:dyDescent="0.25">
      <c r="A69" s="8">
        <v>0</v>
      </c>
      <c r="B69" s="395">
        <f>745.652000052-0.7548866636*A69+0.00021703*A69^2</f>
        <v>745.65200005199995</v>
      </c>
      <c r="C69" s="394">
        <f>837.59424427-0.7219511908*A69+0.0001720248*A69^2</f>
        <v>837.59424426999999</v>
      </c>
      <c r="D69" s="395">
        <f>837.59424427-0.7219511908*A69+0.0001720248*A69^2</f>
        <v>837.59424426999999</v>
      </c>
      <c r="E69" s="396">
        <f>1060.5405451-0.889969286*A69+0.0002059999*A69^2</f>
        <v>1060.5405450999999</v>
      </c>
      <c r="F69" s="8"/>
      <c r="G69" s="8"/>
      <c r="I69" s="49">
        <f>IF('RTF 1'!$D$9=1,'Lookup Tables'!$J69,IF('RTF 1'!$D$9=2,'Lookup Tables'!$K69,IF('RTF 1'!$D$9=3,'Lookup Tables'!$L69,IF('RTF 1'!$D$9=4,'Lookup Tables'!$M69,'Lookup Tables'!$N69))))</f>
        <v>60</v>
      </c>
      <c r="J69">
        <f t="shared" si="12"/>
        <v>60</v>
      </c>
      <c r="K69">
        <f t="shared" si="13"/>
        <v>60</v>
      </c>
      <c r="L69">
        <f>IF('RTF 1'!$D$9=3,'Lookup Tables'!$V$39,0)</f>
        <v>0</v>
      </c>
      <c r="M69">
        <f t="shared" si="14"/>
        <v>65</v>
      </c>
      <c r="N69">
        <f t="shared" si="15"/>
        <v>75</v>
      </c>
      <c r="P69" s="8" t="b">
        <f>'RTF 1'!Q42&gt;'RTF 1'!S42</f>
        <v>1</v>
      </c>
      <c r="Q69" s="8" t="b">
        <f>AND('RTF 1'!S42&gt;='RTF 1'!Q42,'RTF 1'!Q42&gt;'RTF 1'!T42)</f>
        <v>0</v>
      </c>
      <c r="R69" s="35" t="b">
        <f>'RTF 1'!Q42&lt;='RTF 1'!T42</f>
        <v>0</v>
      </c>
      <c r="S69" s="8" t="b">
        <f>'RTF 1'!Q42&gt;'RTF 1'!U42</f>
        <v>1</v>
      </c>
      <c r="T69" s="8" t="b">
        <f>AND('RTF 1'!U42&gt;='RTF 1'!Q42,'RTF 1'!Q42&gt;'RTF 1'!V42)</f>
        <v>0</v>
      </c>
      <c r="U69" s="35" t="b">
        <f>'RTF 1'!Q42&lt;='RTF 1'!V42</f>
        <v>0</v>
      </c>
      <c r="V69" s="42"/>
      <c r="W69" s="8" t="b">
        <f>'RTF 1'!Q42&gt;('RTF 1'!P42+'RTF 1'!O42)</f>
        <v>1</v>
      </c>
      <c r="X69" s="8" t="b">
        <f>'RTF 1'!O42&gt;('RTF 1'!P42+'RTF 1'!Q42)</f>
        <v>0</v>
      </c>
      <c r="Y69" s="8" t="b">
        <f>AND(('RTF 1'!O42+10)&gt;='RTF 1'!P42,('RTF 1'!O42-10)&lt;='RTF 1'!P42,('RTF 1'!P42+10)&gt;='RTF 1'!Q42,('RTF 1'!P42-10)&lt;='RTF 1'!Q42,('RTF 1'!O42+10)&gt;='RTF 1'!Q42,('RTF 1'!O42-10)&lt;='RTF 1'!Q42)</f>
        <v>0</v>
      </c>
      <c r="Z69" s="8" t="b">
        <f>AND(('RTF 1'!O42+10)&gt;='RTF 1'!P42,('RTF 1'!O42-10)&lt;='RTF 1'!P42,OR('RTF 1'!P42&gt;'RTF 1'!Y42,'RTF 1'!O42&gt;'RTF 1'!Y42))</f>
        <v>0</v>
      </c>
      <c r="AA69" s="11" t="b">
        <f>AND(('RTF 1'!Q42+10)&gt;='RTF 1'!P42,('RTF 1'!Q42-10)&lt;='RTF 1'!P42,OR('RTF 1'!P42&gt;'RTF 1'!Z42,'RTF 1'!Q42&gt;'RTF 1'!Z42))</f>
        <v>0</v>
      </c>
      <c r="AB69" s="35" t="b">
        <f t="shared" si="16"/>
        <v>0</v>
      </c>
      <c r="AC69" s="8" t="b">
        <f>'RTF 1'!Q42&gt;'RTF 1'!P42</f>
        <v>1</v>
      </c>
      <c r="AD69" s="8" t="b">
        <f>AND('RTF 1'!P42&gt;='RTF 1'!Q42,'RTF 1'!Q42&gt;'RTF 1'!AA42)</f>
        <v>0</v>
      </c>
      <c r="AE69" s="8" t="b">
        <f>AND('RTF 1'!AA42&gt;'RTF 1'!Q42,'RTF 1'!Q42&gt;'RTF 1'!AB42)</f>
        <v>0</v>
      </c>
      <c r="AF69" s="8" t="b">
        <f>'RTF 1'!Q42&lt;'RTF 1'!AB42</f>
        <v>0</v>
      </c>
    </row>
    <row r="70" spans="1:32" x14ac:dyDescent="0.25">
      <c r="A70" s="8">
        <v>100</v>
      </c>
      <c r="B70" s="395">
        <f t="shared" ref="B70:B85" si="17">745.652000052-0.7548866636*A70+0.00021703*A70^2</f>
        <v>672.33363369199992</v>
      </c>
      <c r="C70" s="394">
        <f t="shared" ref="C70:C89" si="18">837.59424427-0.7219511908*A70+0.0001720248*A70^2</f>
        <v>767.11937318999992</v>
      </c>
      <c r="D70" s="395">
        <f t="shared" ref="D70:D83" si="19">837.59424427-0.7219511908*A70+0.0001720248*A70^2</f>
        <v>767.11937318999992</v>
      </c>
      <c r="E70" s="396">
        <f t="shared" ref="E70:E87" si="20">1060.5405451-0.889969286*A70+0.0002059999*A70^2</f>
        <v>973.60361549999982</v>
      </c>
      <c r="F70" s="8"/>
      <c r="G70" s="8"/>
      <c r="I70" s="49">
        <f>IF('RTF 1'!$D$9=1,'Lookup Tables'!$J70,IF('RTF 1'!$D$9=2,'Lookup Tables'!$K70,IF('RTF 1'!$D$9=3,'Lookup Tables'!$L70,IF('RTF 1'!$D$9=4,'Lookup Tables'!$M70,'Lookup Tables'!$N70))))</f>
        <v>60</v>
      </c>
      <c r="J70">
        <f t="shared" si="12"/>
        <v>60</v>
      </c>
      <c r="K70">
        <f t="shared" si="13"/>
        <v>60</v>
      </c>
      <c r="L70">
        <f>IF('RTF 1'!$D$9=3,'Lookup Tables'!$V$39,0)</f>
        <v>0</v>
      </c>
      <c r="M70">
        <f t="shared" si="14"/>
        <v>65</v>
      </c>
      <c r="N70">
        <f t="shared" si="15"/>
        <v>75</v>
      </c>
      <c r="P70" s="8" t="b">
        <f>'RTF 1'!Q43&gt;'RTF 1'!S43</f>
        <v>1</v>
      </c>
      <c r="Q70" s="8" t="b">
        <f>AND('RTF 1'!S43&gt;='RTF 1'!Q43,'RTF 1'!Q43&gt;'RTF 1'!T43)</f>
        <v>0</v>
      </c>
      <c r="R70" s="35" t="b">
        <f>'RTF 1'!Q43&lt;='RTF 1'!T43</f>
        <v>0</v>
      </c>
      <c r="S70" s="8" t="b">
        <f>'RTF 1'!Q43&gt;'RTF 1'!U43</f>
        <v>1</v>
      </c>
      <c r="T70" s="8" t="b">
        <f>AND('RTF 1'!U43&gt;='RTF 1'!Q43,'RTF 1'!Q43&gt;'RTF 1'!V43)</f>
        <v>0</v>
      </c>
      <c r="U70" s="35" t="b">
        <f>'RTF 1'!Q43&lt;='RTF 1'!V43</f>
        <v>0</v>
      </c>
      <c r="V70" s="42"/>
      <c r="W70" s="8" t="b">
        <f>'RTF 1'!Q43&gt;('RTF 1'!P43+'RTF 1'!O43)</f>
        <v>1</v>
      </c>
      <c r="X70" s="8" t="b">
        <f>'RTF 1'!O43&gt;('RTF 1'!P43+'RTF 1'!Q43)</f>
        <v>0</v>
      </c>
      <c r="Y70" s="8" t="b">
        <f>AND(('RTF 1'!O43+10)&gt;='RTF 1'!P43,('RTF 1'!O43-10)&lt;='RTF 1'!P43,('RTF 1'!P43+10)&gt;='RTF 1'!Q43,('RTF 1'!P43-10)&lt;='RTF 1'!Q43,('RTF 1'!O43+10)&gt;='RTF 1'!Q43,('RTF 1'!O43-10)&lt;='RTF 1'!Q43)</f>
        <v>0</v>
      </c>
      <c r="Z70" s="8" t="b">
        <f>AND(('RTF 1'!O43+10)&gt;='RTF 1'!P43,('RTF 1'!O43-10)&lt;='RTF 1'!P43,OR('RTF 1'!P43&gt;'RTF 1'!Y43,'RTF 1'!O43&gt;'RTF 1'!Y43))</f>
        <v>0</v>
      </c>
      <c r="AA70" s="11" t="b">
        <f>AND(('RTF 1'!Q43+10)&gt;='RTF 1'!P43,('RTF 1'!Q43-10)&lt;='RTF 1'!P43,OR('RTF 1'!P43&gt;'RTF 1'!Z43,'RTF 1'!Q43&gt;'RTF 1'!Z43))</f>
        <v>0</v>
      </c>
      <c r="AB70" s="35" t="b">
        <f t="shared" si="16"/>
        <v>0</v>
      </c>
      <c r="AC70" s="8" t="b">
        <f>'RTF 1'!Q43&gt;'RTF 1'!P43</f>
        <v>1</v>
      </c>
      <c r="AD70" s="8" t="b">
        <f>AND('RTF 1'!P43&gt;='RTF 1'!Q43,'RTF 1'!Q43&gt;'RTF 1'!AA43)</f>
        <v>0</v>
      </c>
      <c r="AE70" s="8" t="b">
        <f>AND('RTF 1'!AA43&gt;'RTF 1'!Q43,'RTF 1'!Q43&gt;'RTF 1'!AB43)</f>
        <v>0</v>
      </c>
      <c r="AF70" s="8" t="b">
        <f>'RTF 1'!Q43&lt;'RTF 1'!AB43</f>
        <v>0</v>
      </c>
    </row>
    <row r="71" spans="1:32" x14ac:dyDescent="0.25">
      <c r="A71" s="8">
        <v>200</v>
      </c>
      <c r="B71" s="395">
        <f t="shared" si="17"/>
        <v>603.35586733199989</v>
      </c>
      <c r="C71" s="394">
        <f t="shared" si="18"/>
        <v>700.08499811000002</v>
      </c>
      <c r="D71" s="395">
        <f t="shared" si="19"/>
        <v>700.08499811000002</v>
      </c>
      <c r="E71" s="396">
        <f t="shared" si="20"/>
        <v>890.78668389999996</v>
      </c>
      <c r="F71" s="8"/>
      <c r="G71" s="8"/>
      <c r="I71" s="49">
        <f>IF('RTF 1'!$D$9=1,'Lookup Tables'!$J71,IF('RTF 1'!$D$9=2,'Lookup Tables'!$K71,IF('RTF 1'!$D$9=3,'Lookup Tables'!$L71,IF('RTF 1'!$D$9=4,'Lookup Tables'!$M71,'Lookup Tables'!$N71))))</f>
        <v>60</v>
      </c>
      <c r="J71">
        <f t="shared" si="12"/>
        <v>60</v>
      </c>
      <c r="K71">
        <f t="shared" si="13"/>
        <v>60</v>
      </c>
      <c r="L71">
        <f>IF('RTF 1'!$D$9=3,'Lookup Tables'!$V$39,0)</f>
        <v>0</v>
      </c>
      <c r="M71">
        <f t="shared" si="14"/>
        <v>65</v>
      </c>
      <c r="N71">
        <f t="shared" si="15"/>
        <v>75</v>
      </c>
      <c r="P71" s="8" t="b">
        <f>'RTF 1'!Q44&gt;'RTF 1'!S44</f>
        <v>1</v>
      </c>
      <c r="Q71" s="8" t="b">
        <f>AND('RTF 1'!S44&gt;='RTF 1'!Q44,'RTF 1'!Q44&gt;'RTF 1'!T44)</f>
        <v>0</v>
      </c>
      <c r="R71" s="35" t="b">
        <f>'RTF 1'!Q44&lt;='RTF 1'!T44</f>
        <v>0</v>
      </c>
      <c r="S71" s="8" t="b">
        <f>'RTF 1'!Q44&gt;'RTF 1'!U44</f>
        <v>1</v>
      </c>
      <c r="T71" s="8" t="b">
        <f>AND('RTF 1'!U44&gt;='RTF 1'!Q44,'RTF 1'!Q44&gt;'RTF 1'!V44)</f>
        <v>0</v>
      </c>
      <c r="U71" s="35" t="b">
        <f>'RTF 1'!Q44&lt;='RTF 1'!V44</f>
        <v>0</v>
      </c>
      <c r="V71" s="42"/>
      <c r="W71" s="8" t="b">
        <f>'RTF 1'!Q44&gt;('RTF 1'!P44+'RTF 1'!O44)</f>
        <v>1</v>
      </c>
      <c r="X71" s="8" t="b">
        <f>'RTF 1'!O44&gt;('RTF 1'!P44+'RTF 1'!Q44)</f>
        <v>0</v>
      </c>
      <c r="Y71" s="8" t="b">
        <f>AND(('RTF 1'!O44+10)&gt;='RTF 1'!P44,('RTF 1'!O44-10)&lt;='RTF 1'!P44,('RTF 1'!P44+10)&gt;='RTF 1'!Q44,('RTF 1'!P44-10)&lt;='RTF 1'!Q44,('RTF 1'!O44+10)&gt;='RTF 1'!Q44,('RTF 1'!O44-10)&lt;='RTF 1'!Q44)</f>
        <v>0</v>
      </c>
      <c r="Z71" s="8" t="b">
        <f>AND(('RTF 1'!O44+10)&gt;='RTF 1'!P44,('RTF 1'!O44-10)&lt;='RTF 1'!P44,OR('RTF 1'!P44&gt;'RTF 1'!Y44,'RTF 1'!O44&gt;'RTF 1'!Y44))</f>
        <v>0</v>
      </c>
      <c r="AA71" s="11" t="b">
        <f>AND(('RTF 1'!Q44+10)&gt;='RTF 1'!P44,('RTF 1'!Q44-10)&lt;='RTF 1'!P44,OR('RTF 1'!P44&gt;'RTF 1'!Z44,'RTF 1'!Q44&gt;'RTF 1'!Z44))</f>
        <v>0</v>
      </c>
      <c r="AB71" s="35" t="b">
        <f t="shared" si="16"/>
        <v>0</v>
      </c>
      <c r="AC71" s="8" t="b">
        <f>'RTF 1'!Q44&gt;'RTF 1'!P44</f>
        <v>1</v>
      </c>
      <c r="AD71" s="8" t="b">
        <f>AND('RTF 1'!P44&gt;='RTF 1'!Q44,'RTF 1'!Q44&gt;'RTF 1'!AA44)</f>
        <v>0</v>
      </c>
      <c r="AE71" s="8" t="b">
        <f>AND('RTF 1'!AA44&gt;'RTF 1'!Q44,'RTF 1'!Q44&gt;'RTF 1'!AB44)</f>
        <v>0</v>
      </c>
      <c r="AF71" s="8" t="b">
        <f>'RTF 1'!Q44&lt;'RTF 1'!AB44</f>
        <v>0</v>
      </c>
    </row>
    <row r="72" spans="1:32" x14ac:dyDescent="0.25">
      <c r="A72" s="8">
        <v>300</v>
      </c>
      <c r="B72" s="395">
        <f t="shared" si="17"/>
        <v>538.71870097199997</v>
      </c>
      <c r="C72" s="394">
        <f t="shared" si="18"/>
        <v>636.49111902999994</v>
      </c>
      <c r="D72" s="395">
        <f t="shared" si="19"/>
        <v>636.49111902999994</v>
      </c>
      <c r="E72" s="396">
        <f t="shared" si="20"/>
        <v>812.08975029999988</v>
      </c>
      <c r="F72" s="8"/>
      <c r="G72" s="8"/>
      <c r="I72" s="49">
        <f>IF('RTF 1'!$D$9=1,'Lookup Tables'!$J72,IF('RTF 1'!$D$9=2,'Lookup Tables'!$K72,IF('RTF 1'!$D$9=3,'Lookup Tables'!$L72,IF('RTF 1'!$D$9=4,'Lookup Tables'!$M72,'Lookup Tables'!$N72))))</f>
        <v>60</v>
      </c>
      <c r="J72">
        <f t="shared" ref="J72:J103" si="21">IF(P72=TRUE,$P$39,IF(Q72=TRUE,$Q$39,$R$39))</f>
        <v>60</v>
      </c>
      <c r="K72">
        <f t="shared" ref="K72:K103" si="22">IF(S72=TRUE,$S$39,IF(T72=TRUE,$T$39,$U$39))</f>
        <v>60</v>
      </c>
      <c r="L72">
        <f>IF('RTF 1'!$D$9=3,'Lookup Tables'!$V$39,0)</f>
        <v>0</v>
      </c>
      <c r="M72">
        <f t="shared" ref="M72:M103" si="23">IF(W72=TRUE,$W$39,IF(X72=TRUE,(IF(S72=TRUE,$S$39,IF(T72=TRUE,$T$39,$U$39))),IF($Y$40=TRUE,$Y$39,IF(Z72=TRUE,$Z$39,IF(AA72=TRUE,$AA$39,$AB$39)))))</f>
        <v>65</v>
      </c>
      <c r="N72">
        <f t="shared" ref="N72:N103" si="24">IF(AC72=TRUE,$AC$39,IF(AD72=TRUE,$AD$39,IF(AE72=TRUE,$AE$39,$AF$39)))</f>
        <v>75</v>
      </c>
      <c r="P72" s="8" t="b">
        <f>'RTF 1'!Q45&gt;'RTF 1'!S45</f>
        <v>1</v>
      </c>
      <c r="Q72" s="8" t="b">
        <f>AND('RTF 1'!S45&gt;='RTF 1'!Q45,'RTF 1'!Q45&gt;'RTF 1'!T45)</f>
        <v>0</v>
      </c>
      <c r="R72" s="35" t="b">
        <f>'RTF 1'!Q45&lt;='RTF 1'!T45</f>
        <v>0</v>
      </c>
      <c r="S72" s="8" t="b">
        <f>'RTF 1'!Q45&gt;'RTF 1'!U45</f>
        <v>1</v>
      </c>
      <c r="T72" s="8" t="b">
        <f>AND('RTF 1'!U45&gt;='RTF 1'!Q45,'RTF 1'!Q45&gt;'RTF 1'!V45)</f>
        <v>0</v>
      </c>
      <c r="U72" s="35" t="b">
        <f>'RTF 1'!Q45&lt;='RTF 1'!V45</f>
        <v>0</v>
      </c>
      <c r="V72" s="42"/>
      <c r="W72" s="8" t="b">
        <f>'RTF 1'!Q45&gt;('RTF 1'!P45+'RTF 1'!O45)</f>
        <v>1</v>
      </c>
      <c r="X72" s="8" t="b">
        <f>'RTF 1'!O45&gt;('RTF 1'!P45+'RTF 1'!Q45)</f>
        <v>0</v>
      </c>
      <c r="Y72" s="8" t="b">
        <f>AND(('RTF 1'!O45+10)&gt;='RTF 1'!P45,('RTF 1'!O45-10)&lt;='RTF 1'!P45,('RTF 1'!P45+10)&gt;='RTF 1'!Q45,('RTF 1'!P45-10)&lt;='RTF 1'!Q45,('RTF 1'!O45+10)&gt;='RTF 1'!Q45,('RTF 1'!O45-10)&lt;='RTF 1'!Q45)</f>
        <v>0</v>
      </c>
      <c r="Z72" s="8" t="b">
        <f>AND(('RTF 1'!O45+10)&gt;='RTF 1'!P45,('RTF 1'!O45-10)&lt;='RTF 1'!P45,OR('RTF 1'!P45&gt;'RTF 1'!Y45,'RTF 1'!O45&gt;'RTF 1'!Y45))</f>
        <v>0</v>
      </c>
      <c r="AA72" s="11" t="b">
        <f>AND(('RTF 1'!Q45+10)&gt;='RTF 1'!P45,('RTF 1'!Q45-10)&lt;='RTF 1'!P45,OR('RTF 1'!P45&gt;'RTF 1'!Z45,'RTF 1'!Q45&gt;'RTF 1'!Z45))</f>
        <v>0</v>
      </c>
      <c r="AB72" s="35" t="b">
        <f t="shared" si="16"/>
        <v>0</v>
      </c>
      <c r="AC72" s="8" t="b">
        <f>'RTF 1'!Q45&gt;'RTF 1'!P45</f>
        <v>1</v>
      </c>
      <c r="AD72" s="8" t="b">
        <f>AND('RTF 1'!P45&gt;='RTF 1'!Q45,'RTF 1'!Q45&gt;'RTF 1'!AA45)</f>
        <v>0</v>
      </c>
      <c r="AE72" s="8" t="b">
        <f>AND('RTF 1'!AA45&gt;'RTF 1'!Q45,'RTF 1'!Q45&gt;'RTF 1'!AB45)</f>
        <v>0</v>
      </c>
      <c r="AF72" s="8" t="b">
        <f>'RTF 1'!Q45&lt;'RTF 1'!AB45</f>
        <v>0</v>
      </c>
    </row>
    <row r="73" spans="1:32" x14ac:dyDescent="0.25">
      <c r="A73" s="8">
        <v>400</v>
      </c>
      <c r="B73" s="395">
        <f t="shared" si="17"/>
        <v>478.42213461199998</v>
      </c>
      <c r="C73" s="394">
        <f t="shared" si="18"/>
        <v>576.33773595000002</v>
      </c>
      <c r="D73" s="395">
        <f t="shared" si="19"/>
        <v>576.33773595000002</v>
      </c>
      <c r="E73" s="396">
        <f t="shared" si="20"/>
        <v>737.51281469999992</v>
      </c>
      <c r="F73" s="8"/>
      <c r="G73" s="8"/>
      <c r="I73" s="49">
        <f>IF('RTF 1'!$D$9=1,'Lookup Tables'!$J73,IF('RTF 1'!$D$9=2,'Lookup Tables'!$K73,IF('RTF 1'!$D$9=3,'Lookup Tables'!$L73,IF('RTF 1'!$D$9=4,'Lookup Tables'!$M73,'Lookup Tables'!$N73))))</f>
        <v>60</v>
      </c>
      <c r="J73">
        <f t="shared" si="21"/>
        <v>60</v>
      </c>
      <c r="K73">
        <f t="shared" si="22"/>
        <v>60</v>
      </c>
      <c r="L73">
        <f>IF('RTF 1'!$D$9=3,'Lookup Tables'!$V$39,0)</f>
        <v>0</v>
      </c>
      <c r="M73">
        <f t="shared" si="23"/>
        <v>65</v>
      </c>
      <c r="N73">
        <f t="shared" si="24"/>
        <v>75</v>
      </c>
      <c r="P73" s="8" t="b">
        <f>'RTF 1'!Q46&gt;'RTF 1'!S46</f>
        <v>1</v>
      </c>
      <c r="Q73" s="8" t="b">
        <f>AND('RTF 1'!S46&gt;='RTF 1'!Q46,'RTF 1'!Q46&gt;'RTF 1'!T46)</f>
        <v>0</v>
      </c>
      <c r="R73" s="35" t="b">
        <f>'RTF 1'!Q46&lt;='RTF 1'!T46</f>
        <v>0</v>
      </c>
      <c r="S73" s="8" t="b">
        <f>'RTF 1'!Q46&gt;'RTF 1'!U46</f>
        <v>1</v>
      </c>
      <c r="T73" s="8" t="b">
        <f>AND('RTF 1'!U46&gt;='RTF 1'!Q46,'RTF 1'!Q46&gt;'RTF 1'!V46)</f>
        <v>0</v>
      </c>
      <c r="U73" s="35" t="b">
        <f>'RTF 1'!Q46&lt;='RTF 1'!V46</f>
        <v>0</v>
      </c>
      <c r="V73" s="42"/>
      <c r="W73" s="8" t="b">
        <f>'RTF 1'!Q46&gt;('RTF 1'!P46+'RTF 1'!O46)</f>
        <v>1</v>
      </c>
      <c r="X73" s="8" t="b">
        <f>'RTF 1'!O46&gt;('RTF 1'!P46+'RTF 1'!Q46)</f>
        <v>0</v>
      </c>
      <c r="Y73" s="8" t="b">
        <f>AND(('RTF 1'!O46+10)&gt;='RTF 1'!P46,('RTF 1'!O46-10)&lt;='RTF 1'!P46,('RTF 1'!P46+10)&gt;='RTF 1'!Q46,('RTF 1'!P46-10)&lt;='RTF 1'!Q46,('RTF 1'!O46+10)&gt;='RTF 1'!Q46,('RTF 1'!O46-10)&lt;='RTF 1'!Q46)</f>
        <v>0</v>
      </c>
      <c r="Z73" s="8" t="b">
        <f>AND(('RTF 1'!O46+10)&gt;='RTF 1'!P46,('RTF 1'!O46-10)&lt;='RTF 1'!P46,OR('RTF 1'!P46&gt;'RTF 1'!Y46,'RTF 1'!O46&gt;'RTF 1'!Y46))</f>
        <v>0</v>
      </c>
      <c r="AA73" s="11" t="b">
        <f>AND(('RTF 1'!Q46+10)&gt;='RTF 1'!P46,('RTF 1'!Q46-10)&lt;='RTF 1'!P46,OR('RTF 1'!P46&gt;'RTF 1'!Z46,'RTF 1'!Q46&gt;'RTF 1'!Z46))</f>
        <v>0</v>
      </c>
      <c r="AB73" s="35" t="b">
        <f t="shared" si="16"/>
        <v>0</v>
      </c>
      <c r="AC73" s="8" t="b">
        <f>'RTF 1'!Q46&gt;'RTF 1'!P46</f>
        <v>1</v>
      </c>
      <c r="AD73" s="8" t="b">
        <f>AND('RTF 1'!P46&gt;='RTF 1'!Q46,'RTF 1'!Q46&gt;'RTF 1'!AA46)</f>
        <v>0</v>
      </c>
      <c r="AE73" s="8" t="b">
        <f>AND('RTF 1'!AA46&gt;'RTF 1'!Q46,'RTF 1'!Q46&gt;'RTF 1'!AB46)</f>
        <v>0</v>
      </c>
      <c r="AF73" s="8" t="b">
        <f>'RTF 1'!Q46&lt;'RTF 1'!AB46</f>
        <v>0</v>
      </c>
    </row>
    <row r="74" spans="1:32" x14ac:dyDescent="0.25">
      <c r="A74" s="8">
        <v>500</v>
      </c>
      <c r="B74" s="395">
        <f t="shared" si="17"/>
        <v>422.46616825199993</v>
      </c>
      <c r="C74" s="394">
        <f t="shared" si="18"/>
        <v>519.62484886999994</v>
      </c>
      <c r="D74" s="395">
        <f t="shared" si="19"/>
        <v>519.62484886999994</v>
      </c>
      <c r="E74" s="396">
        <f t="shared" si="20"/>
        <v>667.05587709999986</v>
      </c>
      <c r="F74" s="8"/>
      <c r="G74" s="8"/>
      <c r="I74" s="49">
        <f>IF('RTF 1'!$D$9=1,'Lookup Tables'!$J74,IF('RTF 1'!$D$9=2,'Lookup Tables'!$K74,IF('RTF 1'!$D$9=3,'Lookup Tables'!$L74,IF('RTF 1'!$D$9=4,'Lookup Tables'!$M74,'Lookup Tables'!$N74))))</f>
        <v>60</v>
      </c>
      <c r="J74">
        <f t="shared" si="21"/>
        <v>60</v>
      </c>
      <c r="K74">
        <f t="shared" si="22"/>
        <v>60</v>
      </c>
      <c r="L74">
        <f>IF('RTF 1'!$D$9=3,'Lookup Tables'!$V$39,0)</f>
        <v>0</v>
      </c>
      <c r="M74">
        <f t="shared" si="23"/>
        <v>65</v>
      </c>
      <c r="N74">
        <f t="shared" si="24"/>
        <v>75</v>
      </c>
      <c r="P74" s="8" t="b">
        <f>'RTF 1'!Q47&gt;'RTF 1'!S47</f>
        <v>1</v>
      </c>
      <c r="Q74" s="8" t="b">
        <f>AND('RTF 1'!S47&gt;='RTF 1'!Q47,'RTF 1'!Q47&gt;'RTF 1'!T47)</f>
        <v>0</v>
      </c>
      <c r="R74" s="35" t="b">
        <f>'RTF 1'!Q47&lt;='RTF 1'!T47</f>
        <v>0</v>
      </c>
      <c r="S74" s="8" t="b">
        <f>'RTF 1'!Q47&gt;'RTF 1'!U47</f>
        <v>1</v>
      </c>
      <c r="T74" s="8" t="b">
        <f>AND('RTF 1'!U47&gt;='RTF 1'!Q47,'RTF 1'!Q47&gt;'RTF 1'!V47)</f>
        <v>0</v>
      </c>
      <c r="U74" s="35" t="b">
        <f>'RTF 1'!Q47&lt;='RTF 1'!V47</f>
        <v>0</v>
      </c>
      <c r="V74" s="42"/>
      <c r="W74" s="8" t="b">
        <f>'RTF 1'!Q47&gt;('RTF 1'!P47+'RTF 1'!O47)</f>
        <v>1</v>
      </c>
      <c r="X74" s="8" t="b">
        <f>'RTF 1'!O47&gt;('RTF 1'!P47+'RTF 1'!Q47)</f>
        <v>0</v>
      </c>
      <c r="Y74" s="8" t="b">
        <f>AND(('RTF 1'!O47+10)&gt;='RTF 1'!P47,('RTF 1'!O47-10)&lt;='RTF 1'!P47,('RTF 1'!P47+10)&gt;='RTF 1'!Q47,('RTF 1'!P47-10)&lt;='RTF 1'!Q47,('RTF 1'!O47+10)&gt;='RTF 1'!Q47,('RTF 1'!O47-10)&lt;='RTF 1'!Q47)</f>
        <v>0</v>
      </c>
      <c r="Z74" s="8" t="b">
        <f>AND(('RTF 1'!O47+10)&gt;='RTF 1'!P47,('RTF 1'!O47-10)&lt;='RTF 1'!P47,OR('RTF 1'!P47&gt;'RTF 1'!Y47,'RTF 1'!O47&gt;'RTF 1'!Y47))</f>
        <v>0</v>
      </c>
      <c r="AA74" s="11" t="b">
        <f>AND(('RTF 1'!Q47+10)&gt;='RTF 1'!P47,('RTF 1'!Q47-10)&lt;='RTF 1'!P47,OR('RTF 1'!P47&gt;'RTF 1'!Z47,'RTF 1'!Q47&gt;'RTF 1'!Z47))</f>
        <v>0</v>
      </c>
      <c r="AB74" s="35" t="b">
        <f t="shared" si="16"/>
        <v>0</v>
      </c>
      <c r="AC74" s="8" t="b">
        <f>'RTF 1'!Q47&gt;'RTF 1'!P47</f>
        <v>1</v>
      </c>
      <c r="AD74" s="8" t="b">
        <f>AND('RTF 1'!P47&gt;='RTF 1'!Q47,'RTF 1'!Q47&gt;'RTF 1'!AA47)</f>
        <v>0</v>
      </c>
      <c r="AE74" s="8" t="b">
        <f>AND('RTF 1'!AA47&gt;'RTF 1'!Q47,'RTF 1'!Q47&gt;'RTF 1'!AB47)</f>
        <v>0</v>
      </c>
      <c r="AF74" s="8" t="b">
        <f>'RTF 1'!Q47&lt;'RTF 1'!AB47</f>
        <v>0</v>
      </c>
    </row>
    <row r="75" spans="1:32" x14ac:dyDescent="0.25">
      <c r="A75" s="8">
        <v>600</v>
      </c>
      <c r="B75" s="395">
        <f t="shared" si="17"/>
        <v>370.85080189199994</v>
      </c>
      <c r="C75" s="394">
        <f t="shared" si="18"/>
        <v>466.35245778999996</v>
      </c>
      <c r="D75" s="395">
        <f t="shared" si="19"/>
        <v>466.35245778999996</v>
      </c>
      <c r="E75" s="396">
        <f t="shared" si="20"/>
        <v>600.71893749999981</v>
      </c>
      <c r="F75" s="8"/>
      <c r="G75" s="8"/>
      <c r="I75" s="49">
        <f>IF('RTF 1'!$D$9=1,'Lookup Tables'!$J75,IF('RTF 1'!$D$9=2,'Lookup Tables'!$K75,IF('RTF 1'!$D$9=3,'Lookup Tables'!$L75,IF('RTF 1'!$D$9=4,'Lookup Tables'!$M75,'Lookup Tables'!$N75))))</f>
        <v>60</v>
      </c>
      <c r="J75">
        <f t="shared" si="21"/>
        <v>60</v>
      </c>
      <c r="K75">
        <f t="shared" si="22"/>
        <v>60</v>
      </c>
      <c r="L75">
        <f>IF('RTF 1'!$D$9=3,'Lookup Tables'!$V$39,0)</f>
        <v>0</v>
      </c>
      <c r="M75">
        <f t="shared" si="23"/>
        <v>65</v>
      </c>
      <c r="N75">
        <f t="shared" si="24"/>
        <v>75</v>
      </c>
      <c r="P75" s="8" t="b">
        <f>'RTF 1'!Q48&gt;'RTF 1'!S48</f>
        <v>1</v>
      </c>
      <c r="Q75" s="8" t="b">
        <f>AND('RTF 1'!S48&gt;='RTF 1'!Q48,'RTF 1'!Q48&gt;'RTF 1'!T48)</f>
        <v>0</v>
      </c>
      <c r="R75" s="35" t="b">
        <f>'RTF 1'!Q48&lt;='RTF 1'!T48</f>
        <v>0</v>
      </c>
      <c r="S75" s="8" t="b">
        <f>'RTF 1'!Q48&gt;'RTF 1'!U48</f>
        <v>1</v>
      </c>
      <c r="T75" s="8" t="b">
        <f>AND('RTF 1'!U48&gt;='RTF 1'!Q48,'RTF 1'!Q48&gt;'RTF 1'!V48)</f>
        <v>0</v>
      </c>
      <c r="U75" s="35" t="b">
        <f>'RTF 1'!Q48&lt;='RTF 1'!V48</f>
        <v>0</v>
      </c>
      <c r="V75" s="42"/>
      <c r="W75" s="8" t="b">
        <f>'RTF 1'!Q48&gt;('RTF 1'!P48+'RTF 1'!O48)</f>
        <v>1</v>
      </c>
      <c r="X75" s="8" t="b">
        <f>'RTF 1'!O48&gt;('RTF 1'!P48+'RTF 1'!Q48)</f>
        <v>0</v>
      </c>
      <c r="Y75" s="8" t="b">
        <f>AND(('RTF 1'!O48+10)&gt;='RTF 1'!P48,('RTF 1'!O48-10)&lt;='RTF 1'!P48,('RTF 1'!P48+10)&gt;='RTF 1'!Q48,('RTF 1'!P48-10)&lt;='RTF 1'!Q48,('RTF 1'!O48+10)&gt;='RTF 1'!Q48,('RTF 1'!O48-10)&lt;='RTF 1'!Q48)</f>
        <v>0</v>
      </c>
      <c r="Z75" s="8" t="b">
        <f>AND(('RTF 1'!O48+10)&gt;='RTF 1'!P48,('RTF 1'!O48-10)&lt;='RTF 1'!P48,OR('RTF 1'!P48&gt;'RTF 1'!Y48,'RTF 1'!O48&gt;'RTF 1'!Y48))</f>
        <v>0</v>
      </c>
      <c r="AA75" s="11" t="b">
        <f>AND(('RTF 1'!Q48+10)&gt;='RTF 1'!P48,('RTF 1'!Q48-10)&lt;='RTF 1'!P48,OR('RTF 1'!P48&gt;'RTF 1'!Z48,'RTF 1'!Q48&gt;'RTF 1'!Z48))</f>
        <v>0</v>
      </c>
      <c r="AB75" s="35" t="b">
        <f t="shared" si="16"/>
        <v>0</v>
      </c>
      <c r="AC75" s="8" t="b">
        <f>'RTF 1'!Q48&gt;'RTF 1'!P48</f>
        <v>1</v>
      </c>
      <c r="AD75" s="8" t="b">
        <f>AND('RTF 1'!P48&gt;='RTF 1'!Q48,'RTF 1'!Q48&gt;'RTF 1'!AA48)</f>
        <v>0</v>
      </c>
      <c r="AE75" s="8" t="b">
        <f>AND('RTF 1'!AA48&gt;'RTF 1'!Q48,'RTF 1'!Q48&gt;'RTF 1'!AB48)</f>
        <v>0</v>
      </c>
      <c r="AF75" s="8" t="b">
        <f>'RTF 1'!Q48&lt;'RTF 1'!AB48</f>
        <v>0</v>
      </c>
    </row>
    <row r="76" spans="1:32" x14ac:dyDescent="0.25">
      <c r="A76" s="8">
        <v>700</v>
      </c>
      <c r="B76" s="395">
        <f t="shared" si="17"/>
        <v>323.57603553199988</v>
      </c>
      <c r="C76" s="394">
        <f t="shared" si="18"/>
        <v>416.52056270999998</v>
      </c>
      <c r="D76" s="395">
        <f t="shared" si="19"/>
        <v>416.52056270999998</v>
      </c>
      <c r="E76" s="396">
        <f t="shared" si="20"/>
        <v>538.50199589999988</v>
      </c>
      <c r="F76" s="8"/>
      <c r="G76" s="8"/>
      <c r="I76" s="49">
        <f>IF('RTF 1'!$D$9=1,'Lookup Tables'!$J76,IF('RTF 1'!$D$9=2,'Lookup Tables'!$K76,IF('RTF 1'!$D$9=3,'Lookup Tables'!$L76,IF('RTF 1'!$D$9=4,'Lookup Tables'!$M76,'Lookup Tables'!$N76))))</f>
        <v>60</v>
      </c>
      <c r="J76">
        <f t="shared" si="21"/>
        <v>60</v>
      </c>
      <c r="K76">
        <f t="shared" si="22"/>
        <v>60</v>
      </c>
      <c r="L76">
        <f>IF('RTF 1'!$D$9=3,'Lookup Tables'!$V$39,0)</f>
        <v>0</v>
      </c>
      <c r="M76">
        <f t="shared" si="23"/>
        <v>65</v>
      </c>
      <c r="N76">
        <f t="shared" si="24"/>
        <v>75</v>
      </c>
      <c r="P76" s="8" t="b">
        <f>'RTF 1'!Q49&gt;'RTF 1'!S49</f>
        <v>1</v>
      </c>
      <c r="Q76" s="8" t="b">
        <f>AND('RTF 1'!S49&gt;='RTF 1'!Q49,'RTF 1'!Q49&gt;'RTF 1'!T49)</f>
        <v>0</v>
      </c>
      <c r="R76" s="35" t="b">
        <f>'RTF 1'!Q49&lt;='RTF 1'!T49</f>
        <v>0</v>
      </c>
      <c r="S76" s="8" t="b">
        <f>'RTF 1'!Q49&gt;'RTF 1'!U49</f>
        <v>1</v>
      </c>
      <c r="T76" s="8" t="b">
        <f>AND('RTF 1'!U49&gt;='RTF 1'!Q49,'RTF 1'!Q49&gt;'RTF 1'!V49)</f>
        <v>0</v>
      </c>
      <c r="U76" s="35" t="b">
        <f>'RTF 1'!Q49&lt;='RTF 1'!V49</f>
        <v>0</v>
      </c>
      <c r="V76" s="42"/>
      <c r="W76" s="8" t="b">
        <f>'RTF 1'!Q49&gt;('RTF 1'!P49+'RTF 1'!O49)</f>
        <v>1</v>
      </c>
      <c r="X76" s="8" t="b">
        <f>'RTF 1'!O49&gt;('RTF 1'!P49+'RTF 1'!Q49)</f>
        <v>0</v>
      </c>
      <c r="Y76" s="8" t="b">
        <f>AND(('RTF 1'!O49+10)&gt;='RTF 1'!P49,('RTF 1'!O49-10)&lt;='RTF 1'!P49,('RTF 1'!P49+10)&gt;='RTF 1'!Q49,('RTF 1'!P49-10)&lt;='RTF 1'!Q49,('RTF 1'!O49+10)&gt;='RTF 1'!Q49,('RTF 1'!O49-10)&lt;='RTF 1'!Q49)</f>
        <v>0</v>
      </c>
      <c r="Z76" s="8" t="b">
        <f>AND(('RTF 1'!O49+10)&gt;='RTF 1'!P49,('RTF 1'!O49-10)&lt;='RTF 1'!P49,OR('RTF 1'!P49&gt;'RTF 1'!Y49,'RTF 1'!O49&gt;'RTF 1'!Y49))</f>
        <v>0</v>
      </c>
      <c r="AA76" s="11" t="b">
        <f>AND(('RTF 1'!Q49+10)&gt;='RTF 1'!P49,('RTF 1'!Q49-10)&lt;='RTF 1'!P49,OR('RTF 1'!P49&gt;'RTF 1'!Z49,'RTF 1'!Q49&gt;'RTF 1'!Z49))</f>
        <v>0</v>
      </c>
      <c r="AB76" s="35" t="b">
        <f t="shared" si="16"/>
        <v>0</v>
      </c>
      <c r="AC76" s="8" t="b">
        <f>'RTF 1'!Q49&gt;'RTF 1'!P49</f>
        <v>1</v>
      </c>
      <c r="AD76" s="8" t="b">
        <f>AND('RTF 1'!P49&gt;='RTF 1'!Q49,'RTF 1'!Q49&gt;'RTF 1'!AA49)</f>
        <v>0</v>
      </c>
      <c r="AE76" s="8" t="b">
        <f>AND('RTF 1'!AA49&gt;'RTF 1'!Q49,'RTF 1'!Q49&gt;'RTF 1'!AB49)</f>
        <v>0</v>
      </c>
      <c r="AF76" s="8" t="b">
        <f>'RTF 1'!Q49&lt;'RTF 1'!AB49</f>
        <v>0</v>
      </c>
    </row>
    <row r="77" spans="1:32" x14ac:dyDescent="0.25">
      <c r="A77" s="8">
        <v>800</v>
      </c>
      <c r="B77" s="395">
        <f t="shared" si="17"/>
        <v>280.64186917199999</v>
      </c>
      <c r="C77" s="394">
        <f t="shared" si="18"/>
        <v>370.12916362999999</v>
      </c>
      <c r="D77" s="395">
        <f t="shared" si="19"/>
        <v>370.12916362999999</v>
      </c>
      <c r="E77" s="396">
        <f t="shared" si="20"/>
        <v>480.40505229999985</v>
      </c>
      <c r="F77" s="8"/>
      <c r="G77" s="8"/>
      <c r="I77" s="49">
        <f>IF('RTF 1'!$D$9=1,'Lookup Tables'!$J77,IF('RTF 1'!$D$9=2,'Lookup Tables'!$K77,IF('RTF 1'!$D$9=3,'Lookup Tables'!$L77,IF('RTF 1'!$D$9=4,'Lookup Tables'!$M77,'Lookup Tables'!$N77))))</f>
        <v>60</v>
      </c>
      <c r="J77">
        <f t="shared" si="21"/>
        <v>60</v>
      </c>
      <c r="K77">
        <f t="shared" si="22"/>
        <v>60</v>
      </c>
      <c r="L77">
        <f>IF('RTF 1'!$D$9=3,'Lookup Tables'!$V$39,0)</f>
        <v>0</v>
      </c>
      <c r="M77">
        <f t="shared" si="23"/>
        <v>65</v>
      </c>
      <c r="N77">
        <f t="shared" si="24"/>
        <v>75</v>
      </c>
      <c r="P77" s="8" t="b">
        <f>'RTF 1'!Q50&gt;'RTF 1'!S50</f>
        <v>1</v>
      </c>
      <c r="Q77" s="8" t="b">
        <f>AND('RTF 1'!S50&gt;='RTF 1'!Q50,'RTF 1'!Q50&gt;'RTF 1'!T50)</f>
        <v>0</v>
      </c>
      <c r="R77" s="35" t="b">
        <f>'RTF 1'!Q50&lt;='RTF 1'!T50</f>
        <v>0</v>
      </c>
      <c r="S77" s="8" t="b">
        <f>'RTF 1'!Q50&gt;'RTF 1'!U50</f>
        <v>1</v>
      </c>
      <c r="T77" s="8" t="b">
        <f>AND('RTF 1'!U50&gt;='RTF 1'!Q50,'RTF 1'!Q50&gt;'RTF 1'!V50)</f>
        <v>0</v>
      </c>
      <c r="U77" s="35" t="b">
        <f>'RTF 1'!Q50&lt;='RTF 1'!V50</f>
        <v>0</v>
      </c>
      <c r="V77" s="42"/>
      <c r="W77" s="8" t="b">
        <f>'RTF 1'!Q50&gt;('RTF 1'!P50+'RTF 1'!O50)</f>
        <v>1</v>
      </c>
      <c r="X77" s="8" t="b">
        <f>'RTF 1'!O50&gt;('RTF 1'!P50+'RTF 1'!Q50)</f>
        <v>0</v>
      </c>
      <c r="Y77" s="8" t="b">
        <f>AND(('RTF 1'!O50+10)&gt;='RTF 1'!P50,('RTF 1'!O50-10)&lt;='RTF 1'!P50,('RTF 1'!P50+10)&gt;='RTF 1'!Q50,('RTF 1'!P50-10)&lt;='RTF 1'!Q50,('RTF 1'!O50+10)&gt;='RTF 1'!Q50,('RTF 1'!O50-10)&lt;='RTF 1'!Q50)</f>
        <v>0</v>
      </c>
      <c r="Z77" s="8" t="b">
        <f>AND(('RTF 1'!O50+10)&gt;='RTF 1'!P50,('RTF 1'!O50-10)&lt;='RTF 1'!P50,OR('RTF 1'!P50&gt;'RTF 1'!Y50,'RTF 1'!O50&gt;'RTF 1'!Y50))</f>
        <v>0</v>
      </c>
      <c r="AA77" s="11" t="b">
        <f>AND(('RTF 1'!Q50+10)&gt;='RTF 1'!P50,('RTF 1'!Q50-10)&lt;='RTF 1'!P50,OR('RTF 1'!P50&gt;'RTF 1'!Z50,'RTF 1'!Q50&gt;'RTF 1'!Z50))</f>
        <v>0</v>
      </c>
      <c r="AB77" s="35" t="b">
        <f t="shared" si="16"/>
        <v>0</v>
      </c>
      <c r="AC77" s="8" t="b">
        <f>'RTF 1'!Q50&gt;'RTF 1'!P50</f>
        <v>1</v>
      </c>
      <c r="AD77" s="8" t="b">
        <f>AND('RTF 1'!P50&gt;='RTF 1'!Q50,'RTF 1'!Q50&gt;'RTF 1'!AA50)</f>
        <v>0</v>
      </c>
      <c r="AE77" s="8" t="b">
        <f>AND('RTF 1'!AA50&gt;'RTF 1'!Q50,'RTF 1'!Q50&gt;'RTF 1'!AB50)</f>
        <v>0</v>
      </c>
      <c r="AF77" s="8" t="b">
        <f>'RTF 1'!Q50&lt;'RTF 1'!AB50</f>
        <v>0</v>
      </c>
    </row>
    <row r="78" spans="1:32" x14ac:dyDescent="0.25">
      <c r="A78" s="8">
        <v>900</v>
      </c>
      <c r="B78" s="395">
        <f t="shared" si="17"/>
        <v>242.04830281199995</v>
      </c>
      <c r="C78" s="394">
        <f t="shared" si="18"/>
        <v>327.17826055</v>
      </c>
      <c r="D78" s="395">
        <f t="shared" si="19"/>
        <v>327.17826055</v>
      </c>
      <c r="E78" s="396">
        <f t="shared" si="20"/>
        <v>426.42810669999983</v>
      </c>
      <c r="F78" s="8"/>
      <c r="G78" s="8"/>
      <c r="I78" s="49">
        <f>IF('RTF 1'!$D$9=1,'Lookup Tables'!$J78,IF('RTF 1'!$D$9=2,'Lookup Tables'!$K78,IF('RTF 1'!$D$9=3,'Lookup Tables'!$L78,IF('RTF 1'!$D$9=4,'Lookup Tables'!$M78,'Lookup Tables'!$N78))))</f>
        <v>60</v>
      </c>
      <c r="J78">
        <f t="shared" si="21"/>
        <v>60</v>
      </c>
      <c r="K78">
        <f t="shared" si="22"/>
        <v>60</v>
      </c>
      <c r="L78">
        <f>IF('RTF 1'!$D$9=3,'Lookup Tables'!$V$39,0)</f>
        <v>0</v>
      </c>
      <c r="M78">
        <f t="shared" si="23"/>
        <v>65</v>
      </c>
      <c r="N78">
        <f t="shared" si="24"/>
        <v>75</v>
      </c>
      <c r="P78" s="8" t="b">
        <f>'RTF 1'!Q51&gt;'RTF 1'!S51</f>
        <v>1</v>
      </c>
      <c r="Q78" s="8" t="b">
        <f>AND('RTF 1'!S51&gt;='RTF 1'!Q51,'RTF 1'!Q51&gt;'RTF 1'!T51)</f>
        <v>0</v>
      </c>
      <c r="R78" s="35" t="b">
        <f>'RTF 1'!Q51&lt;='RTF 1'!T51</f>
        <v>0</v>
      </c>
      <c r="S78" s="8" t="b">
        <f>'RTF 1'!Q51&gt;'RTF 1'!U51</f>
        <v>1</v>
      </c>
      <c r="T78" s="8" t="b">
        <f>AND('RTF 1'!U51&gt;='RTF 1'!Q51,'RTF 1'!Q51&gt;'RTF 1'!V51)</f>
        <v>0</v>
      </c>
      <c r="U78" s="35" t="b">
        <f>'RTF 1'!Q51&lt;='RTF 1'!V51</f>
        <v>0</v>
      </c>
      <c r="V78" s="42"/>
      <c r="W78" s="8" t="b">
        <f>'RTF 1'!Q51&gt;('RTF 1'!P51+'RTF 1'!O51)</f>
        <v>1</v>
      </c>
      <c r="X78" s="8" t="b">
        <f>'RTF 1'!O51&gt;('RTF 1'!P51+'RTF 1'!Q51)</f>
        <v>0</v>
      </c>
      <c r="Y78" s="8" t="b">
        <f>AND(('RTF 1'!O51+10)&gt;='RTF 1'!P51,('RTF 1'!O51-10)&lt;='RTF 1'!P51,('RTF 1'!P51+10)&gt;='RTF 1'!Q51,('RTF 1'!P51-10)&lt;='RTF 1'!Q51,('RTF 1'!O51+10)&gt;='RTF 1'!Q51,('RTF 1'!O51-10)&lt;='RTF 1'!Q51)</f>
        <v>0</v>
      </c>
      <c r="Z78" s="8" t="b">
        <f>AND(('RTF 1'!O51+10)&gt;='RTF 1'!P51,('RTF 1'!O51-10)&lt;='RTF 1'!P51,OR('RTF 1'!P51&gt;'RTF 1'!Y51,'RTF 1'!O51&gt;'RTF 1'!Y51))</f>
        <v>0</v>
      </c>
      <c r="AA78" s="11" t="b">
        <f>AND(('RTF 1'!Q51+10)&gt;='RTF 1'!P51,('RTF 1'!Q51-10)&lt;='RTF 1'!P51,OR('RTF 1'!P51&gt;'RTF 1'!Z51,'RTF 1'!Q51&gt;'RTF 1'!Z51))</f>
        <v>0</v>
      </c>
      <c r="AB78" s="35" t="b">
        <f t="shared" si="16"/>
        <v>0</v>
      </c>
      <c r="AC78" s="8" t="b">
        <f>'RTF 1'!Q51&gt;'RTF 1'!P51</f>
        <v>1</v>
      </c>
      <c r="AD78" s="8" t="b">
        <f>AND('RTF 1'!P51&gt;='RTF 1'!Q51,'RTF 1'!Q51&gt;'RTF 1'!AA51)</f>
        <v>0</v>
      </c>
      <c r="AE78" s="8" t="b">
        <f>AND('RTF 1'!AA51&gt;'RTF 1'!Q51,'RTF 1'!Q51&gt;'RTF 1'!AB51)</f>
        <v>0</v>
      </c>
      <c r="AF78" s="8" t="b">
        <f>'RTF 1'!Q51&lt;'RTF 1'!AB51</f>
        <v>0</v>
      </c>
    </row>
    <row r="79" spans="1:32" x14ac:dyDescent="0.25">
      <c r="A79" s="8">
        <v>1000</v>
      </c>
      <c r="B79" s="395">
        <f t="shared" si="17"/>
        <v>207.79533645199993</v>
      </c>
      <c r="C79" s="394">
        <f t="shared" si="18"/>
        <v>287.66785346999995</v>
      </c>
      <c r="D79" s="395">
        <f t="shared" si="19"/>
        <v>287.66785346999995</v>
      </c>
      <c r="E79" s="396">
        <f t="shared" si="20"/>
        <v>376.57115909999993</v>
      </c>
      <c r="F79" s="8"/>
      <c r="G79" s="8"/>
      <c r="I79" s="49">
        <f>IF('RTF 1'!$D$9=1,'Lookup Tables'!$J79,IF('RTF 1'!$D$9=2,'Lookup Tables'!$K79,IF('RTF 1'!$D$9=3,'Lookup Tables'!$L79,IF('RTF 1'!$D$9=4,'Lookup Tables'!$M79,'Lookup Tables'!$N79))))</f>
        <v>60</v>
      </c>
      <c r="J79">
        <f t="shared" si="21"/>
        <v>60</v>
      </c>
      <c r="K79">
        <f t="shared" si="22"/>
        <v>60</v>
      </c>
      <c r="L79">
        <f>IF('RTF 1'!$D$9=3,'Lookup Tables'!$V$39,0)</f>
        <v>0</v>
      </c>
      <c r="M79">
        <f t="shared" si="23"/>
        <v>65</v>
      </c>
      <c r="N79">
        <f t="shared" si="24"/>
        <v>75</v>
      </c>
      <c r="P79" s="8" t="b">
        <f>'RTF 1'!Q52&gt;'RTF 1'!S52</f>
        <v>1</v>
      </c>
      <c r="Q79" s="8" t="b">
        <f>AND('RTF 1'!S52&gt;='RTF 1'!Q52,'RTF 1'!Q52&gt;'RTF 1'!T52)</f>
        <v>0</v>
      </c>
      <c r="R79" s="35" t="b">
        <f>'RTF 1'!Q52&lt;='RTF 1'!T52</f>
        <v>0</v>
      </c>
      <c r="S79" s="8" t="b">
        <f>'RTF 1'!Q52&gt;'RTF 1'!U52</f>
        <v>1</v>
      </c>
      <c r="T79" s="8" t="b">
        <f>AND('RTF 1'!U52&gt;='RTF 1'!Q52,'RTF 1'!Q52&gt;'RTF 1'!V52)</f>
        <v>0</v>
      </c>
      <c r="U79" s="35" t="b">
        <f>'RTF 1'!Q52&lt;='RTF 1'!V52</f>
        <v>0</v>
      </c>
      <c r="V79" s="42"/>
      <c r="W79" s="8" t="b">
        <f>'RTF 1'!Q52&gt;('RTF 1'!P52+'RTF 1'!O52)</f>
        <v>1</v>
      </c>
      <c r="X79" s="8" t="b">
        <f>'RTF 1'!O52&gt;('RTF 1'!P52+'RTF 1'!Q52)</f>
        <v>0</v>
      </c>
      <c r="Y79" s="8" t="b">
        <f>AND(('RTF 1'!O52+10)&gt;='RTF 1'!P52,('RTF 1'!O52-10)&lt;='RTF 1'!P52,('RTF 1'!P52+10)&gt;='RTF 1'!Q52,('RTF 1'!P52-10)&lt;='RTF 1'!Q52,('RTF 1'!O52+10)&gt;='RTF 1'!Q52,('RTF 1'!O52-10)&lt;='RTF 1'!Q52)</f>
        <v>0</v>
      </c>
      <c r="Z79" s="8" t="b">
        <f>AND(('RTF 1'!O52+10)&gt;='RTF 1'!P52,('RTF 1'!O52-10)&lt;='RTF 1'!P52,OR('RTF 1'!P52&gt;'RTF 1'!Y52,'RTF 1'!O52&gt;'RTF 1'!Y52))</f>
        <v>0</v>
      </c>
      <c r="AA79" s="11" t="b">
        <f>AND(('RTF 1'!Q52+10)&gt;='RTF 1'!P52,('RTF 1'!Q52-10)&lt;='RTF 1'!P52,OR('RTF 1'!P52&gt;'RTF 1'!Z52,'RTF 1'!Q52&gt;'RTF 1'!Z52))</f>
        <v>0</v>
      </c>
      <c r="AB79" s="35" t="b">
        <f t="shared" si="16"/>
        <v>0</v>
      </c>
      <c r="AC79" s="8" t="b">
        <f>'RTF 1'!Q52&gt;'RTF 1'!P52</f>
        <v>1</v>
      </c>
      <c r="AD79" s="8" t="b">
        <f>AND('RTF 1'!P52&gt;='RTF 1'!Q52,'RTF 1'!Q52&gt;'RTF 1'!AA52)</f>
        <v>0</v>
      </c>
      <c r="AE79" s="8" t="b">
        <f>AND('RTF 1'!AA52&gt;'RTF 1'!Q52,'RTF 1'!Q52&gt;'RTF 1'!AB52)</f>
        <v>0</v>
      </c>
      <c r="AF79" s="8" t="b">
        <f>'RTF 1'!Q52&lt;'RTF 1'!AB52</f>
        <v>0</v>
      </c>
    </row>
    <row r="80" spans="1:32" x14ac:dyDescent="0.25">
      <c r="A80" s="8">
        <v>1100</v>
      </c>
      <c r="B80" s="395">
        <f t="shared" si="17"/>
        <v>177.88297009199988</v>
      </c>
      <c r="C80" s="394">
        <f t="shared" si="18"/>
        <v>251.59794239000001</v>
      </c>
      <c r="D80" s="395">
        <f t="shared" si="19"/>
        <v>251.59794239000001</v>
      </c>
      <c r="E80" s="396">
        <f t="shared" si="20"/>
        <v>330.83420949999987</v>
      </c>
      <c r="F80" s="8"/>
      <c r="G80" s="8"/>
      <c r="I80" s="49">
        <f>IF('RTF 1'!$D$9=1,'Lookup Tables'!$J80,IF('RTF 1'!$D$9=2,'Lookup Tables'!$K80,IF('RTF 1'!$D$9=3,'Lookup Tables'!$L80,IF('RTF 1'!$D$9=4,'Lookup Tables'!$M80,'Lookup Tables'!$N80))))</f>
        <v>60</v>
      </c>
      <c r="J80">
        <f t="shared" si="21"/>
        <v>60</v>
      </c>
      <c r="K80">
        <f t="shared" si="22"/>
        <v>60</v>
      </c>
      <c r="L80">
        <f>IF('RTF 1'!$D$9=3,'Lookup Tables'!$V$39,0)</f>
        <v>0</v>
      </c>
      <c r="M80">
        <f t="shared" si="23"/>
        <v>65</v>
      </c>
      <c r="N80">
        <f t="shared" si="24"/>
        <v>75</v>
      </c>
      <c r="P80" s="8" t="b">
        <f>'RTF 1'!Q53&gt;'RTF 1'!S53</f>
        <v>1</v>
      </c>
      <c r="Q80" s="8" t="b">
        <f>AND('RTF 1'!S53&gt;='RTF 1'!Q53,'RTF 1'!Q53&gt;'RTF 1'!T53)</f>
        <v>0</v>
      </c>
      <c r="R80" s="35" t="b">
        <f>'RTF 1'!Q53&lt;='RTF 1'!T53</f>
        <v>0</v>
      </c>
      <c r="S80" s="8" t="b">
        <f>'RTF 1'!Q53&gt;'RTF 1'!U53</f>
        <v>1</v>
      </c>
      <c r="T80" s="8" t="b">
        <f>AND('RTF 1'!U53&gt;='RTF 1'!Q53,'RTF 1'!Q53&gt;'RTF 1'!V53)</f>
        <v>0</v>
      </c>
      <c r="U80" s="35" t="b">
        <f>'RTF 1'!Q53&lt;='RTF 1'!V53</f>
        <v>0</v>
      </c>
      <c r="V80" s="42"/>
      <c r="W80" s="8" t="b">
        <f>'RTF 1'!Q53&gt;('RTF 1'!P53+'RTF 1'!O53)</f>
        <v>1</v>
      </c>
      <c r="X80" s="8" t="b">
        <f>'RTF 1'!O53&gt;('RTF 1'!P53+'RTF 1'!Q53)</f>
        <v>0</v>
      </c>
      <c r="Y80" s="8" t="b">
        <f>AND(('RTF 1'!O53+10)&gt;='RTF 1'!P53,('RTF 1'!O53-10)&lt;='RTF 1'!P53,('RTF 1'!P53+10)&gt;='RTF 1'!Q53,('RTF 1'!P53-10)&lt;='RTF 1'!Q53,('RTF 1'!O53+10)&gt;='RTF 1'!Q53,('RTF 1'!O53-10)&lt;='RTF 1'!Q53)</f>
        <v>0</v>
      </c>
      <c r="Z80" s="8" t="b">
        <f>AND(('RTF 1'!O53+10)&gt;='RTF 1'!P53,('RTF 1'!O53-10)&lt;='RTF 1'!P53,OR('RTF 1'!P53&gt;'RTF 1'!Y53,'RTF 1'!O53&gt;'RTF 1'!Y53))</f>
        <v>0</v>
      </c>
      <c r="AA80" s="11" t="b">
        <f>AND(('RTF 1'!Q53+10)&gt;='RTF 1'!P53,('RTF 1'!Q53-10)&lt;='RTF 1'!P53,OR('RTF 1'!P53&gt;'RTF 1'!Z53,'RTF 1'!Q53&gt;'RTF 1'!Z53))</f>
        <v>0</v>
      </c>
      <c r="AB80" s="35" t="b">
        <f t="shared" si="16"/>
        <v>0</v>
      </c>
      <c r="AC80" s="8" t="b">
        <f>'RTF 1'!Q53&gt;'RTF 1'!P53</f>
        <v>1</v>
      </c>
      <c r="AD80" s="8" t="b">
        <f>AND('RTF 1'!P53&gt;='RTF 1'!Q53,'RTF 1'!Q53&gt;'RTF 1'!AA53)</f>
        <v>0</v>
      </c>
      <c r="AE80" s="8" t="b">
        <f>AND('RTF 1'!AA53&gt;'RTF 1'!Q53,'RTF 1'!Q53&gt;'RTF 1'!AB53)</f>
        <v>0</v>
      </c>
      <c r="AF80" s="8" t="b">
        <f>'RTF 1'!Q53&lt;'RTF 1'!AB53</f>
        <v>0</v>
      </c>
    </row>
    <row r="81" spans="1:36" x14ac:dyDescent="0.25">
      <c r="A81" s="8">
        <v>1200</v>
      </c>
      <c r="B81" s="395">
        <f t="shared" si="17"/>
        <v>152.31120373199997</v>
      </c>
      <c r="C81" s="394">
        <f t="shared" si="18"/>
        <v>218.96852730999996</v>
      </c>
      <c r="D81" s="395">
        <f t="shared" si="19"/>
        <v>218.96852730999996</v>
      </c>
      <c r="E81" s="396">
        <f t="shared" si="20"/>
        <v>289.21725789999982</v>
      </c>
      <c r="F81" s="8"/>
      <c r="G81" s="8"/>
      <c r="I81" s="49">
        <f>IF('RTF 1'!$D$9=1,'Lookup Tables'!$J81,IF('RTF 1'!$D$9=2,'Lookup Tables'!$K81,IF('RTF 1'!$D$9=3,'Lookup Tables'!$L81,IF('RTF 1'!$D$9=4,'Lookup Tables'!$M81,'Lookup Tables'!$N81))))</f>
        <v>60</v>
      </c>
      <c r="J81">
        <f t="shared" si="21"/>
        <v>60</v>
      </c>
      <c r="K81">
        <f t="shared" si="22"/>
        <v>60</v>
      </c>
      <c r="L81">
        <f>IF('RTF 1'!$D$9=3,'Lookup Tables'!$V$39,0)</f>
        <v>0</v>
      </c>
      <c r="M81">
        <f t="shared" si="23"/>
        <v>65</v>
      </c>
      <c r="N81">
        <f t="shared" si="24"/>
        <v>75</v>
      </c>
      <c r="P81" s="8" t="b">
        <f>'RTF 1'!Q54&gt;'RTF 1'!S54</f>
        <v>1</v>
      </c>
      <c r="Q81" s="8" t="b">
        <f>AND('RTF 1'!S54&gt;='RTF 1'!Q54,'RTF 1'!Q54&gt;'RTF 1'!T54)</f>
        <v>0</v>
      </c>
      <c r="R81" s="35" t="b">
        <f>'RTF 1'!Q54&lt;='RTF 1'!T54</f>
        <v>0</v>
      </c>
      <c r="S81" s="8" t="b">
        <f>'RTF 1'!Q54&gt;'RTF 1'!U54</f>
        <v>1</v>
      </c>
      <c r="T81" s="8" t="b">
        <f>AND('RTF 1'!U54&gt;='RTF 1'!Q54,'RTF 1'!Q54&gt;'RTF 1'!V54)</f>
        <v>0</v>
      </c>
      <c r="U81" s="35" t="b">
        <f>'RTF 1'!Q54&lt;='RTF 1'!V54</f>
        <v>0</v>
      </c>
      <c r="V81" s="42"/>
      <c r="W81" s="8" t="b">
        <f>'RTF 1'!Q54&gt;('RTF 1'!P54+'RTF 1'!O54)</f>
        <v>1</v>
      </c>
      <c r="X81" s="8" t="b">
        <f>'RTF 1'!O54&gt;('RTF 1'!P54+'RTF 1'!Q54)</f>
        <v>0</v>
      </c>
      <c r="Y81" s="8" t="b">
        <f>AND(('RTF 1'!O54+10)&gt;='RTF 1'!P54,('RTF 1'!O54-10)&lt;='RTF 1'!P54,('RTF 1'!P54+10)&gt;='RTF 1'!Q54,('RTF 1'!P54-10)&lt;='RTF 1'!Q54,('RTF 1'!O54+10)&gt;='RTF 1'!Q54,('RTF 1'!O54-10)&lt;='RTF 1'!Q54)</f>
        <v>0</v>
      </c>
      <c r="Z81" s="8" t="b">
        <f>AND(('RTF 1'!O54+10)&gt;='RTF 1'!P54,('RTF 1'!O54-10)&lt;='RTF 1'!P54,OR('RTF 1'!P54&gt;'RTF 1'!Y54,'RTF 1'!O54&gt;'RTF 1'!Y54))</f>
        <v>0</v>
      </c>
      <c r="AA81" s="11" t="b">
        <f>AND(('RTF 1'!Q54+10)&gt;='RTF 1'!P54,('RTF 1'!Q54-10)&lt;='RTF 1'!P54,OR('RTF 1'!P54&gt;'RTF 1'!Z54,'RTF 1'!Q54&gt;'RTF 1'!Z54))</f>
        <v>0</v>
      </c>
      <c r="AB81" s="35" t="b">
        <f t="shared" si="16"/>
        <v>0</v>
      </c>
      <c r="AC81" s="8" t="b">
        <f>'RTF 1'!Q54&gt;'RTF 1'!P54</f>
        <v>1</v>
      </c>
      <c r="AD81" s="8" t="b">
        <f>AND('RTF 1'!P54&gt;='RTF 1'!Q54,'RTF 1'!Q54&gt;'RTF 1'!AA54)</f>
        <v>0</v>
      </c>
      <c r="AE81" s="8" t="b">
        <f>AND('RTF 1'!AA54&gt;'RTF 1'!Q54,'RTF 1'!Q54&gt;'RTF 1'!AB54)</f>
        <v>0</v>
      </c>
      <c r="AF81" s="8" t="b">
        <f>'RTF 1'!Q54&lt;'RTF 1'!AB54</f>
        <v>0</v>
      </c>
    </row>
    <row r="82" spans="1:36" x14ac:dyDescent="0.25">
      <c r="A82" s="8">
        <v>1300</v>
      </c>
      <c r="B82" s="395">
        <f t="shared" si="17"/>
        <v>131.08003737199999</v>
      </c>
      <c r="C82" s="394">
        <f t="shared" si="18"/>
        <v>189.77960822999995</v>
      </c>
      <c r="D82" s="395">
        <f t="shared" si="19"/>
        <v>189.77960822999995</v>
      </c>
      <c r="E82" s="396">
        <f t="shared" si="20"/>
        <v>251.72030430000001</v>
      </c>
      <c r="F82" s="8"/>
      <c r="G82" s="8"/>
      <c r="I82" s="49">
        <f>IF('RTF 1'!$D$9=1,'Lookup Tables'!$J82,IF('RTF 1'!$D$9=2,'Lookup Tables'!$K82,IF('RTF 1'!$D$9=3,'Lookup Tables'!$L82,IF('RTF 1'!$D$9=4,'Lookup Tables'!$M82,'Lookup Tables'!$N82))))</f>
        <v>60</v>
      </c>
      <c r="J82">
        <f t="shared" si="21"/>
        <v>60</v>
      </c>
      <c r="K82">
        <f t="shared" si="22"/>
        <v>60</v>
      </c>
      <c r="L82">
        <f>IF('RTF 1'!$D$9=3,'Lookup Tables'!$V$39,0)</f>
        <v>0</v>
      </c>
      <c r="M82">
        <f t="shared" si="23"/>
        <v>65</v>
      </c>
      <c r="N82">
        <f t="shared" si="24"/>
        <v>75</v>
      </c>
      <c r="P82" s="8" t="b">
        <f>'RTF 1'!Q55&gt;'RTF 1'!S55</f>
        <v>1</v>
      </c>
      <c r="Q82" s="8" t="b">
        <f>AND('RTF 1'!S55&gt;='RTF 1'!Q55,'RTF 1'!Q55&gt;'RTF 1'!T55)</f>
        <v>0</v>
      </c>
      <c r="R82" s="35" t="b">
        <f>'RTF 1'!Q55&lt;='RTF 1'!T55</f>
        <v>0</v>
      </c>
      <c r="S82" s="8" t="b">
        <f>'RTF 1'!Q55&gt;'RTF 1'!U55</f>
        <v>1</v>
      </c>
      <c r="T82" s="8" t="b">
        <f>AND('RTF 1'!U55&gt;='RTF 1'!Q55,'RTF 1'!Q55&gt;'RTF 1'!V55)</f>
        <v>0</v>
      </c>
      <c r="U82" s="35" t="b">
        <f>'RTF 1'!Q55&lt;='RTF 1'!V55</f>
        <v>0</v>
      </c>
      <c r="V82" s="42"/>
      <c r="W82" s="8" t="b">
        <f>'RTF 1'!Q55&gt;('RTF 1'!P55+'RTF 1'!O55)</f>
        <v>1</v>
      </c>
      <c r="X82" s="8" t="b">
        <f>'RTF 1'!O55&gt;('RTF 1'!P55+'RTF 1'!Q55)</f>
        <v>0</v>
      </c>
      <c r="Y82" s="8" t="b">
        <f>AND(('RTF 1'!O55+10)&gt;='RTF 1'!P55,('RTF 1'!O55-10)&lt;='RTF 1'!P55,('RTF 1'!P55+10)&gt;='RTF 1'!Q55,('RTF 1'!P55-10)&lt;='RTF 1'!Q55,('RTF 1'!O55+10)&gt;='RTF 1'!Q55,('RTF 1'!O55-10)&lt;='RTF 1'!Q55)</f>
        <v>0</v>
      </c>
      <c r="Z82" s="8" t="b">
        <f>AND(('RTF 1'!O55+10)&gt;='RTF 1'!P55,('RTF 1'!O55-10)&lt;='RTF 1'!P55,OR('RTF 1'!P55&gt;'RTF 1'!Y55,'RTF 1'!O55&gt;'RTF 1'!Y55))</f>
        <v>0</v>
      </c>
      <c r="AA82" s="11" t="b">
        <f>AND(('RTF 1'!Q55+10)&gt;='RTF 1'!P55,('RTF 1'!Q55-10)&lt;='RTF 1'!P55,OR('RTF 1'!P55&gt;'RTF 1'!Z55,'RTF 1'!Q55&gt;'RTF 1'!Z55))</f>
        <v>0</v>
      </c>
      <c r="AB82" s="35" t="b">
        <f t="shared" si="16"/>
        <v>0</v>
      </c>
      <c r="AC82" s="8" t="b">
        <f>'RTF 1'!Q55&gt;'RTF 1'!P55</f>
        <v>1</v>
      </c>
      <c r="AD82" s="8" t="b">
        <f>AND('RTF 1'!P55&gt;='RTF 1'!Q55,'RTF 1'!Q55&gt;'RTF 1'!AA55)</f>
        <v>0</v>
      </c>
      <c r="AE82" s="8" t="b">
        <f>AND('RTF 1'!AA55&gt;'RTF 1'!Q55,'RTF 1'!Q55&gt;'RTF 1'!AB55)</f>
        <v>0</v>
      </c>
      <c r="AF82" s="8" t="b">
        <f>'RTF 1'!Q55&lt;'RTF 1'!AB55</f>
        <v>0</v>
      </c>
    </row>
    <row r="83" spans="1:36" x14ac:dyDescent="0.25">
      <c r="A83" s="8">
        <v>1400</v>
      </c>
      <c r="B83" s="395">
        <f t="shared" si="17"/>
        <v>114.18947101199984</v>
      </c>
      <c r="C83" s="394">
        <f t="shared" si="18"/>
        <v>164.03118515</v>
      </c>
      <c r="D83" s="395">
        <f t="shared" si="19"/>
        <v>164.03118515</v>
      </c>
      <c r="E83" s="396">
        <f t="shared" si="20"/>
        <v>218.34334869999998</v>
      </c>
      <c r="F83" s="8"/>
      <c r="G83" s="8"/>
      <c r="I83" s="49">
        <f>IF('RTF 1'!$D$9=1,'Lookup Tables'!$J83,IF('RTF 1'!$D$9=2,'Lookup Tables'!$K83,IF('RTF 1'!$D$9=3,'Lookup Tables'!$L83,IF('RTF 1'!$D$9=4,'Lookup Tables'!$M83,'Lookup Tables'!$N83))))</f>
        <v>60</v>
      </c>
      <c r="J83">
        <f t="shared" si="21"/>
        <v>60</v>
      </c>
      <c r="K83">
        <f t="shared" si="22"/>
        <v>60</v>
      </c>
      <c r="L83">
        <f>IF('RTF 1'!$D$9=3,'Lookup Tables'!$V$39,0)</f>
        <v>0</v>
      </c>
      <c r="M83">
        <f t="shared" si="23"/>
        <v>65</v>
      </c>
      <c r="N83">
        <f t="shared" si="24"/>
        <v>75</v>
      </c>
      <c r="P83" s="8" t="b">
        <f>'RTF 1'!Q56&gt;'RTF 1'!S56</f>
        <v>1</v>
      </c>
      <c r="Q83" s="8" t="b">
        <f>AND('RTF 1'!S56&gt;='RTF 1'!Q56,'RTF 1'!Q56&gt;'RTF 1'!T56)</f>
        <v>0</v>
      </c>
      <c r="R83" s="35" t="b">
        <f>'RTF 1'!Q56&lt;='RTF 1'!T56</f>
        <v>0</v>
      </c>
      <c r="S83" s="8" t="b">
        <f>'RTF 1'!Q56&gt;'RTF 1'!U56</f>
        <v>1</v>
      </c>
      <c r="T83" s="8" t="b">
        <f>AND('RTF 1'!U56&gt;='RTF 1'!Q56,'RTF 1'!Q56&gt;'RTF 1'!V56)</f>
        <v>0</v>
      </c>
      <c r="U83" s="35" t="b">
        <f>'RTF 1'!Q56&lt;='RTF 1'!V56</f>
        <v>0</v>
      </c>
      <c r="V83" s="42"/>
      <c r="W83" s="8" t="b">
        <f>'RTF 1'!Q56&gt;('RTF 1'!P56+'RTF 1'!O56)</f>
        <v>1</v>
      </c>
      <c r="X83" s="8" t="b">
        <f>'RTF 1'!O56&gt;('RTF 1'!P56+'RTF 1'!Q56)</f>
        <v>0</v>
      </c>
      <c r="Y83" s="8" t="b">
        <f>AND(('RTF 1'!O56+10)&gt;='RTF 1'!P56,('RTF 1'!O56-10)&lt;='RTF 1'!P56,('RTF 1'!P56+10)&gt;='RTF 1'!Q56,('RTF 1'!P56-10)&lt;='RTF 1'!Q56,('RTF 1'!O56+10)&gt;='RTF 1'!Q56,('RTF 1'!O56-10)&lt;='RTF 1'!Q56)</f>
        <v>0</v>
      </c>
      <c r="Z83" s="8" t="b">
        <f>AND(('RTF 1'!O56+10)&gt;='RTF 1'!P56,('RTF 1'!O56-10)&lt;='RTF 1'!P56,OR('RTF 1'!P56&gt;'RTF 1'!Y56,'RTF 1'!O56&gt;'RTF 1'!Y56))</f>
        <v>0</v>
      </c>
      <c r="AA83" s="11" t="b">
        <f>AND(('RTF 1'!Q56+10)&gt;='RTF 1'!P56,('RTF 1'!Q56-10)&lt;='RTF 1'!P56,OR('RTF 1'!P56&gt;'RTF 1'!Z56,'RTF 1'!Q56&gt;'RTF 1'!Z56))</f>
        <v>0</v>
      </c>
      <c r="AB83" s="35" t="b">
        <f t="shared" si="16"/>
        <v>0</v>
      </c>
      <c r="AC83" s="8" t="b">
        <f>'RTF 1'!Q56&gt;'RTF 1'!P56</f>
        <v>1</v>
      </c>
      <c r="AD83" s="8" t="b">
        <f>AND('RTF 1'!P56&gt;='RTF 1'!Q56,'RTF 1'!Q56&gt;'RTF 1'!AA56)</f>
        <v>0</v>
      </c>
      <c r="AE83" s="8" t="b">
        <f>AND('RTF 1'!AA56&gt;'RTF 1'!Q56,'RTF 1'!Q56&gt;'RTF 1'!AB56)</f>
        <v>0</v>
      </c>
      <c r="AF83" s="8" t="b">
        <f>'RTF 1'!Q56&lt;'RTF 1'!AB56</f>
        <v>0</v>
      </c>
    </row>
    <row r="84" spans="1:36" x14ac:dyDescent="0.25">
      <c r="A84" s="8">
        <v>1461</v>
      </c>
      <c r="B84" s="395">
        <f t="shared" si="17"/>
        <v>106.01767716239982</v>
      </c>
      <c r="C84" s="394">
        <f t="shared" si="18"/>
        <v>150.014102632</v>
      </c>
      <c r="D84" s="8">
        <v>150</v>
      </c>
      <c r="E84" s="396">
        <f t="shared" si="20"/>
        <v>200.0065308019</v>
      </c>
      <c r="F84" s="8"/>
      <c r="G84" s="8"/>
      <c r="I84" s="49">
        <f>IF('RTF 1'!$D$9=1,'Lookup Tables'!$J84,IF('RTF 1'!$D$9=2,'Lookup Tables'!$K84,IF('RTF 1'!$D$9=3,'Lookup Tables'!$L84,IF('RTF 1'!$D$9=4,'Lookup Tables'!$M84,'Lookup Tables'!$N84))))</f>
        <v>60</v>
      </c>
      <c r="J84">
        <f t="shared" si="21"/>
        <v>60</v>
      </c>
      <c r="K84">
        <f t="shared" si="22"/>
        <v>60</v>
      </c>
      <c r="L84">
        <f>IF('RTF 1'!$D$9=3,'Lookup Tables'!$V$39,0)</f>
        <v>0</v>
      </c>
      <c r="M84">
        <f t="shared" si="23"/>
        <v>65</v>
      </c>
      <c r="N84">
        <f t="shared" si="24"/>
        <v>75</v>
      </c>
      <c r="P84" s="8" t="b">
        <f>'RTF 1'!Q57&gt;'RTF 1'!S57</f>
        <v>1</v>
      </c>
      <c r="Q84" s="8" t="b">
        <f>AND('RTF 1'!S57&gt;='RTF 1'!Q57,'RTF 1'!Q57&gt;'RTF 1'!T57)</f>
        <v>0</v>
      </c>
      <c r="R84" s="35" t="b">
        <f>'RTF 1'!Q57&lt;='RTF 1'!T57</f>
        <v>0</v>
      </c>
      <c r="S84" s="8" t="b">
        <f>'RTF 1'!Q57&gt;'RTF 1'!U57</f>
        <v>1</v>
      </c>
      <c r="T84" s="8" t="b">
        <f>AND('RTF 1'!U57&gt;='RTF 1'!Q57,'RTF 1'!Q57&gt;'RTF 1'!V57)</f>
        <v>0</v>
      </c>
      <c r="U84" s="35" t="b">
        <f>'RTF 1'!Q57&lt;='RTF 1'!V57</f>
        <v>0</v>
      </c>
      <c r="V84" s="42"/>
      <c r="W84" s="8" t="b">
        <f>'RTF 1'!Q57&gt;('RTF 1'!P57+'RTF 1'!O57)</f>
        <v>1</v>
      </c>
      <c r="X84" s="8" t="b">
        <f>'RTF 1'!O57&gt;('RTF 1'!P57+'RTF 1'!Q57)</f>
        <v>0</v>
      </c>
      <c r="Y84" s="8" t="b">
        <f>AND(('RTF 1'!O57+10)&gt;='RTF 1'!P57,('RTF 1'!O57-10)&lt;='RTF 1'!P57,('RTF 1'!P57+10)&gt;='RTF 1'!Q57,('RTF 1'!P57-10)&lt;='RTF 1'!Q57,('RTF 1'!O57+10)&gt;='RTF 1'!Q57,('RTF 1'!O57-10)&lt;='RTF 1'!Q57)</f>
        <v>0</v>
      </c>
      <c r="Z84" s="8" t="b">
        <f>AND(('RTF 1'!O57+10)&gt;='RTF 1'!P57,('RTF 1'!O57-10)&lt;='RTF 1'!P57,OR('RTF 1'!P57&gt;'RTF 1'!Y57,'RTF 1'!O57&gt;'RTF 1'!Y57))</f>
        <v>0</v>
      </c>
      <c r="AA84" s="11" t="b">
        <f>AND(('RTF 1'!Q57+10)&gt;='RTF 1'!P57,('RTF 1'!Q57-10)&lt;='RTF 1'!P57,OR('RTF 1'!P57&gt;'RTF 1'!Z57,'RTF 1'!Q57&gt;'RTF 1'!Z57))</f>
        <v>0</v>
      </c>
      <c r="AB84" s="35" t="b">
        <f t="shared" si="16"/>
        <v>0</v>
      </c>
      <c r="AC84" s="8" t="b">
        <f>'RTF 1'!Q57&gt;'RTF 1'!P57</f>
        <v>1</v>
      </c>
      <c r="AD84" s="8" t="b">
        <f>AND('RTF 1'!P57&gt;='RTF 1'!Q57,'RTF 1'!Q57&gt;'RTF 1'!AA57)</f>
        <v>0</v>
      </c>
      <c r="AE84" s="8" t="b">
        <f>AND('RTF 1'!AA57&gt;'RTF 1'!Q57,'RTF 1'!Q57&gt;'RTF 1'!AB57)</f>
        <v>0</v>
      </c>
      <c r="AF84" s="8" t="b">
        <f>'RTF 1'!Q57&lt;'RTF 1'!AB57</f>
        <v>0</v>
      </c>
    </row>
    <row r="85" spans="1:36" x14ac:dyDescent="0.25">
      <c r="A85" s="8">
        <v>1500</v>
      </c>
      <c r="B85" s="395">
        <f t="shared" si="17"/>
        <v>101.63950465200003</v>
      </c>
      <c r="C85" s="394">
        <f t="shared" si="18"/>
        <v>141.72325806999987</v>
      </c>
      <c r="D85" s="8">
        <v>150</v>
      </c>
      <c r="E85" s="396">
        <f t="shared" si="20"/>
        <v>189.08639109999996</v>
      </c>
      <c r="F85" s="8"/>
      <c r="G85" s="8"/>
      <c r="I85" s="49">
        <f>IF('RTF 1'!$D$9=1,'Lookup Tables'!$J85,IF('RTF 1'!$D$9=2,'Lookup Tables'!$K85,IF('RTF 1'!$D$9=3,'Lookup Tables'!$L85,IF('RTF 1'!$D$9=4,'Lookup Tables'!$M85,'Lookup Tables'!$N85))))</f>
        <v>60</v>
      </c>
      <c r="J85">
        <f t="shared" si="21"/>
        <v>60</v>
      </c>
      <c r="K85">
        <f t="shared" si="22"/>
        <v>60</v>
      </c>
      <c r="L85">
        <f>IF('RTF 1'!$D$9=3,'Lookup Tables'!$V$39,0)</f>
        <v>0</v>
      </c>
      <c r="M85">
        <f t="shared" si="23"/>
        <v>65</v>
      </c>
      <c r="N85">
        <f t="shared" si="24"/>
        <v>75</v>
      </c>
      <c r="P85" s="8" t="b">
        <f>'RTF 1'!Q58&gt;'RTF 1'!S58</f>
        <v>1</v>
      </c>
      <c r="Q85" s="8" t="b">
        <f>AND('RTF 1'!S58&gt;='RTF 1'!Q58,'RTF 1'!Q58&gt;'RTF 1'!T58)</f>
        <v>0</v>
      </c>
      <c r="R85" s="35" t="b">
        <f>'RTF 1'!Q58&lt;='RTF 1'!T58</f>
        <v>0</v>
      </c>
      <c r="S85" s="8" t="b">
        <f>'RTF 1'!Q58&gt;'RTF 1'!U58</f>
        <v>1</v>
      </c>
      <c r="T85" s="8" t="b">
        <f>AND('RTF 1'!U58&gt;='RTF 1'!Q58,'RTF 1'!Q58&gt;'RTF 1'!V58)</f>
        <v>0</v>
      </c>
      <c r="U85" s="35" t="b">
        <f>'RTF 1'!Q58&lt;='RTF 1'!V58</f>
        <v>0</v>
      </c>
      <c r="V85" s="42"/>
      <c r="W85" s="8" t="b">
        <f>'RTF 1'!Q58&gt;('RTF 1'!P58+'RTF 1'!O58)</f>
        <v>1</v>
      </c>
      <c r="X85" s="8" t="b">
        <f>'RTF 1'!O58&gt;('RTF 1'!P58+'RTF 1'!Q58)</f>
        <v>0</v>
      </c>
      <c r="Y85" s="8" t="b">
        <f>AND(('RTF 1'!O58+10)&gt;='RTF 1'!P58,('RTF 1'!O58-10)&lt;='RTF 1'!P58,('RTF 1'!P58+10)&gt;='RTF 1'!Q58,('RTF 1'!P58-10)&lt;='RTF 1'!Q58,('RTF 1'!O58+10)&gt;='RTF 1'!Q58,('RTF 1'!O58-10)&lt;='RTF 1'!Q58)</f>
        <v>0</v>
      </c>
      <c r="Z85" s="8" t="b">
        <f>AND(('RTF 1'!O58+10)&gt;='RTF 1'!P58,('RTF 1'!O58-10)&lt;='RTF 1'!P58,OR('RTF 1'!P58&gt;'RTF 1'!Y58,'RTF 1'!O58&gt;'RTF 1'!Y58))</f>
        <v>0</v>
      </c>
      <c r="AA85" s="11" t="b">
        <f>AND(('RTF 1'!Q58+10)&gt;='RTF 1'!P58,('RTF 1'!Q58-10)&lt;='RTF 1'!P58,OR('RTF 1'!P58&gt;'RTF 1'!Z58,'RTF 1'!Q58&gt;'RTF 1'!Z58))</f>
        <v>0</v>
      </c>
      <c r="AB85" s="35" t="b">
        <f t="shared" si="16"/>
        <v>0</v>
      </c>
      <c r="AC85" s="8" t="b">
        <f>'RTF 1'!Q58&gt;'RTF 1'!P58</f>
        <v>1</v>
      </c>
      <c r="AD85" s="8" t="b">
        <f>AND('RTF 1'!P58&gt;='RTF 1'!Q58,'RTF 1'!Q58&gt;'RTF 1'!AA58)</f>
        <v>0</v>
      </c>
      <c r="AE85" s="8" t="b">
        <f>AND('RTF 1'!AA58&gt;'RTF 1'!Q58,'RTF 1'!Q58&gt;'RTF 1'!AB58)</f>
        <v>0</v>
      </c>
      <c r="AF85" s="8" t="b">
        <f>'RTF 1'!Q58&lt;'RTF 1'!AB58</f>
        <v>0</v>
      </c>
    </row>
    <row r="86" spans="1:36" x14ac:dyDescent="0.25">
      <c r="A86" s="8">
        <v>1516</v>
      </c>
      <c r="B86" s="8">
        <v>100</v>
      </c>
      <c r="C86" s="394">
        <f t="shared" si="18"/>
        <v>138.47326776599988</v>
      </c>
      <c r="D86" s="8">
        <v>150</v>
      </c>
      <c r="E86" s="396">
        <f t="shared" si="20"/>
        <v>184.78761369839998</v>
      </c>
      <c r="F86" s="8"/>
      <c r="I86" s="49">
        <f>IF('RTF 1'!$D$9=1,'Lookup Tables'!$J86,IF('RTF 1'!$D$9=2,'Lookup Tables'!$K86,IF('RTF 1'!$D$9=3,'Lookup Tables'!$L86,IF('RTF 1'!$D$9=4,'Lookup Tables'!$M86,'Lookup Tables'!$N86))))</f>
        <v>60</v>
      </c>
      <c r="J86">
        <f t="shared" si="21"/>
        <v>60</v>
      </c>
      <c r="K86">
        <f t="shared" si="22"/>
        <v>60</v>
      </c>
      <c r="L86">
        <f>IF('RTF 1'!$D$9=3,'Lookup Tables'!$V$39,0)</f>
        <v>0</v>
      </c>
      <c r="M86">
        <f t="shared" si="23"/>
        <v>65</v>
      </c>
      <c r="N86">
        <f t="shared" si="24"/>
        <v>75</v>
      </c>
      <c r="P86" s="8" t="b">
        <f>'RTF 1'!Q59&gt;'RTF 1'!S59</f>
        <v>1</v>
      </c>
      <c r="Q86" s="8" t="b">
        <f>AND('RTF 1'!S59&gt;='RTF 1'!Q59,'RTF 1'!Q59&gt;'RTF 1'!T59)</f>
        <v>0</v>
      </c>
      <c r="R86" s="35" t="b">
        <f>'RTF 1'!Q59&lt;='RTF 1'!T59</f>
        <v>0</v>
      </c>
      <c r="S86" s="8" t="b">
        <f>'RTF 1'!Q59&gt;'RTF 1'!U59</f>
        <v>1</v>
      </c>
      <c r="T86" s="8" t="b">
        <f>AND('RTF 1'!U59&gt;='RTF 1'!Q59,'RTF 1'!Q59&gt;'RTF 1'!V59)</f>
        <v>0</v>
      </c>
      <c r="U86" s="35" t="b">
        <f>'RTF 1'!Q59&lt;='RTF 1'!V59</f>
        <v>0</v>
      </c>
      <c r="V86" s="42"/>
      <c r="W86" s="8" t="b">
        <f>'RTF 1'!Q59&gt;('RTF 1'!P59+'RTF 1'!O59)</f>
        <v>1</v>
      </c>
      <c r="X86" s="8" t="b">
        <f>'RTF 1'!O59&gt;('RTF 1'!P59+'RTF 1'!Q59)</f>
        <v>0</v>
      </c>
      <c r="Y86" s="8" t="b">
        <f>AND(('RTF 1'!O59+10)&gt;='RTF 1'!P59,('RTF 1'!O59-10)&lt;='RTF 1'!P59,('RTF 1'!P59+10)&gt;='RTF 1'!Q59,('RTF 1'!P59-10)&lt;='RTF 1'!Q59,('RTF 1'!O59+10)&gt;='RTF 1'!Q59,('RTF 1'!O59-10)&lt;='RTF 1'!Q59)</f>
        <v>0</v>
      </c>
      <c r="Z86" s="8" t="b">
        <f>AND(('RTF 1'!O59+10)&gt;='RTF 1'!P59,('RTF 1'!O59-10)&lt;='RTF 1'!P59,OR('RTF 1'!P59&gt;'RTF 1'!Y59,'RTF 1'!O59&gt;'RTF 1'!Y59))</f>
        <v>0</v>
      </c>
      <c r="AA86" s="11" t="b">
        <f>AND(('RTF 1'!Q59+10)&gt;='RTF 1'!P59,('RTF 1'!Q59-10)&lt;='RTF 1'!P59,OR('RTF 1'!P59&gt;'RTF 1'!Z59,'RTF 1'!Q59&gt;'RTF 1'!Z59))</f>
        <v>0</v>
      </c>
      <c r="AB86" s="35" t="b">
        <f t="shared" si="16"/>
        <v>0</v>
      </c>
      <c r="AC86" s="8" t="b">
        <f>'RTF 1'!Q59&gt;'RTF 1'!P59</f>
        <v>1</v>
      </c>
      <c r="AD86" s="8" t="b">
        <f>AND('RTF 1'!P59&gt;='RTF 1'!Q59,'RTF 1'!Q59&gt;'RTF 1'!AA59)</f>
        <v>0</v>
      </c>
      <c r="AE86" s="8" t="b">
        <f>AND('RTF 1'!AA59&gt;'RTF 1'!Q59,'RTF 1'!Q59&gt;'RTF 1'!AB59)</f>
        <v>0</v>
      </c>
      <c r="AF86" s="8" t="b">
        <f>'RTF 1'!Q59&lt;'RTF 1'!AB59</f>
        <v>0</v>
      </c>
    </row>
    <row r="87" spans="1:36" x14ac:dyDescent="0.25">
      <c r="A87" s="8">
        <v>1600</v>
      </c>
      <c r="B87" s="8">
        <v>100</v>
      </c>
      <c r="C87" s="394">
        <f t="shared" si="18"/>
        <v>122.85582699000003</v>
      </c>
      <c r="D87" s="8">
        <v>150</v>
      </c>
      <c r="E87" s="396">
        <f t="shared" si="20"/>
        <v>163.94943149999983</v>
      </c>
      <c r="F87" s="8"/>
      <c r="I87" s="49">
        <f>IF('RTF 1'!$D$9=1,'Lookup Tables'!$J87,IF('RTF 1'!$D$9=2,'Lookup Tables'!$K87,IF('RTF 1'!$D$9=3,'Lookup Tables'!$L87,IF('RTF 1'!$D$9=4,'Lookup Tables'!$M87,'Lookup Tables'!$N87))))</f>
        <v>60</v>
      </c>
      <c r="J87">
        <f t="shared" si="21"/>
        <v>60</v>
      </c>
      <c r="K87">
        <f t="shared" si="22"/>
        <v>60</v>
      </c>
      <c r="L87">
        <f>IF('RTF 1'!$D$9=3,'Lookup Tables'!$V$39,0)</f>
        <v>0</v>
      </c>
      <c r="M87">
        <f t="shared" si="23"/>
        <v>65</v>
      </c>
      <c r="N87">
        <f t="shared" si="24"/>
        <v>75</v>
      </c>
      <c r="P87" s="8" t="b">
        <f>'RTF 1'!Q60&gt;'RTF 1'!S60</f>
        <v>1</v>
      </c>
      <c r="Q87" s="8" t="b">
        <f>AND('RTF 1'!S60&gt;='RTF 1'!Q60,'RTF 1'!Q60&gt;'RTF 1'!T60)</f>
        <v>0</v>
      </c>
      <c r="R87" s="35" t="b">
        <f>'RTF 1'!Q60&lt;='RTF 1'!T60</f>
        <v>0</v>
      </c>
      <c r="S87" s="8" t="b">
        <f>'RTF 1'!Q60&gt;'RTF 1'!U60</f>
        <v>1</v>
      </c>
      <c r="T87" s="8" t="b">
        <f>AND('RTF 1'!U60&gt;='RTF 1'!Q60,'RTF 1'!Q60&gt;'RTF 1'!V60)</f>
        <v>0</v>
      </c>
      <c r="U87" s="35" t="b">
        <f>'RTF 1'!Q60&lt;='RTF 1'!V60</f>
        <v>0</v>
      </c>
      <c r="V87" s="42"/>
      <c r="W87" s="8" t="b">
        <f>'RTF 1'!Q60&gt;('RTF 1'!P60+'RTF 1'!O60)</f>
        <v>1</v>
      </c>
      <c r="X87" s="8" t="b">
        <f>'RTF 1'!O60&gt;('RTF 1'!P60+'RTF 1'!Q60)</f>
        <v>0</v>
      </c>
      <c r="Y87" s="8" t="b">
        <f>AND(('RTF 1'!O60+10)&gt;='RTF 1'!P60,('RTF 1'!O60-10)&lt;='RTF 1'!P60,('RTF 1'!P60+10)&gt;='RTF 1'!Q60,('RTF 1'!P60-10)&lt;='RTF 1'!Q60,('RTF 1'!O60+10)&gt;='RTF 1'!Q60,('RTF 1'!O60-10)&lt;='RTF 1'!Q60)</f>
        <v>0</v>
      </c>
      <c r="Z87" s="8" t="b">
        <f>AND(('RTF 1'!O60+10)&gt;='RTF 1'!P60,('RTF 1'!O60-10)&lt;='RTF 1'!P60,OR('RTF 1'!P60&gt;'RTF 1'!Y60,'RTF 1'!O60&gt;'RTF 1'!Y60))</f>
        <v>0</v>
      </c>
      <c r="AA87" s="11" t="b">
        <f>AND(('RTF 1'!Q60+10)&gt;='RTF 1'!P60,('RTF 1'!Q60-10)&lt;='RTF 1'!P60,OR('RTF 1'!P60&gt;'RTF 1'!Z60,'RTF 1'!Q60&gt;'RTF 1'!Z60))</f>
        <v>0</v>
      </c>
      <c r="AB87" s="35" t="b">
        <f t="shared" si="16"/>
        <v>0</v>
      </c>
      <c r="AC87" s="8" t="b">
        <f>'RTF 1'!Q60&gt;'RTF 1'!P60</f>
        <v>1</v>
      </c>
      <c r="AD87" s="8" t="b">
        <f>AND('RTF 1'!P60&gt;='RTF 1'!Q60,'RTF 1'!Q60&gt;'RTF 1'!AA60)</f>
        <v>0</v>
      </c>
      <c r="AE87" s="8" t="b">
        <f>AND('RTF 1'!AA60&gt;'RTF 1'!Q60,'RTF 1'!Q60&gt;'RTF 1'!AB60)</f>
        <v>0</v>
      </c>
      <c r="AF87" s="8" t="b">
        <f>'RTF 1'!Q60&lt;'RTF 1'!AB60</f>
        <v>0</v>
      </c>
    </row>
    <row r="88" spans="1:36" x14ac:dyDescent="0.25">
      <c r="A88" s="8">
        <v>1672</v>
      </c>
      <c r="B88" s="8">
        <v>100</v>
      </c>
      <c r="C88" s="394">
        <f t="shared" si="18"/>
        <v>111.40163173560001</v>
      </c>
      <c r="D88" s="8">
        <v>150</v>
      </c>
      <c r="E88" s="8">
        <v>150</v>
      </c>
      <c r="F88" s="8"/>
      <c r="I88" s="49">
        <f>IF('RTF 1'!$D$9=1,'Lookup Tables'!$J88,IF('RTF 1'!$D$9=2,'Lookup Tables'!$K88,IF('RTF 1'!$D$9=3,'Lookup Tables'!$L88,IF('RTF 1'!$D$9=4,'Lookup Tables'!$M88,'Lookup Tables'!$N88))))</f>
        <v>60</v>
      </c>
      <c r="J88">
        <f t="shared" si="21"/>
        <v>60</v>
      </c>
      <c r="K88">
        <f t="shared" si="22"/>
        <v>60</v>
      </c>
      <c r="L88">
        <f>IF('RTF 1'!$D$9=3,'Lookup Tables'!$V$39,0)</f>
        <v>0</v>
      </c>
      <c r="M88">
        <f t="shared" si="23"/>
        <v>65</v>
      </c>
      <c r="N88">
        <f t="shared" si="24"/>
        <v>75</v>
      </c>
      <c r="P88" s="8" t="b">
        <f>'RTF 1'!Q61&gt;'RTF 1'!S61</f>
        <v>1</v>
      </c>
      <c r="Q88" s="8" t="b">
        <f>AND('RTF 1'!S61&gt;='RTF 1'!Q61,'RTF 1'!Q61&gt;'RTF 1'!T61)</f>
        <v>0</v>
      </c>
      <c r="R88" s="35" t="b">
        <f>'RTF 1'!Q61&lt;='RTF 1'!T61</f>
        <v>0</v>
      </c>
      <c r="S88" s="8" t="b">
        <f>'RTF 1'!Q61&gt;'RTF 1'!U61</f>
        <v>1</v>
      </c>
      <c r="T88" s="8" t="b">
        <f>AND('RTF 1'!U61&gt;='RTF 1'!Q61,'RTF 1'!Q61&gt;'RTF 1'!V61)</f>
        <v>0</v>
      </c>
      <c r="U88" s="35" t="b">
        <f>'RTF 1'!Q61&lt;='RTF 1'!V61</f>
        <v>0</v>
      </c>
      <c r="V88" s="42"/>
      <c r="W88" s="8" t="b">
        <f>'RTF 1'!Q61&gt;('RTF 1'!P61+'RTF 1'!O61)</f>
        <v>1</v>
      </c>
      <c r="X88" s="8" t="b">
        <f>'RTF 1'!O61&gt;('RTF 1'!P61+'RTF 1'!Q61)</f>
        <v>0</v>
      </c>
      <c r="Y88" s="8" t="b">
        <f>AND(('RTF 1'!O61+10)&gt;='RTF 1'!P61,('RTF 1'!O61-10)&lt;='RTF 1'!P61,('RTF 1'!P61+10)&gt;='RTF 1'!Q61,('RTF 1'!P61-10)&lt;='RTF 1'!Q61,('RTF 1'!O61+10)&gt;='RTF 1'!Q61,('RTF 1'!O61-10)&lt;='RTF 1'!Q61)</f>
        <v>0</v>
      </c>
      <c r="Z88" s="8" t="b">
        <f>AND(('RTF 1'!O61+10)&gt;='RTF 1'!P61,('RTF 1'!O61-10)&lt;='RTF 1'!P61,OR('RTF 1'!P61&gt;'RTF 1'!Y61,'RTF 1'!O61&gt;'RTF 1'!Y61))</f>
        <v>0</v>
      </c>
      <c r="AA88" s="11" t="b">
        <f>AND(('RTF 1'!Q61+10)&gt;='RTF 1'!P61,('RTF 1'!Q61-10)&lt;='RTF 1'!P61,OR('RTF 1'!P61&gt;'RTF 1'!Z61,'RTF 1'!Q61&gt;'RTF 1'!Z61))</f>
        <v>0</v>
      </c>
      <c r="AB88" s="35" t="b">
        <f t="shared" si="16"/>
        <v>0</v>
      </c>
      <c r="AC88" s="8" t="b">
        <f>'RTF 1'!Q61&gt;'RTF 1'!P61</f>
        <v>1</v>
      </c>
      <c r="AD88" s="8" t="b">
        <f>AND('RTF 1'!P61&gt;='RTF 1'!Q61,'RTF 1'!Q61&gt;'RTF 1'!AA61)</f>
        <v>0</v>
      </c>
      <c r="AE88" s="8" t="b">
        <f>AND('RTF 1'!AA61&gt;'RTF 1'!Q61,'RTF 1'!Q61&gt;'RTF 1'!AB61)</f>
        <v>0</v>
      </c>
      <c r="AF88" s="8" t="b">
        <f>'RTF 1'!Q61&lt;'RTF 1'!AB61</f>
        <v>0</v>
      </c>
    </row>
    <row r="89" spans="1:36" x14ac:dyDescent="0.25">
      <c r="A89" s="8">
        <v>1700</v>
      </c>
      <c r="B89" s="8">
        <v>100</v>
      </c>
      <c r="C89" s="394">
        <f t="shared" si="18"/>
        <v>107.42889191</v>
      </c>
      <c r="D89" s="8">
        <v>150</v>
      </c>
      <c r="E89" s="8">
        <v>150</v>
      </c>
      <c r="I89" s="49">
        <f>IF('RTF 1'!$D$9=1,'Lookup Tables'!$J89,IF('RTF 1'!$D$9=2,'Lookup Tables'!$K89,IF('RTF 1'!$D$9=3,'Lookup Tables'!$L89,IF('RTF 1'!$D$9=4,'Lookup Tables'!$M89,'Lookup Tables'!$N89))))</f>
        <v>60</v>
      </c>
      <c r="J89">
        <f t="shared" si="21"/>
        <v>60</v>
      </c>
      <c r="K89">
        <f t="shared" si="22"/>
        <v>60</v>
      </c>
      <c r="L89">
        <f>IF('RTF 1'!$D$9=3,'Lookup Tables'!$V$39,0)</f>
        <v>0</v>
      </c>
      <c r="M89">
        <f t="shared" si="23"/>
        <v>65</v>
      </c>
      <c r="N89">
        <f t="shared" si="24"/>
        <v>75</v>
      </c>
      <c r="P89" s="8" t="b">
        <f>'RTF 1'!Q62&gt;'RTF 1'!S62</f>
        <v>1</v>
      </c>
      <c r="Q89" s="8" t="b">
        <f>AND('RTF 1'!S62&gt;='RTF 1'!Q62,'RTF 1'!Q62&gt;'RTF 1'!T62)</f>
        <v>0</v>
      </c>
      <c r="R89" s="35" t="b">
        <f>'RTF 1'!Q62&lt;='RTF 1'!T62</f>
        <v>0</v>
      </c>
      <c r="S89" s="8" t="b">
        <f>'RTF 1'!Q62&gt;'RTF 1'!U62</f>
        <v>1</v>
      </c>
      <c r="T89" s="8" t="b">
        <f>AND('RTF 1'!U62&gt;='RTF 1'!Q62,'RTF 1'!Q62&gt;'RTF 1'!V62)</f>
        <v>0</v>
      </c>
      <c r="U89" s="35" t="b">
        <f>'RTF 1'!Q62&lt;='RTF 1'!V62</f>
        <v>0</v>
      </c>
      <c r="V89" s="42"/>
      <c r="W89" s="8" t="b">
        <f>'RTF 1'!Q62&gt;('RTF 1'!P62+'RTF 1'!O62)</f>
        <v>1</v>
      </c>
      <c r="X89" s="8" t="b">
        <f>'RTF 1'!O62&gt;('RTF 1'!P62+'RTF 1'!Q62)</f>
        <v>0</v>
      </c>
      <c r="Y89" s="8" t="b">
        <f>AND(('RTF 1'!O62+10)&gt;='RTF 1'!P62,('RTF 1'!O62-10)&lt;='RTF 1'!P62,('RTF 1'!P62+10)&gt;='RTF 1'!Q62,('RTF 1'!P62-10)&lt;='RTF 1'!Q62,('RTF 1'!O62+10)&gt;='RTF 1'!Q62,('RTF 1'!O62-10)&lt;='RTF 1'!Q62)</f>
        <v>0</v>
      </c>
      <c r="Z89" s="8" t="b">
        <f>AND(('RTF 1'!O62+10)&gt;='RTF 1'!P62,('RTF 1'!O62-10)&lt;='RTF 1'!P62,OR('RTF 1'!P62&gt;'RTF 1'!Y62,'RTF 1'!O62&gt;'RTF 1'!Y62))</f>
        <v>0</v>
      </c>
      <c r="AA89" s="11" t="b">
        <f>AND(('RTF 1'!Q62+10)&gt;='RTF 1'!P62,('RTF 1'!Q62-10)&lt;='RTF 1'!P62,OR('RTF 1'!P62&gt;'RTF 1'!Z62,'RTF 1'!Q62&gt;'RTF 1'!Z62))</f>
        <v>0</v>
      </c>
      <c r="AB89" s="35" t="b">
        <f t="shared" si="16"/>
        <v>0</v>
      </c>
      <c r="AC89" s="8" t="b">
        <f>'RTF 1'!Q62&gt;'RTF 1'!P62</f>
        <v>1</v>
      </c>
      <c r="AD89" s="8" t="b">
        <f>AND('RTF 1'!P62&gt;='RTF 1'!Q62,'RTF 1'!Q62&gt;'RTF 1'!AA62)</f>
        <v>0</v>
      </c>
      <c r="AE89" s="8" t="b">
        <f>AND('RTF 1'!AA62&gt;'RTF 1'!Q62,'RTF 1'!Q62&gt;'RTF 1'!AB62)</f>
        <v>0</v>
      </c>
      <c r="AF89" s="8" t="b">
        <f>'RTF 1'!Q62&lt;'RTF 1'!AB62</f>
        <v>0</v>
      </c>
    </row>
    <row r="90" spans="1:36" x14ac:dyDescent="0.25">
      <c r="A90" s="8">
        <v>1759</v>
      </c>
      <c r="B90" s="8">
        <v>100</v>
      </c>
      <c r="C90" s="8">
        <v>100</v>
      </c>
      <c r="D90" s="8">
        <v>150</v>
      </c>
      <c r="E90" s="8">
        <v>150</v>
      </c>
      <c r="I90" s="49">
        <f>IF('RTF 1'!$D$9=1,'Lookup Tables'!$J90,IF('RTF 1'!$D$9=2,'Lookup Tables'!$K90,IF('RTF 1'!$D$9=3,'Lookup Tables'!$L90,IF('RTF 1'!$D$9=4,'Lookup Tables'!$M90,'Lookup Tables'!$N90))))</f>
        <v>60</v>
      </c>
      <c r="J90">
        <f t="shared" si="21"/>
        <v>60</v>
      </c>
      <c r="K90">
        <f t="shared" si="22"/>
        <v>60</v>
      </c>
      <c r="L90">
        <f>IF('RTF 1'!$D$9=3,'Lookup Tables'!$V$39,0)</f>
        <v>0</v>
      </c>
      <c r="M90">
        <f t="shared" si="23"/>
        <v>65</v>
      </c>
      <c r="N90">
        <f t="shared" si="24"/>
        <v>75</v>
      </c>
      <c r="P90" s="8" t="b">
        <f>'RTF 1'!Q63&gt;'RTF 1'!S63</f>
        <v>1</v>
      </c>
      <c r="Q90" s="8" t="b">
        <f>AND('RTF 1'!S63&gt;='RTF 1'!Q63,'RTF 1'!Q63&gt;'RTF 1'!T63)</f>
        <v>0</v>
      </c>
      <c r="R90" s="35" t="b">
        <f>'RTF 1'!Q63&lt;='RTF 1'!T63</f>
        <v>0</v>
      </c>
      <c r="S90" s="8" t="b">
        <f>'RTF 1'!Q63&gt;'RTF 1'!U63</f>
        <v>1</v>
      </c>
      <c r="T90" s="8" t="b">
        <f>AND('RTF 1'!U63&gt;='RTF 1'!Q63,'RTF 1'!Q63&gt;'RTF 1'!V63)</f>
        <v>0</v>
      </c>
      <c r="U90" s="35" t="b">
        <f>'RTF 1'!Q63&lt;='RTF 1'!V63</f>
        <v>0</v>
      </c>
      <c r="V90" s="42"/>
      <c r="W90" s="8" t="b">
        <f>'RTF 1'!Q63&gt;('RTF 1'!P63+'RTF 1'!O63)</f>
        <v>1</v>
      </c>
      <c r="X90" s="8" t="b">
        <f>'RTF 1'!O63&gt;('RTF 1'!P63+'RTF 1'!Q63)</f>
        <v>0</v>
      </c>
      <c r="Y90" s="8" t="b">
        <f>AND(('RTF 1'!O63+10)&gt;='RTF 1'!P63,('RTF 1'!O63-10)&lt;='RTF 1'!P63,('RTF 1'!P63+10)&gt;='RTF 1'!Q63,('RTF 1'!P63-10)&lt;='RTF 1'!Q63,('RTF 1'!O63+10)&gt;='RTF 1'!Q63,('RTF 1'!O63-10)&lt;='RTF 1'!Q63)</f>
        <v>0</v>
      </c>
      <c r="Z90" s="8" t="b">
        <f>AND(('RTF 1'!O63+10)&gt;='RTF 1'!P63,('RTF 1'!O63-10)&lt;='RTF 1'!P63,OR('RTF 1'!P63&gt;'RTF 1'!Y63,'RTF 1'!O63&gt;'RTF 1'!Y63))</f>
        <v>0</v>
      </c>
      <c r="AA90" s="11" t="b">
        <f>AND(('RTF 1'!Q63+10)&gt;='RTF 1'!P63,('RTF 1'!Q63-10)&lt;='RTF 1'!P63,OR('RTF 1'!P63&gt;'RTF 1'!Z63,'RTF 1'!Q63&gt;'RTF 1'!Z63))</f>
        <v>0</v>
      </c>
      <c r="AB90" s="35" t="b">
        <f t="shared" si="16"/>
        <v>0</v>
      </c>
      <c r="AC90" s="8" t="b">
        <f>'RTF 1'!Q63&gt;'RTF 1'!P63</f>
        <v>1</v>
      </c>
      <c r="AD90" s="8" t="b">
        <f>AND('RTF 1'!P63&gt;='RTF 1'!Q63,'RTF 1'!Q63&gt;'RTF 1'!AA63)</f>
        <v>0</v>
      </c>
      <c r="AE90" s="8" t="b">
        <f>AND('RTF 1'!AA63&gt;'RTF 1'!Q63,'RTF 1'!Q63&gt;'RTF 1'!AB63)</f>
        <v>0</v>
      </c>
      <c r="AF90" s="8" t="b">
        <f>'RTF 1'!Q63&lt;'RTF 1'!AB63</f>
        <v>0</v>
      </c>
    </row>
    <row r="91" spans="1:36" x14ac:dyDescent="0.25">
      <c r="A91" s="8">
        <v>1800</v>
      </c>
      <c r="B91" s="8">
        <v>100</v>
      </c>
      <c r="C91" s="8">
        <v>100</v>
      </c>
      <c r="D91" s="8">
        <v>150</v>
      </c>
      <c r="E91" s="8">
        <v>150</v>
      </c>
      <c r="I91" s="49">
        <f>IF('RTF 1'!$D$9=1,'Lookup Tables'!$J91,IF('RTF 1'!$D$9=2,'Lookup Tables'!$K91,IF('RTF 1'!$D$9=3,'Lookup Tables'!$L91,IF('RTF 1'!$D$9=4,'Lookup Tables'!$M91,'Lookup Tables'!$N91))))</f>
        <v>60</v>
      </c>
      <c r="J91">
        <f t="shared" si="21"/>
        <v>60</v>
      </c>
      <c r="K91">
        <f t="shared" si="22"/>
        <v>60</v>
      </c>
      <c r="L91">
        <f>IF('RTF 1'!$D$9=3,'Lookup Tables'!$V$39,0)</f>
        <v>0</v>
      </c>
      <c r="M91">
        <f t="shared" si="23"/>
        <v>65</v>
      </c>
      <c r="N91">
        <f t="shared" si="24"/>
        <v>75</v>
      </c>
      <c r="P91" s="8" t="b">
        <f>'RTF 1'!Q64&gt;'RTF 1'!S64</f>
        <v>1</v>
      </c>
      <c r="Q91" s="8" t="b">
        <f>AND('RTF 1'!S64&gt;='RTF 1'!Q64,'RTF 1'!Q64&gt;'RTF 1'!T64)</f>
        <v>0</v>
      </c>
      <c r="R91" s="35" t="b">
        <f>'RTF 1'!Q64&lt;='RTF 1'!T64</f>
        <v>0</v>
      </c>
      <c r="S91" s="8" t="b">
        <f>'RTF 1'!Q64&gt;'RTF 1'!U64</f>
        <v>1</v>
      </c>
      <c r="T91" s="8" t="b">
        <f>AND('RTF 1'!U64&gt;='RTF 1'!Q64,'RTF 1'!Q64&gt;'RTF 1'!V64)</f>
        <v>0</v>
      </c>
      <c r="U91" s="35" t="b">
        <f>'RTF 1'!Q64&lt;='RTF 1'!V64</f>
        <v>0</v>
      </c>
      <c r="V91" s="42"/>
      <c r="W91" s="8" t="b">
        <f>'RTF 1'!Q64&gt;('RTF 1'!P64+'RTF 1'!O64)</f>
        <v>1</v>
      </c>
      <c r="X91" s="8" t="b">
        <f>'RTF 1'!O64&gt;('RTF 1'!P64+'RTF 1'!Q64)</f>
        <v>0</v>
      </c>
      <c r="Y91" s="8" t="b">
        <f>AND(('RTF 1'!O64+10)&gt;='RTF 1'!P64,('RTF 1'!O64-10)&lt;='RTF 1'!P64,('RTF 1'!P64+10)&gt;='RTF 1'!Q64,('RTF 1'!P64-10)&lt;='RTF 1'!Q64,('RTF 1'!O64+10)&gt;='RTF 1'!Q64,('RTF 1'!O64-10)&lt;='RTF 1'!Q64)</f>
        <v>0</v>
      </c>
      <c r="Z91" s="8" t="b">
        <f>AND(('RTF 1'!O64+10)&gt;='RTF 1'!P64,('RTF 1'!O64-10)&lt;='RTF 1'!P64,OR('RTF 1'!P64&gt;'RTF 1'!Y64,'RTF 1'!O64&gt;'RTF 1'!Y64))</f>
        <v>0</v>
      </c>
      <c r="AA91" s="11" t="b">
        <f>AND(('RTF 1'!Q64+10)&gt;='RTF 1'!P64,('RTF 1'!Q64-10)&lt;='RTF 1'!P64,OR('RTF 1'!P64&gt;'RTF 1'!Z64,'RTF 1'!Q64&gt;'RTF 1'!Z64))</f>
        <v>0</v>
      </c>
      <c r="AB91" s="35" t="b">
        <f t="shared" si="16"/>
        <v>0</v>
      </c>
      <c r="AC91" s="8" t="b">
        <f>'RTF 1'!Q64&gt;'RTF 1'!P64</f>
        <v>1</v>
      </c>
      <c r="AD91" s="8" t="b">
        <f>AND('RTF 1'!P64&gt;='RTF 1'!Q64,'RTF 1'!Q64&gt;'RTF 1'!AA64)</f>
        <v>0</v>
      </c>
      <c r="AE91" s="8" t="b">
        <f>AND('RTF 1'!AA64&gt;'RTF 1'!Q64,'RTF 1'!Q64&gt;'RTF 1'!AB64)</f>
        <v>0</v>
      </c>
      <c r="AF91" s="8" t="b">
        <f>'RTF 1'!Q64&lt;'RTF 1'!AB64</f>
        <v>0</v>
      </c>
    </row>
    <row r="92" spans="1:36" x14ac:dyDescent="0.25">
      <c r="A92" s="8">
        <v>1900</v>
      </c>
      <c r="B92" s="8">
        <v>100</v>
      </c>
      <c r="C92" s="8">
        <v>100</v>
      </c>
      <c r="D92" s="8">
        <v>150</v>
      </c>
      <c r="E92" s="8">
        <v>150</v>
      </c>
      <c r="I92" s="49">
        <f>IF('RTF 1'!$D$9=1,'Lookup Tables'!$J92,IF('RTF 1'!$D$9=2,'Lookup Tables'!$K92,IF('RTF 1'!$D$9=3,'Lookup Tables'!$L92,IF('RTF 1'!$D$9=4,'Lookup Tables'!$M92,'Lookup Tables'!$N92))))</f>
        <v>60</v>
      </c>
      <c r="J92">
        <f t="shared" si="21"/>
        <v>60</v>
      </c>
      <c r="K92">
        <f t="shared" si="22"/>
        <v>60</v>
      </c>
      <c r="L92">
        <f>IF('RTF 1'!$D$9=3,'Lookup Tables'!$V$39,0)</f>
        <v>0</v>
      </c>
      <c r="M92">
        <f t="shared" si="23"/>
        <v>65</v>
      </c>
      <c r="N92">
        <f t="shared" si="24"/>
        <v>75</v>
      </c>
      <c r="P92" s="8" t="b">
        <f>'RTF 1'!Q65&gt;'RTF 1'!S65</f>
        <v>1</v>
      </c>
      <c r="Q92" s="8" t="b">
        <f>AND('RTF 1'!S65&gt;='RTF 1'!Q65,'RTF 1'!Q65&gt;'RTF 1'!T65)</f>
        <v>0</v>
      </c>
      <c r="R92" s="35" t="b">
        <f>'RTF 1'!Q65&lt;='RTF 1'!T65</f>
        <v>0</v>
      </c>
      <c r="S92" s="8" t="b">
        <f>'RTF 1'!Q65&gt;'RTF 1'!U65</f>
        <v>1</v>
      </c>
      <c r="T92" s="8" t="b">
        <f>AND('RTF 1'!U65&gt;='RTF 1'!Q65,'RTF 1'!Q65&gt;'RTF 1'!V65)</f>
        <v>0</v>
      </c>
      <c r="U92" s="35" t="b">
        <f>'RTF 1'!Q65&lt;='RTF 1'!V65</f>
        <v>0</v>
      </c>
      <c r="V92" s="42"/>
      <c r="W92" s="8" t="b">
        <f>'RTF 1'!Q65&gt;('RTF 1'!P65+'RTF 1'!O65)</f>
        <v>1</v>
      </c>
      <c r="X92" s="8" t="b">
        <f>'RTF 1'!O65&gt;('RTF 1'!P65+'RTF 1'!Q65)</f>
        <v>0</v>
      </c>
      <c r="Y92" s="8" t="b">
        <f>AND(('RTF 1'!O65+10)&gt;='RTF 1'!P65,('RTF 1'!O65-10)&lt;='RTF 1'!P65,('RTF 1'!P65+10)&gt;='RTF 1'!Q65,('RTF 1'!P65-10)&lt;='RTF 1'!Q65,('RTF 1'!O65+10)&gt;='RTF 1'!Q65,('RTF 1'!O65-10)&lt;='RTF 1'!Q65)</f>
        <v>0</v>
      </c>
      <c r="Z92" s="8" t="b">
        <f>AND(('RTF 1'!O65+10)&gt;='RTF 1'!P65,('RTF 1'!O65-10)&lt;='RTF 1'!P65,OR('RTF 1'!P65&gt;'RTF 1'!Y65,'RTF 1'!O65&gt;'RTF 1'!Y65))</f>
        <v>0</v>
      </c>
      <c r="AA92" s="11" t="b">
        <f>AND(('RTF 1'!Q65+10)&gt;='RTF 1'!P65,('RTF 1'!Q65-10)&lt;='RTF 1'!P65,OR('RTF 1'!P65&gt;'RTF 1'!Z65,'RTF 1'!Q65&gt;'RTF 1'!Z65))</f>
        <v>0</v>
      </c>
      <c r="AB92" s="35" t="b">
        <f t="shared" si="16"/>
        <v>0</v>
      </c>
      <c r="AC92" s="8" t="b">
        <f>'RTF 1'!Q65&gt;'RTF 1'!P65</f>
        <v>1</v>
      </c>
      <c r="AD92" s="8" t="b">
        <f>AND('RTF 1'!P65&gt;='RTF 1'!Q65,'RTF 1'!Q65&gt;'RTF 1'!AA65)</f>
        <v>0</v>
      </c>
      <c r="AE92" s="8" t="b">
        <f>AND('RTF 1'!AA65&gt;'RTF 1'!Q65,'RTF 1'!Q65&gt;'RTF 1'!AB65)</f>
        <v>0</v>
      </c>
      <c r="AF92" s="8" t="b">
        <f>'RTF 1'!Q65&lt;'RTF 1'!AB65</f>
        <v>0</v>
      </c>
    </row>
    <row r="93" spans="1:36" x14ac:dyDescent="0.25">
      <c r="A93" s="8">
        <v>2000</v>
      </c>
      <c r="B93" s="8">
        <v>100</v>
      </c>
      <c r="C93" s="8">
        <v>100</v>
      </c>
      <c r="D93" s="8">
        <v>150</v>
      </c>
      <c r="E93" s="8">
        <v>150</v>
      </c>
      <c r="I93" s="49">
        <f>IF('RTF 1'!$D$9=1,'Lookup Tables'!$J93,IF('RTF 1'!$D$9=2,'Lookup Tables'!$K93,IF('RTF 1'!$D$9=3,'Lookup Tables'!$L93,IF('RTF 1'!$D$9=4,'Lookup Tables'!$M93,'Lookup Tables'!$N93))))</f>
        <v>60</v>
      </c>
      <c r="J93">
        <f t="shared" si="21"/>
        <v>60</v>
      </c>
      <c r="K93">
        <f t="shared" si="22"/>
        <v>60</v>
      </c>
      <c r="L93">
        <f>IF('RTF 1'!$D$9=3,'Lookup Tables'!$V$39,0)</f>
        <v>0</v>
      </c>
      <c r="M93">
        <f t="shared" si="23"/>
        <v>65</v>
      </c>
      <c r="N93">
        <f t="shared" si="24"/>
        <v>75</v>
      </c>
      <c r="P93" s="8" t="b">
        <f>'RTF 1'!Q66&gt;'RTF 1'!S66</f>
        <v>1</v>
      </c>
      <c r="Q93" s="8" t="b">
        <f>AND('RTF 1'!S66&gt;='RTF 1'!Q66,'RTF 1'!Q66&gt;'RTF 1'!T66)</f>
        <v>0</v>
      </c>
      <c r="R93" s="35" t="b">
        <f>'RTF 1'!Q66&lt;='RTF 1'!T66</f>
        <v>0</v>
      </c>
      <c r="S93" s="8" t="b">
        <f>'RTF 1'!Q66&gt;'RTF 1'!U66</f>
        <v>1</v>
      </c>
      <c r="T93" s="8" t="b">
        <f>AND('RTF 1'!U66&gt;='RTF 1'!Q66,'RTF 1'!Q66&gt;'RTF 1'!V66)</f>
        <v>0</v>
      </c>
      <c r="U93" s="35" t="b">
        <f>'RTF 1'!Q66&lt;='RTF 1'!V66</f>
        <v>0</v>
      </c>
      <c r="V93" s="42"/>
      <c r="W93" s="8" t="b">
        <f>'RTF 1'!Q66&gt;('RTF 1'!P66+'RTF 1'!O66)</f>
        <v>1</v>
      </c>
      <c r="X93" s="8" t="b">
        <f>'RTF 1'!O66&gt;('RTF 1'!P66+'RTF 1'!Q66)</f>
        <v>0</v>
      </c>
      <c r="Y93" s="8" t="b">
        <f>AND(('RTF 1'!O66+10)&gt;='RTF 1'!P66,('RTF 1'!O66-10)&lt;='RTF 1'!P66,('RTF 1'!P66+10)&gt;='RTF 1'!Q66,('RTF 1'!P66-10)&lt;='RTF 1'!Q66,('RTF 1'!O66+10)&gt;='RTF 1'!Q66,('RTF 1'!O66-10)&lt;='RTF 1'!Q66)</f>
        <v>0</v>
      </c>
      <c r="Z93" s="8" t="b">
        <f>AND(('RTF 1'!O66+10)&gt;='RTF 1'!P66,('RTF 1'!O66-10)&lt;='RTF 1'!P66,OR('RTF 1'!P66&gt;'RTF 1'!Y66,'RTF 1'!O66&gt;'RTF 1'!Y66))</f>
        <v>0</v>
      </c>
      <c r="AA93" s="11" t="b">
        <f>AND(('RTF 1'!Q66+10)&gt;='RTF 1'!P66,('RTF 1'!Q66-10)&lt;='RTF 1'!P66,OR('RTF 1'!P66&gt;'RTF 1'!Z66,'RTF 1'!Q66&gt;'RTF 1'!Z66))</f>
        <v>0</v>
      </c>
      <c r="AB93" s="35" t="b">
        <f t="shared" si="16"/>
        <v>0</v>
      </c>
      <c r="AC93" s="8" t="b">
        <f>'RTF 1'!Q66&gt;'RTF 1'!P66</f>
        <v>1</v>
      </c>
      <c r="AD93" s="8" t="b">
        <f>AND('RTF 1'!P66&gt;='RTF 1'!Q66,'RTF 1'!Q66&gt;'RTF 1'!AA66)</f>
        <v>0</v>
      </c>
      <c r="AE93" s="8" t="b">
        <f>AND('RTF 1'!AA66&gt;'RTF 1'!Q66,'RTF 1'!Q66&gt;'RTF 1'!AB66)</f>
        <v>0</v>
      </c>
      <c r="AF93" s="8" t="b">
        <f>'RTF 1'!Q66&lt;'RTF 1'!AB66</f>
        <v>0</v>
      </c>
      <c r="AJ93" s="8"/>
    </row>
    <row r="94" spans="1:36" x14ac:dyDescent="0.25">
      <c r="A94" s="8">
        <v>2100</v>
      </c>
      <c r="B94" s="8">
        <v>100</v>
      </c>
      <c r="C94" s="8">
        <v>100</v>
      </c>
      <c r="D94" s="8">
        <v>150</v>
      </c>
      <c r="E94" s="8">
        <v>150</v>
      </c>
      <c r="I94" s="49">
        <f>IF('RTF 1'!$D$9=1,'Lookup Tables'!$J94,IF('RTF 1'!$D$9=2,'Lookup Tables'!$K94,IF('RTF 1'!$D$9=3,'Lookup Tables'!$L94,IF('RTF 1'!$D$9=4,'Lookup Tables'!$M94,'Lookup Tables'!$N94))))</f>
        <v>60</v>
      </c>
      <c r="J94">
        <f t="shared" si="21"/>
        <v>60</v>
      </c>
      <c r="K94">
        <f t="shared" si="22"/>
        <v>60</v>
      </c>
      <c r="L94">
        <f>IF('RTF 1'!$D$9=3,'Lookup Tables'!$V$39,0)</f>
        <v>0</v>
      </c>
      <c r="M94">
        <f t="shared" si="23"/>
        <v>65</v>
      </c>
      <c r="N94">
        <f t="shared" si="24"/>
        <v>75</v>
      </c>
      <c r="P94" s="8" t="b">
        <f>'RTF 1'!Q67&gt;'RTF 1'!S67</f>
        <v>1</v>
      </c>
      <c r="Q94" s="8" t="b">
        <f>AND('RTF 1'!S67&gt;='RTF 1'!Q67,'RTF 1'!Q67&gt;'RTF 1'!T67)</f>
        <v>0</v>
      </c>
      <c r="R94" s="35" t="b">
        <f>'RTF 1'!Q67&lt;='RTF 1'!T67</f>
        <v>0</v>
      </c>
      <c r="S94" s="8" t="b">
        <f>'RTF 1'!Q67&gt;'RTF 1'!U67</f>
        <v>1</v>
      </c>
      <c r="T94" s="8" t="b">
        <f>AND('RTF 1'!U67&gt;='RTF 1'!Q67,'RTF 1'!Q67&gt;'RTF 1'!V67)</f>
        <v>0</v>
      </c>
      <c r="U94" s="35" t="b">
        <f>'RTF 1'!Q67&lt;='RTF 1'!V67</f>
        <v>0</v>
      </c>
      <c r="V94" s="42"/>
      <c r="W94" s="8" t="b">
        <f>'RTF 1'!Q67&gt;('RTF 1'!P67+'RTF 1'!O67)</f>
        <v>1</v>
      </c>
      <c r="X94" s="8" t="b">
        <f>'RTF 1'!O67&gt;('RTF 1'!P67+'RTF 1'!Q67)</f>
        <v>0</v>
      </c>
      <c r="Y94" s="8" t="b">
        <f>AND(('RTF 1'!O67+10)&gt;='RTF 1'!P67,('RTF 1'!O67-10)&lt;='RTF 1'!P67,('RTF 1'!P67+10)&gt;='RTF 1'!Q67,('RTF 1'!P67-10)&lt;='RTF 1'!Q67,('RTF 1'!O67+10)&gt;='RTF 1'!Q67,('RTF 1'!O67-10)&lt;='RTF 1'!Q67)</f>
        <v>0</v>
      </c>
      <c r="Z94" s="8" t="b">
        <f>AND(('RTF 1'!O67+10)&gt;='RTF 1'!P67,('RTF 1'!O67-10)&lt;='RTF 1'!P67,OR('RTF 1'!P67&gt;'RTF 1'!Y67,'RTF 1'!O67&gt;'RTF 1'!Y67))</f>
        <v>0</v>
      </c>
      <c r="AA94" s="11" t="b">
        <f>AND(('RTF 1'!Q67+10)&gt;='RTF 1'!P67,('RTF 1'!Q67-10)&lt;='RTF 1'!P67,OR('RTF 1'!P67&gt;'RTF 1'!Z67,'RTF 1'!Q67&gt;'RTF 1'!Z67))</f>
        <v>0</v>
      </c>
      <c r="AB94" s="35" t="b">
        <f t="shared" si="16"/>
        <v>0</v>
      </c>
      <c r="AC94" s="8" t="b">
        <f>'RTF 1'!Q67&gt;'RTF 1'!P67</f>
        <v>1</v>
      </c>
      <c r="AD94" s="8" t="b">
        <f>AND('RTF 1'!P67&gt;='RTF 1'!Q67,'RTF 1'!Q67&gt;'RTF 1'!AA67)</f>
        <v>0</v>
      </c>
      <c r="AE94" s="8" t="b">
        <f>AND('RTF 1'!AA67&gt;'RTF 1'!Q67,'RTF 1'!Q67&gt;'RTF 1'!AB67)</f>
        <v>0</v>
      </c>
      <c r="AF94" s="8" t="b">
        <f>'RTF 1'!Q67&lt;'RTF 1'!AB67</f>
        <v>0</v>
      </c>
    </row>
    <row r="95" spans="1:36" x14ac:dyDescent="0.25">
      <c r="A95" s="8">
        <v>2200</v>
      </c>
      <c r="B95" s="8">
        <v>100</v>
      </c>
      <c r="C95" s="8">
        <v>100</v>
      </c>
      <c r="D95" s="8">
        <v>150</v>
      </c>
      <c r="E95" s="8">
        <v>150</v>
      </c>
      <c r="I95" s="49">
        <f>IF('RTF 1'!$D$9=1,'Lookup Tables'!$J95,IF('RTF 1'!$D$9=2,'Lookup Tables'!$K95,IF('RTF 1'!$D$9=3,'Lookup Tables'!$L95,IF('RTF 1'!$D$9=4,'Lookup Tables'!$M95,'Lookup Tables'!$N95))))</f>
        <v>60</v>
      </c>
      <c r="J95">
        <f t="shared" si="21"/>
        <v>60</v>
      </c>
      <c r="K95">
        <f t="shared" si="22"/>
        <v>60</v>
      </c>
      <c r="L95">
        <f>IF('RTF 1'!$D$9=3,'Lookup Tables'!$V$39,0)</f>
        <v>0</v>
      </c>
      <c r="M95">
        <f t="shared" si="23"/>
        <v>65</v>
      </c>
      <c r="N95">
        <f t="shared" si="24"/>
        <v>75</v>
      </c>
      <c r="P95" s="8" t="b">
        <f>'RTF 1'!Q68&gt;'RTF 1'!S68</f>
        <v>1</v>
      </c>
      <c r="Q95" s="8" t="b">
        <f>AND('RTF 1'!S68&gt;='RTF 1'!Q68,'RTF 1'!Q68&gt;'RTF 1'!T68)</f>
        <v>0</v>
      </c>
      <c r="R95" s="35" t="b">
        <f>'RTF 1'!Q68&lt;='RTF 1'!T68</f>
        <v>0</v>
      </c>
      <c r="S95" s="8" t="b">
        <f>'RTF 1'!Q68&gt;'RTF 1'!U68</f>
        <v>1</v>
      </c>
      <c r="T95" s="8" t="b">
        <f>AND('RTF 1'!U68&gt;='RTF 1'!Q68,'RTF 1'!Q68&gt;'RTF 1'!V68)</f>
        <v>0</v>
      </c>
      <c r="U95" s="35" t="b">
        <f>'RTF 1'!Q68&lt;='RTF 1'!V68</f>
        <v>0</v>
      </c>
      <c r="V95" s="42"/>
      <c r="W95" s="8" t="b">
        <f>'RTF 1'!Q68&gt;('RTF 1'!P68+'RTF 1'!O68)</f>
        <v>1</v>
      </c>
      <c r="X95" s="8" t="b">
        <f>'RTF 1'!O68&gt;('RTF 1'!P68+'RTF 1'!Q68)</f>
        <v>0</v>
      </c>
      <c r="Y95" s="8" t="b">
        <f>AND(('RTF 1'!O68+10)&gt;='RTF 1'!P68,('RTF 1'!O68-10)&lt;='RTF 1'!P68,('RTF 1'!P68+10)&gt;='RTF 1'!Q68,('RTF 1'!P68-10)&lt;='RTF 1'!Q68,('RTF 1'!O68+10)&gt;='RTF 1'!Q68,('RTF 1'!O68-10)&lt;='RTF 1'!Q68)</f>
        <v>0</v>
      </c>
      <c r="Z95" s="8" t="b">
        <f>AND(('RTF 1'!O68+10)&gt;='RTF 1'!P68,('RTF 1'!O68-10)&lt;='RTF 1'!P68,OR('RTF 1'!P68&gt;'RTF 1'!Y68,'RTF 1'!O68&gt;'RTF 1'!Y68))</f>
        <v>0</v>
      </c>
      <c r="AA95" s="11" t="b">
        <f>AND(('RTF 1'!Q68+10)&gt;='RTF 1'!P68,('RTF 1'!Q68-10)&lt;='RTF 1'!P68,OR('RTF 1'!P68&gt;'RTF 1'!Z68,'RTF 1'!Q68&gt;'RTF 1'!Z68))</f>
        <v>0</v>
      </c>
      <c r="AB95" s="35" t="b">
        <f t="shared" si="16"/>
        <v>0</v>
      </c>
      <c r="AC95" s="8" t="b">
        <f>'RTF 1'!Q68&gt;'RTF 1'!P68</f>
        <v>1</v>
      </c>
      <c r="AD95" s="8" t="b">
        <f>AND('RTF 1'!P68&gt;='RTF 1'!Q68,'RTF 1'!Q68&gt;'RTF 1'!AA68)</f>
        <v>0</v>
      </c>
      <c r="AE95" s="8" t="b">
        <f>AND('RTF 1'!AA68&gt;'RTF 1'!Q68,'RTF 1'!Q68&gt;'RTF 1'!AB68)</f>
        <v>0</v>
      </c>
      <c r="AF95" s="8" t="b">
        <f>'RTF 1'!Q68&lt;'RTF 1'!AB68</f>
        <v>0</v>
      </c>
    </row>
    <row r="96" spans="1:36" x14ac:dyDescent="0.25">
      <c r="A96" s="8"/>
      <c r="B96" s="8"/>
      <c r="C96" s="8"/>
      <c r="D96" s="8"/>
      <c r="E96" s="8"/>
      <c r="I96" s="49">
        <f>IF('RTF 1'!$D$9=1,'Lookup Tables'!$J96,IF('RTF 1'!$D$9=2,'Lookup Tables'!$K96,IF('RTF 1'!$D$9=3,'Lookup Tables'!$L96,IF('RTF 1'!$D$9=4,'Lookup Tables'!$M96,'Lookup Tables'!$N96))))</f>
        <v>60</v>
      </c>
      <c r="J96">
        <f t="shared" si="21"/>
        <v>60</v>
      </c>
      <c r="K96">
        <f t="shared" si="22"/>
        <v>60</v>
      </c>
      <c r="L96">
        <f>IF('RTF 1'!$D$9=3,'Lookup Tables'!$V$39,0)</f>
        <v>0</v>
      </c>
      <c r="M96">
        <f t="shared" si="23"/>
        <v>65</v>
      </c>
      <c r="N96">
        <f t="shared" si="24"/>
        <v>75</v>
      </c>
      <c r="P96" s="8" t="b">
        <f>'RTF 1'!Q69&gt;'RTF 1'!S69</f>
        <v>1</v>
      </c>
      <c r="Q96" s="8" t="b">
        <f>AND('RTF 1'!S69&gt;='RTF 1'!Q69,'RTF 1'!Q69&gt;'RTF 1'!T69)</f>
        <v>0</v>
      </c>
      <c r="R96" s="35" t="b">
        <f>'RTF 1'!Q69&lt;='RTF 1'!T69</f>
        <v>0</v>
      </c>
      <c r="S96" s="8" t="b">
        <f>'RTF 1'!Q69&gt;'RTF 1'!U69</f>
        <v>1</v>
      </c>
      <c r="T96" s="8" t="b">
        <f>AND('RTF 1'!U69&gt;='RTF 1'!Q69,'RTF 1'!Q69&gt;'RTF 1'!V69)</f>
        <v>0</v>
      </c>
      <c r="U96" s="35" t="b">
        <f>'RTF 1'!Q69&lt;='RTF 1'!V69</f>
        <v>0</v>
      </c>
      <c r="V96" s="42"/>
      <c r="W96" s="8" t="b">
        <f>'RTF 1'!Q69&gt;('RTF 1'!P69+'RTF 1'!O69)</f>
        <v>1</v>
      </c>
      <c r="X96" s="8" t="b">
        <f>'RTF 1'!O69&gt;('RTF 1'!P69+'RTF 1'!Q69)</f>
        <v>0</v>
      </c>
      <c r="Y96" s="8" t="b">
        <f>AND(('RTF 1'!O69+10)&gt;='RTF 1'!P69,('RTF 1'!O69-10)&lt;='RTF 1'!P69,('RTF 1'!P69+10)&gt;='RTF 1'!Q69,('RTF 1'!P69-10)&lt;='RTF 1'!Q69,('RTF 1'!O69+10)&gt;='RTF 1'!Q69,('RTF 1'!O69-10)&lt;='RTF 1'!Q69)</f>
        <v>0</v>
      </c>
      <c r="Z96" s="8" t="b">
        <f>AND(('RTF 1'!O69+10)&gt;='RTF 1'!P69,('RTF 1'!O69-10)&lt;='RTF 1'!P69,OR('RTF 1'!P69&gt;'RTF 1'!Y69,'RTF 1'!O69&gt;'RTF 1'!Y69))</f>
        <v>0</v>
      </c>
      <c r="AA96" s="11" t="b">
        <f>AND(('RTF 1'!Q69+10)&gt;='RTF 1'!P69,('RTF 1'!Q69-10)&lt;='RTF 1'!P69,OR('RTF 1'!P69&gt;'RTF 1'!Z69,'RTF 1'!Q69&gt;'RTF 1'!Z69))</f>
        <v>0</v>
      </c>
      <c r="AB96" s="35" t="b">
        <f t="shared" si="16"/>
        <v>0</v>
      </c>
      <c r="AC96" s="8" t="b">
        <f>'RTF 1'!Q69&gt;'RTF 1'!P69</f>
        <v>1</v>
      </c>
      <c r="AD96" s="8" t="b">
        <f>AND('RTF 1'!P69&gt;='RTF 1'!Q69,'RTF 1'!Q69&gt;'RTF 1'!AA69)</f>
        <v>0</v>
      </c>
      <c r="AE96" s="8" t="b">
        <f>AND('RTF 1'!AA69&gt;'RTF 1'!Q69,'RTF 1'!Q69&gt;'RTF 1'!AB69)</f>
        <v>0</v>
      </c>
      <c r="AF96" s="8" t="b">
        <f>'RTF 1'!Q69&lt;'RTF 1'!AB69</f>
        <v>0</v>
      </c>
    </row>
    <row r="97" spans="1:32" x14ac:dyDescent="0.25">
      <c r="A97" s="819" t="s">
        <v>24</v>
      </c>
      <c r="B97" s="819"/>
      <c r="C97" s="819"/>
      <c r="D97" s="819"/>
      <c r="E97" s="819"/>
      <c r="I97" s="49">
        <f>IF('RTF 1'!$D$9=1,'Lookup Tables'!$J97,IF('RTF 1'!$D$9=2,'Lookup Tables'!$K97,IF('RTF 1'!$D$9=3,'Lookup Tables'!$L97,IF('RTF 1'!$D$9=4,'Lookup Tables'!$M97,'Lookup Tables'!$N97))))</f>
        <v>60</v>
      </c>
      <c r="J97">
        <f t="shared" si="21"/>
        <v>60</v>
      </c>
      <c r="K97">
        <f t="shared" si="22"/>
        <v>60</v>
      </c>
      <c r="L97">
        <f>IF('RTF 1'!$D$9=3,'Lookup Tables'!$V$39,0)</f>
        <v>0</v>
      </c>
      <c r="M97">
        <f t="shared" si="23"/>
        <v>65</v>
      </c>
      <c r="N97">
        <f t="shared" si="24"/>
        <v>75</v>
      </c>
      <c r="P97" s="8" t="b">
        <f>'RTF 1'!Q70&gt;'RTF 1'!S70</f>
        <v>1</v>
      </c>
      <c r="Q97" s="8" t="b">
        <f>AND('RTF 1'!S70&gt;='RTF 1'!Q70,'RTF 1'!Q70&gt;'RTF 1'!T70)</f>
        <v>0</v>
      </c>
      <c r="R97" s="35" t="b">
        <f>'RTF 1'!Q70&lt;='RTF 1'!T70</f>
        <v>0</v>
      </c>
      <c r="S97" s="8" t="b">
        <f>'RTF 1'!Q70&gt;'RTF 1'!U70</f>
        <v>1</v>
      </c>
      <c r="T97" s="8" t="b">
        <f>AND('RTF 1'!U70&gt;='RTF 1'!Q70,'RTF 1'!Q70&gt;'RTF 1'!V70)</f>
        <v>0</v>
      </c>
      <c r="U97" s="35" t="b">
        <f>'RTF 1'!Q70&lt;='RTF 1'!V70</f>
        <v>0</v>
      </c>
      <c r="V97" s="42"/>
      <c r="W97" s="8" t="b">
        <f>'RTF 1'!Q70&gt;('RTF 1'!P70+'RTF 1'!O70)</f>
        <v>1</v>
      </c>
      <c r="X97" s="8" t="b">
        <f>'RTF 1'!O70&gt;('RTF 1'!P70+'RTF 1'!Q70)</f>
        <v>0</v>
      </c>
      <c r="Y97" s="8" t="b">
        <f>AND(('RTF 1'!O70+10)&gt;='RTF 1'!P70,('RTF 1'!O70-10)&lt;='RTF 1'!P70,('RTF 1'!P70+10)&gt;='RTF 1'!Q70,('RTF 1'!P70-10)&lt;='RTF 1'!Q70,('RTF 1'!O70+10)&gt;='RTF 1'!Q70,('RTF 1'!O70-10)&lt;='RTF 1'!Q70)</f>
        <v>0</v>
      </c>
      <c r="Z97" s="8" t="b">
        <f>AND(('RTF 1'!O70+10)&gt;='RTF 1'!P70,('RTF 1'!O70-10)&lt;='RTF 1'!P70,OR('RTF 1'!P70&gt;'RTF 1'!Y70,'RTF 1'!O70&gt;'RTF 1'!Y70))</f>
        <v>0</v>
      </c>
      <c r="AA97" s="11" t="b">
        <f>AND(('RTF 1'!Q70+10)&gt;='RTF 1'!P70,('RTF 1'!Q70-10)&lt;='RTF 1'!P70,OR('RTF 1'!P70&gt;'RTF 1'!Z70,'RTF 1'!Q70&gt;'RTF 1'!Z70))</f>
        <v>0</v>
      </c>
      <c r="AB97" s="35" t="b">
        <f t="shared" si="16"/>
        <v>0</v>
      </c>
      <c r="AC97" s="8" t="b">
        <f>'RTF 1'!Q70&gt;'RTF 1'!P70</f>
        <v>1</v>
      </c>
      <c r="AD97" s="8" t="b">
        <f>AND('RTF 1'!P70&gt;='RTF 1'!Q70,'RTF 1'!Q70&gt;'RTF 1'!AA70)</f>
        <v>0</v>
      </c>
      <c r="AE97" s="8" t="b">
        <f>AND('RTF 1'!AA70&gt;'RTF 1'!Q70,'RTF 1'!Q70&gt;'RTF 1'!AB70)</f>
        <v>0</v>
      </c>
      <c r="AF97" s="8" t="b">
        <f>'RTF 1'!Q70&lt;'RTF 1'!AB70</f>
        <v>0</v>
      </c>
    </row>
    <row r="98" spans="1:32" x14ac:dyDescent="0.25">
      <c r="A98" s="819"/>
      <c r="B98" s="819"/>
      <c r="C98" s="819"/>
      <c r="D98" s="819"/>
      <c r="E98" s="819"/>
      <c r="I98" s="49">
        <f>IF('RTF 1'!$D$9=1,'Lookup Tables'!$J98,IF('RTF 1'!$D$9=2,'Lookup Tables'!$K98,IF('RTF 1'!$D$9=3,'Lookup Tables'!$L98,IF('RTF 1'!$D$9=4,'Lookup Tables'!$M98,'Lookup Tables'!$N98))))</f>
        <v>60</v>
      </c>
      <c r="J98">
        <f t="shared" si="21"/>
        <v>60</v>
      </c>
      <c r="K98">
        <f t="shared" si="22"/>
        <v>60</v>
      </c>
      <c r="L98">
        <f>IF('RTF 1'!$D$9=3,'Lookup Tables'!$V$39,0)</f>
        <v>0</v>
      </c>
      <c r="M98">
        <f t="shared" si="23"/>
        <v>65</v>
      </c>
      <c r="N98">
        <f t="shared" si="24"/>
        <v>75</v>
      </c>
      <c r="P98" s="8" t="b">
        <f>'RTF 1'!Q71&gt;'RTF 1'!S71</f>
        <v>1</v>
      </c>
      <c r="Q98" s="8" t="b">
        <f>AND('RTF 1'!S71&gt;='RTF 1'!Q71,'RTF 1'!Q71&gt;'RTF 1'!T71)</f>
        <v>0</v>
      </c>
      <c r="R98" s="35" t="b">
        <f>'RTF 1'!Q71&lt;='RTF 1'!T71</f>
        <v>0</v>
      </c>
      <c r="S98" s="8" t="b">
        <f>'RTF 1'!Q71&gt;'RTF 1'!U71</f>
        <v>1</v>
      </c>
      <c r="T98" s="8" t="b">
        <f>AND('RTF 1'!U71&gt;='RTF 1'!Q71,'RTF 1'!Q71&gt;'RTF 1'!V71)</f>
        <v>0</v>
      </c>
      <c r="U98" s="35" t="b">
        <f>'RTF 1'!Q71&lt;='RTF 1'!V71</f>
        <v>0</v>
      </c>
      <c r="V98" s="42"/>
      <c r="W98" s="8" t="b">
        <f>'RTF 1'!Q71&gt;('RTF 1'!P71+'RTF 1'!O71)</f>
        <v>1</v>
      </c>
      <c r="X98" s="8" t="b">
        <f>'RTF 1'!O71&gt;('RTF 1'!P71+'RTF 1'!Q71)</f>
        <v>0</v>
      </c>
      <c r="Y98" s="8" t="b">
        <f>AND(('RTF 1'!O71+10)&gt;='RTF 1'!P71,('RTF 1'!O71-10)&lt;='RTF 1'!P71,('RTF 1'!P71+10)&gt;='RTF 1'!Q71,('RTF 1'!P71-10)&lt;='RTF 1'!Q71,('RTF 1'!O71+10)&gt;='RTF 1'!Q71,('RTF 1'!O71-10)&lt;='RTF 1'!Q71)</f>
        <v>0</v>
      </c>
      <c r="Z98" s="8" t="b">
        <f>AND(('RTF 1'!O71+10)&gt;='RTF 1'!P71,('RTF 1'!O71-10)&lt;='RTF 1'!P71,OR('RTF 1'!P71&gt;'RTF 1'!Y71,'RTF 1'!O71&gt;'RTF 1'!Y71))</f>
        <v>0</v>
      </c>
      <c r="AA98" s="11" t="b">
        <f>AND(('RTF 1'!Q71+10)&gt;='RTF 1'!P71,('RTF 1'!Q71-10)&lt;='RTF 1'!P71,OR('RTF 1'!P71&gt;'RTF 1'!Z71,'RTF 1'!Q71&gt;'RTF 1'!Z71))</f>
        <v>0</v>
      </c>
      <c r="AB98" s="35" t="b">
        <f t="shared" si="16"/>
        <v>0</v>
      </c>
      <c r="AC98" s="8" t="b">
        <f>'RTF 1'!Q71&gt;'RTF 1'!P71</f>
        <v>1</v>
      </c>
      <c r="AD98" s="8" t="b">
        <f>AND('RTF 1'!P71&gt;='RTF 1'!Q71,'RTF 1'!Q71&gt;'RTF 1'!AA71)</f>
        <v>0</v>
      </c>
      <c r="AE98" s="8" t="b">
        <f>AND('RTF 1'!AA71&gt;'RTF 1'!Q71,'RTF 1'!Q71&gt;'RTF 1'!AB71)</f>
        <v>0</v>
      </c>
      <c r="AF98" s="8" t="b">
        <f>'RTF 1'!Q71&lt;'RTF 1'!AB71</f>
        <v>0</v>
      </c>
    </row>
    <row r="99" spans="1:32" x14ac:dyDescent="0.25">
      <c r="A99" s="819"/>
      <c r="B99" s="819"/>
      <c r="C99" s="819"/>
      <c r="D99" s="819"/>
      <c r="E99" s="819"/>
      <c r="I99" s="49">
        <f>IF('RTF 1'!$D$9=1,'Lookup Tables'!$J99,IF('RTF 1'!$D$9=2,'Lookup Tables'!$K99,IF('RTF 1'!$D$9=3,'Lookup Tables'!$L99,IF('RTF 1'!$D$9=4,'Lookup Tables'!$M99,'Lookup Tables'!$N99))))</f>
        <v>60</v>
      </c>
      <c r="J99">
        <f t="shared" si="21"/>
        <v>40</v>
      </c>
      <c r="K99">
        <f t="shared" si="22"/>
        <v>60</v>
      </c>
      <c r="L99">
        <f>IF('RTF 1'!$D$9=3,'Lookup Tables'!$V$39,0)</f>
        <v>0</v>
      </c>
      <c r="M99">
        <f t="shared" si="23"/>
        <v>65</v>
      </c>
      <c r="N99">
        <f t="shared" si="24"/>
        <v>75</v>
      </c>
      <c r="P99" s="8" t="b">
        <f>'RTF 1'!Q72&gt;'RTF 1'!S72</f>
        <v>0</v>
      </c>
      <c r="Q99" s="8" t="b">
        <f>AND('RTF 1'!S72&gt;='RTF 1'!Q72,'RTF 1'!Q72&gt;'RTF 1'!T72)</f>
        <v>1</v>
      </c>
      <c r="R99" s="35" t="b">
        <f>'RTF 1'!Q72&lt;='RTF 1'!T72</f>
        <v>0</v>
      </c>
      <c r="S99" s="8" t="b">
        <f>'RTF 1'!Q72&gt;'RTF 1'!U72</f>
        <v>1</v>
      </c>
      <c r="T99" s="8" t="b">
        <f>AND('RTF 1'!U72&gt;='RTF 1'!Q72,'RTF 1'!Q72&gt;'RTF 1'!V72)</f>
        <v>0</v>
      </c>
      <c r="U99" s="35" t="b">
        <f>'RTF 1'!Q72&lt;='RTF 1'!V72</f>
        <v>0</v>
      </c>
      <c r="V99" s="42"/>
      <c r="W99" s="8" t="b">
        <f>'RTF 1'!Q72&gt;('RTF 1'!P72+'RTF 1'!O72)</f>
        <v>1</v>
      </c>
      <c r="X99" s="8" t="b">
        <f>'RTF 1'!O72&gt;('RTF 1'!P72+'RTF 1'!Q72)</f>
        <v>0</v>
      </c>
      <c r="Y99" s="8" t="b">
        <f>AND(('RTF 1'!O72+10)&gt;='RTF 1'!P72,('RTF 1'!O72-10)&lt;='RTF 1'!P72,('RTF 1'!P72+10)&gt;='RTF 1'!Q72,('RTF 1'!P72-10)&lt;='RTF 1'!Q72,('RTF 1'!O72+10)&gt;='RTF 1'!Q72,('RTF 1'!O72-10)&lt;='RTF 1'!Q72)</f>
        <v>0</v>
      </c>
      <c r="Z99" s="8" t="b">
        <f>AND(('RTF 1'!O72+10)&gt;='RTF 1'!P72,('RTF 1'!O72-10)&lt;='RTF 1'!P72,OR('RTF 1'!P72&gt;'RTF 1'!Y72,'RTF 1'!O72&gt;'RTF 1'!Y72))</f>
        <v>0</v>
      </c>
      <c r="AA99" s="11" t="b">
        <f>AND(('RTF 1'!Q72+10)&gt;='RTF 1'!P72,('RTF 1'!Q72-10)&lt;='RTF 1'!P72,OR('RTF 1'!P72&gt;'RTF 1'!Z72,'RTF 1'!Q72&gt;'RTF 1'!Z72))</f>
        <v>0</v>
      </c>
      <c r="AB99" s="35" t="b">
        <f t="shared" si="16"/>
        <v>0</v>
      </c>
      <c r="AC99" s="8" t="b">
        <f>'RTF 1'!Q72&gt;'RTF 1'!P72</f>
        <v>1</v>
      </c>
      <c r="AD99" s="8" t="b">
        <f>AND('RTF 1'!P72&gt;='RTF 1'!Q72,'RTF 1'!Q72&gt;'RTF 1'!AA72)</f>
        <v>0</v>
      </c>
      <c r="AE99" s="8" t="b">
        <f>AND('RTF 1'!AA72&gt;'RTF 1'!Q72,'RTF 1'!Q72&gt;'RTF 1'!AB72)</f>
        <v>0</v>
      </c>
      <c r="AF99" s="8" t="b">
        <f>'RTF 1'!Q72&lt;'RTF 1'!AB72</f>
        <v>0</v>
      </c>
    </row>
    <row r="100" spans="1:32" x14ac:dyDescent="0.25">
      <c r="A100" s="1" t="s">
        <v>0</v>
      </c>
      <c r="B100" s="1" t="s">
        <v>1</v>
      </c>
      <c r="I100" s="49">
        <f>IF('RTF 1'!$D$9=1,'Lookup Tables'!$J100,IF('RTF 1'!$D$9=2,'Lookup Tables'!$K100,IF('RTF 1'!$D$9=3,'Lookup Tables'!$L100,IF('RTF 1'!$D$9=4,'Lookup Tables'!$M100,'Lookup Tables'!$N100))))</f>
        <v>60</v>
      </c>
      <c r="J100">
        <f t="shared" si="21"/>
        <v>40</v>
      </c>
      <c r="K100">
        <f t="shared" si="22"/>
        <v>60</v>
      </c>
      <c r="L100">
        <f>IF('RTF 1'!$D$9=3,'Lookup Tables'!$V$39,0)</f>
        <v>0</v>
      </c>
      <c r="M100">
        <f t="shared" si="23"/>
        <v>65</v>
      </c>
      <c r="N100">
        <f t="shared" si="24"/>
        <v>75</v>
      </c>
      <c r="P100" s="8" t="b">
        <f>'RTF 1'!Q73&gt;'RTF 1'!S73</f>
        <v>0</v>
      </c>
      <c r="Q100" s="8" t="b">
        <f>AND('RTF 1'!S73&gt;='RTF 1'!Q73,'RTF 1'!Q73&gt;'RTF 1'!T73)</f>
        <v>1</v>
      </c>
      <c r="R100" s="35" t="b">
        <f>'RTF 1'!Q73&lt;='RTF 1'!T73</f>
        <v>0</v>
      </c>
      <c r="S100" s="8" t="b">
        <f>'RTF 1'!Q73&gt;'RTF 1'!U73</f>
        <v>1</v>
      </c>
      <c r="T100" s="8" t="b">
        <f>AND('RTF 1'!U73&gt;='RTF 1'!Q73,'RTF 1'!Q73&gt;'RTF 1'!V73)</f>
        <v>0</v>
      </c>
      <c r="U100" s="35" t="b">
        <f>'RTF 1'!Q73&lt;='RTF 1'!V73</f>
        <v>0</v>
      </c>
      <c r="V100" s="42"/>
      <c r="W100" s="8" t="b">
        <f>'RTF 1'!Q73&gt;('RTF 1'!P73+'RTF 1'!O73)</f>
        <v>1</v>
      </c>
      <c r="X100" s="8" t="b">
        <f>'RTF 1'!O73&gt;('RTF 1'!P73+'RTF 1'!Q73)</f>
        <v>0</v>
      </c>
      <c r="Y100" s="8" t="b">
        <f>AND(('RTF 1'!O73+10)&gt;='RTF 1'!P73,('RTF 1'!O73-10)&lt;='RTF 1'!P73,('RTF 1'!P73+10)&gt;='RTF 1'!Q73,('RTF 1'!P73-10)&lt;='RTF 1'!Q73,('RTF 1'!O73+10)&gt;='RTF 1'!Q73,('RTF 1'!O73-10)&lt;='RTF 1'!Q73)</f>
        <v>0</v>
      </c>
      <c r="Z100" s="8" t="b">
        <f>AND(('RTF 1'!O73+10)&gt;='RTF 1'!P73,('RTF 1'!O73-10)&lt;='RTF 1'!P73,OR('RTF 1'!P73&gt;'RTF 1'!Y73,'RTF 1'!O73&gt;'RTF 1'!Y73))</f>
        <v>0</v>
      </c>
      <c r="AA100" s="11" t="b">
        <f>AND(('RTF 1'!Q73+10)&gt;='RTF 1'!P73,('RTF 1'!Q73-10)&lt;='RTF 1'!P73,OR('RTF 1'!P73&gt;'RTF 1'!Z73,'RTF 1'!Q73&gt;'RTF 1'!Z73))</f>
        <v>0</v>
      </c>
      <c r="AB100" s="35" t="b">
        <f t="shared" si="16"/>
        <v>0</v>
      </c>
      <c r="AC100" s="8" t="b">
        <f>'RTF 1'!Q73&gt;'RTF 1'!P73</f>
        <v>1</v>
      </c>
      <c r="AD100" s="8" t="b">
        <f>AND('RTF 1'!P73&gt;='RTF 1'!Q73,'RTF 1'!Q73&gt;'RTF 1'!AA73)</f>
        <v>0</v>
      </c>
      <c r="AE100" s="8" t="b">
        <f>AND('RTF 1'!AA73&gt;'RTF 1'!Q73,'RTF 1'!Q73&gt;'RTF 1'!AB73)</f>
        <v>0</v>
      </c>
      <c r="AF100" s="8" t="b">
        <f>'RTF 1'!Q73&lt;'RTF 1'!AB73</f>
        <v>0</v>
      </c>
    </row>
    <row r="101" spans="1:32" ht="26.4" x14ac:dyDescent="0.25">
      <c r="A101" s="3" t="s">
        <v>19</v>
      </c>
      <c r="B101" s="10" t="s">
        <v>80</v>
      </c>
      <c r="C101" s="8" t="s">
        <v>81</v>
      </c>
      <c r="D101" s="8" t="s">
        <v>81</v>
      </c>
      <c r="E101" s="8" t="s">
        <v>82</v>
      </c>
      <c r="I101" s="49">
        <f>IF('RTF 1'!$D$9=1,'Lookup Tables'!$J101,IF('RTF 1'!$D$9=2,'Lookup Tables'!$K101,IF('RTF 1'!$D$9=3,'Lookup Tables'!$L101,IF('RTF 1'!$D$9=4,'Lookup Tables'!$M101,'Lookup Tables'!$N101))))</f>
        <v>60</v>
      </c>
      <c r="J101">
        <f t="shared" si="21"/>
        <v>40</v>
      </c>
      <c r="K101">
        <f t="shared" si="22"/>
        <v>60</v>
      </c>
      <c r="L101">
        <f>IF('RTF 1'!$D$9=3,'Lookup Tables'!$V$39,0)</f>
        <v>0</v>
      </c>
      <c r="M101">
        <f t="shared" si="23"/>
        <v>65</v>
      </c>
      <c r="N101">
        <f t="shared" si="24"/>
        <v>75</v>
      </c>
      <c r="P101" s="8" t="b">
        <f>'RTF 1'!Q74&gt;'RTF 1'!S74</f>
        <v>0</v>
      </c>
      <c r="Q101" s="8" t="b">
        <f>AND('RTF 1'!S74&gt;='RTF 1'!Q74,'RTF 1'!Q74&gt;'RTF 1'!T74)</f>
        <v>1</v>
      </c>
      <c r="R101" s="35" t="b">
        <f>'RTF 1'!Q74&lt;='RTF 1'!T74</f>
        <v>0</v>
      </c>
      <c r="S101" s="8" t="b">
        <f>'RTF 1'!Q74&gt;'RTF 1'!U74</f>
        <v>1</v>
      </c>
      <c r="T101" s="8" t="b">
        <f>AND('RTF 1'!U74&gt;='RTF 1'!Q74,'RTF 1'!Q74&gt;'RTF 1'!V74)</f>
        <v>0</v>
      </c>
      <c r="U101" s="35" t="b">
        <f>'RTF 1'!Q74&lt;='RTF 1'!V74</f>
        <v>0</v>
      </c>
      <c r="V101" s="42"/>
      <c r="W101" s="8" t="b">
        <f>'RTF 1'!Q74&gt;('RTF 1'!P74+'RTF 1'!O74)</f>
        <v>1</v>
      </c>
      <c r="X101" s="8" t="b">
        <f>'RTF 1'!O74&gt;('RTF 1'!P74+'RTF 1'!Q74)</f>
        <v>0</v>
      </c>
      <c r="Y101" s="8" t="b">
        <f>AND(('RTF 1'!O74+10)&gt;='RTF 1'!P74,('RTF 1'!O74-10)&lt;='RTF 1'!P74,('RTF 1'!P74+10)&gt;='RTF 1'!Q74,('RTF 1'!P74-10)&lt;='RTF 1'!Q74,('RTF 1'!O74+10)&gt;='RTF 1'!Q74,('RTF 1'!O74-10)&lt;='RTF 1'!Q74)</f>
        <v>0</v>
      </c>
      <c r="Z101" s="8" t="b">
        <f>AND(('RTF 1'!O74+10)&gt;='RTF 1'!P74,('RTF 1'!O74-10)&lt;='RTF 1'!P74,OR('RTF 1'!P74&gt;'RTF 1'!Y74,'RTF 1'!O74&gt;'RTF 1'!Y74))</f>
        <v>0</v>
      </c>
      <c r="AA101" s="11" t="b">
        <f>AND(('RTF 1'!Q74+10)&gt;='RTF 1'!P74,('RTF 1'!Q74-10)&lt;='RTF 1'!P74,OR('RTF 1'!P74&gt;'RTF 1'!Z74,'RTF 1'!Q74&gt;'RTF 1'!Z74))</f>
        <v>0</v>
      </c>
      <c r="AB101" s="35" t="b">
        <f t="shared" si="16"/>
        <v>0</v>
      </c>
      <c r="AC101" s="8" t="b">
        <f>'RTF 1'!Q74&gt;'RTF 1'!P74</f>
        <v>1</v>
      </c>
      <c r="AD101" s="8" t="b">
        <f>AND('RTF 1'!P74&gt;='RTF 1'!Q74,'RTF 1'!Q74&gt;'RTF 1'!AA74)</f>
        <v>0</v>
      </c>
      <c r="AE101" s="8" t="b">
        <f>AND('RTF 1'!AA74&gt;'RTF 1'!Q74,'RTF 1'!Q74&gt;'RTF 1'!AB74)</f>
        <v>0</v>
      </c>
      <c r="AF101" s="8" t="b">
        <f>'RTF 1'!Q74&lt;'RTF 1'!AB74</f>
        <v>0</v>
      </c>
    </row>
    <row r="102" spans="1:32" x14ac:dyDescent="0.25">
      <c r="A102">
        <v>0</v>
      </c>
      <c r="B102" s="395">
        <f>520.01155026-0.7647561999*A102+0.0003250549*A102^2</f>
        <v>520.01155026000004</v>
      </c>
      <c r="C102" s="395">
        <f>593.38729059-0.7471500045*A102+0.000262383*A102^2</f>
        <v>593.38729059000002</v>
      </c>
      <c r="D102" s="395">
        <f>593.38729059-0.7471500045*A102+0.000262383*A102^2</f>
        <v>593.38729059000002</v>
      </c>
      <c r="E102" s="394">
        <f>771.842673-0.9817221615*A102+0.0003498922*A102^2</f>
        <v>771.84267299999999</v>
      </c>
      <c r="I102" s="49">
        <f>IF('RTF 1'!$D$9=1,'Lookup Tables'!$J102,IF('RTF 1'!$D$9=2,'Lookup Tables'!$K102,IF('RTF 1'!$D$9=3,'Lookup Tables'!$L102,IF('RTF 1'!$D$9=4,'Lookup Tables'!$M102,'Lookup Tables'!$N102))))</f>
        <v>60</v>
      </c>
      <c r="J102">
        <f t="shared" si="21"/>
        <v>40</v>
      </c>
      <c r="K102">
        <f t="shared" si="22"/>
        <v>60</v>
      </c>
      <c r="L102">
        <f>IF('RTF 1'!$D$9=3,'Lookup Tables'!$V$39,0)</f>
        <v>0</v>
      </c>
      <c r="M102">
        <f t="shared" si="23"/>
        <v>65</v>
      </c>
      <c r="N102">
        <f t="shared" si="24"/>
        <v>75</v>
      </c>
      <c r="P102" s="8" t="b">
        <f>'RTF 1'!Q75&gt;'RTF 1'!S75</f>
        <v>0</v>
      </c>
      <c r="Q102" s="8" t="b">
        <f>AND('RTF 1'!S75&gt;='RTF 1'!Q75,'RTF 1'!Q75&gt;'RTF 1'!T75)</f>
        <v>1</v>
      </c>
      <c r="R102" s="35" t="b">
        <f>'RTF 1'!Q75&lt;='RTF 1'!T75</f>
        <v>0</v>
      </c>
      <c r="S102" s="8" t="b">
        <f>'RTF 1'!Q75&gt;'RTF 1'!U75</f>
        <v>1</v>
      </c>
      <c r="T102" s="8" t="b">
        <f>AND('RTF 1'!U75&gt;='RTF 1'!Q75,'RTF 1'!Q75&gt;'RTF 1'!V75)</f>
        <v>0</v>
      </c>
      <c r="U102" s="35" t="b">
        <f>'RTF 1'!Q75&lt;='RTF 1'!V75</f>
        <v>0</v>
      </c>
      <c r="V102" s="42"/>
      <c r="W102" s="8" t="b">
        <f>'RTF 1'!Q75&gt;('RTF 1'!P75+'RTF 1'!O75)</f>
        <v>1</v>
      </c>
      <c r="X102" s="8" t="b">
        <f>'RTF 1'!O75&gt;('RTF 1'!P75+'RTF 1'!Q75)</f>
        <v>0</v>
      </c>
      <c r="Y102" s="8" t="b">
        <f>AND(('RTF 1'!O75+10)&gt;='RTF 1'!P75,('RTF 1'!O75-10)&lt;='RTF 1'!P75,('RTF 1'!P75+10)&gt;='RTF 1'!Q75,('RTF 1'!P75-10)&lt;='RTF 1'!Q75,('RTF 1'!O75+10)&gt;='RTF 1'!Q75,('RTF 1'!O75-10)&lt;='RTF 1'!Q75)</f>
        <v>0</v>
      </c>
      <c r="Z102" s="8" t="b">
        <f>AND(('RTF 1'!O75+10)&gt;='RTF 1'!P75,('RTF 1'!O75-10)&lt;='RTF 1'!P75,OR('RTF 1'!P75&gt;'RTF 1'!Y75,'RTF 1'!O75&gt;'RTF 1'!Y75))</f>
        <v>0</v>
      </c>
      <c r="AA102" s="11" t="b">
        <f>AND(('RTF 1'!Q75+10)&gt;='RTF 1'!P75,('RTF 1'!Q75-10)&lt;='RTF 1'!P75,OR('RTF 1'!P75&gt;'RTF 1'!Z75,'RTF 1'!Q75&gt;'RTF 1'!Z75))</f>
        <v>0</v>
      </c>
      <c r="AB102" s="35" t="b">
        <f t="shared" si="16"/>
        <v>0</v>
      </c>
      <c r="AC102" s="8" t="b">
        <f>'RTF 1'!Q75&gt;'RTF 1'!P75</f>
        <v>1</v>
      </c>
      <c r="AD102" s="8" t="b">
        <f>AND('RTF 1'!P75&gt;='RTF 1'!Q75,'RTF 1'!Q75&gt;'RTF 1'!AA75)</f>
        <v>0</v>
      </c>
      <c r="AE102" s="8" t="b">
        <f>AND('RTF 1'!AA75&gt;'RTF 1'!Q75,'RTF 1'!Q75&gt;'RTF 1'!AB75)</f>
        <v>0</v>
      </c>
      <c r="AF102" s="8" t="b">
        <f>'RTF 1'!Q75&lt;'RTF 1'!AB75</f>
        <v>0</v>
      </c>
    </row>
    <row r="103" spans="1:32" x14ac:dyDescent="0.25">
      <c r="A103">
        <v>100</v>
      </c>
      <c r="B103" s="395">
        <f t="shared" ref="B103:B113" si="25">520.01155026-0.7647561999*A103+0.0003250549*A103^2</f>
        <v>446.78647927000003</v>
      </c>
      <c r="C103" s="395">
        <f t="shared" ref="C103:C116" si="26">593.38729059-0.7471500045*A103+0.000262383*A103^2</f>
        <v>521.29612013999997</v>
      </c>
      <c r="D103" s="395">
        <f t="shared" ref="D103:D112" si="27">593.38729059-0.7471500045*A103+0.000262383*A103^2</f>
        <v>521.29612013999997</v>
      </c>
      <c r="E103" s="394">
        <f t="shared" ref="E103:E115" si="28">771.842673-0.9817221615*A103+0.0003498922*A103^2</f>
        <v>677.16937884999993</v>
      </c>
      <c r="I103" s="49">
        <f>IF('RTF 1'!$D$9=1,'Lookup Tables'!$J103,IF('RTF 1'!$D$9=2,'Lookup Tables'!$K103,IF('RTF 1'!$D$9=3,'Lookup Tables'!$L103,IF('RTF 1'!$D$9=4,'Lookup Tables'!$M103,'Lookup Tables'!$N103))))</f>
        <v>60</v>
      </c>
      <c r="J103">
        <f t="shared" si="21"/>
        <v>40</v>
      </c>
      <c r="K103">
        <f t="shared" si="22"/>
        <v>60</v>
      </c>
      <c r="L103">
        <f>IF('RTF 1'!$D$9=3,'Lookup Tables'!$V$39,0)</f>
        <v>0</v>
      </c>
      <c r="M103">
        <f t="shared" si="23"/>
        <v>65</v>
      </c>
      <c r="N103">
        <f t="shared" si="24"/>
        <v>75</v>
      </c>
      <c r="P103" s="8" t="b">
        <f>'RTF 1'!Q76&gt;'RTF 1'!S76</f>
        <v>0</v>
      </c>
      <c r="Q103" s="8" t="b">
        <f>AND('RTF 1'!S76&gt;='RTF 1'!Q76,'RTF 1'!Q76&gt;'RTF 1'!T76)</f>
        <v>1</v>
      </c>
      <c r="R103" s="35" t="b">
        <f>'RTF 1'!Q76&lt;='RTF 1'!T76</f>
        <v>0</v>
      </c>
      <c r="S103" s="8" t="b">
        <f>'RTF 1'!Q76&gt;'RTF 1'!U76</f>
        <v>1</v>
      </c>
      <c r="T103" s="8" t="b">
        <f>AND('RTF 1'!U76&gt;='RTF 1'!Q76,'RTF 1'!Q76&gt;'RTF 1'!V76)</f>
        <v>0</v>
      </c>
      <c r="U103" s="35" t="b">
        <f>'RTF 1'!Q76&lt;='RTF 1'!V76</f>
        <v>0</v>
      </c>
      <c r="V103" s="42"/>
      <c r="W103" s="8" t="b">
        <f>'RTF 1'!Q76&gt;('RTF 1'!P76+'RTF 1'!O76)</f>
        <v>1</v>
      </c>
      <c r="X103" s="8" t="b">
        <f>'RTF 1'!O76&gt;('RTF 1'!P76+'RTF 1'!Q76)</f>
        <v>0</v>
      </c>
      <c r="Y103" s="8" t="b">
        <f>AND(('RTF 1'!O76+10)&gt;='RTF 1'!P76,('RTF 1'!O76-10)&lt;='RTF 1'!P76,('RTF 1'!P76+10)&gt;='RTF 1'!Q76,('RTF 1'!P76-10)&lt;='RTF 1'!Q76,('RTF 1'!O76+10)&gt;='RTF 1'!Q76,('RTF 1'!O76-10)&lt;='RTF 1'!Q76)</f>
        <v>0</v>
      </c>
      <c r="Z103" s="8" t="b">
        <f>AND(('RTF 1'!O76+10)&gt;='RTF 1'!P76,('RTF 1'!O76-10)&lt;='RTF 1'!P76,OR('RTF 1'!P76&gt;'RTF 1'!Y76,'RTF 1'!O76&gt;'RTF 1'!Y76))</f>
        <v>0</v>
      </c>
      <c r="AA103" s="11" t="b">
        <f>AND(('RTF 1'!Q76+10)&gt;='RTF 1'!P76,('RTF 1'!Q76-10)&lt;='RTF 1'!P76,OR('RTF 1'!P76&gt;'RTF 1'!Z76,'RTF 1'!Q76&gt;'RTF 1'!Z76))</f>
        <v>0</v>
      </c>
      <c r="AB103" s="35" t="b">
        <f t="shared" si="16"/>
        <v>0</v>
      </c>
      <c r="AC103" s="8" t="b">
        <f>'RTF 1'!Q76&gt;'RTF 1'!P76</f>
        <v>1</v>
      </c>
      <c r="AD103" s="8" t="b">
        <f>AND('RTF 1'!P76&gt;='RTF 1'!Q76,'RTF 1'!Q76&gt;'RTF 1'!AA76)</f>
        <v>0</v>
      </c>
      <c r="AE103" s="8" t="b">
        <f>AND('RTF 1'!AA76&gt;'RTF 1'!Q76,'RTF 1'!Q76&gt;'RTF 1'!AB76)</f>
        <v>0</v>
      </c>
      <c r="AF103" s="8" t="b">
        <f>'RTF 1'!Q76&lt;'RTF 1'!AB76</f>
        <v>0</v>
      </c>
    </row>
    <row r="104" spans="1:32" x14ac:dyDescent="0.25">
      <c r="A104" s="3">
        <v>200</v>
      </c>
      <c r="B104" s="395">
        <f t="shared" si="25"/>
        <v>380.06250628000009</v>
      </c>
      <c r="C104" s="395">
        <f t="shared" si="26"/>
        <v>454.45260969000003</v>
      </c>
      <c r="D104" s="395">
        <f t="shared" si="27"/>
        <v>454.45260969000003</v>
      </c>
      <c r="E104" s="394">
        <f t="shared" si="28"/>
        <v>589.49392869999997</v>
      </c>
      <c r="I104" s="49">
        <f>IF('RTF 1'!$D$9=1,'Lookup Tables'!$J104,IF('RTF 1'!$D$9=2,'Lookup Tables'!$K104,IF('RTF 1'!$D$9=3,'Lookup Tables'!$L104,IF('RTF 1'!$D$9=4,'Lookup Tables'!$M104,'Lookup Tables'!$N104))))</f>
        <v>60</v>
      </c>
      <c r="J104">
        <f t="shared" ref="J104:J135" si="29">IF(P104=TRUE,$P$39,IF(Q104=TRUE,$Q$39,$R$39))</f>
        <v>40</v>
      </c>
      <c r="K104">
        <f t="shared" ref="K104:K135" si="30">IF(S104=TRUE,$S$39,IF(T104=TRUE,$T$39,$U$39))</f>
        <v>60</v>
      </c>
      <c r="L104">
        <f>IF('RTF 1'!$D$9=3,'Lookup Tables'!$V$39,0)</f>
        <v>0</v>
      </c>
      <c r="M104">
        <f t="shared" ref="M104:M135" si="31">IF(W104=TRUE,$W$39,IF(X104=TRUE,(IF(S104=TRUE,$S$39,IF(T104=TRUE,$T$39,$U$39))),IF($Y$40=TRUE,$Y$39,IF(Z104=TRUE,$Z$39,IF(AA104=TRUE,$AA$39,$AB$39)))))</f>
        <v>65</v>
      </c>
      <c r="N104">
        <f t="shared" ref="N104:N135" si="32">IF(AC104=TRUE,$AC$39,IF(AD104=TRUE,$AD$39,IF(AE104=TRUE,$AE$39,$AF$39)))</f>
        <v>75</v>
      </c>
      <c r="P104" s="8" t="b">
        <f>'RTF 1'!Q77&gt;'RTF 1'!S77</f>
        <v>0</v>
      </c>
      <c r="Q104" s="8" t="b">
        <f>AND('RTF 1'!S77&gt;='RTF 1'!Q77,'RTF 1'!Q77&gt;'RTF 1'!T77)</f>
        <v>1</v>
      </c>
      <c r="R104" s="35" t="b">
        <f>'RTF 1'!Q77&lt;='RTF 1'!T77</f>
        <v>0</v>
      </c>
      <c r="S104" s="8" t="b">
        <f>'RTF 1'!Q77&gt;'RTF 1'!U77</f>
        <v>1</v>
      </c>
      <c r="T104" s="8" t="b">
        <f>AND('RTF 1'!U77&gt;='RTF 1'!Q77,'RTF 1'!Q77&gt;'RTF 1'!V77)</f>
        <v>0</v>
      </c>
      <c r="U104" s="35" t="b">
        <f>'RTF 1'!Q77&lt;='RTF 1'!V77</f>
        <v>0</v>
      </c>
      <c r="V104" s="42"/>
      <c r="W104" s="8" t="b">
        <f>'RTF 1'!Q77&gt;('RTF 1'!P77+'RTF 1'!O77)</f>
        <v>1</v>
      </c>
      <c r="X104" s="8" t="b">
        <f>'RTF 1'!O77&gt;('RTF 1'!P77+'RTF 1'!Q77)</f>
        <v>0</v>
      </c>
      <c r="Y104" s="8" t="b">
        <f>AND(('RTF 1'!O77+10)&gt;='RTF 1'!P77,('RTF 1'!O77-10)&lt;='RTF 1'!P77,('RTF 1'!P77+10)&gt;='RTF 1'!Q77,('RTF 1'!P77-10)&lt;='RTF 1'!Q77,('RTF 1'!O77+10)&gt;='RTF 1'!Q77,('RTF 1'!O77-10)&lt;='RTF 1'!Q77)</f>
        <v>0</v>
      </c>
      <c r="Z104" s="8" t="b">
        <f>AND(('RTF 1'!O77+10)&gt;='RTF 1'!P77,('RTF 1'!O77-10)&lt;='RTF 1'!P77,OR('RTF 1'!P77&gt;'RTF 1'!Y77,'RTF 1'!O77&gt;'RTF 1'!Y77))</f>
        <v>0</v>
      </c>
      <c r="AA104" s="11" t="b">
        <f>AND(('RTF 1'!Q77+10)&gt;='RTF 1'!P77,('RTF 1'!Q77-10)&lt;='RTF 1'!P77,OR('RTF 1'!P77&gt;'RTF 1'!Z77,'RTF 1'!Q77&gt;'RTF 1'!Z77))</f>
        <v>0</v>
      </c>
      <c r="AB104" s="35" t="b">
        <f t="shared" si="16"/>
        <v>0</v>
      </c>
      <c r="AC104" s="8" t="b">
        <f>'RTF 1'!Q77&gt;'RTF 1'!P77</f>
        <v>1</v>
      </c>
      <c r="AD104" s="8" t="b">
        <f>AND('RTF 1'!P77&gt;='RTF 1'!Q77,'RTF 1'!Q77&gt;'RTF 1'!AA77)</f>
        <v>0</v>
      </c>
      <c r="AE104" s="8" t="b">
        <f>AND('RTF 1'!AA77&gt;'RTF 1'!Q77,'RTF 1'!Q77&gt;'RTF 1'!AB77)</f>
        <v>0</v>
      </c>
      <c r="AF104" s="8" t="b">
        <f>'RTF 1'!Q77&lt;'RTF 1'!AB77</f>
        <v>0</v>
      </c>
    </row>
    <row r="105" spans="1:32" x14ac:dyDescent="0.25">
      <c r="A105" s="3">
        <v>300</v>
      </c>
      <c r="B105" s="395">
        <f t="shared" si="25"/>
        <v>319.83963129</v>
      </c>
      <c r="C105" s="395">
        <f t="shared" si="26"/>
        <v>392.85675923999997</v>
      </c>
      <c r="D105" s="395">
        <f t="shared" si="27"/>
        <v>392.85675923999997</v>
      </c>
      <c r="E105" s="394">
        <f t="shared" si="28"/>
        <v>508.81632255</v>
      </c>
      <c r="I105" s="49">
        <f>IF('RTF 1'!$D$9=1,'Lookup Tables'!$J105,IF('RTF 1'!$D$9=2,'Lookup Tables'!$K105,IF('RTF 1'!$D$9=3,'Lookup Tables'!$L105,IF('RTF 1'!$D$9=4,'Lookup Tables'!$M105,'Lookup Tables'!$N105))))</f>
        <v>60</v>
      </c>
      <c r="J105">
        <f t="shared" si="29"/>
        <v>40</v>
      </c>
      <c r="K105">
        <f t="shared" si="30"/>
        <v>60</v>
      </c>
      <c r="L105">
        <f>IF('RTF 1'!$D$9=3,'Lookup Tables'!$V$39,0)</f>
        <v>0</v>
      </c>
      <c r="M105">
        <f t="shared" si="31"/>
        <v>65</v>
      </c>
      <c r="N105">
        <f t="shared" si="32"/>
        <v>75</v>
      </c>
      <c r="P105" s="8" t="b">
        <f>'RTF 1'!Q78&gt;'RTF 1'!S78</f>
        <v>0</v>
      </c>
      <c r="Q105" s="8" t="b">
        <f>AND('RTF 1'!S78&gt;='RTF 1'!Q78,'RTF 1'!Q78&gt;'RTF 1'!T78)</f>
        <v>1</v>
      </c>
      <c r="R105" s="35" t="b">
        <f>'RTF 1'!Q78&lt;='RTF 1'!T78</f>
        <v>0</v>
      </c>
      <c r="S105" s="8" t="b">
        <f>'RTF 1'!Q78&gt;'RTF 1'!U78</f>
        <v>1</v>
      </c>
      <c r="T105" s="8" t="b">
        <f>AND('RTF 1'!U78&gt;='RTF 1'!Q78,'RTF 1'!Q78&gt;'RTF 1'!V78)</f>
        <v>0</v>
      </c>
      <c r="U105" s="35" t="b">
        <f>'RTF 1'!Q78&lt;='RTF 1'!V78</f>
        <v>0</v>
      </c>
      <c r="V105" s="42"/>
      <c r="W105" s="8" t="b">
        <f>'RTF 1'!Q78&gt;('RTF 1'!P78+'RTF 1'!O78)</f>
        <v>1</v>
      </c>
      <c r="X105" s="8" t="b">
        <f>'RTF 1'!O78&gt;('RTF 1'!P78+'RTF 1'!Q78)</f>
        <v>0</v>
      </c>
      <c r="Y105" s="8" t="b">
        <f>AND(('RTF 1'!O78+10)&gt;='RTF 1'!P78,('RTF 1'!O78-10)&lt;='RTF 1'!P78,('RTF 1'!P78+10)&gt;='RTF 1'!Q78,('RTF 1'!P78-10)&lt;='RTF 1'!Q78,('RTF 1'!O78+10)&gt;='RTF 1'!Q78,('RTF 1'!O78-10)&lt;='RTF 1'!Q78)</f>
        <v>0</v>
      </c>
      <c r="Z105" s="8" t="b">
        <f>AND(('RTF 1'!O78+10)&gt;='RTF 1'!P78,('RTF 1'!O78-10)&lt;='RTF 1'!P78,OR('RTF 1'!P78&gt;'RTF 1'!Y78,'RTF 1'!O78&gt;'RTF 1'!Y78))</f>
        <v>0</v>
      </c>
      <c r="AA105" s="11" t="b">
        <f>AND(('RTF 1'!Q78+10)&gt;='RTF 1'!P78,('RTF 1'!Q78-10)&lt;='RTF 1'!P78,OR('RTF 1'!P78&gt;'RTF 1'!Z78,'RTF 1'!Q78&gt;'RTF 1'!Z78))</f>
        <v>0</v>
      </c>
      <c r="AB105" s="35" t="b">
        <f t="shared" ref="AB105:AB135" si="33">IF(AND(W105=FALSE,X105=FALSE,Y105=FALSE,Z105=FALSE,AA105=FALSE),TRUE,FALSE)</f>
        <v>0</v>
      </c>
      <c r="AC105" s="8" t="b">
        <f>'RTF 1'!Q78&gt;'RTF 1'!P78</f>
        <v>1</v>
      </c>
      <c r="AD105" s="8" t="b">
        <f>AND('RTF 1'!P78&gt;='RTF 1'!Q78,'RTF 1'!Q78&gt;'RTF 1'!AA78)</f>
        <v>0</v>
      </c>
      <c r="AE105" s="8" t="b">
        <f>AND('RTF 1'!AA78&gt;'RTF 1'!Q78,'RTF 1'!Q78&gt;'RTF 1'!AB78)</f>
        <v>0</v>
      </c>
      <c r="AF105" s="8" t="b">
        <f>'RTF 1'!Q78&lt;'RTF 1'!AB78</f>
        <v>0</v>
      </c>
    </row>
    <row r="106" spans="1:32" x14ac:dyDescent="0.25">
      <c r="A106" s="3">
        <v>400</v>
      </c>
      <c r="B106" s="395">
        <f t="shared" si="25"/>
        <v>266.11785430000003</v>
      </c>
      <c r="C106" s="395">
        <f t="shared" si="26"/>
        <v>336.50856879000003</v>
      </c>
      <c r="D106" s="395">
        <f t="shared" si="27"/>
        <v>336.50856879000003</v>
      </c>
      <c r="E106" s="394">
        <f t="shared" si="28"/>
        <v>435.13656040000001</v>
      </c>
      <c r="I106" s="49">
        <f>IF('RTF 1'!$D$9=1,'Lookup Tables'!$J106,IF('RTF 1'!$D$9=2,'Lookup Tables'!$K106,IF('RTF 1'!$D$9=3,'Lookup Tables'!$L106,IF('RTF 1'!$D$9=4,'Lookup Tables'!$M106,'Lookup Tables'!$N106))))</f>
        <v>60</v>
      </c>
      <c r="J106">
        <f t="shared" si="29"/>
        <v>40</v>
      </c>
      <c r="K106">
        <f t="shared" si="30"/>
        <v>60</v>
      </c>
      <c r="L106">
        <f>IF('RTF 1'!$D$9=3,'Lookup Tables'!$V$39,0)</f>
        <v>0</v>
      </c>
      <c r="M106">
        <f t="shared" si="31"/>
        <v>65</v>
      </c>
      <c r="N106">
        <f t="shared" si="32"/>
        <v>75</v>
      </c>
      <c r="P106" s="8" t="b">
        <f>'RTF 1'!Q79&gt;'RTF 1'!S79</f>
        <v>0</v>
      </c>
      <c r="Q106" s="8" t="b">
        <f>AND('RTF 1'!S79&gt;='RTF 1'!Q79,'RTF 1'!Q79&gt;'RTF 1'!T79)</f>
        <v>1</v>
      </c>
      <c r="R106" s="35" t="b">
        <f>'RTF 1'!Q79&lt;='RTF 1'!T79</f>
        <v>0</v>
      </c>
      <c r="S106" s="8" t="b">
        <f>'RTF 1'!Q79&gt;'RTF 1'!U79</f>
        <v>1</v>
      </c>
      <c r="T106" s="8" t="b">
        <f>AND('RTF 1'!U79&gt;='RTF 1'!Q79,'RTF 1'!Q79&gt;'RTF 1'!V79)</f>
        <v>0</v>
      </c>
      <c r="U106" s="35" t="b">
        <f>'RTF 1'!Q79&lt;='RTF 1'!V79</f>
        <v>0</v>
      </c>
      <c r="V106" s="42"/>
      <c r="W106" s="8" t="b">
        <f>'RTF 1'!Q79&gt;('RTF 1'!P79+'RTF 1'!O79)</f>
        <v>1</v>
      </c>
      <c r="X106" s="8" t="b">
        <f>'RTF 1'!O79&gt;('RTF 1'!P79+'RTF 1'!Q79)</f>
        <v>0</v>
      </c>
      <c r="Y106" s="8" t="b">
        <f>AND(('RTF 1'!O79+10)&gt;='RTF 1'!P79,('RTF 1'!O79-10)&lt;='RTF 1'!P79,('RTF 1'!P79+10)&gt;='RTF 1'!Q79,('RTF 1'!P79-10)&lt;='RTF 1'!Q79,('RTF 1'!O79+10)&gt;='RTF 1'!Q79,('RTF 1'!O79-10)&lt;='RTF 1'!Q79)</f>
        <v>0</v>
      </c>
      <c r="Z106" s="8" t="b">
        <f>AND(('RTF 1'!O79+10)&gt;='RTF 1'!P79,('RTF 1'!O79-10)&lt;='RTF 1'!P79,OR('RTF 1'!P79&gt;'RTF 1'!Y79,'RTF 1'!O79&gt;'RTF 1'!Y79))</f>
        <v>0</v>
      </c>
      <c r="AA106" s="11" t="b">
        <f>AND(('RTF 1'!Q79+10)&gt;='RTF 1'!P79,('RTF 1'!Q79-10)&lt;='RTF 1'!P79,OR('RTF 1'!P79&gt;'RTF 1'!Z79,'RTF 1'!Q79&gt;'RTF 1'!Z79))</f>
        <v>0</v>
      </c>
      <c r="AB106" s="35" t="b">
        <f t="shared" si="33"/>
        <v>0</v>
      </c>
      <c r="AC106" s="8" t="b">
        <f>'RTF 1'!Q79&gt;'RTF 1'!P79</f>
        <v>1</v>
      </c>
      <c r="AD106" s="8" t="b">
        <f>AND('RTF 1'!P79&gt;='RTF 1'!Q79,'RTF 1'!Q79&gt;'RTF 1'!AA79)</f>
        <v>0</v>
      </c>
      <c r="AE106" s="8" t="b">
        <f>AND('RTF 1'!AA79&gt;'RTF 1'!Q79,'RTF 1'!Q79&gt;'RTF 1'!AB79)</f>
        <v>0</v>
      </c>
      <c r="AF106" s="8" t="b">
        <f>'RTF 1'!Q79&lt;'RTF 1'!AB79</f>
        <v>0</v>
      </c>
    </row>
    <row r="107" spans="1:32" x14ac:dyDescent="0.25">
      <c r="A107">
        <v>500</v>
      </c>
      <c r="B107" s="395">
        <f t="shared" si="25"/>
        <v>218.89717531000008</v>
      </c>
      <c r="C107" s="395">
        <f t="shared" si="26"/>
        <v>285.40803834000002</v>
      </c>
      <c r="D107" s="395">
        <f t="shared" si="27"/>
        <v>285.40803834000002</v>
      </c>
      <c r="E107" s="394">
        <f t="shared" si="28"/>
        <v>368.45464225000001</v>
      </c>
      <c r="I107" s="49">
        <f>IF('RTF 1'!$D$9=1,'Lookup Tables'!$J107,IF('RTF 1'!$D$9=2,'Lookup Tables'!$K107,IF('RTF 1'!$D$9=3,'Lookup Tables'!$L107,IF('RTF 1'!$D$9=4,'Lookup Tables'!$M107,'Lookup Tables'!$N107))))</f>
        <v>60</v>
      </c>
      <c r="J107">
        <f t="shared" si="29"/>
        <v>40</v>
      </c>
      <c r="K107">
        <f t="shared" si="30"/>
        <v>60</v>
      </c>
      <c r="L107">
        <f>IF('RTF 1'!$D$9=3,'Lookup Tables'!$V$39,0)</f>
        <v>0</v>
      </c>
      <c r="M107">
        <f t="shared" si="31"/>
        <v>65</v>
      </c>
      <c r="N107">
        <f t="shared" si="32"/>
        <v>75</v>
      </c>
      <c r="P107" s="8" t="b">
        <f>'RTF 1'!Q80&gt;'RTF 1'!S80</f>
        <v>0</v>
      </c>
      <c r="Q107" s="8" t="b">
        <f>AND('RTF 1'!S80&gt;='RTF 1'!Q80,'RTF 1'!Q80&gt;'RTF 1'!T80)</f>
        <v>1</v>
      </c>
      <c r="R107" s="35" t="b">
        <f>'RTF 1'!Q80&lt;='RTF 1'!T80</f>
        <v>0</v>
      </c>
      <c r="S107" s="8" t="b">
        <f>'RTF 1'!Q80&gt;'RTF 1'!U80</f>
        <v>1</v>
      </c>
      <c r="T107" s="8" t="b">
        <f>AND('RTF 1'!U80&gt;='RTF 1'!Q80,'RTF 1'!Q80&gt;'RTF 1'!V80)</f>
        <v>0</v>
      </c>
      <c r="U107" s="35" t="b">
        <f>'RTF 1'!Q80&lt;='RTF 1'!V80</f>
        <v>0</v>
      </c>
      <c r="V107" s="42"/>
      <c r="W107" s="8" t="b">
        <f>'RTF 1'!Q80&gt;('RTF 1'!P80+'RTF 1'!O80)</f>
        <v>1</v>
      </c>
      <c r="X107" s="8" t="b">
        <f>'RTF 1'!O80&gt;('RTF 1'!P80+'RTF 1'!Q80)</f>
        <v>0</v>
      </c>
      <c r="Y107" s="8" t="b">
        <f>AND(('RTF 1'!O80+10)&gt;='RTF 1'!P80,('RTF 1'!O80-10)&lt;='RTF 1'!P80,('RTF 1'!P80+10)&gt;='RTF 1'!Q80,('RTF 1'!P80-10)&lt;='RTF 1'!Q80,('RTF 1'!O80+10)&gt;='RTF 1'!Q80,('RTF 1'!O80-10)&lt;='RTF 1'!Q80)</f>
        <v>0</v>
      </c>
      <c r="Z107" s="8" t="b">
        <f>AND(('RTF 1'!O80+10)&gt;='RTF 1'!P80,('RTF 1'!O80-10)&lt;='RTF 1'!P80,OR('RTF 1'!P80&gt;'RTF 1'!Y80,'RTF 1'!O80&gt;'RTF 1'!Y80))</f>
        <v>0</v>
      </c>
      <c r="AA107" s="11" t="b">
        <f>AND(('RTF 1'!Q80+10)&gt;='RTF 1'!P80,('RTF 1'!Q80-10)&lt;='RTF 1'!P80,OR('RTF 1'!P80&gt;'RTF 1'!Z80,'RTF 1'!Q80&gt;'RTF 1'!Z80))</f>
        <v>0</v>
      </c>
      <c r="AB107" s="35" t="b">
        <f t="shared" si="33"/>
        <v>0</v>
      </c>
      <c r="AC107" s="8" t="b">
        <f>'RTF 1'!Q80&gt;'RTF 1'!P80</f>
        <v>1</v>
      </c>
      <c r="AD107" s="8" t="b">
        <f>AND('RTF 1'!P80&gt;='RTF 1'!Q80,'RTF 1'!Q80&gt;'RTF 1'!AA80)</f>
        <v>0</v>
      </c>
      <c r="AE107" s="8" t="b">
        <f>AND('RTF 1'!AA80&gt;'RTF 1'!Q80,'RTF 1'!Q80&gt;'RTF 1'!AB80)</f>
        <v>0</v>
      </c>
      <c r="AF107" s="8" t="b">
        <f>'RTF 1'!Q80&lt;'RTF 1'!AB80</f>
        <v>0</v>
      </c>
    </row>
    <row r="108" spans="1:32" x14ac:dyDescent="0.25">
      <c r="A108">
        <v>600</v>
      </c>
      <c r="B108" s="395">
        <f t="shared" si="25"/>
        <v>178.17759432000003</v>
      </c>
      <c r="C108" s="395">
        <f t="shared" si="26"/>
        <v>239.55516789000001</v>
      </c>
      <c r="D108" s="395">
        <f t="shared" si="27"/>
        <v>239.55516789000001</v>
      </c>
      <c r="E108" s="394">
        <f t="shared" si="28"/>
        <v>308.77056809999999</v>
      </c>
      <c r="I108" s="49">
        <f>IF('RTF 1'!$D$9=1,'Lookup Tables'!$J108,IF('RTF 1'!$D$9=2,'Lookup Tables'!$K108,IF('RTF 1'!$D$9=3,'Lookup Tables'!$L108,IF('RTF 1'!$D$9=4,'Lookup Tables'!$M108,'Lookup Tables'!$N108))))</f>
        <v>60</v>
      </c>
      <c r="J108">
        <f t="shared" si="29"/>
        <v>40</v>
      </c>
      <c r="K108">
        <f t="shared" si="30"/>
        <v>60</v>
      </c>
      <c r="L108">
        <f>IF('RTF 1'!$D$9=3,'Lookup Tables'!$V$39,0)</f>
        <v>0</v>
      </c>
      <c r="M108">
        <f t="shared" si="31"/>
        <v>65</v>
      </c>
      <c r="N108">
        <f t="shared" si="32"/>
        <v>75</v>
      </c>
      <c r="P108" s="8" t="b">
        <f>'RTF 1'!Q81&gt;'RTF 1'!S81</f>
        <v>0</v>
      </c>
      <c r="Q108" s="8" t="b">
        <f>AND('RTF 1'!S81&gt;='RTF 1'!Q81,'RTF 1'!Q81&gt;'RTF 1'!T81)</f>
        <v>1</v>
      </c>
      <c r="R108" s="35" t="b">
        <f>'RTF 1'!Q81&lt;='RTF 1'!T81</f>
        <v>0</v>
      </c>
      <c r="S108" s="8" t="b">
        <f>'RTF 1'!Q81&gt;'RTF 1'!U81</f>
        <v>1</v>
      </c>
      <c r="T108" s="8" t="b">
        <f>AND('RTF 1'!U81&gt;='RTF 1'!Q81,'RTF 1'!Q81&gt;'RTF 1'!V81)</f>
        <v>0</v>
      </c>
      <c r="U108" s="35" t="b">
        <f>'RTF 1'!Q81&lt;='RTF 1'!V81</f>
        <v>0</v>
      </c>
      <c r="V108" s="42"/>
      <c r="W108" s="8" t="b">
        <f>'RTF 1'!Q81&gt;('RTF 1'!P81+'RTF 1'!O81)</f>
        <v>1</v>
      </c>
      <c r="X108" s="8" t="b">
        <f>'RTF 1'!O81&gt;('RTF 1'!P81+'RTF 1'!Q81)</f>
        <v>0</v>
      </c>
      <c r="Y108" s="8" t="b">
        <f>AND(('RTF 1'!O81+10)&gt;='RTF 1'!P81,('RTF 1'!O81-10)&lt;='RTF 1'!P81,('RTF 1'!P81+10)&gt;='RTF 1'!Q81,('RTF 1'!P81-10)&lt;='RTF 1'!Q81,('RTF 1'!O81+10)&gt;='RTF 1'!Q81,('RTF 1'!O81-10)&lt;='RTF 1'!Q81)</f>
        <v>0</v>
      </c>
      <c r="Z108" s="8" t="b">
        <f>AND(('RTF 1'!O81+10)&gt;='RTF 1'!P81,('RTF 1'!O81-10)&lt;='RTF 1'!P81,OR('RTF 1'!P81&gt;'RTF 1'!Y81,'RTF 1'!O81&gt;'RTF 1'!Y81))</f>
        <v>0</v>
      </c>
      <c r="AA108" s="11" t="b">
        <f>AND(('RTF 1'!Q81+10)&gt;='RTF 1'!P81,('RTF 1'!Q81-10)&lt;='RTF 1'!P81,OR('RTF 1'!P81&gt;'RTF 1'!Z81,'RTF 1'!Q81&gt;'RTF 1'!Z81))</f>
        <v>0</v>
      </c>
      <c r="AB108" s="35" t="b">
        <f t="shared" si="33"/>
        <v>0</v>
      </c>
      <c r="AC108" s="8" t="b">
        <f>'RTF 1'!Q81&gt;'RTF 1'!P81</f>
        <v>1</v>
      </c>
      <c r="AD108" s="8" t="b">
        <f>AND('RTF 1'!P81&gt;='RTF 1'!Q81,'RTF 1'!Q81&gt;'RTF 1'!AA81)</f>
        <v>0</v>
      </c>
      <c r="AE108" s="8" t="b">
        <f>AND('RTF 1'!AA81&gt;'RTF 1'!Q81,'RTF 1'!Q81&gt;'RTF 1'!AB81)</f>
        <v>0</v>
      </c>
      <c r="AF108" s="8" t="b">
        <f>'RTF 1'!Q81&lt;'RTF 1'!AB81</f>
        <v>0</v>
      </c>
    </row>
    <row r="109" spans="1:32" x14ac:dyDescent="0.25">
      <c r="A109">
        <v>700</v>
      </c>
      <c r="B109" s="395">
        <f t="shared" si="25"/>
        <v>143.9591113300001</v>
      </c>
      <c r="C109" s="395">
        <f t="shared" si="26"/>
        <v>198.94995744000002</v>
      </c>
      <c r="D109" s="395">
        <f t="shared" si="27"/>
        <v>198.94995744000002</v>
      </c>
      <c r="E109" s="394">
        <f t="shared" si="28"/>
        <v>256.08433794999996</v>
      </c>
      <c r="I109" s="49">
        <f>IF('RTF 1'!$D$9=1,'Lookup Tables'!$J109,IF('RTF 1'!$D$9=2,'Lookup Tables'!$K109,IF('RTF 1'!$D$9=3,'Lookup Tables'!$L109,IF('RTF 1'!$D$9=4,'Lookup Tables'!$M109,'Lookup Tables'!$N109))))</f>
        <v>60</v>
      </c>
      <c r="J109">
        <f t="shared" si="29"/>
        <v>40</v>
      </c>
      <c r="K109">
        <f t="shared" si="30"/>
        <v>60</v>
      </c>
      <c r="L109">
        <f>IF('RTF 1'!$D$9=3,'Lookup Tables'!$V$39,0)</f>
        <v>0</v>
      </c>
      <c r="M109">
        <f t="shared" si="31"/>
        <v>65</v>
      </c>
      <c r="N109">
        <f t="shared" si="32"/>
        <v>75</v>
      </c>
      <c r="P109" s="8" t="b">
        <f>'RTF 1'!Q82&gt;'RTF 1'!S82</f>
        <v>0</v>
      </c>
      <c r="Q109" s="8" t="b">
        <f>AND('RTF 1'!S82&gt;='RTF 1'!Q82,'RTF 1'!Q82&gt;'RTF 1'!T82)</f>
        <v>1</v>
      </c>
      <c r="R109" s="35" t="b">
        <f>'RTF 1'!Q82&lt;='RTF 1'!T82</f>
        <v>0</v>
      </c>
      <c r="S109" s="8" t="b">
        <f>'RTF 1'!Q82&gt;'RTF 1'!U82</f>
        <v>1</v>
      </c>
      <c r="T109" s="8" t="b">
        <f>AND('RTF 1'!U82&gt;='RTF 1'!Q82,'RTF 1'!Q82&gt;'RTF 1'!V82)</f>
        <v>0</v>
      </c>
      <c r="U109" s="35" t="b">
        <f>'RTF 1'!Q82&lt;='RTF 1'!V82</f>
        <v>0</v>
      </c>
      <c r="V109" s="42"/>
      <c r="W109" s="8" t="b">
        <f>'RTF 1'!Q82&gt;('RTF 1'!P82+'RTF 1'!O82)</f>
        <v>1</v>
      </c>
      <c r="X109" s="8" t="b">
        <f>'RTF 1'!O82&gt;('RTF 1'!P82+'RTF 1'!Q82)</f>
        <v>0</v>
      </c>
      <c r="Y109" s="8" t="b">
        <f>AND(('RTF 1'!O82+10)&gt;='RTF 1'!P82,('RTF 1'!O82-10)&lt;='RTF 1'!P82,('RTF 1'!P82+10)&gt;='RTF 1'!Q82,('RTF 1'!P82-10)&lt;='RTF 1'!Q82,('RTF 1'!O82+10)&gt;='RTF 1'!Q82,('RTF 1'!O82-10)&lt;='RTF 1'!Q82)</f>
        <v>0</v>
      </c>
      <c r="Z109" s="8" t="b">
        <f>AND(('RTF 1'!O82+10)&gt;='RTF 1'!P82,('RTF 1'!O82-10)&lt;='RTF 1'!P82,OR('RTF 1'!P82&gt;'RTF 1'!Y82,'RTF 1'!O82&gt;'RTF 1'!Y82))</f>
        <v>0</v>
      </c>
      <c r="AA109" s="11" t="b">
        <f>AND(('RTF 1'!Q82+10)&gt;='RTF 1'!P82,('RTF 1'!Q82-10)&lt;='RTF 1'!P82,OR('RTF 1'!P82&gt;'RTF 1'!Z82,'RTF 1'!Q82&gt;'RTF 1'!Z82))</f>
        <v>0</v>
      </c>
      <c r="AB109" s="35" t="b">
        <f t="shared" si="33"/>
        <v>0</v>
      </c>
      <c r="AC109" s="8" t="b">
        <f>'RTF 1'!Q82&gt;'RTF 1'!P82</f>
        <v>1</v>
      </c>
      <c r="AD109" s="8" t="b">
        <f>AND('RTF 1'!P82&gt;='RTF 1'!Q82,'RTF 1'!Q82&gt;'RTF 1'!AA82)</f>
        <v>0</v>
      </c>
      <c r="AE109" s="8" t="b">
        <f>AND('RTF 1'!AA82&gt;'RTF 1'!Q82,'RTF 1'!Q82&gt;'RTF 1'!AB82)</f>
        <v>0</v>
      </c>
      <c r="AF109" s="8" t="b">
        <f>'RTF 1'!Q82&lt;'RTF 1'!AB82</f>
        <v>0</v>
      </c>
    </row>
    <row r="110" spans="1:32" x14ac:dyDescent="0.25">
      <c r="A110">
        <v>800</v>
      </c>
      <c r="B110" s="395">
        <f t="shared" si="25"/>
        <v>116.24172634000004</v>
      </c>
      <c r="C110" s="395">
        <f t="shared" si="26"/>
        <v>163.59240698999997</v>
      </c>
      <c r="D110" s="395">
        <f t="shared" si="27"/>
        <v>163.59240698999997</v>
      </c>
      <c r="E110" s="394">
        <f t="shared" si="28"/>
        <v>210.39595180000001</v>
      </c>
      <c r="I110" s="49">
        <f>IF('RTF 1'!$D$9=1,'Lookup Tables'!$J110,IF('RTF 1'!$D$9=2,'Lookup Tables'!$K110,IF('RTF 1'!$D$9=3,'Lookup Tables'!$L110,IF('RTF 1'!$D$9=4,'Lookup Tables'!$M110,'Lookup Tables'!$N110))))</f>
        <v>60</v>
      </c>
      <c r="J110">
        <f t="shared" si="29"/>
        <v>40</v>
      </c>
      <c r="K110">
        <f t="shared" si="30"/>
        <v>60</v>
      </c>
      <c r="L110">
        <f>IF('RTF 1'!$D$9=3,'Lookup Tables'!$V$39,0)</f>
        <v>0</v>
      </c>
      <c r="M110">
        <f t="shared" si="31"/>
        <v>65</v>
      </c>
      <c r="N110">
        <f t="shared" si="32"/>
        <v>75</v>
      </c>
      <c r="P110" s="8" t="b">
        <f>'RTF 1'!Q83&gt;'RTF 1'!S83</f>
        <v>0</v>
      </c>
      <c r="Q110" s="8" t="b">
        <f>AND('RTF 1'!S83&gt;='RTF 1'!Q83,'RTF 1'!Q83&gt;'RTF 1'!T83)</f>
        <v>1</v>
      </c>
      <c r="R110" s="35" t="b">
        <f>'RTF 1'!Q83&lt;='RTF 1'!T83</f>
        <v>0</v>
      </c>
      <c r="S110" s="8" t="b">
        <f>'RTF 1'!Q83&gt;'RTF 1'!U83</f>
        <v>1</v>
      </c>
      <c r="T110" s="8" t="b">
        <f>AND('RTF 1'!U83&gt;='RTF 1'!Q83,'RTF 1'!Q83&gt;'RTF 1'!V83)</f>
        <v>0</v>
      </c>
      <c r="U110" s="35" t="b">
        <f>'RTF 1'!Q83&lt;='RTF 1'!V83</f>
        <v>0</v>
      </c>
      <c r="V110" s="42"/>
      <c r="W110" s="8" t="b">
        <f>'RTF 1'!Q83&gt;('RTF 1'!P83+'RTF 1'!O83)</f>
        <v>1</v>
      </c>
      <c r="X110" s="8" t="b">
        <f>'RTF 1'!O83&gt;('RTF 1'!P83+'RTF 1'!Q83)</f>
        <v>0</v>
      </c>
      <c r="Y110" s="8" t="b">
        <f>AND(('RTF 1'!O83+10)&gt;='RTF 1'!P83,('RTF 1'!O83-10)&lt;='RTF 1'!P83,('RTF 1'!P83+10)&gt;='RTF 1'!Q83,('RTF 1'!P83-10)&lt;='RTF 1'!Q83,('RTF 1'!O83+10)&gt;='RTF 1'!Q83,('RTF 1'!O83-10)&lt;='RTF 1'!Q83)</f>
        <v>0</v>
      </c>
      <c r="Z110" s="8" t="b">
        <f>AND(('RTF 1'!O83+10)&gt;='RTF 1'!P83,('RTF 1'!O83-10)&lt;='RTF 1'!P83,OR('RTF 1'!P83&gt;'RTF 1'!Y83,'RTF 1'!O83&gt;'RTF 1'!Y83))</f>
        <v>0</v>
      </c>
      <c r="AA110" s="11" t="b">
        <f>AND(('RTF 1'!Q83+10)&gt;='RTF 1'!P83,('RTF 1'!Q83-10)&lt;='RTF 1'!P83,OR('RTF 1'!P83&gt;'RTF 1'!Z83,'RTF 1'!Q83&gt;'RTF 1'!Z83))</f>
        <v>0</v>
      </c>
      <c r="AB110" s="35" t="b">
        <f t="shared" si="33"/>
        <v>0</v>
      </c>
      <c r="AC110" s="8" t="b">
        <f>'RTF 1'!Q83&gt;'RTF 1'!P83</f>
        <v>1</v>
      </c>
      <c r="AD110" s="8" t="b">
        <f>AND('RTF 1'!P83&gt;='RTF 1'!Q83,'RTF 1'!Q83&gt;'RTF 1'!AA83)</f>
        <v>0</v>
      </c>
      <c r="AE110" s="8" t="b">
        <f>AND('RTF 1'!AA83&gt;'RTF 1'!Q83,'RTF 1'!Q83&gt;'RTF 1'!AB83)</f>
        <v>0</v>
      </c>
      <c r="AF110" s="8" t="b">
        <f>'RTF 1'!Q83&lt;'RTF 1'!AB83</f>
        <v>0</v>
      </c>
    </row>
    <row r="111" spans="1:32" x14ac:dyDescent="0.25">
      <c r="A111">
        <v>900</v>
      </c>
      <c r="B111" s="395">
        <f t="shared" si="25"/>
        <v>95.025439349999999</v>
      </c>
      <c r="C111" s="395">
        <f t="shared" si="26"/>
        <v>133.48251654000003</v>
      </c>
      <c r="D111" s="395">
        <f t="shared" si="27"/>
        <v>133.48251654000003</v>
      </c>
      <c r="E111" s="394">
        <f t="shared" si="28"/>
        <v>171.70540964999998</v>
      </c>
      <c r="I111" s="49">
        <f>IF('RTF 1'!$D$9=1,'Lookup Tables'!$J111,IF('RTF 1'!$D$9=2,'Lookup Tables'!$K111,IF('RTF 1'!$D$9=3,'Lookup Tables'!$L111,IF('RTF 1'!$D$9=4,'Lookup Tables'!$M111,'Lookup Tables'!$N111))))</f>
        <v>60</v>
      </c>
      <c r="J111">
        <f t="shared" si="29"/>
        <v>40</v>
      </c>
      <c r="K111">
        <f t="shared" si="30"/>
        <v>60</v>
      </c>
      <c r="L111">
        <f>IF('RTF 1'!$D$9=3,'Lookup Tables'!$V$39,0)</f>
        <v>0</v>
      </c>
      <c r="M111">
        <f t="shared" si="31"/>
        <v>65</v>
      </c>
      <c r="N111">
        <f t="shared" si="32"/>
        <v>75</v>
      </c>
      <c r="P111" s="8" t="b">
        <f>'RTF 1'!Q84&gt;'RTF 1'!S84</f>
        <v>0</v>
      </c>
      <c r="Q111" s="8" t="b">
        <f>AND('RTF 1'!S84&gt;='RTF 1'!Q84,'RTF 1'!Q84&gt;'RTF 1'!T84)</f>
        <v>1</v>
      </c>
      <c r="R111" s="35" t="b">
        <f>'RTF 1'!Q84&lt;='RTF 1'!T84</f>
        <v>0</v>
      </c>
      <c r="S111" s="8" t="b">
        <f>'RTF 1'!Q84&gt;'RTF 1'!U84</f>
        <v>1</v>
      </c>
      <c r="T111" s="8" t="b">
        <f>AND('RTF 1'!U84&gt;='RTF 1'!Q84,'RTF 1'!Q84&gt;'RTF 1'!V84)</f>
        <v>0</v>
      </c>
      <c r="U111" s="35" t="b">
        <f>'RTF 1'!Q84&lt;='RTF 1'!V84</f>
        <v>0</v>
      </c>
      <c r="V111" s="42"/>
      <c r="W111" s="8" t="b">
        <f>'RTF 1'!Q84&gt;('RTF 1'!P84+'RTF 1'!O84)</f>
        <v>1</v>
      </c>
      <c r="X111" s="8" t="b">
        <f>'RTF 1'!O84&gt;('RTF 1'!P84+'RTF 1'!Q84)</f>
        <v>0</v>
      </c>
      <c r="Y111" s="8" t="b">
        <f>AND(('RTF 1'!O84+10)&gt;='RTF 1'!P84,('RTF 1'!O84-10)&lt;='RTF 1'!P84,('RTF 1'!P84+10)&gt;='RTF 1'!Q84,('RTF 1'!P84-10)&lt;='RTF 1'!Q84,('RTF 1'!O84+10)&gt;='RTF 1'!Q84,('RTF 1'!O84-10)&lt;='RTF 1'!Q84)</f>
        <v>0</v>
      </c>
      <c r="Z111" s="8" t="b">
        <f>AND(('RTF 1'!O84+10)&gt;='RTF 1'!P84,('RTF 1'!O84-10)&lt;='RTF 1'!P84,OR('RTF 1'!P84&gt;'RTF 1'!Y84,'RTF 1'!O84&gt;'RTF 1'!Y84))</f>
        <v>0</v>
      </c>
      <c r="AA111" s="11" t="b">
        <f>AND(('RTF 1'!Q84+10)&gt;='RTF 1'!P84,('RTF 1'!Q84-10)&lt;='RTF 1'!P84,OR('RTF 1'!P84&gt;'RTF 1'!Z84,'RTF 1'!Q84&gt;'RTF 1'!Z84))</f>
        <v>0</v>
      </c>
      <c r="AB111" s="35" t="b">
        <f t="shared" si="33"/>
        <v>0</v>
      </c>
      <c r="AC111" s="8" t="b">
        <f>'RTF 1'!Q84&gt;'RTF 1'!P84</f>
        <v>1</v>
      </c>
      <c r="AD111" s="8" t="b">
        <f>AND('RTF 1'!P84&gt;='RTF 1'!Q84,'RTF 1'!Q84&gt;'RTF 1'!AA84)</f>
        <v>0</v>
      </c>
      <c r="AE111" s="8" t="b">
        <f>AND('RTF 1'!AA84&gt;'RTF 1'!Q84,'RTF 1'!Q84&gt;'RTF 1'!AB84)</f>
        <v>0</v>
      </c>
      <c r="AF111" s="8" t="b">
        <f>'RTF 1'!Q84&lt;'RTF 1'!AB84</f>
        <v>0</v>
      </c>
    </row>
    <row r="112" spans="1:32" x14ac:dyDescent="0.25">
      <c r="A112">
        <v>1000</v>
      </c>
      <c r="B112" s="395">
        <f t="shared" si="25"/>
        <v>80.310250360000111</v>
      </c>
      <c r="C112" s="395">
        <f t="shared" si="26"/>
        <v>108.62028608999998</v>
      </c>
      <c r="D112" s="395">
        <f t="shared" si="27"/>
        <v>108.62028608999998</v>
      </c>
      <c r="E112" s="394">
        <f t="shared" si="28"/>
        <v>140.01271150000002</v>
      </c>
      <c r="I112" s="49">
        <f>IF('RTF 1'!$D$9=1,'Lookup Tables'!$J112,IF('RTF 1'!$D$9=2,'Lookup Tables'!$K112,IF('RTF 1'!$D$9=3,'Lookup Tables'!$L112,IF('RTF 1'!$D$9=4,'Lookup Tables'!$M112,'Lookup Tables'!$N112))))</f>
        <v>60</v>
      </c>
      <c r="J112">
        <f t="shared" si="29"/>
        <v>40</v>
      </c>
      <c r="K112">
        <f t="shared" si="30"/>
        <v>60</v>
      </c>
      <c r="L112">
        <f>IF('RTF 1'!$D$9=3,'Lookup Tables'!$V$39,0)</f>
        <v>0</v>
      </c>
      <c r="M112">
        <f t="shared" si="31"/>
        <v>65</v>
      </c>
      <c r="N112">
        <f t="shared" si="32"/>
        <v>75</v>
      </c>
      <c r="P112" s="8" t="b">
        <f>'RTF 1'!Q85&gt;'RTF 1'!S85</f>
        <v>0</v>
      </c>
      <c r="Q112" s="8" t="b">
        <f>AND('RTF 1'!S85&gt;='RTF 1'!Q85,'RTF 1'!Q85&gt;'RTF 1'!T85)</f>
        <v>1</v>
      </c>
      <c r="R112" s="35" t="b">
        <f>'RTF 1'!Q85&lt;='RTF 1'!T85</f>
        <v>0</v>
      </c>
      <c r="S112" s="8" t="b">
        <f>'RTF 1'!Q85&gt;'RTF 1'!U85</f>
        <v>1</v>
      </c>
      <c r="T112" s="8" t="b">
        <f>AND('RTF 1'!U85&gt;='RTF 1'!Q85,'RTF 1'!Q85&gt;'RTF 1'!V85)</f>
        <v>0</v>
      </c>
      <c r="U112" s="35" t="b">
        <f>'RTF 1'!Q85&lt;='RTF 1'!V85</f>
        <v>0</v>
      </c>
      <c r="V112" s="42"/>
      <c r="W112" s="8" t="b">
        <f>'RTF 1'!Q85&gt;('RTF 1'!P85+'RTF 1'!O85)</f>
        <v>1</v>
      </c>
      <c r="X112" s="8" t="b">
        <f>'RTF 1'!O85&gt;('RTF 1'!P85+'RTF 1'!Q85)</f>
        <v>0</v>
      </c>
      <c r="Y112" s="8" t="b">
        <f>AND(('RTF 1'!O85+10)&gt;='RTF 1'!P85,('RTF 1'!O85-10)&lt;='RTF 1'!P85,('RTF 1'!P85+10)&gt;='RTF 1'!Q85,('RTF 1'!P85-10)&lt;='RTF 1'!Q85,('RTF 1'!O85+10)&gt;='RTF 1'!Q85,('RTF 1'!O85-10)&lt;='RTF 1'!Q85)</f>
        <v>0</v>
      </c>
      <c r="Z112" s="8" t="b">
        <f>AND(('RTF 1'!O85+10)&gt;='RTF 1'!P85,('RTF 1'!O85-10)&lt;='RTF 1'!P85,OR('RTF 1'!P85&gt;'RTF 1'!Y85,'RTF 1'!O85&gt;'RTF 1'!Y85))</f>
        <v>0</v>
      </c>
      <c r="AA112" s="11" t="b">
        <f>AND(('RTF 1'!Q85+10)&gt;='RTF 1'!P85,('RTF 1'!Q85-10)&lt;='RTF 1'!P85,OR('RTF 1'!P85&gt;'RTF 1'!Z85,'RTF 1'!Q85&gt;'RTF 1'!Z85))</f>
        <v>0</v>
      </c>
      <c r="AB112" s="35" t="b">
        <f t="shared" si="33"/>
        <v>0</v>
      </c>
      <c r="AC112" s="8" t="b">
        <f>'RTF 1'!Q85&gt;'RTF 1'!P85</f>
        <v>1</v>
      </c>
      <c r="AD112" s="8" t="b">
        <f>AND('RTF 1'!P85&gt;='RTF 1'!Q85,'RTF 1'!Q85&gt;'RTF 1'!AA85)</f>
        <v>0</v>
      </c>
      <c r="AE112" s="8" t="b">
        <f>AND('RTF 1'!AA85&gt;'RTF 1'!Q85,'RTF 1'!Q85&gt;'RTF 1'!AB85)</f>
        <v>0</v>
      </c>
      <c r="AF112" s="8" t="b">
        <f>'RTF 1'!Q85&lt;'RTF 1'!AB85</f>
        <v>0</v>
      </c>
    </row>
    <row r="113" spans="1:32" x14ac:dyDescent="0.25">
      <c r="A113">
        <v>1040</v>
      </c>
      <c r="B113" s="395">
        <f t="shared" si="25"/>
        <v>76.244482204000064</v>
      </c>
      <c r="C113" s="395">
        <f t="shared" si="26"/>
        <v>100.14473871000001</v>
      </c>
      <c r="D113">
        <v>100</v>
      </c>
      <c r="E113" s="394">
        <f t="shared" si="28"/>
        <v>129.29502855999993</v>
      </c>
      <c r="I113" s="49">
        <f>IF('RTF 1'!$D$9=1,'Lookup Tables'!$J113,IF('RTF 1'!$D$9=2,'Lookup Tables'!$K113,IF('RTF 1'!$D$9=3,'Lookup Tables'!$L113,IF('RTF 1'!$D$9=4,'Lookup Tables'!$M113,'Lookup Tables'!$N113))))</f>
        <v>60</v>
      </c>
      <c r="J113">
        <f t="shared" si="29"/>
        <v>60</v>
      </c>
      <c r="K113">
        <f t="shared" si="30"/>
        <v>60</v>
      </c>
      <c r="L113">
        <f>IF('RTF 1'!$D$9=3,'Lookup Tables'!$V$39,0)</f>
        <v>0</v>
      </c>
      <c r="M113">
        <f t="shared" si="31"/>
        <v>65</v>
      </c>
      <c r="N113">
        <f t="shared" si="32"/>
        <v>75</v>
      </c>
      <c r="P113" s="8" t="b">
        <f>'RTF 1'!Q86&gt;'RTF 1'!S86</f>
        <v>1</v>
      </c>
      <c r="Q113" s="8" t="b">
        <f>AND('RTF 1'!S86&gt;='RTF 1'!Q86,'RTF 1'!Q86&gt;'RTF 1'!T86)</f>
        <v>0</v>
      </c>
      <c r="R113" s="35" t="b">
        <f>'RTF 1'!Q86&lt;='RTF 1'!T86</f>
        <v>0</v>
      </c>
      <c r="S113" s="8" t="b">
        <f>'RTF 1'!Q86&gt;'RTF 1'!U86</f>
        <v>1</v>
      </c>
      <c r="T113" s="8" t="b">
        <f>AND('RTF 1'!U86&gt;='RTF 1'!Q86,'RTF 1'!Q86&gt;'RTF 1'!V86)</f>
        <v>0</v>
      </c>
      <c r="U113" s="35" t="b">
        <f>'RTF 1'!Q86&lt;='RTF 1'!V86</f>
        <v>0</v>
      </c>
      <c r="V113" s="42"/>
      <c r="W113" s="8" t="b">
        <f>'RTF 1'!Q86&gt;('RTF 1'!P86+'RTF 1'!O86)</f>
        <v>1</v>
      </c>
      <c r="X113" s="8" t="b">
        <f>'RTF 1'!O86&gt;('RTF 1'!P86+'RTF 1'!Q86)</f>
        <v>0</v>
      </c>
      <c r="Y113" s="8" t="b">
        <f>AND(('RTF 1'!O86+10)&gt;='RTF 1'!P86,('RTF 1'!O86-10)&lt;='RTF 1'!P86,('RTF 1'!P86+10)&gt;='RTF 1'!Q86,('RTF 1'!P86-10)&lt;='RTF 1'!Q86,('RTF 1'!O86+10)&gt;='RTF 1'!Q86,('RTF 1'!O86-10)&lt;='RTF 1'!Q86)</f>
        <v>0</v>
      </c>
      <c r="Z113" s="8" t="b">
        <f>AND(('RTF 1'!O86+10)&gt;='RTF 1'!P86,('RTF 1'!O86-10)&lt;='RTF 1'!P86,OR('RTF 1'!P86&gt;'RTF 1'!Y86,'RTF 1'!O86&gt;'RTF 1'!Y86))</f>
        <v>0</v>
      </c>
      <c r="AA113" s="11" t="b">
        <f>AND(('RTF 1'!Q86+10)&gt;='RTF 1'!P86,('RTF 1'!Q86-10)&lt;='RTF 1'!P86,OR('RTF 1'!P86&gt;'RTF 1'!Z86,'RTF 1'!Q86&gt;'RTF 1'!Z86))</f>
        <v>0</v>
      </c>
      <c r="AB113" s="35" t="b">
        <f t="shared" si="33"/>
        <v>0</v>
      </c>
      <c r="AC113" s="8" t="b">
        <f>'RTF 1'!Q86&gt;'RTF 1'!P86</f>
        <v>1</v>
      </c>
      <c r="AD113" s="8" t="b">
        <f>AND('RTF 1'!P86&gt;='RTF 1'!Q86,'RTF 1'!Q86&gt;'RTF 1'!AA86)</f>
        <v>0</v>
      </c>
      <c r="AE113" s="8" t="b">
        <f>AND('RTF 1'!AA86&gt;'RTF 1'!Q86,'RTF 1'!Q86&gt;'RTF 1'!AB86)</f>
        <v>0</v>
      </c>
      <c r="AF113" s="8" t="b">
        <f>'RTF 1'!Q86&lt;'RTF 1'!AB86</f>
        <v>0</v>
      </c>
    </row>
    <row r="114" spans="1:32" x14ac:dyDescent="0.25">
      <c r="A114">
        <v>1054</v>
      </c>
      <c r="B114">
        <v>75</v>
      </c>
      <c r="C114" s="395">
        <f t="shared" si="26"/>
        <v>97.376658674999931</v>
      </c>
      <c r="D114">
        <v>100</v>
      </c>
      <c r="E114" s="394">
        <f t="shared" si="28"/>
        <v>125.80835803419984</v>
      </c>
      <c r="I114" s="49">
        <f>IF('RTF 1'!$D$9=1,'Lookup Tables'!$J114,IF('RTF 1'!$D$9=2,'Lookup Tables'!$K114,IF('RTF 1'!$D$9=3,'Lookup Tables'!$L114,IF('RTF 1'!$D$9=4,'Lookup Tables'!$M114,'Lookup Tables'!$N114))))</f>
        <v>60</v>
      </c>
      <c r="J114">
        <f t="shared" si="29"/>
        <v>60</v>
      </c>
      <c r="K114">
        <f t="shared" si="30"/>
        <v>60</v>
      </c>
      <c r="L114">
        <f>IF('RTF 1'!$D$9=3,'Lookup Tables'!$V$39,0)</f>
        <v>0</v>
      </c>
      <c r="M114">
        <f t="shared" si="31"/>
        <v>65</v>
      </c>
      <c r="N114">
        <f t="shared" si="32"/>
        <v>75</v>
      </c>
      <c r="P114" s="8" t="b">
        <f>'RTF 1'!Q87&gt;'RTF 1'!S87</f>
        <v>1</v>
      </c>
      <c r="Q114" s="8" t="b">
        <f>AND('RTF 1'!S87&gt;='RTF 1'!Q87,'RTF 1'!Q87&gt;'RTF 1'!T87)</f>
        <v>0</v>
      </c>
      <c r="R114" s="35" t="b">
        <f>'RTF 1'!Q87&lt;='RTF 1'!T87</f>
        <v>0</v>
      </c>
      <c r="S114" s="8" t="b">
        <f>'RTF 1'!Q87&gt;'RTF 1'!U87</f>
        <v>1</v>
      </c>
      <c r="T114" s="8" t="b">
        <f>AND('RTF 1'!U87&gt;='RTF 1'!Q87,'RTF 1'!Q87&gt;'RTF 1'!V87)</f>
        <v>0</v>
      </c>
      <c r="U114" s="35" t="b">
        <f>'RTF 1'!Q87&lt;='RTF 1'!V87</f>
        <v>0</v>
      </c>
      <c r="V114" s="42"/>
      <c r="W114" s="8" t="b">
        <f>'RTF 1'!Q87&gt;('RTF 1'!P87+'RTF 1'!O87)</f>
        <v>1</v>
      </c>
      <c r="X114" s="8" t="b">
        <f>'RTF 1'!O87&gt;('RTF 1'!P87+'RTF 1'!Q87)</f>
        <v>0</v>
      </c>
      <c r="Y114" s="8" t="b">
        <f>AND(('RTF 1'!O87+10)&gt;='RTF 1'!P87,('RTF 1'!O87-10)&lt;='RTF 1'!P87,('RTF 1'!P87+10)&gt;='RTF 1'!Q87,('RTF 1'!P87-10)&lt;='RTF 1'!Q87,('RTF 1'!O87+10)&gt;='RTF 1'!Q87,('RTF 1'!O87-10)&lt;='RTF 1'!Q87)</f>
        <v>0</v>
      </c>
      <c r="Z114" s="8" t="b">
        <f>AND(('RTF 1'!O87+10)&gt;='RTF 1'!P87,('RTF 1'!O87-10)&lt;='RTF 1'!P87,OR('RTF 1'!P87&gt;'RTF 1'!Y87,'RTF 1'!O87&gt;'RTF 1'!Y87))</f>
        <v>0</v>
      </c>
      <c r="AA114" s="11" t="b">
        <f>AND(('RTF 1'!Q87+10)&gt;='RTF 1'!P87,('RTF 1'!Q87-10)&lt;='RTF 1'!P87,OR('RTF 1'!P87&gt;'RTF 1'!Z87,'RTF 1'!Q87&gt;'RTF 1'!Z87))</f>
        <v>0</v>
      </c>
      <c r="AB114" s="35" t="b">
        <f t="shared" si="33"/>
        <v>0</v>
      </c>
      <c r="AC114" s="8" t="b">
        <f>'RTF 1'!Q87&gt;'RTF 1'!P87</f>
        <v>1</v>
      </c>
      <c r="AD114" s="8" t="b">
        <f>AND('RTF 1'!P87&gt;='RTF 1'!Q87,'RTF 1'!Q87&gt;'RTF 1'!AA87)</f>
        <v>0</v>
      </c>
      <c r="AE114" s="8" t="b">
        <f>AND('RTF 1'!AA87&gt;'RTF 1'!Q87,'RTF 1'!Q87&gt;'RTF 1'!AB87)</f>
        <v>0</v>
      </c>
      <c r="AF114" s="8" t="b">
        <f>'RTF 1'!Q87&lt;'RTF 1'!AB87</f>
        <v>0</v>
      </c>
    </row>
    <row r="115" spans="1:32" x14ac:dyDescent="0.25">
      <c r="A115">
        <v>1100</v>
      </c>
      <c r="B115">
        <v>75</v>
      </c>
      <c r="C115" s="395">
        <f t="shared" si="26"/>
        <v>89.005715639999949</v>
      </c>
      <c r="D115">
        <v>100</v>
      </c>
      <c r="E115" s="394">
        <f t="shared" si="28"/>
        <v>115.31785734999994</v>
      </c>
      <c r="I115" s="49">
        <f>IF('RTF 1'!$D$9=1,'Lookup Tables'!$J115,IF('RTF 1'!$D$9=2,'Lookup Tables'!$K115,IF('RTF 1'!$D$9=3,'Lookup Tables'!$L115,IF('RTF 1'!$D$9=4,'Lookup Tables'!$M115,'Lookup Tables'!$N115))))</f>
        <v>60</v>
      </c>
      <c r="J115">
        <f t="shared" si="29"/>
        <v>60</v>
      </c>
      <c r="K115">
        <f t="shared" si="30"/>
        <v>60</v>
      </c>
      <c r="L115">
        <f>IF('RTF 1'!$D$9=3,'Lookup Tables'!$V$39,0)</f>
        <v>0</v>
      </c>
      <c r="M115">
        <f t="shared" si="31"/>
        <v>65</v>
      </c>
      <c r="N115">
        <f t="shared" si="32"/>
        <v>75</v>
      </c>
      <c r="P115" s="8" t="b">
        <f>'RTF 1'!Q88&gt;'RTF 1'!S88</f>
        <v>1</v>
      </c>
      <c r="Q115" s="8" t="b">
        <f>AND('RTF 1'!S88&gt;='RTF 1'!Q88,'RTF 1'!Q88&gt;'RTF 1'!T88)</f>
        <v>0</v>
      </c>
      <c r="R115" s="35" t="b">
        <f>'RTF 1'!Q88&lt;='RTF 1'!T88</f>
        <v>0</v>
      </c>
      <c r="S115" s="8" t="b">
        <f>'RTF 1'!Q88&gt;'RTF 1'!U88</f>
        <v>1</v>
      </c>
      <c r="T115" s="8" t="b">
        <f>AND('RTF 1'!U88&gt;='RTF 1'!Q88,'RTF 1'!Q88&gt;'RTF 1'!V88)</f>
        <v>0</v>
      </c>
      <c r="U115" s="35" t="b">
        <f>'RTF 1'!Q88&lt;='RTF 1'!V88</f>
        <v>0</v>
      </c>
      <c r="V115" s="42"/>
      <c r="W115" s="8" t="b">
        <f>'RTF 1'!Q88&gt;('RTF 1'!P88+'RTF 1'!O88)</f>
        <v>1</v>
      </c>
      <c r="X115" s="8" t="b">
        <f>'RTF 1'!O88&gt;('RTF 1'!P88+'RTF 1'!Q88)</f>
        <v>0</v>
      </c>
      <c r="Y115" s="8" t="b">
        <f>AND(('RTF 1'!O88+10)&gt;='RTF 1'!P88,('RTF 1'!O88-10)&lt;='RTF 1'!P88,('RTF 1'!P88+10)&gt;='RTF 1'!Q88,('RTF 1'!P88-10)&lt;='RTF 1'!Q88,('RTF 1'!O88+10)&gt;='RTF 1'!Q88,('RTF 1'!O88-10)&lt;='RTF 1'!Q88)</f>
        <v>0</v>
      </c>
      <c r="Z115" s="8" t="b">
        <f>AND(('RTF 1'!O88+10)&gt;='RTF 1'!P88,('RTF 1'!O88-10)&lt;='RTF 1'!P88,OR('RTF 1'!P88&gt;'RTF 1'!Y88,'RTF 1'!O88&gt;'RTF 1'!Y88))</f>
        <v>0</v>
      </c>
      <c r="AA115" s="11" t="b">
        <f>AND(('RTF 1'!Q88+10)&gt;='RTF 1'!P88,('RTF 1'!Q88-10)&lt;='RTF 1'!P88,OR('RTF 1'!P88&gt;'RTF 1'!Z88,'RTF 1'!Q88&gt;'RTF 1'!Z88))</f>
        <v>0</v>
      </c>
      <c r="AB115" s="35" t="b">
        <f t="shared" si="33"/>
        <v>0</v>
      </c>
      <c r="AC115" s="8" t="b">
        <f>'RTF 1'!Q88&gt;'RTF 1'!P88</f>
        <v>1</v>
      </c>
      <c r="AD115" s="8" t="b">
        <f>AND('RTF 1'!P88&gt;='RTF 1'!Q88,'RTF 1'!Q88&gt;'RTF 1'!AA88)</f>
        <v>0</v>
      </c>
      <c r="AE115" s="8" t="b">
        <f>AND('RTF 1'!AA88&gt;'RTF 1'!Q88,'RTF 1'!Q88&gt;'RTF 1'!AB88)</f>
        <v>0</v>
      </c>
      <c r="AF115" s="8" t="b">
        <f>'RTF 1'!Q88&lt;'RTF 1'!AB88</f>
        <v>0</v>
      </c>
    </row>
    <row r="116" spans="1:32" x14ac:dyDescent="0.25">
      <c r="A116">
        <v>1183</v>
      </c>
      <c r="B116">
        <v>75</v>
      </c>
      <c r="C116" s="395">
        <f t="shared" si="26"/>
        <v>76.710957553499952</v>
      </c>
      <c r="D116">
        <v>100</v>
      </c>
      <c r="E116">
        <v>100</v>
      </c>
      <c r="G116" s="8"/>
      <c r="H116" s="8"/>
      <c r="I116" s="49">
        <f>IF('RTF 1'!$D$9=1,'Lookup Tables'!$J116,IF('RTF 1'!$D$9=2,'Lookup Tables'!$K116,IF('RTF 1'!$D$9=3,'Lookup Tables'!$L116,IF('RTF 1'!$D$9=4,'Lookup Tables'!$M116,'Lookup Tables'!$N116))))</f>
        <v>20</v>
      </c>
      <c r="J116">
        <f t="shared" si="29"/>
        <v>20</v>
      </c>
      <c r="K116">
        <f t="shared" si="30"/>
        <v>20</v>
      </c>
      <c r="L116">
        <f>IF('RTF 1'!$D$9=3,'Lookup Tables'!$V$39,0)</f>
        <v>0</v>
      </c>
      <c r="M116">
        <f t="shared" si="31"/>
        <v>40</v>
      </c>
      <c r="N116">
        <f t="shared" si="32"/>
        <v>15</v>
      </c>
      <c r="P116" s="8" t="b">
        <f>'RTF 1'!Q89&gt;'RTF 1'!S89</f>
        <v>0</v>
      </c>
      <c r="Q116" s="8" t="b">
        <f>AND('RTF 1'!S89&gt;='RTF 1'!Q89,'RTF 1'!Q89&gt;'RTF 1'!T89)</f>
        <v>0</v>
      </c>
      <c r="R116" s="35" t="b">
        <f>'RTF 1'!Q89&lt;='RTF 1'!T89</f>
        <v>1</v>
      </c>
      <c r="S116" s="8" t="b">
        <f>'RTF 1'!Q89&gt;'RTF 1'!U89</f>
        <v>0</v>
      </c>
      <c r="T116" s="8" t="b">
        <f>AND('RTF 1'!U89&gt;='RTF 1'!Q89,'RTF 1'!Q89&gt;'RTF 1'!V89)</f>
        <v>0</v>
      </c>
      <c r="U116" s="35" t="b">
        <f>'RTF 1'!Q89&lt;='RTF 1'!V89</f>
        <v>1</v>
      </c>
      <c r="V116" s="42"/>
      <c r="W116" s="8" t="b">
        <f>'RTF 1'!Q89&gt;('RTF 1'!P89+'RTF 1'!O89)</f>
        <v>0</v>
      </c>
      <c r="X116" s="8" t="b">
        <f>'RTF 1'!O89&gt;('RTF 1'!P89+'RTF 1'!Q89)</f>
        <v>0</v>
      </c>
      <c r="Y116" s="8" t="b">
        <f>AND(('RTF 1'!O89+10)&gt;='RTF 1'!P89,('RTF 1'!O89-10)&lt;='RTF 1'!P89,('RTF 1'!P89+10)&gt;='RTF 1'!Q89,('RTF 1'!P89-10)&lt;='RTF 1'!Q89,('RTF 1'!O89+10)&gt;='RTF 1'!Q89,('RTF 1'!O89-10)&lt;='RTF 1'!Q89)</f>
        <v>1</v>
      </c>
      <c r="Z116" s="8" t="b">
        <f>AND(('RTF 1'!O89+10)&gt;='RTF 1'!P89,('RTF 1'!O89-10)&lt;='RTF 1'!P89,OR('RTF 1'!P89&gt;'RTF 1'!Y89,'RTF 1'!O89&gt;'RTF 1'!Y89))</f>
        <v>0</v>
      </c>
      <c r="AA116" s="11" t="b">
        <f>AND(('RTF 1'!Q89+10)&gt;='RTF 1'!P89,('RTF 1'!Q89-10)&lt;='RTF 1'!P89,OR('RTF 1'!P89&gt;'RTF 1'!Z89,'RTF 1'!Q89&gt;'RTF 1'!Z89))</f>
        <v>0</v>
      </c>
      <c r="AB116" s="35" t="b">
        <f t="shared" si="33"/>
        <v>0</v>
      </c>
      <c r="AC116" s="8" t="b">
        <f>'RTF 1'!Q89&gt;'RTF 1'!P89</f>
        <v>0</v>
      </c>
      <c r="AD116" s="8" t="b">
        <f>AND('RTF 1'!P89&gt;='RTF 1'!Q89,'RTF 1'!Q89&gt;'RTF 1'!AA89)</f>
        <v>0</v>
      </c>
      <c r="AE116" s="8" t="b">
        <f>AND('RTF 1'!AA89&gt;'RTF 1'!Q89,'RTF 1'!Q89&gt;'RTF 1'!AB89)</f>
        <v>0</v>
      </c>
      <c r="AF116" s="8" t="b">
        <f>'RTF 1'!Q89&lt;'RTF 1'!AB89</f>
        <v>1</v>
      </c>
    </row>
    <row r="117" spans="1:32" x14ac:dyDescent="0.25">
      <c r="A117">
        <v>1196</v>
      </c>
      <c r="B117">
        <v>75</v>
      </c>
      <c r="C117">
        <v>75</v>
      </c>
      <c r="D117">
        <v>100</v>
      </c>
      <c r="E117">
        <v>100</v>
      </c>
      <c r="G117" s="8"/>
      <c r="H117" s="8"/>
      <c r="I117" s="49">
        <f>IF('RTF 1'!$D$9=1,'Lookup Tables'!$J117,IF('RTF 1'!$D$9=2,'Lookup Tables'!$K117,IF('RTF 1'!$D$9=3,'Lookup Tables'!$L117,IF('RTF 1'!$D$9=4,'Lookup Tables'!$M117,'Lookup Tables'!$N117))))</f>
        <v>20</v>
      </c>
      <c r="J117">
        <f t="shared" si="29"/>
        <v>20</v>
      </c>
      <c r="K117">
        <f t="shared" si="30"/>
        <v>20</v>
      </c>
      <c r="L117">
        <f>IF('RTF 1'!$D$9=3,'Lookup Tables'!$V$39,0)</f>
        <v>0</v>
      </c>
      <c r="M117">
        <f t="shared" si="31"/>
        <v>40</v>
      </c>
      <c r="N117">
        <f t="shared" si="32"/>
        <v>15</v>
      </c>
      <c r="P117" s="8" t="b">
        <f>'RTF 1'!Q90&gt;'RTF 1'!S90</f>
        <v>0</v>
      </c>
      <c r="Q117" s="8" t="b">
        <f>AND('RTF 1'!S90&gt;='RTF 1'!Q90,'RTF 1'!Q90&gt;'RTF 1'!T90)</f>
        <v>0</v>
      </c>
      <c r="R117" s="35" t="b">
        <f>'RTF 1'!Q90&lt;='RTF 1'!T90</f>
        <v>1</v>
      </c>
      <c r="S117" s="8" t="b">
        <f>'RTF 1'!Q90&gt;'RTF 1'!U90</f>
        <v>0</v>
      </c>
      <c r="T117" s="8" t="b">
        <f>AND('RTF 1'!U90&gt;='RTF 1'!Q90,'RTF 1'!Q90&gt;'RTF 1'!V90)</f>
        <v>0</v>
      </c>
      <c r="U117" s="35" t="b">
        <f>'RTF 1'!Q90&lt;='RTF 1'!V90</f>
        <v>1</v>
      </c>
      <c r="V117" s="42"/>
      <c r="W117" s="8" t="b">
        <f>'RTF 1'!Q90&gt;('RTF 1'!P90+'RTF 1'!O90)</f>
        <v>0</v>
      </c>
      <c r="X117" s="8" t="b">
        <f>'RTF 1'!O90&gt;('RTF 1'!P90+'RTF 1'!Q90)</f>
        <v>0</v>
      </c>
      <c r="Y117" s="8" t="b">
        <f>AND(('RTF 1'!O90+10)&gt;='RTF 1'!P90,('RTF 1'!O90-10)&lt;='RTF 1'!P90,('RTF 1'!P90+10)&gt;='RTF 1'!Q90,('RTF 1'!P90-10)&lt;='RTF 1'!Q90,('RTF 1'!O90+10)&gt;='RTF 1'!Q90,('RTF 1'!O90-10)&lt;='RTF 1'!Q90)</f>
        <v>1</v>
      </c>
      <c r="Z117" s="8" t="b">
        <f>AND(('RTF 1'!O90+10)&gt;='RTF 1'!P90,('RTF 1'!O90-10)&lt;='RTF 1'!P90,OR('RTF 1'!P90&gt;'RTF 1'!Y90,'RTF 1'!O90&gt;'RTF 1'!Y90))</f>
        <v>0</v>
      </c>
      <c r="AA117" s="11" t="b">
        <f>AND(('RTF 1'!Q90+10)&gt;='RTF 1'!P90,('RTF 1'!Q90-10)&lt;='RTF 1'!P90,OR('RTF 1'!P90&gt;'RTF 1'!Z90,'RTF 1'!Q90&gt;'RTF 1'!Z90))</f>
        <v>0</v>
      </c>
      <c r="AB117" s="35" t="b">
        <f t="shared" si="33"/>
        <v>0</v>
      </c>
      <c r="AC117" s="8" t="b">
        <f>'RTF 1'!Q90&gt;'RTF 1'!P90</f>
        <v>0</v>
      </c>
      <c r="AD117" s="8" t="b">
        <f>AND('RTF 1'!P90&gt;='RTF 1'!Q90,'RTF 1'!Q90&gt;'RTF 1'!AA90)</f>
        <v>0</v>
      </c>
      <c r="AE117" s="8" t="b">
        <f>AND('RTF 1'!AA90&gt;'RTF 1'!Q90,'RTF 1'!Q90&gt;'RTF 1'!AB90)</f>
        <v>0</v>
      </c>
      <c r="AF117" s="8" t="b">
        <f>'RTF 1'!Q90&lt;'RTF 1'!AB90</f>
        <v>1</v>
      </c>
    </row>
    <row r="118" spans="1:32" x14ac:dyDescent="0.25">
      <c r="A118">
        <v>1200</v>
      </c>
      <c r="B118">
        <v>75</v>
      </c>
      <c r="C118">
        <v>75</v>
      </c>
      <c r="D118">
        <v>100</v>
      </c>
      <c r="E118">
        <v>100</v>
      </c>
      <c r="G118" s="8"/>
      <c r="H118" s="8"/>
      <c r="I118" s="49">
        <f>IF('RTF 1'!$D$9=1,'Lookup Tables'!$J118,IF('RTF 1'!$D$9=2,'Lookup Tables'!$K118,IF('RTF 1'!$D$9=3,'Lookup Tables'!$L118,IF('RTF 1'!$D$9=4,'Lookup Tables'!$M118,'Lookup Tables'!$N118))))</f>
        <v>20</v>
      </c>
      <c r="J118">
        <f t="shared" si="29"/>
        <v>20</v>
      </c>
      <c r="K118">
        <f t="shared" si="30"/>
        <v>20</v>
      </c>
      <c r="L118">
        <f>IF('RTF 1'!$D$9=3,'Lookup Tables'!$V$39,0)</f>
        <v>0</v>
      </c>
      <c r="M118">
        <f t="shared" si="31"/>
        <v>40</v>
      </c>
      <c r="N118">
        <f t="shared" si="32"/>
        <v>15</v>
      </c>
      <c r="P118" s="8" t="b">
        <f>'RTF 1'!Q91&gt;'RTF 1'!S91</f>
        <v>0</v>
      </c>
      <c r="Q118" s="8" t="b">
        <f>AND('RTF 1'!S91&gt;='RTF 1'!Q91,'RTF 1'!Q91&gt;'RTF 1'!T91)</f>
        <v>0</v>
      </c>
      <c r="R118" s="35" t="b">
        <f>'RTF 1'!Q91&lt;='RTF 1'!T91</f>
        <v>1</v>
      </c>
      <c r="S118" s="8" t="b">
        <f>'RTF 1'!Q91&gt;'RTF 1'!U91</f>
        <v>0</v>
      </c>
      <c r="T118" s="8" t="b">
        <f>AND('RTF 1'!U91&gt;='RTF 1'!Q91,'RTF 1'!Q91&gt;'RTF 1'!V91)</f>
        <v>0</v>
      </c>
      <c r="U118" s="35" t="b">
        <f>'RTF 1'!Q91&lt;='RTF 1'!V91</f>
        <v>1</v>
      </c>
      <c r="V118" s="42"/>
      <c r="W118" s="8" t="b">
        <f>'RTF 1'!Q91&gt;('RTF 1'!P91+'RTF 1'!O91)</f>
        <v>0</v>
      </c>
      <c r="X118" s="8" t="b">
        <f>'RTF 1'!O91&gt;('RTF 1'!P91+'RTF 1'!Q91)</f>
        <v>0</v>
      </c>
      <c r="Y118" s="8" t="b">
        <f>AND(('RTF 1'!O91+10)&gt;='RTF 1'!P91,('RTF 1'!O91-10)&lt;='RTF 1'!P91,('RTF 1'!P91+10)&gt;='RTF 1'!Q91,('RTF 1'!P91-10)&lt;='RTF 1'!Q91,('RTF 1'!O91+10)&gt;='RTF 1'!Q91,('RTF 1'!O91-10)&lt;='RTF 1'!Q91)</f>
        <v>1</v>
      </c>
      <c r="Z118" s="8" t="b">
        <f>AND(('RTF 1'!O91+10)&gt;='RTF 1'!P91,('RTF 1'!O91-10)&lt;='RTF 1'!P91,OR('RTF 1'!P91&gt;'RTF 1'!Y91,'RTF 1'!O91&gt;'RTF 1'!Y91))</f>
        <v>0</v>
      </c>
      <c r="AA118" s="11" t="b">
        <f>AND(('RTF 1'!Q91+10)&gt;='RTF 1'!P91,('RTF 1'!Q91-10)&lt;='RTF 1'!P91,OR('RTF 1'!P91&gt;'RTF 1'!Z91,'RTF 1'!Q91&gt;'RTF 1'!Z91))</f>
        <v>0</v>
      </c>
      <c r="AB118" s="35" t="b">
        <f t="shared" si="33"/>
        <v>0</v>
      </c>
      <c r="AC118" s="8" t="b">
        <f>'RTF 1'!Q91&gt;'RTF 1'!P91</f>
        <v>0</v>
      </c>
      <c r="AD118" s="8" t="b">
        <f>AND('RTF 1'!P91&gt;='RTF 1'!Q91,'RTF 1'!Q91&gt;'RTF 1'!AA91)</f>
        <v>0</v>
      </c>
      <c r="AE118" s="8" t="b">
        <f>AND('RTF 1'!AA91&gt;'RTF 1'!Q91,'RTF 1'!Q91&gt;'RTF 1'!AB91)</f>
        <v>0</v>
      </c>
      <c r="AF118" s="8" t="b">
        <f>'RTF 1'!Q91&lt;'RTF 1'!AB91</f>
        <v>1</v>
      </c>
    </row>
    <row r="119" spans="1:32" x14ac:dyDescent="0.25">
      <c r="A119">
        <v>1300</v>
      </c>
      <c r="B119">
        <v>75</v>
      </c>
      <c r="C119">
        <v>75</v>
      </c>
      <c r="D119">
        <v>100</v>
      </c>
      <c r="E119">
        <v>100</v>
      </c>
      <c r="G119" s="8"/>
      <c r="H119" s="8"/>
      <c r="I119" s="49">
        <f>IF('RTF 1'!$D$9=1,'Lookup Tables'!$J119,IF('RTF 1'!$D$9=2,'Lookup Tables'!$K119,IF('RTF 1'!$D$9=3,'Lookup Tables'!$L119,IF('RTF 1'!$D$9=4,'Lookup Tables'!$M119,'Lookup Tables'!$N119))))</f>
        <v>20</v>
      </c>
      <c r="J119">
        <f t="shared" si="29"/>
        <v>20</v>
      </c>
      <c r="K119">
        <f t="shared" si="30"/>
        <v>20</v>
      </c>
      <c r="L119">
        <f>IF('RTF 1'!$D$9=3,'Lookup Tables'!$V$39,0)</f>
        <v>0</v>
      </c>
      <c r="M119">
        <f t="shared" si="31"/>
        <v>40</v>
      </c>
      <c r="N119">
        <f t="shared" si="32"/>
        <v>15</v>
      </c>
      <c r="P119" s="8" t="b">
        <f>'RTF 1'!Q92&gt;'RTF 1'!S92</f>
        <v>0</v>
      </c>
      <c r="Q119" s="8" t="b">
        <f>AND('RTF 1'!S92&gt;='RTF 1'!Q92,'RTF 1'!Q92&gt;'RTF 1'!T92)</f>
        <v>0</v>
      </c>
      <c r="R119" s="35" t="b">
        <f>'RTF 1'!Q92&lt;='RTF 1'!T92</f>
        <v>1</v>
      </c>
      <c r="S119" s="8" t="b">
        <f>'RTF 1'!Q92&gt;'RTF 1'!U92</f>
        <v>0</v>
      </c>
      <c r="T119" s="8" t="b">
        <f>AND('RTF 1'!U92&gt;='RTF 1'!Q92,'RTF 1'!Q92&gt;'RTF 1'!V92)</f>
        <v>0</v>
      </c>
      <c r="U119" s="35" t="b">
        <f>'RTF 1'!Q92&lt;='RTF 1'!V92</f>
        <v>1</v>
      </c>
      <c r="V119" s="42"/>
      <c r="W119" s="8" t="b">
        <f>'RTF 1'!Q92&gt;('RTF 1'!P92+'RTF 1'!O92)</f>
        <v>0</v>
      </c>
      <c r="X119" s="8" t="b">
        <f>'RTF 1'!O92&gt;('RTF 1'!P92+'RTF 1'!Q92)</f>
        <v>0</v>
      </c>
      <c r="Y119" s="8" t="b">
        <f>AND(('RTF 1'!O92+10)&gt;='RTF 1'!P92,('RTF 1'!O92-10)&lt;='RTF 1'!P92,('RTF 1'!P92+10)&gt;='RTF 1'!Q92,('RTF 1'!P92-10)&lt;='RTF 1'!Q92,('RTF 1'!O92+10)&gt;='RTF 1'!Q92,('RTF 1'!O92-10)&lt;='RTF 1'!Q92)</f>
        <v>1</v>
      </c>
      <c r="Z119" s="8" t="b">
        <f>AND(('RTF 1'!O92+10)&gt;='RTF 1'!P92,('RTF 1'!O92-10)&lt;='RTF 1'!P92,OR('RTF 1'!P92&gt;'RTF 1'!Y92,'RTF 1'!O92&gt;'RTF 1'!Y92))</f>
        <v>0</v>
      </c>
      <c r="AA119" s="11" t="b">
        <f>AND(('RTF 1'!Q92+10)&gt;='RTF 1'!P92,('RTF 1'!Q92-10)&lt;='RTF 1'!P92,OR('RTF 1'!P92&gt;'RTF 1'!Z92,'RTF 1'!Q92&gt;'RTF 1'!Z92))</f>
        <v>0</v>
      </c>
      <c r="AB119" s="35" t="b">
        <f t="shared" si="33"/>
        <v>0</v>
      </c>
      <c r="AC119" s="8" t="b">
        <f>'RTF 1'!Q92&gt;'RTF 1'!P92</f>
        <v>0</v>
      </c>
      <c r="AD119" s="8" t="b">
        <f>AND('RTF 1'!P92&gt;='RTF 1'!Q92,'RTF 1'!Q92&gt;'RTF 1'!AA92)</f>
        <v>0</v>
      </c>
      <c r="AE119" s="8" t="b">
        <f>AND('RTF 1'!AA92&gt;'RTF 1'!Q92,'RTF 1'!Q92&gt;'RTF 1'!AB92)</f>
        <v>0</v>
      </c>
      <c r="AF119" s="8" t="b">
        <f>'RTF 1'!Q92&lt;'RTF 1'!AB92</f>
        <v>1</v>
      </c>
    </row>
    <row r="120" spans="1:32" x14ac:dyDescent="0.25">
      <c r="A120">
        <v>1400</v>
      </c>
      <c r="B120">
        <v>75</v>
      </c>
      <c r="C120">
        <v>75</v>
      </c>
      <c r="D120">
        <v>100</v>
      </c>
      <c r="E120">
        <v>100</v>
      </c>
      <c r="G120" s="8"/>
      <c r="H120" s="8"/>
      <c r="I120" s="49">
        <f>IF('RTF 1'!$D$9=1,'Lookup Tables'!$J120,IF('RTF 1'!$D$9=2,'Lookup Tables'!$K120,IF('RTF 1'!$D$9=3,'Lookup Tables'!$L120,IF('RTF 1'!$D$9=4,'Lookup Tables'!$M120,'Lookup Tables'!$N120))))</f>
        <v>20</v>
      </c>
      <c r="J120">
        <f t="shared" si="29"/>
        <v>20</v>
      </c>
      <c r="K120">
        <f t="shared" si="30"/>
        <v>20</v>
      </c>
      <c r="L120">
        <f>IF('RTF 1'!$D$9=3,'Lookup Tables'!$V$39,0)</f>
        <v>0</v>
      </c>
      <c r="M120">
        <f t="shared" si="31"/>
        <v>40</v>
      </c>
      <c r="N120">
        <f t="shared" si="32"/>
        <v>15</v>
      </c>
      <c r="P120" s="8" t="b">
        <f>'RTF 1'!Q93&gt;'RTF 1'!S93</f>
        <v>0</v>
      </c>
      <c r="Q120" s="8" t="b">
        <f>AND('RTF 1'!S93&gt;='RTF 1'!Q93,'RTF 1'!Q93&gt;'RTF 1'!T93)</f>
        <v>0</v>
      </c>
      <c r="R120" s="35" t="b">
        <f>'RTF 1'!Q93&lt;='RTF 1'!T93</f>
        <v>1</v>
      </c>
      <c r="S120" s="8" t="b">
        <f>'RTF 1'!Q93&gt;'RTF 1'!U93</f>
        <v>0</v>
      </c>
      <c r="T120" s="8" t="b">
        <f>AND('RTF 1'!U93&gt;='RTF 1'!Q93,'RTF 1'!Q93&gt;'RTF 1'!V93)</f>
        <v>0</v>
      </c>
      <c r="U120" s="35" t="b">
        <f>'RTF 1'!Q93&lt;='RTF 1'!V93</f>
        <v>1</v>
      </c>
      <c r="V120" s="42"/>
      <c r="W120" s="8" t="b">
        <f>'RTF 1'!Q93&gt;('RTF 1'!P93+'RTF 1'!O93)</f>
        <v>0</v>
      </c>
      <c r="X120" s="8" t="b">
        <f>'RTF 1'!O93&gt;('RTF 1'!P93+'RTF 1'!Q93)</f>
        <v>0</v>
      </c>
      <c r="Y120" s="8" t="b">
        <f>AND(('RTF 1'!O93+10)&gt;='RTF 1'!P93,('RTF 1'!O93-10)&lt;='RTF 1'!P93,('RTF 1'!P93+10)&gt;='RTF 1'!Q93,('RTF 1'!P93-10)&lt;='RTF 1'!Q93,('RTF 1'!O93+10)&gt;='RTF 1'!Q93,('RTF 1'!O93-10)&lt;='RTF 1'!Q93)</f>
        <v>1</v>
      </c>
      <c r="Z120" s="8" t="b">
        <f>AND(('RTF 1'!O93+10)&gt;='RTF 1'!P93,('RTF 1'!O93-10)&lt;='RTF 1'!P93,OR('RTF 1'!P93&gt;'RTF 1'!Y93,'RTF 1'!O93&gt;'RTF 1'!Y93))</f>
        <v>0</v>
      </c>
      <c r="AA120" s="11" t="b">
        <f>AND(('RTF 1'!Q93+10)&gt;='RTF 1'!P93,('RTF 1'!Q93-10)&lt;='RTF 1'!P93,OR('RTF 1'!P93&gt;'RTF 1'!Z93,'RTF 1'!Q93&gt;'RTF 1'!Z93))</f>
        <v>0</v>
      </c>
      <c r="AB120" s="35" t="b">
        <f t="shared" si="33"/>
        <v>0</v>
      </c>
      <c r="AC120" s="8" t="b">
        <f>'RTF 1'!Q93&gt;'RTF 1'!P93</f>
        <v>0</v>
      </c>
      <c r="AD120" s="8" t="b">
        <f>AND('RTF 1'!P93&gt;='RTF 1'!Q93,'RTF 1'!Q93&gt;'RTF 1'!AA93)</f>
        <v>0</v>
      </c>
      <c r="AE120" s="8" t="b">
        <f>AND('RTF 1'!AA93&gt;'RTF 1'!Q93,'RTF 1'!Q93&gt;'RTF 1'!AB93)</f>
        <v>0</v>
      </c>
      <c r="AF120" s="8" t="b">
        <f>'RTF 1'!Q93&lt;'RTF 1'!AB93</f>
        <v>1</v>
      </c>
    </row>
    <row r="121" spans="1:32" x14ac:dyDescent="0.25">
      <c r="A121">
        <v>1500</v>
      </c>
      <c r="B121">
        <v>75</v>
      </c>
      <c r="C121">
        <v>75</v>
      </c>
      <c r="D121">
        <v>100</v>
      </c>
      <c r="E121">
        <v>100</v>
      </c>
      <c r="G121" s="8"/>
      <c r="H121" s="8"/>
      <c r="I121" s="49">
        <f>IF('RTF 1'!$D$9=1,'Lookup Tables'!$J121,IF('RTF 1'!$D$9=2,'Lookup Tables'!$K121,IF('RTF 1'!$D$9=3,'Lookup Tables'!$L121,IF('RTF 1'!$D$9=4,'Lookup Tables'!$M121,'Lookup Tables'!$N121))))</f>
        <v>20</v>
      </c>
      <c r="J121">
        <f t="shared" si="29"/>
        <v>20</v>
      </c>
      <c r="K121">
        <f t="shared" si="30"/>
        <v>20</v>
      </c>
      <c r="L121">
        <f>IF('RTF 1'!$D$9=3,'Lookup Tables'!$V$39,0)</f>
        <v>0</v>
      </c>
      <c r="M121">
        <f t="shared" si="31"/>
        <v>40</v>
      </c>
      <c r="N121">
        <f t="shared" si="32"/>
        <v>15</v>
      </c>
      <c r="P121" s="8" t="b">
        <f>'RTF 1'!Q94&gt;'RTF 1'!S94</f>
        <v>0</v>
      </c>
      <c r="Q121" s="8" t="b">
        <f>AND('RTF 1'!S94&gt;='RTF 1'!Q94,'RTF 1'!Q94&gt;'RTF 1'!T94)</f>
        <v>0</v>
      </c>
      <c r="R121" s="35" t="b">
        <f>'RTF 1'!Q94&lt;='RTF 1'!T94</f>
        <v>1</v>
      </c>
      <c r="S121" s="8" t="b">
        <f>'RTF 1'!Q94&gt;'RTF 1'!U94</f>
        <v>0</v>
      </c>
      <c r="T121" s="8" t="b">
        <f>AND('RTF 1'!U94&gt;='RTF 1'!Q94,'RTF 1'!Q94&gt;'RTF 1'!V94)</f>
        <v>0</v>
      </c>
      <c r="U121" s="35" t="b">
        <f>'RTF 1'!Q94&lt;='RTF 1'!V94</f>
        <v>1</v>
      </c>
      <c r="V121" s="42"/>
      <c r="W121" s="8" t="b">
        <f>'RTF 1'!Q94&gt;('RTF 1'!P94+'RTF 1'!O94)</f>
        <v>0</v>
      </c>
      <c r="X121" s="8" t="b">
        <f>'RTF 1'!O94&gt;('RTF 1'!P94+'RTF 1'!Q94)</f>
        <v>0</v>
      </c>
      <c r="Y121" s="8" t="b">
        <f>AND(('RTF 1'!O94+10)&gt;='RTF 1'!P94,('RTF 1'!O94-10)&lt;='RTF 1'!P94,('RTF 1'!P94+10)&gt;='RTF 1'!Q94,('RTF 1'!P94-10)&lt;='RTF 1'!Q94,('RTF 1'!O94+10)&gt;='RTF 1'!Q94,('RTF 1'!O94-10)&lt;='RTF 1'!Q94)</f>
        <v>1</v>
      </c>
      <c r="Z121" s="8" t="b">
        <f>AND(('RTF 1'!O94+10)&gt;='RTF 1'!P94,('RTF 1'!O94-10)&lt;='RTF 1'!P94,OR('RTF 1'!P94&gt;'RTF 1'!Y94,'RTF 1'!O94&gt;'RTF 1'!Y94))</f>
        <v>0</v>
      </c>
      <c r="AA121" s="11" t="b">
        <f>AND(('RTF 1'!Q94+10)&gt;='RTF 1'!P94,('RTF 1'!Q94-10)&lt;='RTF 1'!P94,OR('RTF 1'!P94&gt;'RTF 1'!Z94,'RTF 1'!Q94&gt;'RTF 1'!Z94))</f>
        <v>0</v>
      </c>
      <c r="AB121" s="35" t="b">
        <f t="shared" si="33"/>
        <v>0</v>
      </c>
      <c r="AC121" s="8" t="b">
        <f>'RTF 1'!Q94&gt;'RTF 1'!P94</f>
        <v>0</v>
      </c>
      <c r="AD121" s="8" t="b">
        <f>AND('RTF 1'!P94&gt;='RTF 1'!Q94,'RTF 1'!Q94&gt;'RTF 1'!AA94)</f>
        <v>0</v>
      </c>
      <c r="AE121" s="8" t="b">
        <f>AND('RTF 1'!AA94&gt;'RTF 1'!Q94,'RTF 1'!Q94&gt;'RTF 1'!AB94)</f>
        <v>0</v>
      </c>
      <c r="AF121" s="8" t="b">
        <f>'RTF 1'!Q94&lt;'RTF 1'!AB94</f>
        <v>1</v>
      </c>
    </row>
    <row r="122" spans="1:32" x14ac:dyDescent="0.25">
      <c r="A122">
        <v>1600</v>
      </c>
      <c r="B122">
        <v>75</v>
      </c>
      <c r="C122">
        <v>75</v>
      </c>
      <c r="D122">
        <v>100</v>
      </c>
      <c r="E122">
        <v>100</v>
      </c>
      <c r="G122" s="8"/>
      <c r="H122" s="8"/>
      <c r="I122" s="49">
        <f>IF('RTF 1'!$D$9=1,'Lookup Tables'!$J122,IF('RTF 1'!$D$9=2,'Lookup Tables'!$K122,IF('RTF 1'!$D$9=3,'Lookup Tables'!$L122,IF('RTF 1'!$D$9=4,'Lookup Tables'!$M122,'Lookup Tables'!$N122))))</f>
        <v>20</v>
      </c>
      <c r="J122">
        <f t="shared" si="29"/>
        <v>20</v>
      </c>
      <c r="K122">
        <f t="shared" si="30"/>
        <v>20</v>
      </c>
      <c r="L122">
        <f>IF('RTF 1'!$D$9=3,'Lookup Tables'!$V$39,0)</f>
        <v>0</v>
      </c>
      <c r="M122">
        <f t="shared" si="31"/>
        <v>40</v>
      </c>
      <c r="N122">
        <f t="shared" si="32"/>
        <v>15</v>
      </c>
      <c r="P122" s="8" t="b">
        <f>'RTF 1'!Q95&gt;'RTF 1'!S95</f>
        <v>0</v>
      </c>
      <c r="Q122" s="8" t="b">
        <f>AND('RTF 1'!S95&gt;='RTF 1'!Q95,'RTF 1'!Q95&gt;'RTF 1'!T95)</f>
        <v>0</v>
      </c>
      <c r="R122" s="35" t="b">
        <f>'RTF 1'!Q95&lt;='RTF 1'!T95</f>
        <v>1</v>
      </c>
      <c r="S122" s="8" t="b">
        <f>'RTF 1'!Q95&gt;'RTF 1'!U95</f>
        <v>0</v>
      </c>
      <c r="T122" s="8" t="b">
        <f>AND('RTF 1'!U95&gt;='RTF 1'!Q95,'RTF 1'!Q95&gt;'RTF 1'!V95)</f>
        <v>0</v>
      </c>
      <c r="U122" s="35" t="b">
        <f>'RTF 1'!Q95&lt;='RTF 1'!V95</f>
        <v>1</v>
      </c>
      <c r="V122" s="42"/>
      <c r="W122" s="8" t="b">
        <f>'RTF 1'!Q95&gt;('RTF 1'!P95+'RTF 1'!O95)</f>
        <v>0</v>
      </c>
      <c r="X122" s="8" t="b">
        <f>'RTF 1'!O95&gt;('RTF 1'!P95+'RTF 1'!Q95)</f>
        <v>0</v>
      </c>
      <c r="Y122" s="8" t="b">
        <f>AND(('RTF 1'!O95+10)&gt;='RTF 1'!P95,('RTF 1'!O95-10)&lt;='RTF 1'!P95,('RTF 1'!P95+10)&gt;='RTF 1'!Q95,('RTF 1'!P95-10)&lt;='RTF 1'!Q95,('RTF 1'!O95+10)&gt;='RTF 1'!Q95,('RTF 1'!O95-10)&lt;='RTF 1'!Q95)</f>
        <v>1</v>
      </c>
      <c r="Z122" s="8" t="b">
        <f>AND(('RTF 1'!O95+10)&gt;='RTF 1'!P95,('RTF 1'!O95-10)&lt;='RTF 1'!P95,OR('RTF 1'!P95&gt;'RTF 1'!Y95,'RTF 1'!O95&gt;'RTF 1'!Y95))</f>
        <v>0</v>
      </c>
      <c r="AA122" s="11" t="b">
        <f>AND(('RTF 1'!Q95+10)&gt;='RTF 1'!P95,('RTF 1'!Q95-10)&lt;='RTF 1'!P95,OR('RTF 1'!P95&gt;'RTF 1'!Z95,'RTF 1'!Q95&gt;'RTF 1'!Z95))</f>
        <v>0</v>
      </c>
      <c r="AB122" s="35" t="b">
        <f t="shared" si="33"/>
        <v>0</v>
      </c>
      <c r="AC122" s="8" t="b">
        <f>'RTF 1'!Q95&gt;'RTF 1'!P95</f>
        <v>0</v>
      </c>
      <c r="AD122" s="8" t="b">
        <f>AND('RTF 1'!P95&gt;='RTF 1'!Q95,'RTF 1'!Q95&gt;'RTF 1'!AA95)</f>
        <v>0</v>
      </c>
      <c r="AE122" s="8" t="b">
        <f>AND('RTF 1'!AA95&gt;'RTF 1'!Q95,'RTF 1'!Q95&gt;'RTF 1'!AB95)</f>
        <v>0</v>
      </c>
      <c r="AF122" s="8" t="b">
        <f>'RTF 1'!Q95&lt;'RTF 1'!AB95</f>
        <v>1</v>
      </c>
    </row>
    <row r="123" spans="1:32" x14ac:dyDescent="0.25">
      <c r="A123">
        <v>1700</v>
      </c>
      <c r="B123">
        <v>75</v>
      </c>
      <c r="C123">
        <v>75</v>
      </c>
      <c r="D123">
        <v>100</v>
      </c>
      <c r="E123">
        <v>100</v>
      </c>
      <c r="F123" s="8"/>
      <c r="G123" s="8"/>
      <c r="H123" s="8"/>
      <c r="I123" s="49">
        <f>IF('RTF 1'!$D$9=1,'Lookup Tables'!$J123,IF('RTF 1'!$D$9=2,'Lookup Tables'!$K123,IF('RTF 1'!$D$9=3,'Lookup Tables'!$L123,IF('RTF 1'!$D$9=4,'Lookup Tables'!$M123,'Lookup Tables'!$N123))))</f>
        <v>20</v>
      </c>
      <c r="J123">
        <f t="shared" si="29"/>
        <v>20</v>
      </c>
      <c r="K123">
        <f t="shared" si="30"/>
        <v>20</v>
      </c>
      <c r="L123">
        <f>IF('RTF 1'!$D$9=3,'Lookup Tables'!$V$39,0)</f>
        <v>0</v>
      </c>
      <c r="M123">
        <f t="shared" si="31"/>
        <v>40</v>
      </c>
      <c r="N123">
        <f t="shared" si="32"/>
        <v>15</v>
      </c>
      <c r="P123" s="8" t="b">
        <f>'RTF 1'!Q96&gt;'RTF 1'!S96</f>
        <v>0</v>
      </c>
      <c r="Q123" s="8" t="b">
        <f>AND('RTF 1'!S96&gt;='RTF 1'!Q96,'RTF 1'!Q96&gt;'RTF 1'!T96)</f>
        <v>0</v>
      </c>
      <c r="R123" s="35" t="b">
        <f>'RTF 1'!Q96&lt;='RTF 1'!T96</f>
        <v>1</v>
      </c>
      <c r="S123" s="8" t="b">
        <f>'RTF 1'!Q96&gt;'RTF 1'!U96</f>
        <v>0</v>
      </c>
      <c r="T123" s="8" t="b">
        <f>AND('RTF 1'!U96&gt;='RTF 1'!Q96,'RTF 1'!Q96&gt;'RTF 1'!V96)</f>
        <v>0</v>
      </c>
      <c r="U123" s="35" t="b">
        <f>'RTF 1'!Q96&lt;='RTF 1'!V96</f>
        <v>1</v>
      </c>
      <c r="V123" s="42"/>
      <c r="W123" s="8" t="b">
        <f>'RTF 1'!Q96&gt;('RTF 1'!P96+'RTF 1'!O96)</f>
        <v>0</v>
      </c>
      <c r="X123" s="8" t="b">
        <f>'RTF 1'!O96&gt;('RTF 1'!P96+'RTF 1'!Q96)</f>
        <v>0</v>
      </c>
      <c r="Y123" s="8" t="b">
        <f>AND(('RTF 1'!O96+10)&gt;='RTF 1'!P96,('RTF 1'!O96-10)&lt;='RTF 1'!P96,('RTF 1'!P96+10)&gt;='RTF 1'!Q96,('RTF 1'!P96-10)&lt;='RTF 1'!Q96,('RTF 1'!O96+10)&gt;='RTF 1'!Q96,('RTF 1'!O96-10)&lt;='RTF 1'!Q96)</f>
        <v>1</v>
      </c>
      <c r="Z123" s="8" t="b">
        <f>AND(('RTF 1'!O96+10)&gt;='RTF 1'!P96,('RTF 1'!O96-10)&lt;='RTF 1'!P96,OR('RTF 1'!P96&gt;'RTF 1'!Y96,'RTF 1'!O96&gt;'RTF 1'!Y96))</f>
        <v>0</v>
      </c>
      <c r="AA123" s="11" t="b">
        <f>AND(('RTF 1'!Q96+10)&gt;='RTF 1'!P96,('RTF 1'!Q96-10)&lt;='RTF 1'!P96,OR('RTF 1'!P96&gt;'RTF 1'!Z96,'RTF 1'!Q96&gt;'RTF 1'!Z96))</f>
        <v>0</v>
      </c>
      <c r="AB123" s="35" t="b">
        <f t="shared" si="33"/>
        <v>0</v>
      </c>
      <c r="AC123" s="8" t="b">
        <f>'RTF 1'!Q96&gt;'RTF 1'!P96</f>
        <v>0</v>
      </c>
      <c r="AD123" s="8" t="b">
        <f>AND('RTF 1'!P96&gt;='RTF 1'!Q96,'RTF 1'!Q96&gt;'RTF 1'!AA96)</f>
        <v>0</v>
      </c>
      <c r="AE123" s="8" t="b">
        <f>AND('RTF 1'!AA96&gt;'RTF 1'!Q96,'RTF 1'!Q96&gt;'RTF 1'!AB96)</f>
        <v>0</v>
      </c>
      <c r="AF123" s="8" t="b">
        <f>'RTF 1'!Q96&lt;'RTF 1'!AB96</f>
        <v>1</v>
      </c>
    </row>
    <row r="124" spans="1:32" x14ac:dyDescent="0.25">
      <c r="A124">
        <v>1800</v>
      </c>
      <c r="B124">
        <v>75</v>
      </c>
      <c r="C124">
        <v>75</v>
      </c>
      <c r="D124">
        <v>100</v>
      </c>
      <c r="E124">
        <v>100</v>
      </c>
      <c r="F124" s="8"/>
      <c r="G124" s="8"/>
      <c r="H124" s="8"/>
      <c r="I124" s="49">
        <f>IF('RTF 1'!$D$9=1,'Lookup Tables'!$J124,IF('RTF 1'!$D$9=2,'Lookup Tables'!$K124,IF('RTF 1'!$D$9=3,'Lookup Tables'!$L124,IF('RTF 1'!$D$9=4,'Lookup Tables'!$M124,'Lookup Tables'!$N124))))</f>
        <v>20</v>
      </c>
      <c r="J124">
        <f t="shared" si="29"/>
        <v>20</v>
      </c>
      <c r="K124">
        <f t="shared" si="30"/>
        <v>20</v>
      </c>
      <c r="L124">
        <f>IF('RTF 1'!$D$9=3,'Lookup Tables'!$V$39,0)</f>
        <v>0</v>
      </c>
      <c r="M124">
        <f t="shared" si="31"/>
        <v>40</v>
      </c>
      <c r="N124">
        <f t="shared" si="32"/>
        <v>15</v>
      </c>
      <c r="P124" s="8" t="b">
        <f>'RTF 1'!Q97&gt;'RTF 1'!S97</f>
        <v>0</v>
      </c>
      <c r="Q124" s="8" t="b">
        <f>AND('RTF 1'!S97&gt;='RTF 1'!Q97,'RTF 1'!Q97&gt;'RTF 1'!T97)</f>
        <v>0</v>
      </c>
      <c r="R124" s="35" t="b">
        <f>'RTF 1'!Q97&lt;='RTF 1'!T97</f>
        <v>1</v>
      </c>
      <c r="S124" s="8" t="b">
        <f>'RTF 1'!Q97&gt;'RTF 1'!U97</f>
        <v>0</v>
      </c>
      <c r="T124" s="8" t="b">
        <f>AND('RTF 1'!U97&gt;='RTF 1'!Q97,'RTF 1'!Q97&gt;'RTF 1'!V97)</f>
        <v>0</v>
      </c>
      <c r="U124" s="35" t="b">
        <f>'RTF 1'!Q97&lt;='RTF 1'!V97</f>
        <v>1</v>
      </c>
      <c r="V124" s="42"/>
      <c r="W124" s="8" t="b">
        <f>'RTF 1'!Q97&gt;('RTF 1'!P97+'RTF 1'!O97)</f>
        <v>0</v>
      </c>
      <c r="X124" s="8" t="b">
        <f>'RTF 1'!O97&gt;('RTF 1'!P97+'RTF 1'!Q97)</f>
        <v>0</v>
      </c>
      <c r="Y124" s="8" t="b">
        <f>AND(('RTF 1'!O97+10)&gt;='RTF 1'!P97,('RTF 1'!O97-10)&lt;='RTF 1'!P97,('RTF 1'!P97+10)&gt;='RTF 1'!Q97,('RTF 1'!P97-10)&lt;='RTF 1'!Q97,('RTF 1'!O97+10)&gt;='RTF 1'!Q97,('RTF 1'!O97-10)&lt;='RTF 1'!Q97)</f>
        <v>1</v>
      </c>
      <c r="Z124" s="8" t="b">
        <f>AND(('RTF 1'!O97+10)&gt;='RTF 1'!P97,('RTF 1'!O97-10)&lt;='RTF 1'!P97,OR('RTF 1'!P97&gt;'RTF 1'!Y97,'RTF 1'!O97&gt;'RTF 1'!Y97))</f>
        <v>0</v>
      </c>
      <c r="AA124" s="11" t="b">
        <f>AND(('RTF 1'!Q97+10)&gt;='RTF 1'!P97,('RTF 1'!Q97-10)&lt;='RTF 1'!P97,OR('RTF 1'!P97&gt;'RTF 1'!Z97,'RTF 1'!Q97&gt;'RTF 1'!Z97))</f>
        <v>0</v>
      </c>
      <c r="AB124" s="35" t="b">
        <f t="shared" si="33"/>
        <v>0</v>
      </c>
      <c r="AC124" s="8" t="b">
        <f>'RTF 1'!Q97&gt;'RTF 1'!P97</f>
        <v>0</v>
      </c>
      <c r="AD124" s="8" t="b">
        <f>AND('RTF 1'!P97&gt;='RTF 1'!Q97,'RTF 1'!Q97&gt;'RTF 1'!AA97)</f>
        <v>0</v>
      </c>
      <c r="AE124" s="8" t="b">
        <f>AND('RTF 1'!AA97&gt;'RTF 1'!Q97,'RTF 1'!Q97&gt;'RTF 1'!AB97)</f>
        <v>0</v>
      </c>
      <c r="AF124" s="8" t="b">
        <f>'RTF 1'!Q97&lt;'RTF 1'!AB97</f>
        <v>1</v>
      </c>
    </row>
    <row r="125" spans="1:32" x14ac:dyDescent="0.25">
      <c r="A125">
        <v>1900</v>
      </c>
      <c r="B125">
        <v>75</v>
      </c>
      <c r="C125">
        <v>75</v>
      </c>
      <c r="D125">
        <v>100</v>
      </c>
      <c r="E125">
        <v>100</v>
      </c>
      <c r="F125" s="8"/>
      <c r="G125" s="8"/>
      <c r="H125" s="8"/>
      <c r="I125" s="49">
        <f>IF('RTF 1'!$D$9=1,'Lookup Tables'!$J125,IF('RTF 1'!$D$9=2,'Lookup Tables'!$K125,IF('RTF 1'!$D$9=3,'Lookup Tables'!$L125,IF('RTF 1'!$D$9=4,'Lookup Tables'!$M125,'Lookup Tables'!$N125))))</f>
        <v>20</v>
      </c>
      <c r="J125">
        <f t="shared" si="29"/>
        <v>20</v>
      </c>
      <c r="K125">
        <f t="shared" si="30"/>
        <v>20</v>
      </c>
      <c r="L125">
        <f>IF('RTF 1'!$D$9=3,'Lookup Tables'!$V$39,0)</f>
        <v>0</v>
      </c>
      <c r="M125">
        <f t="shared" si="31"/>
        <v>40</v>
      </c>
      <c r="N125">
        <f t="shared" si="32"/>
        <v>15</v>
      </c>
      <c r="P125" s="8" t="b">
        <f>'RTF 1'!Q98&gt;'RTF 1'!S98</f>
        <v>0</v>
      </c>
      <c r="Q125" s="8" t="b">
        <f>AND('RTF 1'!S98&gt;='RTF 1'!Q98,'RTF 1'!Q98&gt;'RTF 1'!T98)</f>
        <v>0</v>
      </c>
      <c r="R125" s="35" t="b">
        <f>'RTF 1'!Q98&lt;='RTF 1'!T98</f>
        <v>1</v>
      </c>
      <c r="S125" s="8" t="b">
        <f>'RTF 1'!Q98&gt;'RTF 1'!U98</f>
        <v>0</v>
      </c>
      <c r="T125" s="8" t="b">
        <f>AND('RTF 1'!U98&gt;='RTF 1'!Q98,'RTF 1'!Q98&gt;'RTF 1'!V98)</f>
        <v>0</v>
      </c>
      <c r="U125" s="35" t="b">
        <f>'RTF 1'!Q98&lt;='RTF 1'!V98</f>
        <v>1</v>
      </c>
      <c r="V125" s="42"/>
      <c r="W125" s="8" t="b">
        <f>'RTF 1'!Q98&gt;('RTF 1'!P98+'RTF 1'!O98)</f>
        <v>0</v>
      </c>
      <c r="X125" s="8" t="b">
        <f>'RTF 1'!O98&gt;('RTF 1'!P98+'RTF 1'!Q98)</f>
        <v>0</v>
      </c>
      <c r="Y125" s="8" t="b">
        <f>AND(('RTF 1'!O98+10)&gt;='RTF 1'!P98,('RTF 1'!O98-10)&lt;='RTF 1'!P98,('RTF 1'!P98+10)&gt;='RTF 1'!Q98,('RTF 1'!P98-10)&lt;='RTF 1'!Q98,('RTF 1'!O98+10)&gt;='RTF 1'!Q98,('RTF 1'!O98-10)&lt;='RTF 1'!Q98)</f>
        <v>1</v>
      </c>
      <c r="Z125" s="8" t="b">
        <f>AND(('RTF 1'!O98+10)&gt;='RTF 1'!P98,('RTF 1'!O98-10)&lt;='RTF 1'!P98,OR('RTF 1'!P98&gt;'RTF 1'!Y98,'RTF 1'!O98&gt;'RTF 1'!Y98))</f>
        <v>0</v>
      </c>
      <c r="AA125" s="11" t="b">
        <f>AND(('RTF 1'!Q98+10)&gt;='RTF 1'!P98,('RTF 1'!Q98-10)&lt;='RTF 1'!P98,OR('RTF 1'!P98&gt;'RTF 1'!Z98,'RTF 1'!Q98&gt;'RTF 1'!Z98))</f>
        <v>0</v>
      </c>
      <c r="AB125" s="35" t="b">
        <f t="shared" si="33"/>
        <v>0</v>
      </c>
      <c r="AC125" s="8" t="b">
        <f>'RTF 1'!Q98&gt;'RTF 1'!P98</f>
        <v>0</v>
      </c>
      <c r="AD125" s="8" t="b">
        <f>AND('RTF 1'!P98&gt;='RTF 1'!Q98,'RTF 1'!Q98&gt;'RTF 1'!AA98)</f>
        <v>0</v>
      </c>
      <c r="AE125" s="8" t="b">
        <f>AND('RTF 1'!AA98&gt;'RTF 1'!Q98,'RTF 1'!Q98&gt;'RTF 1'!AB98)</f>
        <v>0</v>
      </c>
      <c r="AF125" s="8" t="b">
        <f>'RTF 1'!Q98&lt;'RTF 1'!AB98</f>
        <v>1</v>
      </c>
    </row>
    <row r="126" spans="1:32" x14ac:dyDescent="0.25">
      <c r="F126" s="8"/>
      <c r="G126" s="8"/>
      <c r="H126" s="8"/>
      <c r="I126" s="49">
        <f>IF('RTF 1'!$D$9=1,'Lookup Tables'!$J126,IF('RTF 1'!$D$9=2,'Lookup Tables'!$K126,IF('RTF 1'!$D$9=3,'Lookup Tables'!$L126,IF('RTF 1'!$D$9=4,'Lookup Tables'!$M126,'Lookup Tables'!$N126))))</f>
        <v>20</v>
      </c>
      <c r="J126">
        <f t="shared" si="29"/>
        <v>20</v>
      </c>
      <c r="K126">
        <f t="shared" si="30"/>
        <v>20</v>
      </c>
      <c r="L126">
        <f>IF('RTF 1'!$D$9=3,'Lookup Tables'!$V$39,0)</f>
        <v>0</v>
      </c>
      <c r="M126">
        <f t="shared" si="31"/>
        <v>40</v>
      </c>
      <c r="N126">
        <f t="shared" si="32"/>
        <v>15</v>
      </c>
      <c r="P126" s="8" t="b">
        <f>'RTF 1'!Q99&gt;'RTF 1'!S99</f>
        <v>0</v>
      </c>
      <c r="Q126" s="8" t="b">
        <f>AND('RTF 1'!S99&gt;='RTF 1'!Q99,'RTF 1'!Q99&gt;'RTF 1'!T99)</f>
        <v>0</v>
      </c>
      <c r="R126" s="35" t="b">
        <f>'RTF 1'!Q99&lt;='RTF 1'!T99</f>
        <v>1</v>
      </c>
      <c r="S126" s="8" t="b">
        <f>'RTF 1'!Q99&gt;'RTF 1'!U99</f>
        <v>0</v>
      </c>
      <c r="T126" s="8" t="b">
        <f>AND('RTF 1'!U99&gt;='RTF 1'!Q99,'RTF 1'!Q99&gt;'RTF 1'!V99)</f>
        <v>0</v>
      </c>
      <c r="U126" s="35" t="b">
        <f>'RTF 1'!Q99&lt;='RTF 1'!V99</f>
        <v>1</v>
      </c>
      <c r="V126" s="42"/>
      <c r="W126" s="8" t="b">
        <f>'RTF 1'!Q99&gt;('RTF 1'!P99+'RTF 1'!O99)</f>
        <v>0</v>
      </c>
      <c r="X126" s="8" t="b">
        <f>'RTF 1'!O99&gt;('RTF 1'!P99+'RTF 1'!Q99)</f>
        <v>0</v>
      </c>
      <c r="Y126" s="8" t="b">
        <f>AND(('RTF 1'!O99+10)&gt;='RTF 1'!P99,('RTF 1'!O99-10)&lt;='RTF 1'!P99,('RTF 1'!P99+10)&gt;='RTF 1'!Q99,('RTF 1'!P99-10)&lt;='RTF 1'!Q99,('RTF 1'!O99+10)&gt;='RTF 1'!Q99,('RTF 1'!O99-10)&lt;='RTF 1'!Q99)</f>
        <v>1</v>
      </c>
      <c r="Z126" s="8" t="b">
        <f>AND(('RTF 1'!O99+10)&gt;='RTF 1'!P99,('RTF 1'!O99-10)&lt;='RTF 1'!P99,OR('RTF 1'!P99&gt;'RTF 1'!Y99,'RTF 1'!O99&gt;'RTF 1'!Y99))</f>
        <v>0</v>
      </c>
      <c r="AA126" s="11" t="b">
        <f>AND(('RTF 1'!Q99+10)&gt;='RTF 1'!P99,('RTF 1'!Q99-10)&lt;='RTF 1'!P99,OR('RTF 1'!P99&gt;'RTF 1'!Z99,'RTF 1'!Q99&gt;'RTF 1'!Z99))</f>
        <v>0</v>
      </c>
      <c r="AB126" s="35" t="b">
        <f t="shared" si="33"/>
        <v>0</v>
      </c>
      <c r="AC126" s="8" t="b">
        <f>'RTF 1'!Q99&gt;'RTF 1'!P99</f>
        <v>0</v>
      </c>
      <c r="AD126" s="8" t="b">
        <f>AND('RTF 1'!P99&gt;='RTF 1'!Q99,'RTF 1'!Q99&gt;'RTF 1'!AA99)</f>
        <v>0</v>
      </c>
      <c r="AE126" s="8" t="b">
        <f>AND('RTF 1'!AA99&gt;'RTF 1'!Q99,'RTF 1'!Q99&gt;'RTF 1'!AB99)</f>
        <v>0</v>
      </c>
      <c r="AF126" s="8" t="b">
        <f>'RTF 1'!Q99&lt;'RTF 1'!AB99</f>
        <v>1</v>
      </c>
    </row>
    <row r="127" spans="1:32" x14ac:dyDescent="0.25">
      <c r="A127" s="819" t="s">
        <v>353</v>
      </c>
      <c r="B127" s="819"/>
      <c r="C127" s="819"/>
      <c r="D127" s="819"/>
      <c r="E127" s="819"/>
      <c r="F127" s="8"/>
      <c r="G127" s="8"/>
      <c r="H127" s="8"/>
      <c r="I127" s="49">
        <f>IF('RTF 1'!$D$9=1,'Lookup Tables'!$J127,IF('RTF 1'!$D$9=2,'Lookup Tables'!$K127,IF('RTF 1'!$D$9=3,'Lookup Tables'!$L127,IF('RTF 1'!$D$9=4,'Lookup Tables'!$M127,'Lookup Tables'!$N127))))</f>
        <v>20</v>
      </c>
      <c r="J127">
        <f t="shared" si="29"/>
        <v>20</v>
      </c>
      <c r="K127">
        <f t="shared" si="30"/>
        <v>20</v>
      </c>
      <c r="L127">
        <f>IF('RTF 1'!$D$9=3,'Lookup Tables'!$V$39,0)</f>
        <v>0</v>
      </c>
      <c r="M127">
        <f t="shared" si="31"/>
        <v>40</v>
      </c>
      <c r="N127">
        <f t="shared" si="32"/>
        <v>15</v>
      </c>
      <c r="P127" s="8" t="b">
        <f>'RTF 1'!Q100&gt;'RTF 1'!S100</f>
        <v>0</v>
      </c>
      <c r="Q127" s="8" t="b">
        <f>AND('RTF 1'!S100&gt;='RTF 1'!Q100,'RTF 1'!Q100&gt;'RTF 1'!T100)</f>
        <v>0</v>
      </c>
      <c r="R127" s="35" t="b">
        <f>'RTF 1'!Q100&lt;='RTF 1'!T100</f>
        <v>1</v>
      </c>
      <c r="S127" s="8" t="b">
        <f>'RTF 1'!Q100&gt;'RTF 1'!U100</f>
        <v>0</v>
      </c>
      <c r="T127" s="8" t="b">
        <f>AND('RTF 1'!U100&gt;='RTF 1'!Q100,'RTF 1'!Q100&gt;'RTF 1'!V100)</f>
        <v>0</v>
      </c>
      <c r="U127" s="35" t="b">
        <f>'RTF 1'!Q100&lt;='RTF 1'!V100</f>
        <v>1</v>
      </c>
      <c r="V127" s="42"/>
      <c r="W127" s="8" t="b">
        <f>'RTF 1'!Q100&gt;('RTF 1'!P100+'RTF 1'!O100)</f>
        <v>0</v>
      </c>
      <c r="X127" s="8" t="b">
        <f>'RTF 1'!O100&gt;('RTF 1'!P100+'RTF 1'!Q100)</f>
        <v>0</v>
      </c>
      <c r="Y127" s="8" t="b">
        <f>AND(('RTF 1'!O100+10)&gt;='RTF 1'!P100,('RTF 1'!O100-10)&lt;='RTF 1'!P100,('RTF 1'!P100+10)&gt;='RTF 1'!Q100,('RTF 1'!P100-10)&lt;='RTF 1'!Q100,('RTF 1'!O100+10)&gt;='RTF 1'!Q100,('RTF 1'!O100-10)&lt;='RTF 1'!Q100)</f>
        <v>1</v>
      </c>
      <c r="Z127" s="8" t="b">
        <f>AND(('RTF 1'!O100+10)&gt;='RTF 1'!P100,('RTF 1'!O100-10)&lt;='RTF 1'!P100,OR('RTF 1'!P100&gt;'RTF 1'!Y100,'RTF 1'!O100&gt;'RTF 1'!Y100))</f>
        <v>0</v>
      </c>
      <c r="AA127" s="11" t="b">
        <f>AND(('RTF 1'!Q100+10)&gt;='RTF 1'!P100,('RTF 1'!Q100-10)&lt;='RTF 1'!P100,OR('RTF 1'!P100&gt;'RTF 1'!Z100,'RTF 1'!Q100&gt;'RTF 1'!Z100))</f>
        <v>0</v>
      </c>
      <c r="AB127" s="35" t="b">
        <f t="shared" si="33"/>
        <v>0</v>
      </c>
      <c r="AC127" s="8" t="b">
        <f>'RTF 1'!Q100&gt;'RTF 1'!P100</f>
        <v>0</v>
      </c>
      <c r="AD127" s="8" t="b">
        <f>AND('RTF 1'!P100&gt;='RTF 1'!Q100,'RTF 1'!Q100&gt;'RTF 1'!AA100)</f>
        <v>0</v>
      </c>
      <c r="AE127" s="8" t="b">
        <f>AND('RTF 1'!AA100&gt;'RTF 1'!Q100,'RTF 1'!Q100&gt;'RTF 1'!AB100)</f>
        <v>0</v>
      </c>
      <c r="AF127" s="8" t="b">
        <f>'RTF 1'!Q100&lt;'RTF 1'!AB100</f>
        <v>1</v>
      </c>
    </row>
    <row r="128" spans="1:32" x14ac:dyDescent="0.25">
      <c r="A128" s="819"/>
      <c r="B128" s="819"/>
      <c r="C128" s="819"/>
      <c r="D128" s="819"/>
      <c r="E128" s="819"/>
      <c r="F128" s="8"/>
      <c r="G128" s="8"/>
      <c r="H128" s="8"/>
      <c r="I128" s="49">
        <f>IF('RTF 1'!$D$9=1,'Lookup Tables'!$J128,IF('RTF 1'!$D$9=2,'Lookup Tables'!$K128,IF('RTF 1'!$D$9=3,'Lookup Tables'!$L128,IF('RTF 1'!$D$9=4,'Lookup Tables'!$M128,'Lookup Tables'!$N128))))</f>
        <v>20</v>
      </c>
      <c r="J128">
        <f t="shared" si="29"/>
        <v>20</v>
      </c>
      <c r="K128">
        <f t="shared" si="30"/>
        <v>20</v>
      </c>
      <c r="L128">
        <f>IF('RTF 1'!$D$9=3,'Lookup Tables'!$V$39,0)</f>
        <v>0</v>
      </c>
      <c r="M128">
        <f t="shared" si="31"/>
        <v>40</v>
      </c>
      <c r="N128">
        <f t="shared" si="32"/>
        <v>15</v>
      </c>
      <c r="P128" s="8" t="b">
        <f>'RTF 1'!Q101&gt;'RTF 1'!S101</f>
        <v>0</v>
      </c>
      <c r="Q128" s="8" t="b">
        <f>AND('RTF 1'!S101&gt;='RTF 1'!Q101,'RTF 1'!Q101&gt;'RTF 1'!T101)</f>
        <v>0</v>
      </c>
      <c r="R128" s="35" t="b">
        <f>'RTF 1'!Q101&lt;='RTF 1'!T101</f>
        <v>1</v>
      </c>
      <c r="S128" s="8" t="b">
        <f>'RTF 1'!Q101&gt;'RTF 1'!U101</f>
        <v>0</v>
      </c>
      <c r="T128" s="8" t="b">
        <f>AND('RTF 1'!U101&gt;='RTF 1'!Q101,'RTF 1'!Q101&gt;'RTF 1'!V101)</f>
        <v>0</v>
      </c>
      <c r="U128" s="35" t="b">
        <f>'RTF 1'!Q101&lt;='RTF 1'!V101</f>
        <v>1</v>
      </c>
      <c r="V128" s="42"/>
      <c r="W128" s="8" t="b">
        <f>'RTF 1'!Q101&gt;('RTF 1'!P101+'RTF 1'!O101)</f>
        <v>0</v>
      </c>
      <c r="X128" s="8" t="b">
        <f>'RTF 1'!O101&gt;('RTF 1'!P101+'RTF 1'!Q101)</f>
        <v>0</v>
      </c>
      <c r="Y128" s="8" t="b">
        <f>AND(('RTF 1'!O101+10)&gt;='RTF 1'!P101,('RTF 1'!O101-10)&lt;='RTF 1'!P101,('RTF 1'!P101+10)&gt;='RTF 1'!Q101,('RTF 1'!P101-10)&lt;='RTF 1'!Q101,('RTF 1'!O101+10)&gt;='RTF 1'!Q101,('RTF 1'!O101-10)&lt;='RTF 1'!Q101)</f>
        <v>1</v>
      </c>
      <c r="Z128" s="8" t="b">
        <f>AND(('RTF 1'!O101+10)&gt;='RTF 1'!P101,('RTF 1'!O101-10)&lt;='RTF 1'!P101,OR('RTF 1'!P101&gt;'RTF 1'!Y101,'RTF 1'!O101&gt;'RTF 1'!Y101))</f>
        <v>0</v>
      </c>
      <c r="AA128" s="11" t="b">
        <f>AND(('RTF 1'!Q101+10)&gt;='RTF 1'!P101,('RTF 1'!Q101-10)&lt;='RTF 1'!P101,OR('RTF 1'!P101&gt;'RTF 1'!Z101,'RTF 1'!Q101&gt;'RTF 1'!Z101))</f>
        <v>0</v>
      </c>
      <c r="AB128" s="35" t="b">
        <f t="shared" si="33"/>
        <v>0</v>
      </c>
      <c r="AC128" s="8" t="b">
        <f>'RTF 1'!Q101&gt;'RTF 1'!P101</f>
        <v>0</v>
      </c>
      <c r="AD128" s="8" t="b">
        <f>AND('RTF 1'!P101&gt;='RTF 1'!Q101,'RTF 1'!Q101&gt;'RTF 1'!AA101)</f>
        <v>0</v>
      </c>
      <c r="AE128" s="8" t="b">
        <f>AND('RTF 1'!AA101&gt;'RTF 1'!Q101,'RTF 1'!Q101&gt;'RTF 1'!AB101)</f>
        <v>0</v>
      </c>
      <c r="AF128" s="8" t="b">
        <f>'RTF 1'!Q101&lt;'RTF 1'!AB101</f>
        <v>1</v>
      </c>
    </row>
    <row r="129" spans="1:32" x14ac:dyDescent="0.25">
      <c r="A129" s="819"/>
      <c r="B129" s="819"/>
      <c r="C129" s="819"/>
      <c r="D129" s="819"/>
      <c r="E129" s="819"/>
      <c r="F129" s="8"/>
      <c r="G129" s="8"/>
      <c r="H129" s="8"/>
      <c r="I129" s="49">
        <f>IF('RTF 1'!$D$9=1,'Lookup Tables'!$J129,IF('RTF 1'!$D$9=2,'Lookup Tables'!$K129,IF('RTF 1'!$D$9=3,'Lookup Tables'!$L129,IF('RTF 1'!$D$9=4,'Lookup Tables'!$M129,'Lookup Tables'!$N129))))</f>
        <v>20</v>
      </c>
      <c r="J129">
        <f t="shared" si="29"/>
        <v>20</v>
      </c>
      <c r="K129">
        <f t="shared" si="30"/>
        <v>20</v>
      </c>
      <c r="L129">
        <f>IF('RTF 1'!$D$9=3,'Lookup Tables'!$V$39,0)</f>
        <v>0</v>
      </c>
      <c r="M129">
        <f t="shared" si="31"/>
        <v>40</v>
      </c>
      <c r="N129">
        <f t="shared" si="32"/>
        <v>15</v>
      </c>
      <c r="P129" s="8" t="b">
        <f>'RTF 1'!Q102&gt;'RTF 1'!S102</f>
        <v>0</v>
      </c>
      <c r="Q129" s="8" t="b">
        <f>AND('RTF 1'!S102&gt;='RTF 1'!Q102,'RTF 1'!Q102&gt;'RTF 1'!T102)</f>
        <v>0</v>
      </c>
      <c r="R129" s="35" t="b">
        <f>'RTF 1'!Q102&lt;='RTF 1'!T102</f>
        <v>1</v>
      </c>
      <c r="S129" s="8" t="b">
        <f>'RTF 1'!Q102&gt;'RTF 1'!U102</f>
        <v>0</v>
      </c>
      <c r="T129" s="8" t="b">
        <f>AND('RTF 1'!U102&gt;='RTF 1'!Q102,'RTF 1'!Q102&gt;'RTF 1'!V102)</f>
        <v>0</v>
      </c>
      <c r="U129" s="35" t="b">
        <f>'RTF 1'!Q102&lt;='RTF 1'!V102</f>
        <v>1</v>
      </c>
      <c r="V129" s="42"/>
      <c r="W129" s="8" t="b">
        <f>'RTF 1'!Q102&gt;('RTF 1'!P102+'RTF 1'!O102)</f>
        <v>0</v>
      </c>
      <c r="X129" s="8" t="b">
        <f>'RTF 1'!O102&gt;('RTF 1'!P102+'RTF 1'!Q102)</f>
        <v>0</v>
      </c>
      <c r="Y129" s="8" t="b">
        <f>AND(('RTF 1'!O102+10)&gt;='RTF 1'!P102,('RTF 1'!O102-10)&lt;='RTF 1'!P102,('RTF 1'!P102+10)&gt;='RTF 1'!Q102,('RTF 1'!P102-10)&lt;='RTF 1'!Q102,('RTF 1'!O102+10)&gt;='RTF 1'!Q102,('RTF 1'!O102-10)&lt;='RTF 1'!Q102)</f>
        <v>1</v>
      </c>
      <c r="Z129" s="8" t="b">
        <f>AND(('RTF 1'!O102+10)&gt;='RTF 1'!P102,('RTF 1'!O102-10)&lt;='RTF 1'!P102,OR('RTF 1'!P102&gt;'RTF 1'!Y102,'RTF 1'!O102&gt;'RTF 1'!Y102))</f>
        <v>0</v>
      </c>
      <c r="AA129" s="11" t="b">
        <f>AND(('RTF 1'!Q102+10)&gt;='RTF 1'!P102,('RTF 1'!Q102-10)&lt;='RTF 1'!P102,OR('RTF 1'!P102&gt;'RTF 1'!Z102,'RTF 1'!Q102&gt;'RTF 1'!Z102))</f>
        <v>0</v>
      </c>
      <c r="AB129" s="35" t="b">
        <f t="shared" si="33"/>
        <v>0</v>
      </c>
      <c r="AC129" s="8" t="b">
        <f>'RTF 1'!Q102&gt;'RTF 1'!P102</f>
        <v>0</v>
      </c>
      <c r="AD129" s="8" t="b">
        <f>AND('RTF 1'!P102&gt;='RTF 1'!Q102,'RTF 1'!Q102&gt;'RTF 1'!AA102)</f>
        <v>0</v>
      </c>
      <c r="AE129" s="8" t="b">
        <f>AND('RTF 1'!AA102&gt;'RTF 1'!Q102,'RTF 1'!Q102&gt;'RTF 1'!AB102)</f>
        <v>0</v>
      </c>
      <c r="AF129" s="8" t="b">
        <f>'RTF 1'!Q102&lt;'RTF 1'!AB102</f>
        <v>1</v>
      </c>
    </row>
    <row r="130" spans="1:32" x14ac:dyDescent="0.25">
      <c r="A130" s="26" t="s">
        <v>354</v>
      </c>
      <c r="B130" s="26" t="s">
        <v>355</v>
      </c>
      <c r="F130" s="8"/>
      <c r="G130" s="8"/>
      <c r="H130" s="8"/>
      <c r="I130" s="49">
        <f>IF('RTF 1'!$D$9=1,'Lookup Tables'!$J130,IF('RTF 1'!$D$9=2,'Lookup Tables'!$K130,IF('RTF 1'!$D$9=3,'Lookup Tables'!$L130,IF('RTF 1'!$D$9=4,'Lookup Tables'!$M130,'Lookup Tables'!$N130))))</f>
        <v>20</v>
      </c>
      <c r="J130">
        <f t="shared" si="29"/>
        <v>20</v>
      </c>
      <c r="K130">
        <f t="shared" si="30"/>
        <v>20</v>
      </c>
      <c r="L130">
        <f>IF('RTF 1'!$D$9=3,'Lookup Tables'!$V$39,0)</f>
        <v>0</v>
      </c>
      <c r="M130">
        <f t="shared" si="31"/>
        <v>40</v>
      </c>
      <c r="N130">
        <f t="shared" si="32"/>
        <v>15</v>
      </c>
      <c r="P130" s="8" t="b">
        <f>'RTF 1'!Q103&gt;'RTF 1'!S103</f>
        <v>0</v>
      </c>
      <c r="Q130" s="8" t="b">
        <f>AND('RTF 1'!S103&gt;='RTF 1'!Q103,'RTF 1'!Q103&gt;'RTF 1'!T103)</f>
        <v>0</v>
      </c>
      <c r="R130" s="35" t="b">
        <f>'RTF 1'!Q103&lt;='RTF 1'!T103</f>
        <v>1</v>
      </c>
      <c r="S130" s="8" t="b">
        <f>'RTF 1'!Q103&gt;'RTF 1'!U103</f>
        <v>0</v>
      </c>
      <c r="T130" s="8" t="b">
        <f>AND('RTF 1'!U103&gt;='RTF 1'!Q103,'RTF 1'!Q103&gt;'RTF 1'!V103)</f>
        <v>0</v>
      </c>
      <c r="U130" s="35" t="b">
        <f>'RTF 1'!Q103&lt;='RTF 1'!V103</f>
        <v>1</v>
      </c>
      <c r="V130" s="42"/>
      <c r="W130" s="8" t="b">
        <f>'RTF 1'!Q103&gt;('RTF 1'!P103+'RTF 1'!O103)</f>
        <v>0</v>
      </c>
      <c r="X130" s="8" t="b">
        <f>'RTF 1'!O103&gt;('RTF 1'!P103+'RTF 1'!Q103)</f>
        <v>0</v>
      </c>
      <c r="Y130" s="8" t="b">
        <f>AND(('RTF 1'!O103+10)&gt;='RTF 1'!P103,('RTF 1'!O103-10)&lt;='RTF 1'!P103,('RTF 1'!P103+10)&gt;='RTF 1'!Q103,('RTF 1'!P103-10)&lt;='RTF 1'!Q103,('RTF 1'!O103+10)&gt;='RTF 1'!Q103,('RTF 1'!O103-10)&lt;='RTF 1'!Q103)</f>
        <v>1</v>
      </c>
      <c r="Z130" s="8" t="b">
        <f>AND(('RTF 1'!O103+10)&gt;='RTF 1'!P103,('RTF 1'!O103-10)&lt;='RTF 1'!P103,OR('RTF 1'!P103&gt;'RTF 1'!Y103,'RTF 1'!O103&gt;'RTF 1'!Y103))</f>
        <v>0</v>
      </c>
      <c r="AA130" s="11" t="b">
        <f>AND(('RTF 1'!Q103+10)&gt;='RTF 1'!P103,('RTF 1'!Q103-10)&lt;='RTF 1'!P103,OR('RTF 1'!P103&gt;'RTF 1'!Z103,'RTF 1'!Q103&gt;'RTF 1'!Z103))</f>
        <v>0</v>
      </c>
      <c r="AB130" s="35" t="b">
        <f t="shared" si="33"/>
        <v>0</v>
      </c>
      <c r="AC130" s="8" t="b">
        <f>'RTF 1'!Q103&gt;'RTF 1'!P103</f>
        <v>0</v>
      </c>
      <c r="AD130" s="8" t="b">
        <f>AND('RTF 1'!P103&gt;='RTF 1'!Q103,'RTF 1'!Q103&gt;'RTF 1'!AA103)</f>
        <v>0</v>
      </c>
      <c r="AE130" s="8" t="b">
        <f>AND('RTF 1'!AA103&gt;'RTF 1'!Q103,'RTF 1'!Q103&gt;'RTF 1'!AB103)</f>
        <v>0</v>
      </c>
      <c r="AF130" s="8" t="b">
        <f>'RTF 1'!Q103&lt;'RTF 1'!AB103</f>
        <v>1</v>
      </c>
    </row>
    <row r="131" spans="1:32" x14ac:dyDescent="0.25">
      <c r="A131" s="8" t="s">
        <v>30</v>
      </c>
      <c r="B131" s="8" t="s">
        <v>29</v>
      </c>
      <c r="C131" s="8"/>
      <c r="D131" s="8"/>
      <c r="E131" s="8"/>
      <c r="F131" s="8"/>
      <c r="G131" s="8"/>
      <c r="H131" s="8"/>
      <c r="I131" s="49">
        <f>IF('RTF 1'!$D$9=1,'Lookup Tables'!$J131,IF('RTF 1'!$D$9=2,'Lookup Tables'!$K131,IF('RTF 1'!$D$9=3,'Lookup Tables'!$L131,IF('RTF 1'!$D$9=4,'Lookup Tables'!$M131,'Lookup Tables'!$N131))))</f>
        <v>20</v>
      </c>
      <c r="J131">
        <f t="shared" si="29"/>
        <v>20</v>
      </c>
      <c r="K131">
        <f t="shared" si="30"/>
        <v>20</v>
      </c>
      <c r="L131">
        <f>IF('RTF 1'!$D$9=3,'Lookup Tables'!$V$39,0)</f>
        <v>0</v>
      </c>
      <c r="M131">
        <f t="shared" si="31"/>
        <v>40</v>
      </c>
      <c r="N131">
        <f t="shared" si="32"/>
        <v>15</v>
      </c>
      <c r="P131" s="8" t="b">
        <f>'RTF 1'!Q104&gt;'RTF 1'!S104</f>
        <v>0</v>
      </c>
      <c r="Q131" s="8" t="b">
        <f>AND('RTF 1'!S104&gt;='RTF 1'!Q104,'RTF 1'!Q104&gt;'RTF 1'!T104)</f>
        <v>0</v>
      </c>
      <c r="R131" s="35" t="b">
        <f>'RTF 1'!Q104&lt;='RTF 1'!T104</f>
        <v>1</v>
      </c>
      <c r="S131" s="8" t="b">
        <f>'RTF 1'!Q104&gt;'RTF 1'!U104</f>
        <v>0</v>
      </c>
      <c r="T131" s="8" t="b">
        <f>AND('RTF 1'!U104&gt;='RTF 1'!Q104,'RTF 1'!Q104&gt;'RTF 1'!V104)</f>
        <v>0</v>
      </c>
      <c r="U131" s="35" t="b">
        <f>'RTF 1'!Q104&lt;='RTF 1'!V104</f>
        <v>1</v>
      </c>
      <c r="V131" s="42"/>
      <c r="W131" s="8" t="b">
        <f>'RTF 1'!Q104&gt;('RTF 1'!P104+'RTF 1'!O104)</f>
        <v>0</v>
      </c>
      <c r="X131" s="8" t="b">
        <f>'RTF 1'!O104&gt;('RTF 1'!P104+'RTF 1'!Q104)</f>
        <v>0</v>
      </c>
      <c r="Y131" s="8" t="b">
        <f>AND(('RTF 1'!O104+10)&gt;='RTF 1'!P104,('RTF 1'!O104-10)&lt;='RTF 1'!P104,('RTF 1'!P104+10)&gt;='RTF 1'!Q104,('RTF 1'!P104-10)&lt;='RTF 1'!Q104,('RTF 1'!O104+10)&gt;='RTF 1'!Q104,('RTF 1'!O104-10)&lt;='RTF 1'!Q104)</f>
        <v>1</v>
      </c>
      <c r="Z131" s="8" t="b">
        <f>AND(('RTF 1'!O104+10)&gt;='RTF 1'!P104,('RTF 1'!O104-10)&lt;='RTF 1'!P104,OR('RTF 1'!P104&gt;'RTF 1'!Y104,'RTF 1'!O104&gt;'RTF 1'!Y104))</f>
        <v>0</v>
      </c>
      <c r="AA131" s="11" t="b">
        <f>AND(('RTF 1'!Q104+10)&gt;='RTF 1'!P104,('RTF 1'!Q104-10)&lt;='RTF 1'!P104,OR('RTF 1'!P104&gt;'RTF 1'!Z104,'RTF 1'!Q104&gt;'RTF 1'!Z104))</f>
        <v>0</v>
      </c>
      <c r="AB131" s="35" t="b">
        <f t="shared" si="33"/>
        <v>0</v>
      </c>
      <c r="AC131" s="8" t="b">
        <f>'RTF 1'!Q104&gt;'RTF 1'!P104</f>
        <v>0</v>
      </c>
      <c r="AD131" s="8" t="b">
        <f>AND('RTF 1'!P104&gt;='RTF 1'!Q104,'RTF 1'!Q104&gt;'RTF 1'!AA104)</f>
        <v>0</v>
      </c>
      <c r="AE131" s="8" t="b">
        <f>AND('RTF 1'!AA104&gt;'RTF 1'!Q104,'RTF 1'!Q104&gt;'RTF 1'!AB104)</f>
        <v>0</v>
      </c>
      <c r="AF131" s="8" t="b">
        <f>'RTF 1'!Q104&lt;'RTF 1'!AB104</f>
        <v>1</v>
      </c>
    </row>
    <row r="132" spans="1:32" x14ac:dyDescent="0.25">
      <c r="A132" s="8">
        <v>1400</v>
      </c>
      <c r="B132" s="8">
        <f>IF('Warrant 4'!$BL$31="No",107,107*(1-'Warrant 4'!$BL$37))</f>
        <v>107</v>
      </c>
      <c r="C132" s="8"/>
      <c r="D132" s="8"/>
      <c r="E132" s="8"/>
      <c r="F132" s="8"/>
      <c r="G132" s="8"/>
      <c r="H132" s="8"/>
      <c r="I132" s="49">
        <f>IF('RTF 1'!$D$9=1,'Lookup Tables'!$J132,IF('RTF 1'!$D$9=2,'Lookup Tables'!$K132,IF('RTF 1'!$D$9=3,'Lookup Tables'!$L132,IF('RTF 1'!$D$9=4,'Lookup Tables'!$M132,'Lookup Tables'!$N132))))</f>
        <v>20</v>
      </c>
      <c r="J132">
        <f t="shared" si="29"/>
        <v>20</v>
      </c>
      <c r="K132">
        <f t="shared" si="30"/>
        <v>20</v>
      </c>
      <c r="L132">
        <f>IF('RTF 1'!$D$9=3,'Lookup Tables'!$V$39,0)</f>
        <v>0</v>
      </c>
      <c r="M132">
        <f t="shared" si="31"/>
        <v>40</v>
      </c>
      <c r="N132">
        <f t="shared" si="32"/>
        <v>15</v>
      </c>
      <c r="P132" s="8" t="b">
        <f>'RTF 1'!Q105&gt;'RTF 1'!S105</f>
        <v>0</v>
      </c>
      <c r="Q132" s="8" t="b">
        <f>AND('RTF 1'!S105&gt;='RTF 1'!Q105,'RTF 1'!Q105&gt;'RTF 1'!T105)</f>
        <v>0</v>
      </c>
      <c r="R132" s="35" t="b">
        <f>'RTF 1'!Q105&lt;='RTF 1'!T105</f>
        <v>1</v>
      </c>
      <c r="S132" s="8" t="b">
        <f>'RTF 1'!Q105&gt;'RTF 1'!U105</f>
        <v>0</v>
      </c>
      <c r="T132" s="8" t="b">
        <f>AND('RTF 1'!U105&gt;='RTF 1'!Q105,'RTF 1'!Q105&gt;'RTF 1'!V105)</f>
        <v>0</v>
      </c>
      <c r="U132" s="35" t="b">
        <f>'RTF 1'!Q105&lt;='RTF 1'!V105</f>
        <v>1</v>
      </c>
      <c r="V132" s="42"/>
      <c r="W132" s="8" t="b">
        <f>'RTF 1'!Q105&gt;('RTF 1'!P105+'RTF 1'!O105)</f>
        <v>0</v>
      </c>
      <c r="X132" s="8" t="b">
        <f>'RTF 1'!O105&gt;('RTF 1'!P105+'RTF 1'!Q105)</f>
        <v>0</v>
      </c>
      <c r="Y132" s="8" t="b">
        <f>AND(('RTF 1'!O105+10)&gt;='RTF 1'!P105,('RTF 1'!O105-10)&lt;='RTF 1'!P105,('RTF 1'!P105+10)&gt;='RTF 1'!Q105,('RTF 1'!P105-10)&lt;='RTF 1'!Q105,('RTF 1'!O105+10)&gt;='RTF 1'!Q105,('RTF 1'!O105-10)&lt;='RTF 1'!Q105)</f>
        <v>1</v>
      </c>
      <c r="Z132" s="8" t="b">
        <f>AND(('RTF 1'!O105+10)&gt;='RTF 1'!P105,('RTF 1'!O105-10)&lt;='RTF 1'!P105,OR('RTF 1'!P105&gt;'RTF 1'!Y105,'RTF 1'!O105&gt;'RTF 1'!Y105))</f>
        <v>0</v>
      </c>
      <c r="AA132" s="11" t="b">
        <f>AND(('RTF 1'!Q105+10)&gt;='RTF 1'!P105,('RTF 1'!Q105-10)&lt;='RTF 1'!P105,OR('RTF 1'!P105&gt;'RTF 1'!Z105,'RTF 1'!Q105&gt;'RTF 1'!Z105))</f>
        <v>0</v>
      </c>
      <c r="AB132" s="35" t="b">
        <f t="shared" si="33"/>
        <v>0</v>
      </c>
      <c r="AC132" s="8" t="b">
        <f>'RTF 1'!Q105&gt;'RTF 1'!P105</f>
        <v>0</v>
      </c>
      <c r="AD132" s="8" t="b">
        <f>AND('RTF 1'!P105&gt;='RTF 1'!Q105,'RTF 1'!Q105&gt;'RTF 1'!AA105)</f>
        <v>0</v>
      </c>
      <c r="AE132" s="8" t="b">
        <f>AND('RTF 1'!AA105&gt;'RTF 1'!Q105,'RTF 1'!Q105&gt;'RTF 1'!AB105)</f>
        <v>0</v>
      </c>
      <c r="AF132" s="8" t="b">
        <f>'RTF 1'!Q105&lt;'RTF 1'!AB105</f>
        <v>1</v>
      </c>
    </row>
    <row r="133" spans="1:32" x14ac:dyDescent="0.25">
      <c r="A133" s="8">
        <v>1300</v>
      </c>
      <c r="B133" s="8">
        <f>IF('Warrant 4'!$BL$31="No",107,107*(1-'Warrant 4'!$BL$37))</f>
        <v>107</v>
      </c>
      <c r="C133" s="8"/>
      <c r="D133" s="8"/>
      <c r="F133" s="8"/>
      <c r="I133" s="49">
        <f>IF('RTF 1'!$D$9=1,'Lookup Tables'!$J133,IF('RTF 1'!$D$9=2,'Lookup Tables'!$K133,IF('RTF 1'!$D$9=3,'Lookup Tables'!$L133,IF('RTF 1'!$D$9=4,'Lookup Tables'!$M133,'Lookup Tables'!$N133))))</f>
        <v>20</v>
      </c>
      <c r="J133">
        <f t="shared" si="29"/>
        <v>20</v>
      </c>
      <c r="K133">
        <f t="shared" si="30"/>
        <v>20</v>
      </c>
      <c r="L133">
        <f>IF('RTF 1'!$D$9=3,'Lookup Tables'!$V$39,0)</f>
        <v>0</v>
      </c>
      <c r="M133">
        <f t="shared" si="31"/>
        <v>40</v>
      </c>
      <c r="N133">
        <f t="shared" si="32"/>
        <v>15</v>
      </c>
      <c r="P133" s="8" t="b">
        <f>'RTF 1'!Q106&gt;'RTF 1'!S106</f>
        <v>0</v>
      </c>
      <c r="Q133" s="8" t="b">
        <f>AND('RTF 1'!S106&gt;='RTF 1'!Q106,'RTF 1'!Q106&gt;'RTF 1'!T106)</f>
        <v>0</v>
      </c>
      <c r="R133" s="35" t="b">
        <f>'RTF 1'!Q106&lt;='RTF 1'!T106</f>
        <v>1</v>
      </c>
      <c r="S133" s="8" t="b">
        <f>'RTF 1'!Q106&gt;'RTF 1'!U106</f>
        <v>0</v>
      </c>
      <c r="T133" s="8" t="b">
        <f>AND('RTF 1'!U106&gt;='RTF 1'!Q106,'RTF 1'!Q106&gt;'RTF 1'!V106)</f>
        <v>0</v>
      </c>
      <c r="U133" s="35" t="b">
        <f>'RTF 1'!Q106&lt;='RTF 1'!V106</f>
        <v>1</v>
      </c>
      <c r="V133" s="42"/>
      <c r="W133" s="8" t="b">
        <f>'RTF 1'!Q106&gt;('RTF 1'!P106+'RTF 1'!O106)</f>
        <v>0</v>
      </c>
      <c r="X133" s="8" t="b">
        <f>'RTF 1'!O106&gt;('RTF 1'!P106+'RTF 1'!Q106)</f>
        <v>0</v>
      </c>
      <c r="Y133" s="8" t="b">
        <f>AND(('RTF 1'!O106+10)&gt;='RTF 1'!P106,('RTF 1'!O106-10)&lt;='RTF 1'!P106,('RTF 1'!P106+10)&gt;='RTF 1'!Q106,('RTF 1'!P106-10)&lt;='RTF 1'!Q106,('RTF 1'!O106+10)&gt;='RTF 1'!Q106,('RTF 1'!O106-10)&lt;='RTF 1'!Q106)</f>
        <v>1</v>
      </c>
      <c r="Z133" s="8" t="b">
        <f>AND(('RTF 1'!O106+10)&gt;='RTF 1'!P106,('RTF 1'!O106-10)&lt;='RTF 1'!P106,OR('RTF 1'!P106&gt;'RTF 1'!Y106,'RTF 1'!O106&gt;'RTF 1'!Y106))</f>
        <v>0</v>
      </c>
      <c r="AA133" s="11" t="b">
        <f>AND(('RTF 1'!Q106+10)&gt;='RTF 1'!P106,('RTF 1'!Q106-10)&lt;='RTF 1'!P106,OR('RTF 1'!P106&gt;'RTF 1'!Z106,'RTF 1'!Q106&gt;'RTF 1'!Z106))</f>
        <v>0</v>
      </c>
      <c r="AB133" s="35" t="b">
        <f t="shared" si="33"/>
        <v>0</v>
      </c>
      <c r="AC133" s="8" t="b">
        <f>'RTF 1'!Q106&gt;'RTF 1'!P106</f>
        <v>0</v>
      </c>
      <c r="AD133" s="8" t="b">
        <f>AND('RTF 1'!P106&gt;='RTF 1'!Q106,'RTF 1'!Q106&gt;'RTF 1'!AA106)</f>
        <v>0</v>
      </c>
      <c r="AE133" s="8" t="b">
        <f>AND('RTF 1'!AA106&gt;'RTF 1'!Q106,'RTF 1'!Q106&gt;'RTF 1'!AB106)</f>
        <v>0</v>
      </c>
      <c r="AF133" s="8" t="b">
        <f>'RTF 1'!Q106&lt;'RTF 1'!AB106</f>
        <v>1</v>
      </c>
    </row>
    <row r="134" spans="1:32" x14ac:dyDescent="0.25">
      <c r="A134" s="8">
        <v>1200</v>
      </c>
      <c r="B134" s="8">
        <f>IF('Warrant 4'!$BL$31="No",107,107*(1-'Warrant 4'!$BL$37))</f>
        <v>107</v>
      </c>
      <c r="C134" s="8"/>
      <c r="D134" s="8"/>
      <c r="E134" s="8"/>
      <c r="F134" s="8"/>
      <c r="I134" s="49">
        <f>IF('RTF 1'!$D$9=1,'Lookup Tables'!$J134,IF('RTF 1'!$D$9=2,'Lookup Tables'!$K134,IF('RTF 1'!$D$9=3,'Lookup Tables'!$L134,IF('RTF 1'!$D$9=4,'Lookup Tables'!$M134,'Lookup Tables'!$N134))))</f>
        <v>20</v>
      </c>
      <c r="J134">
        <f t="shared" si="29"/>
        <v>20</v>
      </c>
      <c r="K134">
        <f t="shared" si="30"/>
        <v>20</v>
      </c>
      <c r="L134">
        <f>IF('RTF 1'!$D$9=3,'Lookup Tables'!$V$39,0)</f>
        <v>0</v>
      </c>
      <c r="M134">
        <f t="shared" si="31"/>
        <v>40</v>
      </c>
      <c r="N134">
        <f t="shared" si="32"/>
        <v>15</v>
      </c>
      <c r="P134" s="8" t="b">
        <f>'RTF 1'!Q107&gt;'RTF 1'!S107</f>
        <v>0</v>
      </c>
      <c r="Q134" s="8" t="b">
        <f>AND('RTF 1'!S107&gt;='RTF 1'!Q107,'RTF 1'!Q107&gt;'RTF 1'!T107)</f>
        <v>0</v>
      </c>
      <c r="R134" s="35" t="b">
        <f>'RTF 1'!Q107&lt;='RTF 1'!T107</f>
        <v>1</v>
      </c>
      <c r="S134" s="8" t="b">
        <f>'RTF 1'!Q107&gt;'RTF 1'!U107</f>
        <v>0</v>
      </c>
      <c r="T134" s="8" t="b">
        <f>AND('RTF 1'!U107&gt;='RTF 1'!Q107,'RTF 1'!Q107&gt;'RTF 1'!V107)</f>
        <v>0</v>
      </c>
      <c r="U134" s="35" t="b">
        <f>'RTF 1'!Q107&lt;='RTF 1'!V107</f>
        <v>1</v>
      </c>
      <c r="V134" s="42"/>
      <c r="W134" s="8" t="b">
        <f>'RTF 1'!Q107&gt;('RTF 1'!P107+'RTF 1'!O107)</f>
        <v>0</v>
      </c>
      <c r="X134" s="8" t="b">
        <f>'RTF 1'!O107&gt;('RTF 1'!P107+'RTF 1'!Q107)</f>
        <v>0</v>
      </c>
      <c r="Y134" s="8" t="b">
        <f>AND(('RTF 1'!O107+10)&gt;='RTF 1'!P107,('RTF 1'!O107-10)&lt;='RTF 1'!P107,('RTF 1'!P107+10)&gt;='RTF 1'!Q107,('RTF 1'!P107-10)&lt;='RTF 1'!Q107,('RTF 1'!O107+10)&gt;='RTF 1'!Q107,('RTF 1'!O107-10)&lt;='RTF 1'!Q107)</f>
        <v>1</v>
      </c>
      <c r="Z134" s="8" t="b">
        <f>AND(('RTF 1'!O107+10)&gt;='RTF 1'!P107,('RTF 1'!O107-10)&lt;='RTF 1'!P107,OR('RTF 1'!P107&gt;'RTF 1'!Y107,'RTF 1'!O107&gt;'RTF 1'!Y107))</f>
        <v>0</v>
      </c>
      <c r="AA134" s="11" t="b">
        <f>AND(('RTF 1'!Q107+10)&gt;='RTF 1'!P107,('RTF 1'!Q107-10)&lt;='RTF 1'!P107,OR('RTF 1'!P107&gt;'RTF 1'!Z107,'RTF 1'!Q107&gt;'RTF 1'!Z107))</f>
        <v>0</v>
      </c>
      <c r="AB134" s="35" t="b">
        <f t="shared" si="33"/>
        <v>0</v>
      </c>
      <c r="AC134" s="8" t="b">
        <f>'RTF 1'!Q107&gt;'RTF 1'!P107</f>
        <v>0</v>
      </c>
      <c r="AD134" s="8" t="b">
        <f>AND('RTF 1'!P107&gt;='RTF 1'!Q107,'RTF 1'!Q107&gt;'RTF 1'!AA107)</f>
        <v>0</v>
      </c>
      <c r="AE134" s="8" t="b">
        <f>AND('RTF 1'!AA107&gt;'RTF 1'!Q107,'RTF 1'!Q107&gt;'RTF 1'!AB107)</f>
        <v>0</v>
      </c>
      <c r="AF134" s="8" t="b">
        <f>'RTF 1'!Q107&lt;'RTF 1'!AB107</f>
        <v>1</v>
      </c>
    </row>
    <row r="135" spans="1:32" ht="13.8" thickBot="1" x14ac:dyDescent="0.3">
      <c r="A135" s="8">
        <v>1100</v>
      </c>
      <c r="B135" s="8">
        <f>IF('Warrant 4'!$BL$31="No",107,107*(1-'Warrant 4'!$BL$37))</f>
        <v>107</v>
      </c>
      <c r="C135" s="8"/>
      <c r="D135" s="8"/>
      <c r="E135" s="8"/>
      <c r="F135" s="8"/>
      <c r="I135" s="49">
        <f>IF('RTF 1'!$D$9=1,'Lookup Tables'!$J135,IF('RTF 1'!$D$9=2,'Lookup Tables'!$K135,IF('RTF 1'!$D$9=3,'Lookup Tables'!$L135,IF('RTF 1'!$D$9=4,'Lookup Tables'!$M135,'Lookup Tables'!$N135))))</f>
        <v>20</v>
      </c>
      <c r="J135">
        <f t="shared" si="29"/>
        <v>20</v>
      </c>
      <c r="K135">
        <f t="shared" si="30"/>
        <v>20</v>
      </c>
      <c r="L135">
        <f>IF('RTF 1'!$D$9=3,'Lookup Tables'!$V$39,0)</f>
        <v>0</v>
      </c>
      <c r="M135">
        <f t="shared" si="31"/>
        <v>40</v>
      </c>
      <c r="N135">
        <f t="shared" si="32"/>
        <v>15</v>
      </c>
      <c r="P135" s="37" t="b">
        <f>'RTF 1'!Q108&gt;'RTF 1'!S108</f>
        <v>0</v>
      </c>
      <c r="Q135" s="37" t="b">
        <f>AND('RTF 1'!S108&gt;='RTF 1'!Q108,'RTF 1'!Q108&gt;'RTF 1'!T108)</f>
        <v>0</v>
      </c>
      <c r="R135" s="38" t="b">
        <f>'RTF 1'!Q108&lt;='RTF 1'!T108</f>
        <v>1</v>
      </c>
      <c r="S135" s="37" t="b">
        <f>'RTF 1'!Q108&gt;'RTF 1'!U108</f>
        <v>0</v>
      </c>
      <c r="T135" s="37" t="b">
        <f>AND('RTF 1'!U108&gt;='RTF 1'!Q108,'RTF 1'!Q108&gt;'RTF 1'!V108)</f>
        <v>0</v>
      </c>
      <c r="U135" s="38" t="b">
        <f>'RTF 1'!Q108&lt;='RTF 1'!V108</f>
        <v>1</v>
      </c>
      <c r="V135" s="38"/>
      <c r="W135" s="37" t="b">
        <f>'RTF 1'!Q108&gt;('RTF 1'!P108+'RTF 1'!O108)</f>
        <v>0</v>
      </c>
      <c r="X135" s="37" t="b">
        <f>'RTF 1'!O108&gt;('RTF 1'!P108+'RTF 1'!Q108)</f>
        <v>0</v>
      </c>
      <c r="Y135" s="37" t="b">
        <f>AND(('RTF 1'!O108+10)&gt;='RTF 1'!P108,('RTF 1'!O108-10)&lt;='RTF 1'!P108,('RTF 1'!P108+10)&gt;='RTF 1'!Q108,('RTF 1'!P108-10)&lt;='RTF 1'!Q108,('RTF 1'!O108+10)&gt;='RTF 1'!Q108,('RTF 1'!O108-10)&lt;='RTF 1'!Q108)</f>
        <v>1</v>
      </c>
      <c r="Z135" s="37" t="b">
        <f>AND(('RTF 1'!O108+10)&gt;='RTF 1'!P108,('RTF 1'!O108-10)&lt;='RTF 1'!P108,OR('RTF 1'!P108&gt;'RTF 1'!Y108,'RTF 1'!O108&gt;'RTF 1'!Y108))</f>
        <v>0</v>
      </c>
      <c r="AA135" s="37" t="b">
        <f>AND(('RTF 1'!Q108+10)&gt;='RTF 1'!P108,('RTF 1'!Q108-10)&lt;='RTF 1'!P108,OR('RTF 1'!P108&gt;'RTF 1'!Z108,'RTF 1'!Q108&gt;'RTF 1'!Z108))</f>
        <v>0</v>
      </c>
      <c r="AB135" s="35" t="b">
        <f t="shared" si="33"/>
        <v>0</v>
      </c>
      <c r="AC135" s="37" t="b">
        <f>'RTF 1'!Q108&gt;'RTF 1'!P108</f>
        <v>0</v>
      </c>
      <c r="AD135" s="37" t="b">
        <f>AND('RTF 1'!P108&gt;='RTF 1'!Q108,'RTF 1'!Q108&gt;'RTF 1'!AA108)</f>
        <v>0</v>
      </c>
      <c r="AE135" s="37" t="b">
        <f>AND('RTF 1'!AA108&gt;'RTF 1'!Q108,'RTF 1'!Q108&gt;'RTF 1'!AB108)</f>
        <v>0</v>
      </c>
      <c r="AF135" s="37" t="b">
        <f>'RTF 1'!Q108&lt;'RTF 1'!AB108</f>
        <v>1</v>
      </c>
    </row>
    <row r="136" spans="1:32" x14ac:dyDescent="0.25">
      <c r="A136" s="8">
        <v>1000</v>
      </c>
      <c r="B136" s="395">
        <f>760.62-1.020988*A136+ 0.0003875*A136^2</f>
        <v>127.13199999999995</v>
      </c>
      <c r="C136" s="8"/>
      <c r="D136" s="8"/>
      <c r="E136" s="8"/>
      <c r="F136" s="8"/>
      <c r="P136" s="8">
        <v>60</v>
      </c>
      <c r="Q136" s="8">
        <v>40</v>
      </c>
      <c r="R136" s="35">
        <v>20</v>
      </c>
      <c r="S136" s="8">
        <v>60</v>
      </c>
      <c r="T136" s="8">
        <v>40</v>
      </c>
      <c r="U136" s="35">
        <v>20</v>
      </c>
      <c r="V136" s="45">
        <v>75</v>
      </c>
      <c r="W136" s="8">
        <v>65</v>
      </c>
      <c r="X136" s="47"/>
      <c r="Y136" s="8">
        <v>40</v>
      </c>
      <c r="Z136" s="8">
        <v>20</v>
      </c>
      <c r="AA136" s="11">
        <v>50</v>
      </c>
      <c r="AB136" s="45">
        <v>30</v>
      </c>
      <c r="AC136" s="8">
        <v>75</v>
      </c>
      <c r="AD136" s="8">
        <v>50</v>
      </c>
      <c r="AE136" s="8">
        <v>30</v>
      </c>
      <c r="AF136" s="8">
        <v>15</v>
      </c>
    </row>
    <row r="137" spans="1:32" x14ac:dyDescent="0.25">
      <c r="A137" s="8">
        <v>900</v>
      </c>
      <c r="B137" s="395">
        <f t="shared" ref="B137:B142" si="34">760.62-1.020988*A137+ 0.0003875*A137^2</f>
        <v>155.60580000000004</v>
      </c>
      <c r="C137" s="8"/>
      <c r="D137" s="8"/>
      <c r="E137" s="8"/>
      <c r="F137" s="8"/>
    </row>
    <row r="138" spans="1:32" x14ac:dyDescent="0.25">
      <c r="A138" s="8">
        <v>800</v>
      </c>
      <c r="B138" s="395">
        <f t="shared" si="34"/>
        <v>191.82960000000003</v>
      </c>
      <c r="C138" s="8"/>
      <c r="D138" s="8"/>
      <c r="E138" s="8"/>
      <c r="F138" s="8"/>
      <c r="I138" s="821" t="s">
        <v>665</v>
      </c>
      <c r="J138" s="821"/>
      <c r="K138" s="821"/>
      <c r="L138" s="821"/>
      <c r="M138" s="821"/>
      <c r="N138" s="821"/>
      <c r="O138" s="821"/>
      <c r="P138" s="821"/>
      <c r="Q138" s="821"/>
      <c r="R138" s="821"/>
      <c r="S138" s="821"/>
      <c r="T138" s="821"/>
      <c r="U138" s="821"/>
      <c r="V138" s="821"/>
      <c r="W138" s="821"/>
      <c r="X138" s="821"/>
      <c r="Y138" s="821"/>
      <c r="Z138" s="821"/>
      <c r="AA138" s="821"/>
      <c r="AB138" s="821"/>
      <c r="AC138" s="821"/>
      <c r="AD138" s="821"/>
      <c r="AE138" s="821"/>
      <c r="AF138" s="821"/>
    </row>
    <row r="139" spans="1:32" x14ac:dyDescent="0.25">
      <c r="A139" s="8">
        <v>700</v>
      </c>
      <c r="B139" s="395">
        <f t="shared" si="34"/>
        <v>235.80340000000001</v>
      </c>
      <c r="C139" s="8"/>
      <c r="D139" s="8"/>
      <c r="E139" s="8"/>
      <c r="F139" s="8"/>
      <c r="I139" s="821"/>
      <c r="J139" s="821"/>
      <c r="K139" s="821"/>
      <c r="L139" s="821"/>
      <c r="M139" s="821"/>
      <c r="N139" s="821"/>
      <c r="O139" s="821"/>
      <c r="P139" s="821"/>
      <c r="Q139" s="821"/>
      <c r="R139" s="821"/>
      <c r="S139" s="821"/>
      <c r="T139" s="821"/>
      <c r="U139" s="821"/>
      <c r="V139" s="821"/>
      <c r="W139" s="821"/>
      <c r="X139" s="821"/>
      <c r="Y139" s="821"/>
      <c r="Z139" s="821"/>
      <c r="AA139" s="821"/>
      <c r="AB139" s="821"/>
      <c r="AC139" s="821"/>
      <c r="AD139" s="821"/>
      <c r="AE139" s="821"/>
      <c r="AF139" s="821"/>
    </row>
    <row r="140" spans="1:32" x14ac:dyDescent="0.25">
      <c r="A140" s="8">
        <v>600</v>
      </c>
      <c r="B140" s="395">
        <f t="shared" si="34"/>
        <v>287.52719999999999</v>
      </c>
      <c r="C140" s="8"/>
      <c r="D140" s="8"/>
      <c r="E140" s="8"/>
      <c r="I140" s="822"/>
      <c r="J140" s="822"/>
      <c r="K140" s="822"/>
      <c r="L140" s="822"/>
      <c r="M140" s="822"/>
      <c r="N140" s="822"/>
      <c r="O140" s="822"/>
      <c r="P140" s="822"/>
      <c r="Q140" s="822"/>
      <c r="R140" s="822"/>
      <c r="S140" s="822"/>
      <c r="T140" s="822"/>
      <c r="U140" s="822"/>
      <c r="V140" s="822"/>
      <c r="W140" s="822"/>
      <c r="X140" s="822"/>
      <c r="Y140" s="822"/>
      <c r="Z140" s="822"/>
      <c r="AA140" s="822"/>
      <c r="AB140" s="822"/>
      <c r="AC140" s="822"/>
      <c r="AD140" s="822"/>
      <c r="AE140" s="822"/>
      <c r="AF140" s="822"/>
    </row>
    <row r="141" spans="1:32" ht="13.8" thickBot="1" x14ac:dyDescent="0.3">
      <c r="A141" s="8">
        <v>500</v>
      </c>
      <c r="B141" s="395">
        <f t="shared" si="34"/>
        <v>347.00099999999998</v>
      </c>
      <c r="C141" s="8"/>
      <c r="D141" s="8"/>
      <c r="E141" s="8"/>
      <c r="I141" s="50"/>
      <c r="P141" s="823">
        <v>1</v>
      </c>
      <c r="Q141" s="823"/>
      <c r="R141" s="824"/>
      <c r="S141" s="825">
        <v>2</v>
      </c>
      <c r="T141" s="823"/>
      <c r="U141" s="824"/>
      <c r="V141" s="40">
        <v>3</v>
      </c>
      <c r="W141" s="826">
        <v>4</v>
      </c>
      <c r="X141" s="827"/>
      <c r="Y141" s="827"/>
      <c r="Z141" s="827"/>
      <c r="AA141" s="827"/>
      <c r="AB141" s="828"/>
      <c r="AC141" s="825">
        <v>5</v>
      </c>
      <c r="AD141" s="823"/>
      <c r="AE141" s="823"/>
      <c r="AF141" s="823"/>
    </row>
    <row r="142" spans="1:32" ht="13.8" thickBot="1" x14ac:dyDescent="0.3">
      <c r="A142" s="8">
        <v>400</v>
      </c>
      <c r="B142" s="395">
        <f t="shared" si="34"/>
        <v>414.22480000000002</v>
      </c>
      <c r="C142" s="8"/>
      <c r="D142" s="8"/>
      <c r="E142" s="8"/>
      <c r="I142" s="50"/>
      <c r="P142" s="33" t="s">
        <v>327</v>
      </c>
      <c r="Q142" s="33" t="s">
        <v>328</v>
      </c>
      <c r="R142" s="34" t="s">
        <v>329</v>
      </c>
      <c r="S142" s="26" t="s">
        <v>324</v>
      </c>
      <c r="T142" s="26" t="s">
        <v>325</v>
      </c>
      <c r="U142" s="36" t="s">
        <v>326</v>
      </c>
      <c r="V142" s="41"/>
      <c r="W142" s="26" t="s">
        <v>330</v>
      </c>
      <c r="X142" s="26" t="s">
        <v>331</v>
      </c>
      <c r="Y142" s="26" t="s">
        <v>338</v>
      </c>
      <c r="Z142" s="26" t="s">
        <v>332</v>
      </c>
      <c r="AA142" s="44" t="s">
        <v>333</v>
      </c>
      <c r="AB142" s="43"/>
      <c r="AC142" s="26" t="s">
        <v>334</v>
      </c>
      <c r="AD142" s="26" t="s">
        <v>335</v>
      </c>
      <c r="AE142" s="26" t="s">
        <v>336</v>
      </c>
      <c r="AF142" s="33" t="s">
        <v>337</v>
      </c>
    </row>
    <row r="143" spans="1:32" x14ac:dyDescent="0.25">
      <c r="A143" s="8"/>
      <c r="B143" s="8"/>
      <c r="C143" s="8"/>
      <c r="D143" s="8"/>
      <c r="E143" s="8"/>
      <c r="I143" s="50"/>
      <c r="J143">
        <v>1</v>
      </c>
      <c r="K143">
        <v>2</v>
      </c>
      <c r="L143">
        <v>3</v>
      </c>
      <c r="M143">
        <v>4</v>
      </c>
      <c r="N143">
        <v>5</v>
      </c>
      <c r="P143" s="8">
        <v>60</v>
      </c>
      <c r="Q143" s="8">
        <v>40</v>
      </c>
      <c r="R143" s="35">
        <v>20</v>
      </c>
      <c r="S143" s="8">
        <v>60</v>
      </c>
      <c r="T143" s="8">
        <v>40</v>
      </c>
      <c r="U143" s="35">
        <v>20</v>
      </c>
      <c r="V143" s="45">
        <v>75</v>
      </c>
      <c r="W143" s="8">
        <v>65</v>
      </c>
      <c r="X143" s="47"/>
      <c r="Y143" s="8">
        <v>40</v>
      </c>
      <c r="Z143" s="8">
        <v>20</v>
      </c>
      <c r="AA143" s="11">
        <v>50</v>
      </c>
      <c r="AB143" s="45">
        <v>30</v>
      </c>
      <c r="AC143" s="8">
        <v>75</v>
      </c>
      <c r="AD143" s="8">
        <v>50</v>
      </c>
      <c r="AE143" s="8">
        <v>30</v>
      </c>
      <c r="AF143" s="8">
        <v>15</v>
      </c>
    </row>
    <row r="144" spans="1:32" x14ac:dyDescent="0.25">
      <c r="A144" s="8"/>
      <c r="B144" s="8"/>
      <c r="C144" s="8"/>
      <c r="D144" s="8"/>
      <c r="E144" s="8"/>
      <c r="I144" s="49">
        <f>IF('RTF 2'!$D$9=1,'Lookup Tables'!$J144,IF('RTF 2'!$D$9=2,'Lookup Tables'!$K144,IF('RTF 2'!$D$9=3,'Lookup Tables'!$L144,IF('RTF 2'!$D$9=4,'Lookup Tables'!$M144,'Lookup Tables'!$N144))))</f>
        <v>15</v>
      </c>
      <c r="J144">
        <f t="shared" ref="J144:J175" si="35">IF(P144=TRUE,$P$143,IF(Q144=TRUE,$Q$143,$R$143))</f>
        <v>20</v>
      </c>
      <c r="K144">
        <f t="shared" ref="K144:K175" si="36">IF(S144=TRUE,$S$143,IF(T144=TRUE,$T$143,$U$143))</f>
        <v>20</v>
      </c>
      <c r="L144">
        <f>IF('RTF 2'!$D$9=3,'Lookup Tables'!$V$143,0)</f>
        <v>0</v>
      </c>
      <c r="M144">
        <f t="shared" ref="M144:M175" si="37">IF(W144=TRUE,$W$143,IF(X144=TRUE,(IF(S144=TRUE,$S$143,IF(T144=TRUE,$T$143,$U$143))),IF($Y$144=TRUE,$Y$143,IF(Z144=TRUE,$Z$143,IF(AA144=TRUE,$AA$143,$AB$143)))))</f>
        <v>40</v>
      </c>
      <c r="N144">
        <f t="shared" ref="N144:N175" si="38">IF(AC144=TRUE,$AC$143,IF(AD144=TRUE,$AD$143,IF(AE144=TRUE,$AE$143,$AF$143)))</f>
        <v>15</v>
      </c>
      <c r="P144" s="8" t="b">
        <f>'RTF 2'!Q13&gt;'RTF 2'!S13</f>
        <v>0</v>
      </c>
      <c r="Q144" s="8" t="b">
        <f>AND('RTF 2'!S13&gt;='RTF 2'!Q13,'RTF 2'!Q13&gt;'RTF 2'!T13)</f>
        <v>0</v>
      </c>
      <c r="R144" s="35" t="b">
        <f>'RTF 2'!Q13&lt;='RTF 2'!T13</f>
        <v>1</v>
      </c>
      <c r="S144" s="8" t="b">
        <f>'RTF 2'!$Q13&gt;'RTF 2'!$U13</f>
        <v>0</v>
      </c>
      <c r="T144" s="8" t="b">
        <f>AND('RTF 2'!$U13&gt;='RTF 2'!$Q13,'RTF 2'!$Q13&gt;'RTF 2'!$V13)</f>
        <v>0</v>
      </c>
      <c r="U144" s="35" t="b">
        <f>'RTF 2'!$Q13&lt;='RTF 2'!$V13</f>
        <v>1</v>
      </c>
      <c r="V144" s="42"/>
      <c r="W144" s="8" t="b">
        <f>'RTF 2'!$Q13&gt;('RTF 2'!$P13+'RTF 2'!$O13)</f>
        <v>0</v>
      </c>
      <c r="X144" s="8" t="b">
        <f>'RTF 2'!$O13&gt;('RTF 2'!$P13+'RTF 2'!$Q13)</f>
        <v>0</v>
      </c>
      <c r="Y144" s="8" t="b">
        <f>AND(('RTF 2'!$O13+10)&gt;='RTF 2'!$P13,('RTF 2'!$O13-10)&lt;='RTF 2'!$P13,('RTF 2'!$P13+10)&gt;='RTF 2'!$Q13,('RTF 2'!$P13-10)&lt;='RTF 2'!$Q13,('RTF 2'!$O13+10)&gt;='RTF 2'!$Q13,('RTF 2'!$O13-10)&lt;='RTF 2'!$Q13)</f>
        <v>1</v>
      </c>
      <c r="Z144" s="8" t="b">
        <f>AND(('RTF 2'!$O13+10)&gt;='RTF 2'!$P13,('RTF 2'!$O13-10)&lt;='RTF 2'!$P13,OR('RTF 2'!$P13&gt;'RTF 2'!$Y13,'RTF 2'!$O13&gt;'RTF 2'!$Y13))</f>
        <v>0</v>
      </c>
      <c r="AA144" s="11" t="b">
        <f>AND(('RTF 2'!$Q13+10)&gt;='RTF 2'!$P13,('RTF 2'!$Q13-10)&lt;='RTF 2'!$P13,OR('RTF 2'!$P13&gt;'RTF 2'!$Z13,'RTF 2'!$Q13&gt;'RTF 2'!$Z13))</f>
        <v>0</v>
      </c>
      <c r="AB144" s="35" t="b">
        <f t="shared" ref="AB144:AB175" si="39">IF(AND($W144=FALSE,$X144=FALSE,$Y144=FALSE,$Z144=FALSE,$AA144=FALSE),TRUE,FALSE)</f>
        <v>0</v>
      </c>
      <c r="AC144" s="8" t="b">
        <f>'RTF 2'!$Q13&gt;'RTF 2'!$P13</f>
        <v>0</v>
      </c>
      <c r="AD144" s="8" t="b">
        <f>AND('RTF 2'!$P13&gt;='RTF 2'!$Q13,'RTF 2'!$Q13&gt;'RTF 2'!$AA13)</f>
        <v>0</v>
      </c>
      <c r="AE144" s="8" t="b">
        <f>AND('RTF 2'!$AA13&gt;'RTF 2'!$Q13,'RTF 2'!$Q13&gt;'RTF 2'!$AB13)</f>
        <v>0</v>
      </c>
      <c r="AF144" s="8" t="b">
        <f>'RTF 2'!$Q13&lt;'RTF 2'!$AB13</f>
        <v>1</v>
      </c>
    </row>
    <row r="145" spans="1:32" x14ac:dyDescent="0.25">
      <c r="A145" s="8"/>
      <c r="B145" s="8"/>
      <c r="C145" s="8"/>
      <c r="D145" s="8"/>
      <c r="E145" s="8"/>
      <c r="I145" s="49">
        <f>IF('RTF 2'!$D$9=1,'Lookup Tables'!$J145,IF('RTF 2'!$D$9=2,'Lookup Tables'!$K145,IF('RTF 2'!$D$9=3,'Lookup Tables'!$L145,IF('RTF 2'!$D$9=4,'Lookup Tables'!$M145,'Lookup Tables'!$N145))))</f>
        <v>15</v>
      </c>
      <c r="J145">
        <f t="shared" si="35"/>
        <v>20</v>
      </c>
      <c r="K145">
        <f t="shared" si="36"/>
        <v>20</v>
      </c>
      <c r="L145">
        <f>IF('RTF 2'!$D$9=3,'Lookup Tables'!$V$143,0)</f>
        <v>0</v>
      </c>
      <c r="M145">
        <f t="shared" si="37"/>
        <v>40</v>
      </c>
      <c r="N145">
        <f t="shared" si="38"/>
        <v>15</v>
      </c>
      <c r="P145" s="8" t="b">
        <f>'RTF 2'!Q14&gt;'RTF 2'!S14</f>
        <v>0</v>
      </c>
      <c r="Q145" s="8" t="b">
        <f>AND('RTF 2'!S14&gt;='RTF 2'!Q14,'RTF 2'!Q14&gt;'RTF 2'!T14)</f>
        <v>0</v>
      </c>
      <c r="R145" s="35" t="b">
        <f>'RTF 2'!Q14&lt;='RTF 2'!T14</f>
        <v>1</v>
      </c>
      <c r="S145" s="8" t="b">
        <f>'RTF 2'!$Q14&gt;'RTF 2'!$U14</f>
        <v>0</v>
      </c>
      <c r="T145" s="8" t="b">
        <f>AND('RTF 2'!$U14&gt;='RTF 2'!$Q14,'RTF 2'!$Q14&gt;'RTF 2'!$V14)</f>
        <v>0</v>
      </c>
      <c r="U145" s="35" t="b">
        <f>'RTF 2'!$Q14&lt;='RTF 2'!$V14</f>
        <v>1</v>
      </c>
      <c r="V145" s="42"/>
      <c r="W145" s="8" t="b">
        <f>'RTF 2'!$Q14&gt;('RTF 2'!$P14+'RTF 2'!$O14)</f>
        <v>0</v>
      </c>
      <c r="X145" s="8" t="b">
        <f>'RTF 2'!$O14&gt;('RTF 2'!$P14+'RTF 2'!$Q14)</f>
        <v>0</v>
      </c>
      <c r="Y145" s="8" t="b">
        <f>AND(('RTF 2'!$O14+10)&gt;='RTF 2'!$P14,('RTF 2'!$O14-10)&lt;='RTF 2'!$P14,('RTF 2'!$P14+10)&gt;='RTF 2'!$Q14,('RTF 2'!$P14-10)&lt;='RTF 2'!$Q14,('RTF 2'!$O14+10)&gt;='RTF 2'!$Q14,('RTF 2'!$O14-10)&lt;='RTF 2'!$Q14)</f>
        <v>1</v>
      </c>
      <c r="Z145" s="8" t="b">
        <f>AND(('RTF 2'!$O14+10)&gt;='RTF 2'!$P14,('RTF 2'!$O14-10)&lt;='RTF 2'!$P14,OR('RTF 2'!$P14&gt;'RTF 2'!$Y14,'RTF 2'!$O14&gt;'RTF 2'!$Y14))</f>
        <v>0</v>
      </c>
      <c r="AA145" s="11" t="b">
        <f>AND(('RTF 2'!$Q14+10)&gt;='RTF 2'!$P14,('RTF 2'!$Q14-10)&lt;='RTF 2'!$P14,OR('RTF 2'!$P14&gt;'RTF 2'!$Z14,'RTF 2'!$Q14&gt;'RTF 2'!$Z14))</f>
        <v>0</v>
      </c>
      <c r="AB145" s="35" t="b">
        <f t="shared" si="39"/>
        <v>0</v>
      </c>
      <c r="AC145" s="8" t="b">
        <f>'RTF 2'!$Q14&gt;'RTF 2'!$P14</f>
        <v>0</v>
      </c>
      <c r="AD145" s="8" t="b">
        <f>AND('RTF 2'!$P14&gt;='RTF 2'!$Q14,'RTF 2'!$Q14&gt;'RTF 2'!$AA14)</f>
        <v>0</v>
      </c>
      <c r="AE145" s="8" t="b">
        <f>AND('RTF 2'!$AA14&gt;'RTF 2'!$Q14,'RTF 2'!$Q14&gt;'RTF 2'!$AB14)</f>
        <v>0</v>
      </c>
      <c r="AF145" s="8" t="b">
        <f>'RTF 2'!$Q14&lt;'RTF 2'!$AB14</f>
        <v>1</v>
      </c>
    </row>
    <row r="146" spans="1:32" x14ac:dyDescent="0.25">
      <c r="A146" s="8"/>
      <c r="B146" s="8"/>
      <c r="C146" s="8"/>
      <c r="D146" s="8"/>
      <c r="E146" s="8"/>
      <c r="I146" s="49">
        <f>IF('RTF 2'!$D$9=1,'Lookup Tables'!$J146,IF('RTF 2'!$D$9=2,'Lookup Tables'!$K146,IF('RTF 2'!$D$9=3,'Lookup Tables'!$L146,IF('RTF 2'!$D$9=4,'Lookup Tables'!$M146,'Lookup Tables'!$N146))))</f>
        <v>15</v>
      </c>
      <c r="J146">
        <f t="shared" si="35"/>
        <v>20</v>
      </c>
      <c r="K146">
        <f t="shared" si="36"/>
        <v>20</v>
      </c>
      <c r="L146">
        <f>IF('RTF 2'!$D$9=3,'Lookup Tables'!$V$143,0)</f>
        <v>0</v>
      </c>
      <c r="M146">
        <f t="shared" si="37"/>
        <v>40</v>
      </c>
      <c r="N146">
        <f t="shared" si="38"/>
        <v>15</v>
      </c>
      <c r="P146" s="8" t="b">
        <f>'RTF 2'!Q15&gt;'RTF 2'!S15</f>
        <v>0</v>
      </c>
      <c r="Q146" s="8" t="b">
        <f>AND('RTF 2'!S15&gt;='RTF 2'!Q15,'RTF 2'!Q15&gt;'RTF 2'!T15)</f>
        <v>0</v>
      </c>
      <c r="R146" s="35" t="b">
        <f>'RTF 2'!Q15&lt;='RTF 2'!T15</f>
        <v>1</v>
      </c>
      <c r="S146" s="8" t="b">
        <f>'RTF 2'!$Q15&gt;'RTF 2'!$U15</f>
        <v>0</v>
      </c>
      <c r="T146" s="8" t="b">
        <f>AND('RTF 2'!$U15&gt;='RTF 2'!$Q15,'RTF 2'!$Q15&gt;'RTF 2'!$V15)</f>
        <v>0</v>
      </c>
      <c r="U146" s="35" t="b">
        <f>'RTF 2'!$Q15&lt;='RTF 2'!$V15</f>
        <v>1</v>
      </c>
      <c r="V146" s="42"/>
      <c r="W146" s="8" t="b">
        <f>'RTF 2'!$Q15&gt;('RTF 2'!$P15+'RTF 2'!$O15)</f>
        <v>0</v>
      </c>
      <c r="X146" s="8" t="b">
        <f>'RTF 2'!$O15&gt;('RTF 2'!$P15+'RTF 2'!$Q15)</f>
        <v>0</v>
      </c>
      <c r="Y146" s="8" t="b">
        <f>AND(('RTF 2'!$O15+10)&gt;='RTF 2'!$P15,('RTF 2'!$O15-10)&lt;='RTF 2'!$P15,('RTF 2'!$P15+10)&gt;='RTF 2'!$Q15,('RTF 2'!$P15-10)&lt;='RTF 2'!$Q15,('RTF 2'!$O15+10)&gt;='RTF 2'!$Q15,('RTF 2'!$O15-10)&lt;='RTF 2'!$Q15)</f>
        <v>1</v>
      </c>
      <c r="Z146" s="8" t="b">
        <f>AND(('RTF 2'!$O15+10)&gt;='RTF 2'!$P15,('RTF 2'!$O15-10)&lt;='RTF 2'!$P15,OR('RTF 2'!$P15&gt;'RTF 2'!$Y15,'RTF 2'!$O15&gt;'RTF 2'!$Y15))</f>
        <v>0</v>
      </c>
      <c r="AA146" s="11" t="b">
        <f>AND(('RTF 2'!$Q15+10)&gt;='RTF 2'!$P15,('RTF 2'!$Q15-10)&lt;='RTF 2'!$P15,OR('RTF 2'!$P15&gt;'RTF 2'!$Z15,'RTF 2'!$Q15&gt;'RTF 2'!$Z15))</f>
        <v>0</v>
      </c>
      <c r="AB146" s="35" t="b">
        <f t="shared" si="39"/>
        <v>0</v>
      </c>
      <c r="AC146" s="8" t="b">
        <f>'RTF 2'!$Q15&gt;'RTF 2'!$P15</f>
        <v>0</v>
      </c>
      <c r="AD146" s="8" t="b">
        <f>AND('RTF 2'!$P15&gt;='RTF 2'!$Q15,'RTF 2'!$Q15&gt;'RTF 2'!$AA15)</f>
        <v>0</v>
      </c>
      <c r="AE146" s="8" t="b">
        <f>AND('RTF 2'!$AA15&gt;'RTF 2'!$Q15,'RTF 2'!$Q15&gt;'RTF 2'!$AB15)</f>
        <v>0</v>
      </c>
      <c r="AF146" s="8" t="b">
        <f>'RTF 2'!$Q15&lt;'RTF 2'!$AB15</f>
        <v>1</v>
      </c>
    </row>
    <row r="147" spans="1:32" x14ac:dyDescent="0.25">
      <c r="A147" s="8"/>
      <c r="B147" s="8"/>
      <c r="C147" s="8"/>
      <c r="D147" s="8"/>
      <c r="E147" s="8"/>
      <c r="I147" s="49">
        <f>IF('RTF 2'!$D$9=1,'Lookup Tables'!$J147,IF('RTF 2'!$D$9=2,'Lookup Tables'!$K147,IF('RTF 2'!$D$9=3,'Lookup Tables'!$L147,IF('RTF 2'!$D$9=4,'Lookup Tables'!$M147,'Lookup Tables'!$N147))))</f>
        <v>15</v>
      </c>
      <c r="J147">
        <f t="shared" si="35"/>
        <v>20</v>
      </c>
      <c r="K147">
        <f t="shared" si="36"/>
        <v>20</v>
      </c>
      <c r="L147">
        <f>IF('RTF 2'!$D$9=3,'Lookup Tables'!$V$143,0)</f>
        <v>0</v>
      </c>
      <c r="M147">
        <f t="shared" si="37"/>
        <v>40</v>
      </c>
      <c r="N147">
        <f t="shared" si="38"/>
        <v>15</v>
      </c>
      <c r="P147" s="8" t="b">
        <f>'RTF 2'!Q16&gt;'RTF 2'!S16</f>
        <v>0</v>
      </c>
      <c r="Q147" s="8" t="b">
        <f>AND('RTF 2'!S16&gt;='RTF 2'!Q16,'RTF 2'!Q16&gt;'RTF 2'!T16)</f>
        <v>0</v>
      </c>
      <c r="R147" s="35" t="b">
        <f>'RTF 2'!Q16&lt;='RTF 2'!T16</f>
        <v>1</v>
      </c>
      <c r="S147" s="8" t="b">
        <f>'RTF 2'!$Q16&gt;'RTF 2'!$U16</f>
        <v>0</v>
      </c>
      <c r="T147" s="8" t="b">
        <f>AND('RTF 2'!$U16&gt;='RTF 2'!$Q16,'RTF 2'!$Q16&gt;'RTF 2'!$V16)</f>
        <v>0</v>
      </c>
      <c r="U147" s="35" t="b">
        <f>'RTF 2'!$Q16&lt;='RTF 2'!$V16</f>
        <v>1</v>
      </c>
      <c r="V147" s="42"/>
      <c r="W147" s="8" t="b">
        <f>'RTF 2'!$Q16&gt;('RTF 2'!$P16+'RTF 2'!$O16)</f>
        <v>0</v>
      </c>
      <c r="X147" s="8" t="b">
        <f>'RTF 2'!$O16&gt;('RTF 2'!$P16+'RTF 2'!$Q16)</f>
        <v>0</v>
      </c>
      <c r="Y147" s="8" t="b">
        <f>AND(('RTF 2'!$O16+10)&gt;='RTF 2'!$P16,('RTF 2'!$O16-10)&lt;='RTF 2'!$P16,('RTF 2'!$P16+10)&gt;='RTF 2'!$Q16,('RTF 2'!$P16-10)&lt;='RTF 2'!$Q16,('RTF 2'!$O16+10)&gt;='RTF 2'!$Q16,('RTF 2'!$O16-10)&lt;='RTF 2'!$Q16)</f>
        <v>1</v>
      </c>
      <c r="Z147" s="8" t="b">
        <f>AND(('RTF 2'!$O16+10)&gt;='RTF 2'!$P16,('RTF 2'!$O16-10)&lt;='RTF 2'!$P16,OR('RTF 2'!$P16&gt;'RTF 2'!$Y16,'RTF 2'!$O16&gt;'RTF 2'!$Y16))</f>
        <v>0</v>
      </c>
      <c r="AA147" s="11" t="b">
        <f>AND(('RTF 2'!$Q16+10)&gt;='RTF 2'!$P16,('RTF 2'!$Q16-10)&lt;='RTF 2'!$P16,OR('RTF 2'!$P16&gt;'RTF 2'!$Z16,'RTF 2'!$Q16&gt;'RTF 2'!$Z16))</f>
        <v>0</v>
      </c>
      <c r="AB147" s="35" t="b">
        <f t="shared" si="39"/>
        <v>0</v>
      </c>
      <c r="AC147" s="8" t="b">
        <f>'RTF 2'!$Q16&gt;'RTF 2'!$P16</f>
        <v>0</v>
      </c>
      <c r="AD147" s="8" t="b">
        <f>AND('RTF 2'!$P16&gt;='RTF 2'!$Q16,'RTF 2'!$Q16&gt;'RTF 2'!$AA16)</f>
        <v>0</v>
      </c>
      <c r="AE147" s="8" t="b">
        <f>AND('RTF 2'!$AA16&gt;'RTF 2'!$Q16,'RTF 2'!$Q16&gt;'RTF 2'!$AB16)</f>
        <v>0</v>
      </c>
      <c r="AF147" s="8" t="b">
        <f>'RTF 2'!$Q16&lt;'RTF 2'!$AB16</f>
        <v>1</v>
      </c>
    </row>
    <row r="148" spans="1:32" x14ac:dyDescent="0.25">
      <c r="A148" s="819" t="s">
        <v>356</v>
      </c>
      <c r="B148" s="819"/>
      <c r="C148" s="819"/>
      <c r="D148" s="819"/>
      <c r="E148" s="819"/>
      <c r="I148" s="49">
        <f>IF('RTF 2'!$D$9=1,'Lookup Tables'!$J148,IF('RTF 2'!$D$9=2,'Lookup Tables'!$K148,IF('RTF 2'!$D$9=3,'Lookup Tables'!$L148,IF('RTF 2'!$D$9=4,'Lookup Tables'!$M148,'Lookup Tables'!$N148))))</f>
        <v>15</v>
      </c>
      <c r="J148">
        <f t="shared" si="35"/>
        <v>20</v>
      </c>
      <c r="K148">
        <f t="shared" si="36"/>
        <v>20</v>
      </c>
      <c r="L148">
        <f>IF('RTF 2'!$D$9=3,'Lookup Tables'!$V$143,0)</f>
        <v>0</v>
      </c>
      <c r="M148">
        <f t="shared" si="37"/>
        <v>40</v>
      </c>
      <c r="N148">
        <f t="shared" si="38"/>
        <v>15</v>
      </c>
      <c r="P148" s="8" t="b">
        <f>'RTF 2'!Q17&gt;'RTF 2'!S17</f>
        <v>0</v>
      </c>
      <c r="Q148" s="8" t="b">
        <f>AND('RTF 2'!S17&gt;='RTF 2'!Q17,'RTF 2'!Q17&gt;'RTF 2'!T17)</f>
        <v>0</v>
      </c>
      <c r="R148" s="35" t="b">
        <f>'RTF 2'!Q17&lt;='RTF 2'!T17</f>
        <v>1</v>
      </c>
      <c r="S148" s="8" t="b">
        <f>'RTF 2'!$Q17&gt;'RTF 2'!$U17</f>
        <v>0</v>
      </c>
      <c r="T148" s="8" t="b">
        <f>AND('RTF 2'!$U17&gt;='RTF 2'!$Q17,'RTF 2'!$Q17&gt;'RTF 2'!$V17)</f>
        <v>0</v>
      </c>
      <c r="U148" s="35" t="b">
        <f>'RTF 2'!$Q17&lt;='RTF 2'!$V17</f>
        <v>1</v>
      </c>
      <c r="V148" s="42"/>
      <c r="W148" s="8" t="b">
        <f>'RTF 2'!$Q17&gt;('RTF 2'!$P17+'RTF 2'!$O17)</f>
        <v>0</v>
      </c>
      <c r="X148" s="8" t="b">
        <f>'RTF 2'!$O17&gt;('RTF 2'!$P17+'RTF 2'!$Q17)</f>
        <v>0</v>
      </c>
      <c r="Y148" s="8" t="b">
        <f>AND(('RTF 2'!$O17+10)&gt;='RTF 2'!$P17,('RTF 2'!$O17-10)&lt;='RTF 2'!$P17,('RTF 2'!$P17+10)&gt;='RTF 2'!$Q17,('RTF 2'!$P17-10)&lt;='RTF 2'!$Q17,('RTF 2'!$O17+10)&gt;='RTF 2'!$Q17,('RTF 2'!$O17-10)&lt;='RTF 2'!$Q17)</f>
        <v>1</v>
      </c>
      <c r="Z148" s="8" t="b">
        <f>AND(('RTF 2'!$O17+10)&gt;='RTF 2'!$P17,('RTF 2'!$O17-10)&lt;='RTF 2'!$P17,OR('RTF 2'!$P17&gt;'RTF 2'!$Y17,'RTF 2'!$O17&gt;'RTF 2'!$Y17))</f>
        <v>0</v>
      </c>
      <c r="AA148" s="11" t="b">
        <f>AND(('RTF 2'!$Q17+10)&gt;='RTF 2'!$P17,('RTF 2'!$Q17-10)&lt;='RTF 2'!$P17,OR('RTF 2'!$P17&gt;'RTF 2'!$Z17,'RTF 2'!$Q17&gt;'RTF 2'!$Z17))</f>
        <v>0</v>
      </c>
      <c r="AB148" s="35" t="b">
        <f t="shared" si="39"/>
        <v>0</v>
      </c>
      <c r="AC148" s="8" t="b">
        <f>'RTF 2'!$Q17&gt;'RTF 2'!$P17</f>
        <v>0</v>
      </c>
      <c r="AD148" s="8" t="b">
        <f>AND('RTF 2'!$P17&gt;='RTF 2'!$Q17,'RTF 2'!$Q17&gt;'RTF 2'!$AA17)</f>
        <v>0</v>
      </c>
      <c r="AE148" s="8" t="b">
        <f>AND('RTF 2'!$AA17&gt;'RTF 2'!$Q17,'RTF 2'!$Q17&gt;'RTF 2'!$AB17)</f>
        <v>0</v>
      </c>
      <c r="AF148" s="8" t="b">
        <f>'RTF 2'!$Q17&lt;'RTF 2'!$AB17</f>
        <v>1</v>
      </c>
    </row>
    <row r="149" spans="1:32" x14ac:dyDescent="0.25">
      <c r="A149" s="819"/>
      <c r="B149" s="819"/>
      <c r="C149" s="819"/>
      <c r="D149" s="819"/>
      <c r="E149" s="819"/>
      <c r="I149" s="49">
        <f>IF('RTF 2'!$D$9=1,'Lookup Tables'!$J149,IF('RTF 2'!$D$9=2,'Lookup Tables'!$K149,IF('RTF 2'!$D$9=3,'Lookup Tables'!$L149,IF('RTF 2'!$D$9=4,'Lookup Tables'!$M149,'Lookup Tables'!$N149))))</f>
        <v>15</v>
      </c>
      <c r="J149">
        <f t="shared" si="35"/>
        <v>20</v>
      </c>
      <c r="K149">
        <f t="shared" si="36"/>
        <v>20</v>
      </c>
      <c r="L149">
        <f>IF('RTF 2'!$D$9=3,'Lookup Tables'!$V$143,0)</f>
        <v>0</v>
      </c>
      <c r="M149">
        <f t="shared" si="37"/>
        <v>40</v>
      </c>
      <c r="N149">
        <f t="shared" si="38"/>
        <v>15</v>
      </c>
      <c r="P149" s="8" t="b">
        <f>'RTF 2'!Q18&gt;'RTF 2'!S18</f>
        <v>0</v>
      </c>
      <c r="Q149" s="8" t="b">
        <f>AND('RTF 2'!S18&gt;='RTF 2'!Q18,'RTF 2'!Q18&gt;'RTF 2'!T18)</f>
        <v>0</v>
      </c>
      <c r="R149" s="35" t="b">
        <f>'RTF 2'!Q18&lt;='RTF 2'!T18</f>
        <v>1</v>
      </c>
      <c r="S149" s="8" t="b">
        <f>'RTF 2'!$Q18&gt;'RTF 2'!$U18</f>
        <v>0</v>
      </c>
      <c r="T149" s="8" t="b">
        <f>AND('RTF 2'!$U18&gt;='RTF 2'!$Q18,'RTF 2'!$Q18&gt;'RTF 2'!$V18)</f>
        <v>0</v>
      </c>
      <c r="U149" s="35" t="b">
        <f>'RTF 2'!$Q18&lt;='RTF 2'!$V18</f>
        <v>1</v>
      </c>
      <c r="V149" s="42"/>
      <c r="W149" s="8" t="b">
        <f>'RTF 2'!$Q18&gt;('RTF 2'!$P18+'RTF 2'!$O18)</f>
        <v>0</v>
      </c>
      <c r="X149" s="8" t="b">
        <f>'RTF 2'!$O18&gt;('RTF 2'!$P18+'RTF 2'!$Q18)</f>
        <v>0</v>
      </c>
      <c r="Y149" s="8" t="b">
        <f>AND(('RTF 2'!$O18+10)&gt;='RTF 2'!$P18,('RTF 2'!$O18-10)&lt;='RTF 2'!$P18,('RTF 2'!$P18+10)&gt;='RTF 2'!$Q18,('RTF 2'!$P18-10)&lt;='RTF 2'!$Q18,('RTF 2'!$O18+10)&gt;='RTF 2'!$Q18,('RTF 2'!$O18-10)&lt;='RTF 2'!$Q18)</f>
        <v>1</v>
      </c>
      <c r="Z149" s="8" t="b">
        <f>AND(('RTF 2'!$O18+10)&gt;='RTF 2'!$P18,('RTF 2'!$O18-10)&lt;='RTF 2'!$P18,OR('RTF 2'!$P18&gt;'RTF 2'!$Y18,'RTF 2'!$O18&gt;'RTF 2'!$Y18))</f>
        <v>0</v>
      </c>
      <c r="AA149" s="11" t="b">
        <f>AND(('RTF 2'!$Q18+10)&gt;='RTF 2'!$P18,('RTF 2'!$Q18-10)&lt;='RTF 2'!$P18,OR('RTF 2'!$P18&gt;'RTF 2'!$Z18,'RTF 2'!$Q18&gt;'RTF 2'!$Z18))</f>
        <v>0</v>
      </c>
      <c r="AB149" s="35" t="b">
        <f t="shared" si="39"/>
        <v>0</v>
      </c>
      <c r="AC149" s="8" t="b">
        <f>'RTF 2'!$Q18&gt;'RTF 2'!$P18</f>
        <v>0</v>
      </c>
      <c r="AD149" s="8" t="b">
        <f>AND('RTF 2'!$P18&gt;='RTF 2'!$Q18,'RTF 2'!$Q18&gt;'RTF 2'!$AA18)</f>
        <v>0</v>
      </c>
      <c r="AE149" s="8" t="b">
        <f>AND('RTF 2'!$AA18&gt;'RTF 2'!$Q18,'RTF 2'!$Q18&gt;'RTF 2'!$AB18)</f>
        <v>0</v>
      </c>
      <c r="AF149" s="8" t="b">
        <f>'RTF 2'!$Q18&lt;'RTF 2'!$AB18</f>
        <v>1</v>
      </c>
    </row>
    <row r="150" spans="1:32" x14ac:dyDescent="0.25">
      <c r="A150" s="819"/>
      <c r="B150" s="819"/>
      <c r="C150" s="819"/>
      <c r="D150" s="819"/>
      <c r="E150" s="819"/>
      <c r="I150" s="49">
        <f>IF('RTF 2'!$D$9=1,'Lookup Tables'!$J150,IF('RTF 2'!$D$9=2,'Lookup Tables'!$K150,IF('RTF 2'!$D$9=3,'Lookup Tables'!$L150,IF('RTF 2'!$D$9=4,'Lookup Tables'!$M150,'Lookup Tables'!$N150))))</f>
        <v>15</v>
      </c>
      <c r="J150">
        <f t="shared" si="35"/>
        <v>20</v>
      </c>
      <c r="K150">
        <f t="shared" si="36"/>
        <v>20</v>
      </c>
      <c r="L150">
        <f>IF('RTF 2'!$D$9=3,'Lookup Tables'!$V$143,0)</f>
        <v>0</v>
      </c>
      <c r="M150">
        <f t="shared" si="37"/>
        <v>40</v>
      </c>
      <c r="N150">
        <f t="shared" si="38"/>
        <v>15</v>
      </c>
      <c r="P150" s="8" t="b">
        <f>'RTF 2'!Q19&gt;'RTF 2'!S19</f>
        <v>0</v>
      </c>
      <c r="Q150" s="8" t="b">
        <f>AND('RTF 2'!S19&gt;='RTF 2'!Q19,'RTF 2'!Q19&gt;'RTF 2'!T19)</f>
        <v>0</v>
      </c>
      <c r="R150" s="35" t="b">
        <f>'RTF 2'!Q19&lt;='RTF 2'!T19</f>
        <v>1</v>
      </c>
      <c r="S150" s="8" t="b">
        <f>'RTF 2'!$Q19&gt;'RTF 2'!$U19</f>
        <v>0</v>
      </c>
      <c r="T150" s="8" t="b">
        <f>AND('RTF 2'!$U19&gt;='RTF 2'!$Q19,'RTF 2'!$Q19&gt;'RTF 2'!$V19)</f>
        <v>0</v>
      </c>
      <c r="U150" s="35" t="b">
        <f>'RTF 2'!$Q19&lt;='RTF 2'!$V19</f>
        <v>1</v>
      </c>
      <c r="V150" s="42"/>
      <c r="W150" s="8" t="b">
        <f>'RTF 2'!$Q19&gt;('RTF 2'!$P19+'RTF 2'!$O19)</f>
        <v>0</v>
      </c>
      <c r="X150" s="8" t="b">
        <f>'RTF 2'!$O19&gt;('RTF 2'!$P19+'RTF 2'!$Q19)</f>
        <v>0</v>
      </c>
      <c r="Y150" s="8" t="b">
        <f>AND(('RTF 2'!$O19+10)&gt;='RTF 2'!$P19,('RTF 2'!$O19-10)&lt;='RTF 2'!$P19,('RTF 2'!$P19+10)&gt;='RTF 2'!$Q19,('RTF 2'!$P19-10)&lt;='RTF 2'!$Q19,('RTF 2'!$O19+10)&gt;='RTF 2'!$Q19,('RTF 2'!$O19-10)&lt;='RTF 2'!$Q19)</f>
        <v>1</v>
      </c>
      <c r="Z150" s="8" t="b">
        <f>AND(('RTF 2'!$O19+10)&gt;='RTF 2'!$P19,('RTF 2'!$O19-10)&lt;='RTF 2'!$P19,OR('RTF 2'!$P19&gt;'RTF 2'!$Y19,'RTF 2'!$O19&gt;'RTF 2'!$Y19))</f>
        <v>0</v>
      </c>
      <c r="AA150" s="11" t="b">
        <f>AND(('RTF 2'!$Q19+10)&gt;='RTF 2'!$P19,('RTF 2'!$Q19-10)&lt;='RTF 2'!$P19,OR('RTF 2'!$P19&gt;'RTF 2'!$Z19,'RTF 2'!$Q19&gt;'RTF 2'!$Z19))</f>
        <v>0</v>
      </c>
      <c r="AB150" s="35" t="b">
        <f t="shared" si="39"/>
        <v>0</v>
      </c>
      <c r="AC150" s="8" t="b">
        <f>'RTF 2'!$Q19&gt;'RTF 2'!$P19</f>
        <v>0</v>
      </c>
      <c r="AD150" s="8" t="b">
        <f>AND('RTF 2'!$P19&gt;='RTF 2'!$Q19,'RTF 2'!$Q19&gt;'RTF 2'!$AA19)</f>
        <v>0</v>
      </c>
      <c r="AE150" s="8" t="b">
        <f>AND('RTF 2'!$AA19&gt;'RTF 2'!$Q19,'RTF 2'!$Q19&gt;'RTF 2'!$AB19)</f>
        <v>0</v>
      </c>
      <c r="AF150" s="8" t="b">
        <f>'RTF 2'!$Q19&lt;'RTF 2'!$AB19</f>
        <v>1</v>
      </c>
    </row>
    <row r="151" spans="1:32" x14ac:dyDescent="0.25">
      <c r="A151" s="26" t="s">
        <v>354</v>
      </c>
      <c r="B151" s="26" t="s">
        <v>355</v>
      </c>
      <c r="I151" s="49">
        <f>IF('RTF 2'!$D$9=1,'Lookup Tables'!$J151,IF('RTF 2'!$D$9=2,'Lookup Tables'!$K151,IF('RTF 2'!$D$9=3,'Lookup Tables'!$L151,IF('RTF 2'!$D$9=4,'Lookup Tables'!$M151,'Lookup Tables'!$N151))))</f>
        <v>15</v>
      </c>
      <c r="J151">
        <f t="shared" si="35"/>
        <v>20</v>
      </c>
      <c r="K151">
        <f t="shared" si="36"/>
        <v>20</v>
      </c>
      <c r="L151">
        <f>IF('RTF 2'!$D$9=3,'Lookup Tables'!$V$143,0)</f>
        <v>0</v>
      </c>
      <c r="M151">
        <f t="shared" si="37"/>
        <v>40</v>
      </c>
      <c r="N151">
        <f t="shared" si="38"/>
        <v>15</v>
      </c>
      <c r="P151" s="8" t="b">
        <f>'RTF 2'!Q20&gt;'RTF 2'!S20</f>
        <v>0</v>
      </c>
      <c r="Q151" s="8" t="b">
        <f>AND('RTF 2'!S20&gt;='RTF 2'!Q20,'RTF 2'!Q20&gt;'RTF 2'!T20)</f>
        <v>0</v>
      </c>
      <c r="R151" s="35" t="b">
        <f>'RTF 2'!Q20&lt;='RTF 2'!T20</f>
        <v>1</v>
      </c>
      <c r="S151" s="8" t="b">
        <f>'RTF 2'!$Q20&gt;'RTF 2'!$U20</f>
        <v>0</v>
      </c>
      <c r="T151" s="8" t="b">
        <f>AND('RTF 2'!$U20&gt;='RTF 2'!$Q20,'RTF 2'!$Q20&gt;'RTF 2'!$V20)</f>
        <v>0</v>
      </c>
      <c r="U151" s="35" t="b">
        <f>'RTF 2'!$Q20&lt;='RTF 2'!$V20</f>
        <v>1</v>
      </c>
      <c r="V151" s="42"/>
      <c r="W151" s="8" t="b">
        <f>'RTF 2'!$Q20&gt;('RTF 2'!$P20+'RTF 2'!$O20)</f>
        <v>0</v>
      </c>
      <c r="X151" s="8" t="b">
        <f>'RTF 2'!$O20&gt;('RTF 2'!$P20+'RTF 2'!$Q20)</f>
        <v>0</v>
      </c>
      <c r="Y151" s="8" t="b">
        <f>AND(('RTF 2'!$O20+10)&gt;='RTF 2'!$P20,('RTF 2'!$O20-10)&lt;='RTF 2'!$P20,('RTF 2'!$P20+10)&gt;='RTF 2'!$Q20,('RTF 2'!$P20-10)&lt;='RTF 2'!$Q20,('RTF 2'!$O20+10)&gt;='RTF 2'!$Q20,('RTF 2'!$O20-10)&lt;='RTF 2'!$Q20)</f>
        <v>1</v>
      </c>
      <c r="Z151" s="8" t="b">
        <f>AND(('RTF 2'!$O20+10)&gt;='RTF 2'!$P20,('RTF 2'!$O20-10)&lt;='RTF 2'!$P20,OR('RTF 2'!$P20&gt;'RTF 2'!$Y20,'RTF 2'!$O20&gt;'RTF 2'!$Y20))</f>
        <v>0</v>
      </c>
      <c r="AA151" s="11" t="b">
        <f>AND(('RTF 2'!$Q20+10)&gt;='RTF 2'!$P20,('RTF 2'!$Q20-10)&lt;='RTF 2'!$P20,OR('RTF 2'!$P20&gt;'RTF 2'!$Z20,'RTF 2'!$Q20&gt;'RTF 2'!$Z20))</f>
        <v>0</v>
      </c>
      <c r="AB151" s="35" t="b">
        <f t="shared" si="39"/>
        <v>0</v>
      </c>
      <c r="AC151" s="8" t="b">
        <f>'RTF 2'!$Q20&gt;'RTF 2'!$P20</f>
        <v>0</v>
      </c>
      <c r="AD151" s="8" t="b">
        <f>AND('RTF 2'!$P20&gt;='RTF 2'!$Q20,'RTF 2'!$Q20&gt;'RTF 2'!$AA20)</f>
        <v>0</v>
      </c>
      <c r="AE151" s="8" t="b">
        <f>AND('RTF 2'!$AA20&gt;'RTF 2'!$Q20,'RTF 2'!$Q20&gt;'RTF 2'!$AB20)</f>
        <v>0</v>
      </c>
      <c r="AF151" s="8" t="b">
        <f>'RTF 2'!$Q20&lt;'RTF 2'!$AB20</f>
        <v>1</v>
      </c>
    </row>
    <row r="152" spans="1:32" x14ac:dyDescent="0.25">
      <c r="A152" s="8">
        <v>1000</v>
      </c>
      <c r="B152" s="8">
        <v>75</v>
      </c>
      <c r="C152" s="8"/>
      <c r="D152" s="8"/>
      <c r="I152" s="49">
        <f>IF('RTF 2'!$D$9=1,'Lookup Tables'!$J152,IF('RTF 2'!$D$9=2,'Lookup Tables'!$K152,IF('RTF 2'!$D$9=3,'Lookup Tables'!$L152,IF('RTF 2'!$D$9=4,'Lookup Tables'!$M152,'Lookup Tables'!$N152))))</f>
        <v>15</v>
      </c>
      <c r="J152">
        <f t="shared" si="35"/>
        <v>20</v>
      </c>
      <c r="K152">
        <f t="shared" si="36"/>
        <v>20</v>
      </c>
      <c r="L152">
        <f>IF('RTF 2'!$D$9=3,'Lookup Tables'!$V$143,0)</f>
        <v>0</v>
      </c>
      <c r="M152">
        <f t="shared" si="37"/>
        <v>40</v>
      </c>
      <c r="N152">
        <f t="shared" si="38"/>
        <v>15</v>
      </c>
      <c r="P152" s="8" t="b">
        <f>'RTF 2'!Q21&gt;'RTF 2'!S21</f>
        <v>0</v>
      </c>
      <c r="Q152" s="8" t="b">
        <f>AND('RTF 2'!S21&gt;='RTF 2'!Q21,'RTF 2'!Q21&gt;'RTF 2'!T21)</f>
        <v>0</v>
      </c>
      <c r="R152" s="35" t="b">
        <f>'RTF 2'!Q21&lt;='RTF 2'!T21</f>
        <v>1</v>
      </c>
      <c r="S152" s="8" t="b">
        <f>'RTF 2'!$Q21&gt;'RTF 2'!$U21</f>
        <v>0</v>
      </c>
      <c r="T152" s="8" t="b">
        <f>AND('RTF 2'!$U21&gt;='RTF 2'!$Q21,'RTF 2'!$Q21&gt;'RTF 2'!$V21)</f>
        <v>0</v>
      </c>
      <c r="U152" s="35" t="b">
        <f>'RTF 2'!$Q21&lt;='RTF 2'!$V21</f>
        <v>1</v>
      </c>
      <c r="V152" s="42"/>
      <c r="W152" s="8" t="b">
        <f>'RTF 2'!$Q21&gt;('RTF 2'!$P21+'RTF 2'!$O21)</f>
        <v>0</v>
      </c>
      <c r="X152" s="8" t="b">
        <f>'RTF 2'!$O21&gt;('RTF 2'!$P21+'RTF 2'!$Q21)</f>
        <v>0</v>
      </c>
      <c r="Y152" s="8" t="b">
        <f>AND(('RTF 2'!$O21+10)&gt;='RTF 2'!$P21,('RTF 2'!$O21-10)&lt;='RTF 2'!$P21,('RTF 2'!$P21+10)&gt;='RTF 2'!$Q21,('RTF 2'!$P21-10)&lt;='RTF 2'!$Q21,('RTF 2'!$O21+10)&gt;='RTF 2'!$Q21,('RTF 2'!$O21-10)&lt;='RTF 2'!$Q21)</f>
        <v>1</v>
      </c>
      <c r="Z152" s="8" t="b">
        <f>AND(('RTF 2'!$O21+10)&gt;='RTF 2'!$P21,('RTF 2'!$O21-10)&lt;='RTF 2'!$P21,OR('RTF 2'!$P21&gt;'RTF 2'!$Y21,'RTF 2'!$O21&gt;'RTF 2'!$Y21))</f>
        <v>0</v>
      </c>
      <c r="AA152" s="11" t="b">
        <f>AND(('RTF 2'!$Q21+10)&gt;='RTF 2'!$P21,('RTF 2'!$Q21-10)&lt;='RTF 2'!$P21,OR('RTF 2'!$P21&gt;'RTF 2'!$Z21,'RTF 2'!$Q21&gt;'RTF 2'!$Z21))</f>
        <v>0</v>
      </c>
      <c r="AB152" s="35" t="b">
        <f t="shared" si="39"/>
        <v>0</v>
      </c>
      <c r="AC152" s="8" t="b">
        <f>'RTF 2'!$Q21&gt;'RTF 2'!$P21</f>
        <v>0</v>
      </c>
      <c r="AD152" s="8" t="b">
        <f>AND('RTF 2'!$P21&gt;='RTF 2'!$Q21,'RTF 2'!$Q21&gt;'RTF 2'!$AA21)</f>
        <v>0</v>
      </c>
      <c r="AE152" s="8" t="b">
        <f>AND('RTF 2'!$AA21&gt;'RTF 2'!$Q21,'RTF 2'!$Q21&gt;'RTF 2'!$AB21)</f>
        <v>0</v>
      </c>
      <c r="AF152" s="8" t="b">
        <f>'RTF 2'!$Q21&lt;'RTF 2'!$AB21</f>
        <v>1</v>
      </c>
    </row>
    <row r="153" spans="1:32" x14ac:dyDescent="0.25">
      <c r="A153" s="8">
        <v>900</v>
      </c>
      <c r="B153" s="8">
        <v>75</v>
      </c>
      <c r="C153" s="8"/>
      <c r="D153" s="8"/>
      <c r="I153" s="49">
        <f>IF('RTF 2'!$D$9=1,'Lookup Tables'!$J153,IF('RTF 2'!$D$9=2,'Lookup Tables'!$K153,IF('RTF 2'!$D$9=3,'Lookup Tables'!$L153,IF('RTF 2'!$D$9=4,'Lookup Tables'!$M153,'Lookup Tables'!$N153))))</f>
        <v>15</v>
      </c>
      <c r="J153">
        <f t="shared" si="35"/>
        <v>20</v>
      </c>
      <c r="K153">
        <f t="shared" si="36"/>
        <v>20</v>
      </c>
      <c r="L153">
        <f>IF('RTF 2'!$D$9=3,'Lookup Tables'!$V$143,0)</f>
        <v>0</v>
      </c>
      <c r="M153">
        <f t="shared" si="37"/>
        <v>40</v>
      </c>
      <c r="N153">
        <f t="shared" si="38"/>
        <v>15</v>
      </c>
      <c r="P153" s="8" t="b">
        <f>'RTF 2'!Q22&gt;'RTF 2'!S22</f>
        <v>0</v>
      </c>
      <c r="Q153" s="8" t="b">
        <f>AND('RTF 2'!S22&gt;='RTF 2'!Q22,'RTF 2'!Q22&gt;'RTF 2'!T22)</f>
        <v>0</v>
      </c>
      <c r="R153" s="35" t="b">
        <f>'RTF 2'!Q22&lt;='RTF 2'!T22</f>
        <v>1</v>
      </c>
      <c r="S153" s="8" t="b">
        <f>'RTF 2'!$Q22&gt;'RTF 2'!$U22</f>
        <v>0</v>
      </c>
      <c r="T153" s="8" t="b">
        <f>AND('RTF 2'!$U22&gt;='RTF 2'!$Q22,'RTF 2'!$Q22&gt;'RTF 2'!$V22)</f>
        <v>0</v>
      </c>
      <c r="U153" s="35" t="b">
        <f>'RTF 2'!$Q22&lt;='RTF 2'!$V22</f>
        <v>1</v>
      </c>
      <c r="V153" s="42"/>
      <c r="W153" s="8" t="b">
        <f>'RTF 2'!$Q22&gt;('RTF 2'!$P22+'RTF 2'!$O22)</f>
        <v>0</v>
      </c>
      <c r="X153" s="8" t="b">
        <f>'RTF 2'!$O22&gt;('RTF 2'!$P22+'RTF 2'!$Q22)</f>
        <v>0</v>
      </c>
      <c r="Y153" s="8" t="b">
        <f>AND(('RTF 2'!$O22+10)&gt;='RTF 2'!$P22,('RTF 2'!$O22-10)&lt;='RTF 2'!$P22,('RTF 2'!$P22+10)&gt;='RTF 2'!$Q22,('RTF 2'!$P22-10)&lt;='RTF 2'!$Q22,('RTF 2'!$O22+10)&gt;='RTF 2'!$Q22,('RTF 2'!$O22-10)&lt;='RTF 2'!$Q22)</f>
        <v>1</v>
      </c>
      <c r="Z153" s="8" t="b">
        <f>AND(('RTF 2'!$O22+10)&gt;='RTF 2'!$P22,('RTF 2'!$O22-10)&lt;='RTF 2'!$P22,OR('RTF 2'!$P22&gt;'RTF 2'!$Y22,'RTF 2'!$O22&gt;'RTF 2'!$Y22))</f>
        <v>0</v>
      </c>
      <c r="AA153" s="11" t="b">
        <f>AND(('RTF 2'!$Q22+10)&gt;='RTF 2'!$P22,('RTF 2'!$Q22-10)&lt;='RTF 2'!$P22,OR('RTF 2'!$P22&gt;'RTF 2'!$Z22,'RTF 2'!$Q22&gt;'RTF 2'!$Z22))</f>
        <v>0</v>
      </c>
      <c r="AB153" s="35" t="b">
        <f t="shared" si="39"/>
        <v>0</v>
      </c>
      <c r="AC153" s="8" t="b">
        <f>'RTF 2'!$Q22&gt;'RTF 2'!$P22</f>
        <v>0</v>
      </c>
      <c r="AD153" s="8" t="b">
        <f>AND('RTF 2'!$P22&gt;='RTF 2'!$Q22,'RTF 2'!$Q22&gt;'RTF 2'!$AA22)</f>
        <v>0</v>
      </c>
      <c r="AE153" s="8" t="b">
        <f>AND('RTF 2'!$AA22&gt;'RTF 2'!$Q22,'RTF 2'!$Q22&gt;'RTF 2'!$AB22)</f>
        <v>0</v>
      </c>
      <c r="AF153" s="8" t="b">
        <f>'RTF 2'!$Q22&lt;'RTF 2'!$AB22</f>
        <v>1</v>
      </c>
    </row>
    <row r="154" spans="1:32" x14ac:dyDescent="0.25">
      <c r="A154" s="8">
        <v>800</v>
      </c>
      <c r="B154" s="8">
        <v>75</v>
      </c>
      <c r="C154" s="8"/>
      <c r="D154" s="8"/>
      <c r="I154" s="49">
        <f>IF('RTF 2'!$D$9=1,'Lookup Tables'!$J154,IF('RTF 2'!$D$9=2,'Lookup Tables'!$K154,IF('RTF 2'!$D$9=3,'Lookup Tables'!$L154,IF('RTF 2'!$D$9=4,'Lookup Tables'!$M154,'Lookup Tables'!$N154))))</f>
        <v>15</v>
      </c>
      <c r="J154">
        <f t="shared" si="35"/>
        <v>20</v>
      </c>
      <c r="K154">
        <f t="shared" si="36"/>
        <v>20</v>
      </c>
      <c r="L154">
        <f>IF('RTF 2'!$D$9=3,'Lookup Tables'!$V$143,0)</f>
        <v>0</v>
      </c>
      <c r="M154">
        <f t="shared" si="37"/>
        <v>40</v>
      </c>
      <c r="N154">
        <f t="shared" si="38"/>
        <v>15</v>
      </c>
      <c r="P154" s="8" t="b">
        <f>'RTF 2'!Q23&gt;'RTF 2'!S23</f>
        <v>0</v>
      </c>
      <c r="Q154" s="8" t="b">
        <f>AND('RTF 2'!S23&gt;='RTF 2'!Q23,'RTF 2'!Q23&gt;'RTF 2'!T23)</f>
        <v>0</v>
      </c>
      <c r="R154" s="35" t="b">
        <f>'RTF 2'!Q23&lt;='RTF 2'!T23</f>
        <v>1</v>
      </c>
      <c r="S154" s="8" t="b">
        <f>'RTF 2'!$Q23&gt;'RTF 2'!$U23</f>
        <v>0</v>
      </c>
      <c r="T154" s="8" t="b">
        <f>AND('RTF 2'!$U23&gt;='RTF 2'!$Q23,'RTF 2'!$Q23&gt;'RTF 2'!$V23)</f>
        <v>0</v>
      </c>
      <c r="U154" s="35" t="b">
        <f>'RTF 2'!$Q23&lt;='RTF 2'!$V23</f>
        <v>1</v>
      </c>
      <c r="V154" s="42"/>
      <c r="W154" s="8" t="b">
        <f>'RTF 2'!$Q23&gt;('RTF 2'!$P23+'RTF 2'!$O23)</f>
        <v>0</v>
      </c>
      <c r="X154" s="8" t="b">
        <f>'RTF 2'!$O23&gt;('RTF 2'!$P23+'RTF 2'!$Q23)</f>
        <v>0</v>
      </c>
      <c r="Y154" s="8" t="b">
        <f>AND(('RTF 2'!$O23+10)&gt;='RTF 2'!$P23,('RTF 2'!$O23-10)&lt;='RTF 2'!$P23,('RTF 2'!$P23+10)&gt;='RTF 2'!$Q23,('RTF 2'!$P23-10)&lt;='RTF 2'!$Q23,('RTF 2'!$O23+10)&gt;='RTF 2'!$Q23,('RTF 2'!$O23-10)&lt;='RTF 2'!$Q23)</f>
        <v>1</v>
      </c>
      <c r="Z154" s="8" t="b">
        <f>AND(('RTF 2'!$O23+10)&gt;='RTF 2'!$P23,('RTF 2'!$O23-10)&lt;='RTF 2'!$P23,OR('RTF 2'!$P23&gt;'RTF 2'!$Y23,'RTF 2'!$O23&gt;'RTF 2'!$Y23))</f>
        <v>0</v>
      </c>
      <c r="AA154" s="11" t="b">
        <f>AND(('RTF 2'!$Q23+10)&gt;='RTF 2'!$P23,('RTF 2'!$Q23-10)&lt;='RTF 2'!$P23,OR('RTF 2'!$P23&gt;'RTF 2'!$Z23,'RTF 2'!$Q23&gt;'RTF 2'!$Z23))</f>
        <v>0</v>
      </c>
      <c r="AB154" s="35" t="b">
        <f t="shared" si="39"/>
        <v>0</v>
      </c>
      <c r="AC154" s="8" t="b">
        <f>'RTF 2'!$Q23&gt;'RTF 2'!$P23</f>
        <v>0</v>
      </c>
      <c r="AD154" s="8" t="b">
        <f>AND('RTF 2'!$P23&gt;='RTF 2'!$Q23,'RTF 2'!$Q23&gt;'RTF 2'!$AA23)</f>
        <v>0</v>
      </c>
      <c r="AE154" s="8" t="b">
        <f>AND('RTF 2'!$AA23&gt;'RTF 2'!$Q23,'RTF 2'!$Q23&gt;'RTF 2'!$AB23)</f>
        <v>0</v>
      </c>
      <c r="AF154" s="8" t="b">
        <f>'RTF 2'!$Q23&lt;'RTF 2'!$AB23</f>
        <v>1</v>
      </c>
    </row>
    <row r="155" spans="1:32" x14ac:dyDescent="0.25">
      <c r="A155" s="8">
        <v>780</v>
      </c>
      <c r="B155" s="8">
        <v>75</v>
      </c>
      <c r="C155" s="8"/>
      <c r="D155" s="8"/>
      <c r="I155" s="49">
        <f>IF('RTF 2'!$D$9=1,'Lookup Tables'!$J155,IF('RTF 2'!$D$9=2,'Lookup Tables'!$K155,IF('RTF 2'!$D$9=3,'Lookup Tables'!$L155,IF('RTF 2'!$D$9=4,'Lookup Tables'!$M155,'Lookup Tables'!$N155))))</f>
        <v>15</v>
      </c>
      <c r="J155">
        <f t="shared" si="35"/>
        <v>20</v>
      </c>
      <c r="K155">
        <f t="shared" si="36"/>
        <v>20</v>
      </c>
      <c r="L155">
        <f>IF('RTF 2'!$D$9=3,'Lookup Tables'!$V$143,0)</f>
        <v>0</v>
      </c>
      <c r="M155">
        <f t="shared" si="37"/>
        <v>40</v>
      </c>
      <c r="N155">
        <f t="shared" si="38"/>
        <v>15</v>
      </c>
      <c r="P155" s="8" t="b">
        <f>'RTF 2'!Q24&gt;'RTF 2'!S24</f>
        <v>0</v>
      </c>
      <c r="Q155" s="8" t="b">
        <f>AND('RTF 2'!S24&gt;='RTF 2'!Q24,'RTF 2'!Q24&gt;'RTF 2'!T24)</f>
        <v>0</v>
      </c>
      <c r="R155" s="35" t="b">
        <f>'RTF 2'!Q24&lt;='RTF 2'!T24</f>
        <v>1</v>
      </c>
      <c r="S155" s="8" t="b">
        <f>'RTF 2'!$Q24&gt;'RTF 2'!$U24</f>
        <v>0</v>
      </c>
      <c r="T155" s="8" t="b">
        <f>AND('RTF 2'!$U24&gt;='RTF 2'!$Q24,'RTF 2'!$Q24&gt;'RTF 2'!$V24)</f>
        <v>0</v>
      </c>
      <c r="U155" s="35" t="b">
        <f>'RTF 2'!$Q24&lt;='RTF 2'!$V24</f>
        <v>1</v>
      </c>
      <c r="V155" s="42"/>
      <c r="W155" s="8" t="b">
        <f>'RTF 2'!$Q24&gt;('RTF 2'!$P24+'RTF 2'!$O24)</f>
        <v>0</v>
      </c>
      <c r="X155" s="8" t="b">
        <f>'RTF 2'!$O24&gt;('RTF 2'!$P24+'RTF 2'!$Q24)</f>
        <v>0</v>
      </c>
      <c r="Y155" s="8" t="b">
        <f>AND(('RTF 2'!$O24+10)&gt;='RTF 2'!$P24,('RTF 2'!$O24-10)&lt;='RTF 2'!$P24,('RTF 2'!$P24+10)&gt;='RTF 2'!$Q24,('RTF 2'!$P24-10)&lt;='RTF 2'!$Q24,('RTF 2'!$O24+10)&gt;='RTF 2'!$Q24,('RTF 2'!$O24-10)&lt;='RTF 2'!$Q24)</f>
        <v>1</v>
      </c>
      <c r="Z155" s="8" t="b">
        <f>AND(('RTF 2'!$O24+10)&gt;='RTF 2'!$P24,('RTF 2'!$O24-10)&lt;='RTF 2'!$P24,OR('RTF 2'!$P24&gt;'RTF 2'!$Y24,'RTF 2'!$O24&gt;'RTF 2'!$Y24))</f>
        <v>0</v>
      </c>
      <c r="AA155" s="11" t="b">
        <f>AND(('RTF 2'!$Q24+10)&gt;='RTF 2'!$P24,('RTF 2'!$Q24-10)&lt;='RTF 2'!$P24,OR('RTF 2'!$P24&gt;'RTF 2'!$Z24,'RTF 2'!$Q24&gt;'RTF 2'!$Z24))</f>
        <v>0</v>
      </c>
      <c r="AB155" s="35" t="b">
        <f t="shared" si="39"/>
        <v>0</v>
      </c>
      <c r="AC155" s="8" t="b">
        <f>'RTF 2'!$Q24&gt;'RTF 2'!$P24</f>
        <v>0</v>
      </c>
      <c r="AD155" s="8" t="b">
        <f>AND('RTF 2'!$P24&gt;='RTF 2'!$Q24,'RTF 2'!$Q24&gt;'RTF 2'!$AA24)</f>
        <v>0</v>
      </c>
      <c r="AE155" s="8" t="b">
        <f>AND('RTF 2'!$AA24&gt;'RTF 2'!$Q24,'RTF 2'!$Q24&gt;'RTF 2'!$AB24)</f>
        <v>0</v>
      </c>
      <c r="AF155" s="8" t="b">
        <f>'RTF 2'!$Q24&lt;'RTF 2'!$AB24</f>
        <v>1</v>
      </c>
    </row>
    <row r="156" spans="1:32" x14ac:dyDescent="0.25">
      <c r="A156" s="8">
        <v>700</v>
      </c>
      <c r="B156" s="395">
        <f>491.334-0.86656*A156+0.0004214*A156^2</f>
        <v>91.228000000000009</v>
      </c>
      <c r="C156" s="8"/>
      <c r="D156" s="8"/>
      <c r="I156" s="49">
        <f>IF('RTF 2'!$D$9=1,'Lookup Tables'!$J156,IF('RTF 2'!$D$9=2,'Lookup Tables'!$K156,IF('RTF 2'!$D$9=3,'Lookup Tables'!$L156,IF('RTF 2'!$D$9=4,'Lookup Tables'!$M156,'Lookup Tables'!$N156))))</f>
        <v>15</v>
      </c>
      <c r="J156">
        <f t="shared" si="35"/>
        <v>20</v>
      </c>
      <c r="K156">
        <f t="shared" si="36"/>
        <v>20</v>
      </c>
      <c r="L156">
        <f>IF('RTF 2'!$D$9=3,'Lookup Tables'!$V$143,0)</f>
        <v>0</v>
      </c>
      <c r="M156">
        <f t="shared" si="37"/>
        <v>40</v>
      </c>
      <c r="N156">
        <f t="shared" si="38"/>
        <v>15</v>
      </c>
      <c r="P156" s="8" t="b">
        <f>'RTF 2'!Q25&gt;'RTF 2'!S25</f>
        <v>0</v>
      </c>
      <c r="Q156" s="8" t="b">
        <f>AND('RTF 2'!S25&gt;='RTF 2'!Q25,'RTF 2'!Q25&gt;'RTF 2'!T25)</f>
        <v>0</v>
      </c>
      <c r="R156" s="35" t="b">
        <f>'RTF 2'!Q25&lt;='RTF 2'!T25</f>
        <v>1</v>
      </c>
      <c r="S156" s="8" t="b">
        <f>'RTF 2'!$Q25&gt;'RTF 2'!$U25</f>
        <v>0</v>
      </c>
      <c r="T156" s="8" t="b">
        <f>AND('RTF 2'!$U25&gt;='RTF 2'!$Q25,'RTF 2'!$Q25&gt;'RTF 2'!$V25)</f>
        <v>0</v>
      </c>
      <c r="U156" s="35" t="b">
        <f>'RTF 2'!$Q25&lt;='RTF 2'!$V25</f>
        <v>1</v>
      </c>
      <c r="V156" s="42"/>
      <c r="W156" s="8" t="b">
        <f>'RTF 2'!$Q25&gt;('RTF 2'!$P25+'RTF 2'!$O25)</f>
        <v>0</v>
      </c>
      <c r="X156" s="8" t="b">
        <f>'RTF 2'!$O25&gt;('RTF 2'!$P25+'RTF 2'!$Q25)</f>
        <v>0</v>
      </c>
      <c r="Y156" s="8" t="b">
        <f>AND(('RTF 2'!$O25+10)&gt;='RTF 2'!$P25,('RTF 2'!$O25-10)&lt;='RTF 2'!$P25,('RTF 2'!$P25+10)&gt;='RTF 2'!$Q25,('RTF 2'!$P25-10)&lt;='RTF 2'!$Q25,('RTF 2'!$O25+10)&gt;='RTF 2'!$Q25,('RTF 2'!$O25-10)&lt;='RTF 2'!$Q25)</f>
        <v>1</v>
      </c>
      <c r="Z156" s="8" t="b">
        <f>AND(('RTF 2'!$O25+10)&gt;='RTF 2'!$P25,('RTF 2'!$O25-10)&lt;='RTF 2'!$P25,OR('RTF 2'!$P25&gt;'RTF 2'!$Y25,'RTF 2'!$O25&gt;'RTF 2'!$Y25))</f>
        <v>0</v>
      </c>
      <c r="AA156" s="11" t="b">
        <f>AND(('RTF 2'!$Q25+10)&gt;='RTF 2'!$P25,('RTF 2'!$Q25-10)&lt;='RTF 2'!$P25,OR('RTF 2'!$P25&gt;'RTF 2'!$Z25,'RTF 2'!$Q25&gt;'RTF 2'!$Z25))</f>
        <v>0</v>
      </c>
      <c r="AB156" s="35" t="b">
        <f t="shared" si="39"/>
        <v>0</v>
      </c>
      <c r="AC156" s="8" t="b">
        <f>'RTF 2'!$Q25&gt;'RTF 2'!$P25</f>
        <v>0</v>
      </c>
      <c r="AD156" s="8" t="b">
        <f>AND('RTF 2'!$P25&gt;='RTF 2'!$Q25,'RTF 2'!$Q25&gt;'RTF 2'!$AA25)</f>
        <v>0</v>
      </c>
      <c r="AE156" s="8" t="b">
        <f>AND('RTF 2'!$AA25&gt;'RTF 2'!$Q25,'RTF 2'!$Q25&gt;'RTF 2'!$AB25)</f>
        <v>0</v>
      </c>
      <c r="AF156" s="8" t="b">
        <f>'RTF 2'!$Q25&lt;'RTF 2'!$AB25</f>
        <v>1</v>
      </c>
    </row>
    <row r="157" spans="1:32" x14ac:dyDescent="0.25">
      <c r="A157" s="8">
        <v>600</v>
      </c>
      <c r="B157" s="395">
        <f t="shared" ref="B157:B161" si="40">491.334-0.86656*A157+0.0004214*A157^2</f>
        <v>123.10199999999998</v>
      </c>
      <c r="C157" s="8"/>
      <c r="D157" s="8"/>
      <c r="I157" s="49">
        <f>IF('RTF 2'!$D$9=1,'Lookup Tables'!$J157,IF('RTF 2'!$D$9=2,'Lookup Tables'!$K157,IF('RTF 2'!$D$9=3,'Lookup Tables'!$L157,IF('RTF 2'!$D$9=4,'Lookup Tables'!$M157,'Lookup Tables'!$N157))))</f>
        <v>15</v>
      </c>
      <c r="J157">
        <f t="shared" si="35"/>
        <v>20</v>
      </c>
      <c r="K157">
        <f t="shared" si="36"/>
        <v>20</v>
      </c>
      <c r="L157">
        <f>IF('RTF 2'!$D$9=3,'Lookup Tables'!$V$143,0)</f>
        <v>0</v>
      </c>
      <c r="M157">
        <f t="shared" si="37"/>
        <v>40</v>
      </c>
      <c r="N157">
        <f t="shared" si="38"/>
        <v>15</v>
      </c>
      <c r="P157" s="8" t="b">
        <f>'RTF 2'!Q26&gt;'RTF 2'!S26</f>
        <v>0</v>
      </c>
      <c r="Q157" s="8" t="b">
        <f>AND('RTF 2'!S26&gt;='RTF 2'!Q26,'RTF 2'!Q26&gt;'RTF 2'!T26)</f>
        <v>0</v>
      </c>
      <c r="R157" s="35" t="b">
        <f>'RTF 2'!Q26&lt;='RTF 2'!T26</f>
        <v>1</v>
      </c>
      <c r="S157" s="8" t="b">
        <f>'RTF 2'!$Q26&gt;'RTF 2'!$U26</f>
        <v>0</v>
      </c>
      <c r="T157" s="8" t="b">
        <f>AND('RTF 2'!$U26&gt;='RTF 2'!$Q26,'RTF 2'!$Q26&gt;'RTF 2'!$V26)</f>
        <v>0</v>
      </c>
      <c r="U157" s="35" t="b">
        <f>'RTF 2'!$Q26&lt;='RTF 2'!$V26</f>
        <v>1</v>
      </c>
      <c r="V157" s="42"/>
      <c r="W157" s="8" t="b">
        <f>'RTF 2'!$Q26&gt;('RTF 2'!$P26+'RTF 2'!$O26)</f>
        <v>0</v>
      </c>
      <c r="X157" s="8" t="b">
        <f>'RTF 2'!$O26&gt;('RTF 2'!$P26+'RTF 2'!$Q26)</f>
        <v>0</v>
      </c>
      <c r="Y157" s="8" t="b">
        <f>AND(('RTF 2'!$O26+10)&gt;='RTF 2'!$P26,('RTF 2'!$O26-10)&lt;='RTF 2'!$P26,('RTF 2'!$P26+10)&gt;='RTF 2'!$Q26,('RTF 2'!$P26-10)&lt;='RTF 2'!$Q26,('RTF 2'!$O26+10)&gt;='RTF 2'!$Q26,('RTF 2'!$O26-10)&lt;='RTF 2'!$Q26)</f>
        <v>1</v>
      </c>
      <c r="Z157" s="8" t="b">
        <f>AND(('RTF 2'!$O26+10)&gt;='RTF 2'!$P26,('RTF 2'!$O26-10)&lt;='RTF 2'!$P26,OR('RTF 2'!$P26&gt;'RTF 2'!$Y26,'RTF 2'!$O26&gt;'RTF 2'!$Y26))</f>
        <v>0</v>
      </c>
      <c r="AA157" s="11" t="b">
        <f>AND(('RTF 2'!$Q26+10)&gt;='RTF 2'!$P26,('RTF 2'!$Q26-10)&lt;='RTF 2'!$P26,OR('RTF 2'!$P26&gt;'RTF 2'!$Z26,'RTF 2'!$Q26&gt;'RTF 2'!$Z26))</f>
        <v>0</v>
      </c>
      <c r="AB157" s="35" t="b">
        <f t="shared" si="39"/>
        <v>0</v>
      </c>
      <c r="AC157" s="8" t="b">
        <f>'RTF 2'!$Q26&gt;'RTF 2'!$P26</f>
        <v>0</v>
      </c>
      <c r="AD157" s="8" t="b">
        <f>AND('RTF 2'!$P26&gt;='RTF 2'!$Q26,'RTF 2'!$Q26&gt;'RTF 2'!$AA26)</f>
        <v>0</v>
      </c>
      <c r="AE157" s="8" t="b">
        <f>AND('RTF 2'!$AA26&gt;'RTF 2'!$Q26,'RTF 2'!$Q26&gt;'RTF 2'!$AB26)</f>
        <v>0</v>
      </c>
      <c r="AF157" s="8" t="b">
        <f>'RTF 2'!$Q26&lt;'RTF 2'!$AB26</f>
        <v>1</v>
      </c>
    </row>
    <row r="158" spans="1:32" x14ac:dyDescent="0.25">
      <c r="A158" s="8">
        <v>500</v>
      </c>
      <c r="B158" s="395">
        <f t="shared" si="40"/>
        <v>163.40400000000002</v>
      </c>
      <c r="C158" s="8"/>
      <c r="D158" s="8"/>
      <c r="I158" s="49">
        <f>IF('RTF 2'!$D$9=1,'Lookup Tables'!$J158,IF('RTF 2'!$D$9=2,'Lookup Tables'!$K158,IF('RTF 2'!$D$9=3,'Lookup Tables'!$L158,IF('RTF 2'!$D$9=4,'Lookup Tables'!$M158,'Lookup Tables'!$N158))))</f>
        <v>15</v>
      </c>
      <c r="J158">
        <f t="shared" si="35"/>
        <v>20</v>
      </c>
      <c r="K158">
        <f t="shared" si="36"/>
        <v>20</v>
      </c>
      <c r="L158">
        <f>IF('RTF 2'!$D$9=3,'Lookup Tables'!$V$143,0)</f>
        <v>0</v>
      </c>
      <c r="M158">
        <f t="shared" si="37"/>
        <v>40</v>
      </c>
      <c r="N158">
        <f t="shared" si="38"/>
        <v>15</v>
      </c>
      <c r="P158" s="8" t="b">
        <f>'RTF 2'!Q27&gt;'RTF 2'!S27</f>
        <v>0</v>
      </c>
      <c r="Q158" s="8" t="b">
        <f>AND('RTF 2'!S27&gt;='RTF 2'!Q27,'RTF 2'!Q27&gt;'RTF 2'!T27)</f>
        <v>0</v>
      </c>
      <c r="R158" s="35" t="b">
        <f>'RTF 2'!Q27&lt;='RTF 2'!T27</f>
        <v>1</v>
      </c>
      <c r="S158" s="8" t="b">
        <f>'RTF 2'!$Q27&gt;'RTF 2'!$U27</f>
        <v>0</v>
      </c>
      <c r="T158" s="8" t="b">
        <f>AND('RTF 2'!$U27&gt;='RTF 2'!$Q27,'RTF 2'!$Q27&gt;'RTF 2'!$V27)</f>
        <v>0</v>
      </c>
      <c r="U158" s="35" t="b">
        <f>'RTF 2'!$Q27&lt;='RTF 2'!$V27</f>
        <v>1</v>
      </c>
      <c r="V158" s="42"/>
      <c r="W158" s="8" t="b">
        <f>'RTF 2'!$Q27&gt;('RTF 2'!$P27+'RTF 2'!$O27)</f>
        <v>0</v>
      </c>
      <c r="X158" s="8" t="b">
        <f>'RTF 2'!$O27&gt;('RTF 2'!$P27+'RTF 2'!$Q27)</f>
        <v>0</v>
      </c>
      <c r="Y158" s="8" t="b">
        <f>AND(('RTF 2'!$O27+10)&gt;='RTF 2'!$P27,('RTF 2'!$O27-10)&lt;='RTF 2'!$P27,('RTF 2'!$P27+10)&gt;='RTF 2'!$Q27,('RTF 2'!$P27-10)&lt;='RTF 2'!$Q27,('RTF 2'!$O27+10)&gt;='RTF 2'!$Q27,('RTF 2'!$O27-10)&lt;='RTF 2'!$Q27)</f>
        <v>1</v>
      </c>
      <c r="Z158" s="8" t="b">
        <f>AND(('RTF 2'!$O27+10)&gt;='RTF 2'!$P27,('RTF 2'!$O27-10)&lt;='RTF 2'!$P27,OR('RTF 2'!$P27&gt;'RTF 2'!$Y27,'RTF 2'!$O27&gt;'RTF 2'!$Y27))</f>
        <v>0</v>
      </c>
      <c r="AA158" s="11" t="b">
        <f>AND(('RTF 2'!$Q27+10)&gt;='RTF 2'!$P27,('RTF 2'!$Q27-10)&lt;='RTF 2'!$P27,OR('RTF 2'!$P27&gt;'RTF 2'!$Z27,'RTF 2'!$Q27&gt;'RTF 2'!$Z27))</f>
        <v>0</v>
      </c>
      <c r="AB158" s="35" t="b">
        <f t="shared" si="39"/>
        <v>0</v>
      </c>
      <c r="AC158" s="8" t="b">
        <f>'RTF 2'!$Q27&gt;'RTF 2'!$P27</f>
        <v>0</v>
      </c>
      <c r="AD158" s="8" t="b">
        <f>AND('RTF 2'!$P27&gt;='RTF 2'!$Q27,'RTF 2'!$Q27&gt;'RTF 2'!$AA27)</f>
        <v>0</v>
      </c>
      <c r="AE158" s="8" t="b">
        <f>AND('RTF 2'!$AA27&gt;'RTF 2'!$Q27,'RTF 2'!$Q27&gt;'RTF 2'!$AB27)</f>
        <v>0</v>
      </c>
      <c r="AF158" s="8" t="b">
        <f>'RTF 2'!$Q27&lt;'RTF 2'!$AB27</f>
        <v>1</v>
      </c>
    </row>
    <row r="159" spans="1:32" x14ac:dyDescent="0.25">
      <c r="A159" s="8">
        <v>400</v>
      </c>
      <c r="B159" s="395">
        <f t="shared" si="40"/>
        <v>212.13399999999999</v>
      </c>
      <c r="C159" s="8"/>
      <c r="D159" s="8"/>
      <c r="I159" s="49">
        <f>IF('RTF 2'!$D$9=1,'Lookup Tables'!$J159,IF('RTF 2'!$D$9=2,'Lookup Tables'!$K159,IF('RTF 2'!$D$9=3,'Lookup Tables'!$L159,IF('RTF 2'!$D$9=4,'Lookup Tables'!$M159,'Lookup Tables'!$N159))))</f>
        <v>15</v>
      </c>
      <c r="J159">
        <f t="shared" si="35"/>
        <v>20</v>
      </c>
      <c r="K159">
        <f t="shared" si="36"/>
        <v>20</v>
      </c>
      <c r="L159">
        <f>IF('RTF 2'!$D$9=3,'Lookup Tables'!$V$143,0)</f>
        <v>0</v>
      </c>
      <c r="M159">
        <f t="shared" si="37"/>
        <v>40</v>
      </c>
      <c r="N159">
        <f t="shared" si="38"/>
        <v>15</v>
      </c>
      <c r="P159" s="8" t="b">
        <f>'RTF 2'!Q28&gt;'RTF 2'!S28</f>
        <v>0</v>
      </c>
      <c r="Q159" s="8" t="b">
        <f>AND('RTF 2'!S28&gt;='RTF 2'!Q28,'RTF 2'!Q28&gt;'RTF 2'!T28)</f>
        <v>0</v>
      </c>
      <c r="R159" s="35" t="b">
        <f>'RTF 2'!Q28&lt;='RTF 2'!T28</f>
        <v>1</v>
      </c>
      <c r="S159" s="8" t="b">
        <f>'RTF 2'!$Q28&gt;'RTF 2'!$U28</f>
        <v>0</v>
      </c>
      <c r="T159" s="8" t="b">
        <f>AND('RTF 2'!$U28&gt;='RTF 2'!$Q28,'RTF 2'!$Q28&gt;'RTF 2'!$V28)</f>
        <v>0</v>
      </c>
      <c r="U159" s="35" t="b">
        <f>'RTF 2'!$Q28&lt;='RTF 2'!$V28</f>
        <v>1</v>
      </c>
      <c r="V159" s="42"/>
      <c r="W159" s="8" t="b">
        <f>'RTF 2'!$Q28&gt;('RTF 2'!$P28+'RTF 2'!$O28)</f>
        <v>0</v>
      </c>
      <c r="X159" s="8" t="b">
        <f>'RTF 2'!$O28&gt;('RTF 2'!$P28+'RTF 2'!$Q28)</f>
        <v>0</v>
      </c>
      <c r="Y159" s="8" t="b">
        <f>AND(('RTF 2'!$O28+10)&gt;='RTF 2'!$P28,('RTF 2'!$O28-10)&lt;='RTF 2'!$P28,('RTF 2'!$P28+10)&gt;='RTF 2'!$Q28,('RTF 2'!$P28-10)&lt;='RTF 2'!$Q28,('RTF 2'!$O28+10)&gt;='RTF 2'!$Q28,('RTF 2'!$O28-10)&lt;='RTF 2'!$Q28)</f>
        <v>1</v>
      </c>
      <c r="Z159" s="8" t="b">
        <f>AND(('RTF 2'!$O28+10)&gt;='RTF 2'!$P28,('RTF 2'!$O28-10)&lt;='RTF 2'!$P28,OR('RTF 2'!$P28&gt;'RTF 2'!$Y28,'RTF 2'!$O28&gt;'RTF 2'!$Y28))</f>
        <v>0</v>
      </c>
      <c r="AA159" s="11" t="b">
        <f>AND(('RTF 2'!$Q28+10)&gt;='RTF 2'!$P28,('RTF 2'!$Q28-10)&lt;='RTF 2'!$P28,OR('RTF 2'!$P28&gt;'RTF 2'!$Z28,'RTF 2'!$Q28&gt;'RTF 2'!$Z28))</f>
        <v>0</v>
      </c>
      <c r="AB159" s="35" t="b">
        <f t="shared" si="39"/>
        <v>0</v>
      </c>
      <c r="AC159" s="8" t="b">
        <f>'RTF 2'!$Q28&gt;'RTF 2'!$P28</f>
        <v>0</v>
      </c>
      <c r="AD159" s="8" t="b">
        <f>AND('RTF 2'!$P28&gt;='RTF 2'!$Q28,'RTF 2'!$Q28&gt;'RTF 2'!$AA28)</f>
        <v>0</v>
      </c>
      <c r="AE159" s="8" t="b">
        <f>AND('RTF 2'!$AA28&gt;'RTF 2'!$Q28,'RTF 2'!$Q28&gt;'RTF 2'!$AB28)</f>
        <v>0</v>
      </c>
      <c r="AF159" s="8" t="b">
        <f>'RTF 2'!$Q28&lt;'RTF 2'!$AB28</f>
        <v>1</v>
      </c>
    </row>
    <row r="160" spans="1:32" x14ac:dyDescent="0.25">
      <c r="A160" s="8">
        <v>300</v>
      </c>
      <c r="B160" s="395">
        <f t="shared" si="40"/>
        <v>269.29199999999997</v>
      </c>
      <c r="C160" s="8"/>
      <c r="D160" s="8"/>
      <c r="I160" s="49">
        <f>IF('RTF 2'!$D$9=1,'Lookup Tables'!$J160,IF('RTF 2'!$D$9=2,'Lookup Tables'!$K160,IF('RTF 2'!$D$9=3,'Lookup Tables'!$L160,IF('RTF 2'!$D$9=4,'Lookup Tables'!$M160,'Lookup Tables'!$N160))))</f>
        <v>15</v>
      </c>
      <c r="J160">
        <f t="shared" si="35"/>
        <v>20</v>
      </c>
      <c r="K160">
        <f t="shared" si="36"/>
        <v>20</v>
      </c>
      <c r="L160">
        <f>IF('RTF 2'!$D$9=3,'Lookup Tables'!$V$143,0)</f>
        <v>0</v>
      </c>
      <c r="M160">
        <f t="shared" si="37"/>
        <v>40</v>
      </c>
      <c r="N160">
        <f t="shared" si="38"/>
        <v>15</v>
      </c>
      <c r="P160" s="8" t="b">
        <f>'RTF 2'!Q29&gt;'RTF 2'!S29</f>
        <v>0</v>
      </c>
      <c r="Q160" s="8" t="b">
        <f>AND('RTF 2'!S29&gt;='RTF 2'!Q29,'RTF 2'!Q29&gt;'RTF 2'!T29)</f>
        <v>0</v>
      </c>
      <c r="R160" s="35" t="b">
        <f>'RTF 2'!Q29&lt;='RTF 2'!T29</f>
        <v>1</v>
      </c>
      <c r="S160" s="8" t="b">
        <f>'RTF 2'!$Q29&gt;'RTF 2'!$U29</f>
        <v>0</v>
      </c>
      <c r="T160" s="8" t="b">
        <f>AND('RTF 2'!$U29&gt;='RTF 2'!$Q29,'RTF 2'!$Q29&gt;'RTF 2'!$V29)</f>
        <v>0</v>
      </c>
      <c r="U160" s="35" t="b">
        <f>'RTF 2'!$Q29&lt;='RTF 2'!$V29</f>
        <v>1</v>
      </c>
      <c r="V160" s="42"/>
      <c r="W160" s="8" t="b">
        <f>'RTF 2'!$Q29&gt;('RTF 2'!$P29+'RTF 2'!$O29)</f>
        <v>0</v>
      </c>
      <c r="X160" s="8" t="b">
        <f>'RTF 2'!$O29&gt;('RTF 2'!$P29+'RTF 2'!$Q29)</f>
        <v>0</v>
      </c>
      <c r="Y160" s="8" t="b">
        <f>AND(('RTF 2'!$O29+10)&gt;='RTF 2'!$P29,('RTF 2'!$O29-10)&lt;='RTF 2'!$P29,('RTF 2'!$P29+10)&gt;='RTF 2'!$Q29,('RTF 2'!$P29-10)&lt;='RTF 2'!$Q29,('RTF 2'!$O29+10)&gt;='RTF 2'!$Q29,('RTF 2'!$O29-10)&lt;='RTF 2'!$Q29)</f>
        <v>1</v>
      </c>
      <c r="Z160" s="8" t="b">
        <f>AND(('RTF 2'!$O29+10)&gt;='RTF 2'!$P29,('RTF 2'!$O29-10)&lt;='RTF 2'!$P29,OR('RTF 2'!$P29&gt;'RTF 2'!$Y29,'RTF 2'!$O29&gt;'RTF 2'!$Y29))</f>
        <v>0</v>
      </c>
      <c r="AA160" s="11" t="b">
        <f>AND(('RTF 2'!$Q29+10)&gt;='RTF 2'!$P29,('RTF 2'!$Q29-10)&lt;='RTF 2'!$P29,OR('RTF 2'!$P29&gt;'RTF 2'!$Z29,'RTF 2'!$Q29&gt;'RTF 2'!$Z29))</f>
        <v>0</v>
      </c>
      <c r="AB160" s="35" t="b">
        <f t="shared" si="39"/>
        <v>0</v>
      </c>
      <c r="AC160" s="8" t="b">
        <f>'RTF 2'!$Q29&gt;'RTF 2'!$P29</f>
        <v>0</v>
      </c>
      <c r="AD160" s="8" t="b">
        <f>AND('RTF 2'!$P29&gt;='RTF 2'!$Q29,'RTF 2'!$Q29&gt;'RTF 2'!$AA29)</f>
        <v>0</v>
      </c>
      <c r="AE160" s="8" t="b">
        <f>AND('RTF 2'!$AA29&gt;'RTF 2'!$Q29,'RTF 2'!$Q29&gt;'RTF 2'!$AB29)</f>
        <v>0</v>
      </c>
      <c r="AF160" s="8" t="b">
        <f>'RTF 2'!$Q29&lt;'RTF 2'!$AB29</f>
        <v>1</v>
      </c>
    </row>
    <row r="161" spans="1:32" x14ac:dyDescent="0.25">
      <c r="A161" s="8">
        <v>285</v>
      </c>
      <c r="B161" s="395">
        <f t="shared" si="40"/>
        <v>278.59261500000002</v>
      </c>
      <c r="C161" s="8"/>
      <c r="D161" s="8"/>
      <c r="I161" s="49">
        <f>IF('RTF 2'!$D$9=1,'Lookup Tables'!$J161,IF('RTF 2'!$D$9=2,'Lookup Tables'!$K161,IF('RTF 2'!$D$9=3,'Lookup Tables'!$L161,IF('RTF 2'!$D$9=4,'Lookup Tables'!$M161,'Lookup Tables'!$N161))))</f>
        <v>15</v>
      </c>
      <c r="J161">
        <f t="shared" si="35"/>
        <v>20</v>
      </c>
      <c r="K161">
        <f t="shared" si="36"/>
        <v>20</v>
      </c>
      <c r="L161">
        <f>IF('RTF 2'!$D$9=3,'Lookup Tables'!$V$143,0)</f>
        <v>0</v>
      </c>
      <c r="M161">
        <f t="shared" si="37"/>
        <v>40</v>
      </c>
      <c r="N161">
        <f t="shared" si="38"/>
        <v>15</v>
      </c>
      <c r="P161" s="8" t="b">
        <f>'RTF 2'!Q30&gt;'RTF 2'!S30</f>
        <v>0</v>
      </c>
      <c r="Q161" s="8" t="b">
        <f>AND('RTF 2'!S30&gt;='RTF 2'!Q30,'RTF 2'!Q30&gt;'RTF 2'!T30)</f>
        <v>0</v>
      </c>
      <c r="R161" s="35" t="b">
        <f>'RTF 2'!Q30&lt;='RTF 2'!T30</f>
        <v>1</v>
      </c>
      <c r="S161" s="8" t="b">
        <f>'RTF 2'!$Q30&gt;'RTF 2'!$U30</f>
        <v>0</v>
      </c>
      <c r="T161" s="8" t="b">
        <f>AND('RTF 2'!$U30&gt;='RTF 2'!$Q30,'RTF 2'!$Q30&gt;'RTF 2'!$V30)</f>
        <v>0</v>
      </c>
      <c r="U161" s="35" t="b">
        <f>'RTF 2'!$Q30&lt;='RTF 2'!$V30</f>
        <v>1</v>
      </c>
      <c r="V161" s="42"/>
      <c r="W161" s="8" t="b">
        <f>'RTF 2'!$Q30&gt;('RTF 2'!$P30+'RTF 2'!$O30)</f>
        <v>0</v>
      </c>
      <c r="X161" s="8" t="b">
        <f>'RTF 2'!$O30&gt;('RTF 2'!$P30+'RTF 2'!$Q30)</f>
        <v>0</v>
      </c>
      <c r="Y161" s="8" t="b">
        <f>AND(('RTF 2'!$O30+10)&gt;='RTF 2'!$P30,('RTF 2'!$O30-10)&lt;='RTF 2'!$P30,('RTF 2'!$P30+10)&gt;='RTF 2'!$Q30,('RTF 2'!$P30-10)&lt;='RTF 2'!$Q30,('RTF 2'!$O30+10)&gt;='RTF 2'!$Q30,('RTF 2'!$O30-10)&lt;='RTF 2'!$Q30)</f>
        <v>1</v>
      </c>
      <c r="Z161" s="8" t="b">
        <f>AND(('RTF 2'!$O30+10)&gt;='RTF 2'!$P30,('RTF 2'!$O30-10)&lt;='RTF 2'!$P30,OR('RTF 2'!$P30&gt;'RTF 2'!$Y30,'RTF 2'!$O30&gt;'RTF 2'!$Y30))</f>
        <v>0</v>
      </c>
      <c r="AA161" s="11" t="b">
        <f>AND(('RTF 2'!$Q30+10)&gt;='RTF 2'!$P30,('RTF 2'!$Q30-10)&lt;='RTF 2'!$P30,OR('RTF 2'!$P30&gt;'RTF 2'!$Z30,'RTF 2'!$Q30&gt;'RTF 2'!$Z30))</f>
        <v>0</v>
      </c>
      <c r="AB161" s="35" t="b">
        <f t="shared" si="39"/>
        <v>0</v>
      </c>
      <c r="AC161" s="8" t="b">
        <f>'RTF 2'!$Q30&gt;'RTF 2'!$P30</f>
        <v>0</v>
      </c>
      <c r="AD161" s="8" t="b">
        <f>AND('RTF 2'!$P30&gt;='RTF 2'!$Q30,'RTF 2'!$Q30&gt;'RTF 2'!$AA30)</f>
        <v>0</v>
      </c>
      <c r="AE161" s="8" t="b">
        <f>AND('RTF 2'!$AA30&gt;'RTF 2'!$Q30,'RTF 2'!$Q30&gt;'RTF 2'!$AB30)</f>
        <v>0</v>
      </c>
      <c r="AF161" s="8" t="b">
        <f>'RTF 2'!$Q30&lt;'RTF 2'!$AB30</f>
        <v>1</v>
      </c>
    </row>
    <row r="162" spans="1:32" x14ac:dyDescent="0.25">
      <c r="A162" s="8"/>
      <c r="B162" s="8"/>
      <c r="C162" s="8"/>
      <c r="D162" s="8"/>
      <c r="I162" s="49">
        <f>IF('RTF 2'!$D$9=1,'Lookup Tables'!$J162,IF('RTF 2'!$D$9=2,'Lookup Tables'!$K162,IF('RTF 2'!$D$9=3,'Lookup Tables'!$L162,IF('RTF 2'!$D$9=4,'Lookup Tables'!$M162,'Lookup Tables'!$N162))))</f>
        <v>15</v>
      </c>
      <c r="J162">
        <f t="shared" si="35"/>
        <v>20</v>
      </c>
      <c r="K162">
        <f t="shared" si="36"/>
        <v>20</v>
      </c>
      <c r="L162">
        <f>IF('RTF 2'!$D$9=3,'Lookup Tables'!$V$143,0)</f>
        <v>0</v>
      </c>
      <c r="M162">
        <f t="shared" si="37"/>
        <v>40</v>
      </c>
      <c r="N162">
        <f t="shared" si="38"/>
        <v>15</v>
      </c>
      <c r="P162" s="8" t="b">
        <f>'RTF 2'!Q31&gt;'RTF 2'!S31</f>
        <v>0</v>
      </c>
      <c r="Q162" s="8" t="b">
        <f>AND('RTF 2'!S31&gt;='RTF 2'!Q31,'RTF 2'!Q31&gt;'RTF 2'!T31)</f>
        <v>0</v>
      </c>
      <c r="R162" s="35" t="b">
        <f>'RTF 2'!Q31&lt;='RTF 2'!T31</f>
        <v>1</v>
      </c>
      <c r="S162" s="8" t="b">
        <f>'RTF 2'!$Q31&gt;'RTF 2'!$U31</f>
        <v>0</v>
      </c>
      <c r="T162" s="8" t="b">
        <f>AND('RTF 2'!$U31&gt;='RTF 2'!$Q31,'RTF 2'!$Q31&gt;'RTF 2'!$V31)</f>
        <v>0</v>
      </c>
      <c r="U162" s="35" t="b">
        <f>'RTF 2'!$Q31&lt;='RTF 2'!$V31</f>
        <v>1</v>
      </c>
      <c r="V162" s="42"/>
      <c r="W162" s="8" t="b">
        <f>'RTF 2'!$Q31&gt;('RTF 2'!$P31+'RTF 2'!$O31)</f>
        <v>0</v>
      </c>
      <c r="X162" s="8" t="b">
        <f>'RTF 2'!$O31&gt;('RTF 2'!$P31+'RTF 2'!$Q31)</f>
        <v>0</v>
      </c>
      <c r="Y162" s="8" t="b">
        <f>AND(('RTF 2'!$O31+10)&gt;='RTF 2'!$P31,('RTF 2'!$O31-10)&lt;='RTF 2'!$P31,('RTF 2'!$P31+10)&gt;='RTF 2'!$Q31,('RTF 2'!$P31-10)&lt;='RTF 2'!$Q31,('RTF 2'!$O31+10)&gt;='RTF 2'!$Q31,('RTF 2'!$O31-10)&lt;='RTF 2'!$Q31)</f>
        <v>1</v>
      </c>
      <c r="Z162" s="8" t="b">
        <f>AND(('RTF 2'!$O31+10)&gt;='RTF 2'!$P31,('RTF 2'!$O31-10)&lt;='RTF 2'!$P31,OR('RTF 2'!$P31&gt;'RTF 2'!$Y31,'RTF 2'!$O31&gt;'RTF 2'!$Y31))</f>
        <v>0</v>
      </c>
      <c r="AA162" s="11" t="b">
        <f>AND(('RTF 2'!$Q31+10)&gt;='RTF 2'!$P31,('RTF 2'!$Q31-10)&lt;='RTF 2'!$P31,OR('RTF 2'!$P31&gt;'RTF 2'!$Z31,'RTF 2'!$Q31&gt;'RTF 2'!$Z31))</f>
        <v>0</v>
      </c>
      <c r="AB162" s="35" t="b">
        <f t="shared" si="39"/>
        <v>0</v>
      </c>
      <c r="AC162" s="8" t="b">
        <f>'RTF 2'!$Q31&gt;'RTF 2'!$P31</f>
        <v>0</v>
      </c>
      <c r="AD162" s="8" t="b">
        <f>AND('RTF 2'!$P31&gt;='RTF 2'!$Q31,'RTF 2'!$Q31&gt;'RTF 2'!$AA31)</f>
        <v>0</v>
      </c>
      <c r="AE162" s="8" t="b">
        <f>AND('RTF 2'!$AA31&gt;'RTF 2'!$Q31,'RTF 2'!$Q31&gt;'RTF 2'!$AB31)</f>
        <v>0</v>
      </c>
      <c r="AF162" s="8" t="b">
        <f>'RTF 2'!$Q31&lt;'RTF 2'!$AB31</f>
        <v>1</v>
      </c>
    </row>
    <row r="163" spans="1:32" x14ac:dyDescent="0.25">
      <c r="A163" s="819" t="s">
        <v>357</v>
      </c>
      <c r="B163" s="819"/>
      <c r="C163" s="819"/>
      <c r="D163" s="819"/>
      <c r="E163" s="819"/>
      <c r="I163" s="49">
        <f>IF('RTF 2'!$D$9=1,'Lookup Tables'!$J163,IF('RTF 2'!$D$9=2,'Lookup Tables'!$K163,IF('RTF 2'!$D$9=3,'Lookup Tables'!$L163,IF('RTF 2'!$D$9=4,'Lookup Tables'!$M163,'Lookup Tables'!$N163))))</f>
        <v>15</v>
      </c>
      <c r="J163">
        <f t="shared" si="35"/>
        <v>20</v>
      </c>
      <c r="K163">
        <f t="shared" si="36"/>
        <v>20</v>
      </c>
      <c r="L163">
        <f>IF('RTF 2'!$D$9=3,'Lookup Tables'!$V$143,0)</f>
        <v>0</v>
      </c>
      <c r="M163">
        <f t="shared" si="37"/>
        <v>40</v>
      </c>
      <c r="N163">
        <f t="shared" si="38"/>
        <v>15</v>
      </c>
      <c r="P163" s="8" t="b">
        <f>'RTF 2'!Q32&gt;'RTF 2'!S32</f>
        <v>0</v>
      </c>
      <c r="Q163" s="8" t="b">
        <f>AND('RTF 2'!S32&gt;='RTF 2'!Q32,'RTF 2'!Q32&gt;'RTF 2'!T32)</f>
        <v>0</v>
      </c>
      <c r="R163" s="35" t="b">
        <f>'RTF 2'!Q32&lt;='RTF 2'!T32</f>
        <v>1</v>
      </c>
      <c r="S163" s="8" t="b">
        <f>'RTF 2'!$Q32&gt;'RTF 2'!$U32</f>
        <v>0</v>
      </c>
      <c r="T163" s="8" t="b">
        <f>AND('RTF 2'!$U32&gt;='RTF 2'!$Q32,'RTF 2'!$Q32&gt;'RTF 2'!$V32)</f>
        <v>0</v>
      </c>
      <c r="U163" s="35" t="b">
        <f>'RTF 2'!$Q32&lt;='RTF 2'!$V32</f>
        <v>1</v>
      </c>
      <c r="V163" s="42"/>
      <c r="W163" s="8" t="b">
        <f>'RTF 2'!$Q32&gt;('RTF 2'!$P32+'RTF 2'!$O32)</f>
        <v>0</v>
      </c>
      <c r="X163" s="8" t="b">
        <f>'RTF 2'!$O32&gt;('RTF 2'!$P32+'RTF 2'!$Q32)</f>
        <v>0</v>
      </c>
      <c r="Y163" s="8" t="b">
        <f>AND(('RTF 2'!$O32+10)&gt;='RTF 2'!$P32,('RTF 2'!$O32-10)&lt;='RTF 2'!$P32,('RTF 2'!$P32+10)&gt;='RTF 2'!$Q32,('RTF 2'!$P32-10)&lt;='RTF 2'!$Q32,('RTF 2'!$O32+10)&gt;='RTF 2'!$Q32,('RTF 2'!$O32-10)&lt;='RTF 2'!$Q32)</f>
        <v>1</v>
      </c>
      <c r="Z163" s="8" t="b">
        <f>AND(('RTF 2'!$O32+10)&gt;='RTF 2'!$P32,('RTF 2'!$O32-10)&lt;='RTF 2'!$P32,OR('RTF 2'!$P32&gt;'RTF 2'!$Y32,'RTF 2'!$O32&gt;'RTF 2'!$Y32))</f>
        <v>0</v>
      </c>
      <c r="AA163" s="11" t="b">
        <f>AND(('RTF 2'!$Q32+10)&gt;='RTF 2'!$P32,('RTF 2'!$Q32-10)&lt;='RTF 2'!$P32,OR('RTF 2'!$P32&gt;'RTF 2'!$Z32,'RTF 2'!$Q32&gt;'RTF 2'!$Z32))</f>
        <v>0</v>
      </c>
      <c r="AB163" s="35" t="b">
        <f t="shared" si="39"/>
        <v>0</v>
      </c>
      <c r="AC163" s="8" t="b">
        <f>'RTF 2'!$Q32&gt;'RTF 2'!$P32</f>
        <v>0</v>
      </c>
      <c r="AD163" s="8" t="b">
        <f>AND('RTF 2'!$P32&gt;='RTF 2'!$Q32,'RTF 2'!$Q32&gt;'RTF 2'!$AA32)</f>
        <v>0</v>
      </c>
      <c r="AE163" s="8" t="b">
        <f>AND('RTF 2'!$AA32&gt;'RTF 2'!$Q32,'RTF 2'!$Q32&gt;'RTF 2'!$AB32)</f>
        <v>0</v>
      </c>
      <c r="AF163" s="8" t="b">
        <f>'RTF 2'!$Q32&lt;'RTF 2'!$AB32</f>
        <v>1</v>
      </c>
    </row>
    <row r="164" spans="1:32" x14ac:dyDescent="0.25">
      <c r="A164" s="819"/>
      <c r="B164" s="819"/>
      <c r="C164" s="819"/>
      <c r="D164" s="819"/>
      <c r="E164" s="819"/>
      <c r="I164" s="49">
        <f>IF('RTF 2'!$D$9=1,'Lookup Tables'!$J164,IF('RTF 2'!$D$9=2,'Lookup Tables'!$K164,IF('RTF 2'!$D$9=3,'Lookup Tables'!$L164,IF('RTF 2'!$D$9=4,'Lookup Tables'!$M164,'Lookup Tables'!$N164))))</f>
        <v>15</v>
      </c>
      <c r="J164">
        <f t="shared" si="35"/>
        <v>20</v>
      </c>
      <c r="K164">
        <f t="shared" si="36"/>
        <v>20</v>
      </c>
      <c r="L164">
        <f>IF('RTF 2'!$D$9=3,'Lookup Tables'!$V$143,0)</f>
        <v>0</v>
      </c>
      <c r="M164">
        <f t="shared" si="37"/>
        <v>40</v>
      </c>
      <c r="N164">
        <f t="shared" si="38"/>
        <v>15</v>
      </c>
      <c r="P164" s="8" t="b">
        <f>'RTF 2'!Q33&gt;'RTF 2'!S33</f>
        <v>0</v>
      </c>
      <c r="Q164" s="8" t="b">
        <f>AND('RTF 2'!S33&gt;='RTF 2'!Q33,'RTF 2'!Q33&gt;'RTF 2'!T33)</f>
        <v>0</v>
      </c>
      <c r="R164" s="35" t="b">
        <f>'RTF 2'!Q33&lt;='RTF 2'!T33</f>
        <v>1</v>
      </c>
      <c r="S164" s="8" t="b">
        <f>'RTF 2'!$Q33&gt;'RTF 2'!$U33</f>
        <v>0</v>
      </c>
      <c r="T164" s="8" t="b">
        <f>AND('RTF 2'!$U33&gt;='RTF 2'!$Q33,'RTF 2'!$Q33&gt;'RTF 2'!$V33)</f>
        <v>0</v>
      </c>
      <c r="U164" s="35" t="b">
        <f>'RTF 2'!$Q33&lt;='RTF 2'!$V33</f>
        <v>1</v>
      </c>
      <c r="V164" s="42"/>
      <c r="W164" s="8" t="b">
        <f>'RTF 2'!$Q33&gt;('RTF 2'!$P33+'RTF 2'!$O33)</f>
        <v>0</v>
      </c>
      <c r="X164" s="8" t="b">
        <f>'RTF 2'!$O33&gt;('RTF 2'!$P33+'RTF 2'!$Q33)</f>
        <v>0</v>
      </c>
      <c r="Y164" s="8" t="b">
        <f>AND(('RTF 2'!$O33+10)&gt;='RTF 2'!$P33,('RTF 2'!$O33-10)&lt;='RTF 2'!$P33,('RTF 2'!$P33+10)&gt;='RTF 2'!$Q33,('RTF 2'!$P33-10)&lt;='RTF 2'!$Q33,('RTF 2'!$O33+10)&gt;='RTF 2'!$Q33,('RTF 2'!$O33-10)&lt;='RTF 2'!$Q33)</f>
        <v>1</v>
      </c>
      <c r="Z164" s="8" t="b">
        <f>AND(('RTF 2'!$O33+10)&gt;='RTF 2'!$P33,('RTF 2'!$O33-10)&lt;='RTF 2'!$P33,OR('RTF 2'!$P33&gt;'RTF 2'!$Y33,'RTF 2'!$O33&gt;'RTF 2'!$Y33))</f>
        <v>0</v>
      </c>
      <c r="AA164" s="11" t="b">
        <f>AND(('RTF 2'!$Q33+10)&gt;='RTF 2'!$P33,('RTF 2'!$Q33-10)&lt;='RTF 2'!$P33,OR('RTF 2'!$P33&gt;'RTF 2'!$Z33,'RTF 2'!$Q33&gt;'RTF 2'!$Z33))</f>
        <v>0</v>
      </c>
      <c r="AB164" s="35" t="b">
        <f t="shared" si="39"/>
        <v>0</v>
      </c>
      <c r="AC164" s="8" t="b">
        <f>'RTF 2'!$Q33&gt;'RTF 2'!$P33</f>
        <v>0</v>
      </c>
      <c r="AD164" s="8" t="b">
        <f>AND('RTF 2'!$P33&gt;='RTF 2'!$Q33,'RTF 2'!$Q33&gt;'RTF 2'!$AA33)</f>
        <v>0</v>
      </c>
      <c r="AE164" s="8" t="b">
        <f>AND('RTF 2'!$AA33&gt;'RTF 2'!$Q33,'RTF 2'!$Q33&gt;'RTF 2'!$AB33)</f>
        <v>0</v>
      </c>
      <c r="AF164" s="8" t="b">
        <f>'RTF 2'!$Q33&lt;'RTF 2'!$AB33</f>
        <v>1</v>
      </c>
    </row>
    <row r="165" spans="1:32" x14ac:dyDescent="0.25">
      <c r="A165" s="819"/>
      <c r="B165" s="819"/>
      <c r="C165" s="819"/>
      <c r="D165" s="819"/>
      <c r="E165" s="819"/>
      <c r="I165" s="49">
        <f>IF('RTF 2'!$D$9=1,'Lookup Tables'!$J165,IF('RTF 2'!$D$9=2,'Lookup Tables'!$K165,IF('RTF 2'!$D$9=3,'Lookup Tables'!$L165,IF('RTF 2'!$D$9=4,'Lookup Tables'!$M165,'Lookup Tables'!$N165))))</f>
        <v>15</v>
      </c>
      <c r="J165">
        <f t="shared" si="35"/>
        <v>20</v>
      </c>
      <c r="K165">
        <f t="shared" si="36"/>
        <v>20</v>
      </c>
      <c r="L165">
        <f>IF('RTF 2'!$D$9=3,'Lookup Tables'!$V$143,0)</f>
        <v>0</v>
      </c>
      <c r="M165">
        <f t="shared" si="37"/>
        <v>40</v>
      </c>
      <c r="N165">
        <f t="shared" si="38"/>
        <v>15</v>
      </c>
      <c r="P165" s="8" t="b">
        <f>'RTF 2'!Q34&gt;'RTF 2'!S34</f>
        <v>0</v>
      </c>
      <c r="Q165" s="8" t="b">
        <f>AND('RTF 2'!S34&gt;='RTF 2'!Q34,'RTF 2'!Q34&gt;'RTF 2'!T34)</f>
        <v>0</v>
      </c>
      <c r="R165" s="35" t="b">
        <f>'RTF 2'!Q34&lt;='RTF 2'!T34</f>
        <v>1</v>
      </c>
      <c r="S165" s="8" t="b">
        <f>'RTF 2'!$Q34&gt;'RTF 2'!$U34</f>
        <v>0</v>
      </c>
      <c r="T165" s="8" t="b">
        <f>AND('RTF 2'!$U34&gt;='RTF 2'!$Q34,'RTF 2'!$Q34&gt;'RTF 2'!$V34)</f>
        <v>0</v>
      </c>
      <c r="U165" s="35" t="b">
        <f>'RTF 2'!$Q34&lt;='RTF 2'!$V34</f>
        <v>1</v>
      </c>
      <c r="V165" s="42"/>
      <c r="W165" s="8" t="b">
        <f>'RTF 2'!$Q34&gt;('RTF 2'!$P34+'RTF 2'!$O34)</f>
        <v>0</v>
      </c>
      <c r="X165" s="8" t="b">
        <f>'RTF 2'!$O34&gt;('RTF 2'!$P34+'RTF 2'!$Q34)</f>
        <v>0</v>
      </c>
      <c r="Y165" s="8" t="b">
        <f>AND(('RTF 2'!$O34+10)&gt;='RTF 2'!$P34,('RTF 2'!$O34-10)&lt;='RTF 2'!$P34,('RTF 2'!$P34+10)&gt;='RTF 2'!$Q34,('RTF 2'!$P34-10)&lt;='RTF 2'!$Q34,('RTF 2'!$O34+10)&gt;='RTF 2'!$Q34,('RTF 2'!$O34-10)&lt;='RTF 2'!$Q34)</f>
        <v>1</v>
      </c>
      <c r="Z165" s="8" t="b">
        <f>AND(('RTF 2'!$O34+10)&gt;='RTF 2'!$P34,('RTF 2'!$O34-10)&lt;='RTF 2'!$P34,OR('RTF 2'!$P34&gt;'RTF 2'!$Y34,'RTF 2'!$O34&gt;'RTF 2'!$Y34))</f>
        <v>0</v>
      </c>
      <c r="AA165" s="11" t="b">
        <f>AND(('RTF 2'!$Q34+10)&gt;='RTF 2'!$P34,('RTF 2'!$Q34-10)&lt;='RTF 2'!$P34,OR('RTF 2'!$P34&gt;'RTF 2'!$Z34,'RTF 2'!$Q34&gt;'RTF 2'!$Z34))</f>
        <v>0</v>
      </c>
      <c r="AB165" s="35" t="b">
        <f t="shared" si="39"/>
        <v>0</v>
      </c>
      <c r="AC165" s="8" t="b">
        <f>'RTF 2'!$Q34&gt;'RTF 2'!$P34</f>
        <v>0</v>
      </c>
      <c r="AD165" s="8" t="b">
        <f>AND('RTF 2'!$P34&gt;='RTF 2'!$Q34,'RTF 2'!$Q34&gt;'RTF 2'!$AA34)</f>
        <v>0</v>
      </c>
      <c r="AE165" s="8" t="b">
        <f>AND('RTF 2'!$AA34&gt;'RTF 2'!$Q34,'RTF 2'!$Q34&gt;'RTF 2'!$AB34)</f>
        <v>0</v>
      </c>
      <c r="AF165" s="8" t="b">
        <f>'RTF 2'!$Q34&lt;'RTF 2'!$AB34</f>
        <v>1</v>
      </c>
    </row>
    <row r="166" spans="1:32" x14ac:dyDescent="0.25">
      <c r="A166" s="26" t="s">
        <v>354</v>
      </c>
      <c r="B166" s="26" t="s">
        <v>355</v>
      </c>
      <c r="I166" s="49">
        <f>IF('RTF 2'!$D$9=1,'Lookup Tables'!$J166,IF('RTF 2'!$D$9=2,'Lookup Tables'!$K166,IF('RTF 2'!$D$9=3,'Lookup Tables'!$L166,IF('RTF 2'!$D$9=4,'Lookup Tables'!$M166,'Lookup Tables'!$N166))))</f>
        <v>15</v>
      </c>
      <c r="J166">
        <f t="shared" si="35"/>
        <v>20</v>
      </c>
      <c r="K166">
        <f t="shared" si="36"/>
        <v>20</v>
      </c>
      <c r="L166">
        <f>IF('RTF 2'!$D$9=3,'Lookup Tables'!$V$143,0)</f>
        <v>0</v>
      </c>
      <c r="M166">
        <f t="shared" si="37"/>
        <v>40</v>
      </c>
      <c r="N166">
        <f t="shared" si="38"/>
        <v>15</v>
      </c>
      <c r="P166" s="8" t="b">
        <f>'RTF 2'!Q35&gt;'RTF 2'!S35</f>
        <v>0</v>
      </c>
      <c r="Q166" s="8" t="b">
        <f>AND('RTF 2'!S35&gt;='RTF 2'!Q35,'RTF 2'!Q35&gt;'RTF 2'!T35)</f>
        <v>0</v>
      </c>
      <c r="R166" s="35" t="b">
        <f>'RTF 2'!Q35&lt;='RTF 2'!T35</f>
        <v>1</v>
      </c>
      <c r="S166" s="8" t="b">
        <f>'RTF 2'!$Q35&gt;'RTF 2'!$U35</f>
        <v>0</v>
      </c>
      <c r="T166" s="8" t="b">
        <f>AND('RTF 2'!$U35&gt;='RTF 2'!$Q35,'RTF 2'!$Q35&gt;'RTF 2'!$V35)</f>
        <v>0</v>
      </c>
      <c r="U166" s="35" t="b">
        <f>'RTF 2'!$Q35&lt;='RTF 2'!$V35</f>
        <v>1</v>
      </c>
      <c r="V166" s="42"/>
      <c r="W166" s="8" t="b">
        <f>'RTF 2'!$Q35&gt;('RTF 2'!$P35+'RTF 2'!$O35)</f>
        <v>0</v>
      </c>
      <c r="X166" s="8" t="b">
        <f>'RTF 2'!$O35&gt;('RTF 2'!$P35+'RTF 2'!$Q35)</f>
        <v>0</v>
      </c>
      <c r="Y166" s="8" t="b">
        <f>AND(('RTF 2'!$O35+10)&gt;='RTF 2'!$P35,('RTF 2'!$O35-10)&lt;='RTF 2'!$P35,('RTF 2'!$P35+10)&gt;='RTF 2'!$Q35,('RTF 2'!$P35-10)&lt;='RTF 2'!$Q35,('RTF 2'!$O35+10)&gt;='RTF 2'!$Q35,('RTF 2'!$O35-10)&lt;='RTF 2'!$Q35)</f>
        <v>1</v>
      </c>
      <c r="Z166" s="8" t="b">
        <f>AND(('RTF 2'!$O35+10)&gt;='RTF 2'!$P35,('RTF 2'!$O35-10)&lt;='RTF 2'!$P35,OR('RTF 2'!$P35&gt;'RTF 2'!$Y35,'RTF 2'!$O35&gt;'RTF 2'!$Y35))</f>
        <v>0</v>
      </c>
      <c r="AA166" s="11" t="b">
        <f>AND(('RTF 2'!$Q35+10)&gt;='RTF 2'!$P35,('RTF 2'!$Q35-10)&lt;='RTF 2'!$P35,OR('RTF 2'!$P35&gt;'RTF 2'!$Z35,'RTF 2'!$Q35&gt;'RTF 2'!$Z35))</f>
        <v>0</v>
      </c>
      <c r="AB166" s="35" t="b">
        <f t="shared" si="39"/>
        <v>0</v>
      </c>
      <c r="AC166" s="8" t="b">
        <f>'RTF 2'!$Q35&gt;'RTF 2'!$P35</f>
        <v>0</v>
      </c>
      <c r="AD166" s="8" t="b">
        <f>AND('RTF 2'!$P35&gt;='RTF 2'!$Q35,'RTF 2'!$Q35&gt;'RTF 2'!$AA35)</f>
        <v>0</v>
      </c>
      <c r="AE166" s="8" t="b">
        <f>AND('RTF 2'!$AA35&gt;'RTF 2'!$Q35,'RTF 2'!$Q35&gt;'RTF 2'!$AB35)</f>
        <v>0</v>
      </c>
      <c r="AF166" s="8" t="b">
        <f>'RTF 2'!$Q35&lt;'RTF 2'!$AB35</f>
        <v>1</v>
      </c>
    </row>
    <row r="167" spans="1:32" x14ac:dyDescent="0.25">
      <c r="A167" s="8">
        <v>1800</v>
      </c>
      <c r="B167" s="8">
        <f>IF('Warrant 4'!$BL$31="No",133,133*(1-'Warrant 4'!$BL$37))</f>
        <v>133</v>
      </c>
      <c r="C167" s="8"/>
      <c r="D167" s="8"/>
      <c r="I167" s="49">
        <f>IF('RTF 2'!$D$9=1,'Lookup Tables'!$J167,IF('RTF 2'!$D$9=2,'Lookup Tables'!$K167,IF('RTF 2'!$D$9=3,'Lookup Tables'!$L167,IF('RTF 2'!$D$9=4,'Lookup Tables'!$M167,'Lookup Tables'!$N167))))</f>
        <v>15</v>
      </c>
      <c r="J167">
        <f t="shared" si="35"/>
        <v>20</v>
      </c>
      <c r="K167">
        <f t="shared" si="36"/>
        <v>20</v>
      </c>
      <c r="L167">
        <f>IF('RTF 2'!$D$9=3,'Lookup Tables'!$V$143,0)</f>
        <v>0</v>
      </c>
      <c r="M167">
        <f t="shared" si="37"/>
        <v>40</v>
      </c>
      <c r="N167">
        <f t="shared" si="38"/>
        <v>15</v>
      </c>
      <c r="P167" s="8" t="b">
        <f>'RTF 2'!Q36&gt;'RTF 2'!S36</f>
        <v>0</v>
      </c>
      <c r="Q167" s="8" t="b">
        <f>AND('RTF 2'!S36&gt;='RTF 2'!Q36,'RTF 2'!Q36&gt;'RTF 2'!T36)</f>
        <v>0</v>
      </c>
      <c r="R167" s="35" t="b">
        <f>'RTF 2'!Q36&lt;='RTF 2'!T36</f>
        <v>1</v>
      </c>
      <c r="S167" s="8" t="b">
        <f>'RTF 2'!$Q36&gt;'RTF 2'!$U36</f>
        <v>0</v>
      </c>
      <c r="T167" s="8" t="b">
        <f>AND('RTF 2'!$U36&gt;='RTF 2'!$Q36,'RTF 2'!$Q36&gt;'RTF 2'!$V36)</f>
        <v>0</v>
      </c>
      <c r="U167" s="35" t="b">
        <f>'RTF 2'!$Q36&lt;='RTF 2'!$V36</f>
        <v>1</v>
      </c>
      <c r="V167" s="42"/>
      <c r="W167" s="8" t="b">
        <f>'RTF 2'!$Q36&gt;('RTF 2'!$P36+'RTF 2'!$O36)</f>
        <v>0</v>
      </c>
      <c r="X167" s="8" t="b">
        <f>'RTF 2'!$O36&gt;('RTF 2'!$P36+'RTF 2'!$Q36)</f>
        <v>0</v>
      </c>
      <c r="Y167" s="8" t="b">
        <f>AND(('RTF 2'!$O36+10)&gt;='RTF 2'!$P36,('RTF 2'!$O36-10)&lt;='RTF 2'!$P36,('RTF 2'!$P36+10)&gt;='RTF 2'!$Q36,('RTF 2'!$P36-10)&lt;='RTF 2'!$Q36,('RTF 2'!$O36+10)&gt;='RTF 2'!$Q36,('RTF 2'!$O36-10)&lt;='RTF 2'!$Q36)</f>
        <v>1</v>
      </c>
      <c r="Z167" s="8" t="b">
        <f>AND(('RTF 2'!$O36+10)&gt;='RTF 2'!$P36,('RTF 2'!$O36-10)&lt;='RTF 2'!$P36,OR('RTF 2'!$P36&gt;'RTF 2'!$Y36,'RTF 2'!$O36&gt;'RTF 2'!$Y36))</f>
        <v>0</v>
      </c>
      <c r="AA167" s="11" t="b">
        <f>AND(('RTF 2'!$Q36+10)&gt;='RTF 2'!$P36,('RTF 2'!$Q36-10)&lt;='RTF 2'!$P36,OR('RTF 2'!$P36&gt;'RTF 2'!$Z36,'RTF 2'!$Q36&gt;'RTF 2'!$Z36))</f>
        <v>0</v>
      </c>
      <c r="AB167" s="35" t="b">
        <f t="shared" si="39"/>
        <v>0</v>
      </c>
      <c r="AC167" s="8" t="b">
        <f>'RTF 2'!$Q36&gt;'RTF 2'!$P36</f>
        <v>0</v>
      </c>
      <c r="AD167" s="8" t="b">
        <f>AND('RTF 2'!$P36&gt;='RTF 2'!$Q36,'RTF 2'!$Q36&gt;'RTF 2'!$AA36)</f>
        <v>0</v>
      </c>
      <c r="AE167" s="8" t="b">
        <f>AND('RTF 2'!$AA36&gt;'RTF 2'!$Q36,'RTF 2'!$Q36&gt;'RTF 2'!$AB36)</f>
        <v>0</v>
      </c>
      <c r="AF167" s="8" t="b">
        <f>'RTF 2'!$Q36&lt;'RTF 2'!$AB36</f>
        <v>1</v>
      </c>
    </row>
    <row r="168" spans="1:32" x14ac:dyDescent="0.25">
      <c r="A168" s="8">
        <v>1700</v>
      </c>
      <c r="B168" s="8">
        <f>IF('Warrant 4'!$BL$31="No",133,133*(1-'Warrant 4'!$BL$37))</f>
        <v>133</v>
      </c>
      <c r="C168" s="8"/>
      <c r="D168" s="8"/>
      <c r="I168" s="49">
        <f>IF('RTF 2'!$D$9=1,'Lookup Tables'!$J168,IF('RTF 2'!$D$9=2,'Lookup Tables'!$K168,IF('RTF 2'!$D$9=3,'Lookup Tables'!$L168,IF('RTF 2'!$D$9=4,'Lookup Tables'!$M168,'Lookup Tables'!$N168))))</f>
        <v>15</v>
      </c>
      <c r="J168">
        <f t="shared" si="35"/>
        <v>20</v>
      </c>
      <c r="K168">
        <f t="shared" si="36"/>
        <v>20</v>
      </c>
      <c r="L168">
        <f>IF('RTF 2'!$D$9=3,'Lookup Tables'!$V$143,0)</f>
        <v>0</v>
      </c>
      <c r="M168">
        <f t="shared" si="37"/>
        <v>40</v>
      </c>
      <c r="N168">
        <f t="shared" si="38"/>
        <v>15</v>
      </c>
      <c r="P168" s="8" t="b">
        <f>'RTF 2'!Q37&gt;'RTF 2'!S37</f>
        <v>0</v>
      </c>
      <c r="Q168" s="8" t="b">
        <f>AND('RTF 2'!S37&gt;='RTF 2'!Q37,'RTF 2'!Q37&gt;'RTF 2'!T37)</f>
        <v>0</v>
      </c>
      <c r="R168" s="35" t="b">
        <f>'RTF 2'!Q37&lt;='RTF 2'!T37</f>
        <v>1</v>
      </c>
      <c r="S168" s="8" t="b">
        <f>'RTF 2'!$Q37&gt;'RTF 2'!$U37</f>
        <v>0</v>
      </c>
      <c r="T168" s="8" t="b">
        <f>AND('RTF 2'!$U37&gt;='RTF 2'!$Q37,'RTF 2'!$Q37&gt;'RTF 2'!$V37)</f>
        <v>0</v>
      </c>
      <c r="U168" s="35" t="b">
        <f>'RTF 2'!$Q37&lt;='RTF 2'!$V37</f>
        <v>1</v>
      </c>
      <c r="V168" s="42"/>
      <c r="W168" s="8" t="b">
        <f>'RTF 2'!$Q37&gt;('RTF 2'!$P37+'RTF 2'!$O37)</f>
        <v>0</v>
      </c>
      <c r="X168" s="8" t="b">
        <f>'RTF 2'!$O37&gt;('RTF 2'!$P37+'RTF 2'!$Q37)</f>
        <v>0</v>
      </c>
      <c r="Y168" s="8" t="b">
        <f>AND(('RTF 2'!$O37+10)&gt;='RTF 2'!$P37,('RTF 2'!$O37-10)&lt;='RTF 2'!$P37,('RTF 2'!$P37+10)&gt;='RTF 2'!$Q37,('RTF 2'!$P37-10)&lt;='RTF 2'!$Q37,('RTF 2'!$O37+10)&gt;='RTF 2'!$Q37,('RTF 2'!$O37-10)&lt;='RTF 2'!$Q37)</f>
        <v>1</v>
      </c>
      <c r="Z168" s="8" t="b">
        <f>AND(('RTF 2'!$O37+10)&gt;='RTF 2'!$P37,('RTF 2'!$O37-10)&lt;='RTF 2'!$P37,OR('RTF 2'!$P37&gt;'RTF 2'!$Y37,'RTF 2'!$O37&gt;'RTF 2'!$Y37))</f>
        <v>0</v>
      </c>
      <c r="AA168" s="11" t="b">
        <f>AND(('RTF 2'!$Q37+10)&gt;='RTF 2'!$P37,('RTF 2'!$Q37-10)&lt;='RTF 2'!$P37,OR('RTF 2'!$P37&gt;'RTF 2'!$Z37,'RTF 2'!$Q37&gt;'RTF 2'!$Z37))</f>
        <v>0</v>
      </c>
      <c r="AB168" s="35" t="b">
        <f t="shared" si="39"/>
        <v>0</v>
      </c>
      <c r="AC168" s="8" t="b">
        <f>'RTF 2'!$Q37&gt;'RTF 2'!$P37</f>
        <v>0</v>
      </c>
      <c r="AD168" s="8" t="b">
        <f>AND('RTF 2'!$P37&gt;='RTF 2'!$Q37,'RTF 2'!$Q37&gt;'RTF 2'!$AA37)</f>
        <v>0</v>
      </c>
      <c r="AE168" s="8" t="b">
        <f>AND('RTF 2'!$AA37&gt;'RTF 2'!$Q37,'RTF 2'!$Q37&gt;'RTF 2'!$AB37)</f>
        <v>0</v>
      </c>
      <c r="AF168" s="8" t="b">
        <f>'RTF 2'!$Q37&lt;'RTF 2'!$AB37</f>
        <v>1</v>
      </c>
    </row>
    <row r="169" spans="1:32" x14ac:dyDescent="0.25">
      <c r="A169" s="8">
        <v>1600</v>
      </c>
      <c r="B169" s="8">
        <f>IF('Warrant 4'!$BL$31="No",133,133*(1-'Warrant 4'!$BL$37))</f>
        <v>133</v>
      </c>
      <c r="C169" s="8"/>
      <c r="D169" s="8"/>
      <c r="I169" s="49">
        <f>IF('RTF 2'!$D$9=1,'Lookup Tables'!$J169,IF('RTF 2'!$D$9=2,'Lookup Tables'!$K169,IF('RTF 2'!$D$9=3,'Lookup Tables'!$L169,IF('RTF 2'!$D$9=4,'Lookup Tables'!$M169,'Lookup Tables'!$N169))))</f>
        <v>15</v>
      </c>
      <c r="J169">
        <f t="shared" si="35"/>
        <v>20</v>
      </c>
      <c r="K169">
        <f t="shared" si="36"/>
        <v>20</v>
      </c>
      <c r="L169">
        <f>IF('RTF 2'!$D$9=3,'Lookup Tables'!$V$143,0)</f>
        <v>0</v>
      </c>
      <c r="M169">
        <f t="shared" si="37"/>
        <v>40</v>
      </c>
      <c r="N169">
        <f t="shared" si="38"/>
        <v>15</v>
      </c>
      <c r="P169" s="8" t="b">
        <f>'RTF 2'!Q38&gt;'RTF 2'!S38</f>
        <v>0</v>
      </c>
      <c r="Q169" s="8" t="b">
        <f>AND('RTF 2'!S38&gt;='RTF 2'!Q38,'RTF 2'!Q38&gt;'RTF 2'!T38)</f>
        <v>0</v>
      </c>
      <c r="R169" s="35" t="b">
        <f>'RTF 2'!Q38&lt;='RTF 2'!T38</f>
        <v>1</v>
      </c>
      <c r="S169" s="8" t="b">
        <f>'RTF 2'!$Q38&gt;'RTF 2'!$U38</f>
        <v>0</v>
      </c>
      <c r="T169" s="8" t="b">
        <f>AND('RTF 2'!$U38&gt;='RTF 2'!$Q38,'RTF 2'!$Q38&gt;'RTF 2'!$V38)</f>
        <v>0</v>
      </c>
      <c r="U169" s="35" t="b">
        <f>'RTF 2'!$Q38&lt;='RTF 2'!$V38</f>
        <v>1</v>
      </c>
      <c r="V169" s="42"/>
      <c r="W169" s="8" t="b">
        <f>'RTF 2'!$Q38&gt;('RTF 2'!$P38+'RTF 2'!$O38)</f>
        <v>0</v>
      </c>
      <c r="X169" s="8" t="b">
        <f>'RTF 2'!$O38&gt;('RTF 2'!$P38+'RTF 2'!$Q38)</f>
        <v>0</v>
      </c>
      <c r="Y169" s="8" t="b">
        <f>AND(('RTF 2'!$O38+10)&gt;='RTF 2'!$P38,('RTF 2'!$O38-10)&lt;='RTF 2'!$P38,('RTF 2'!$P38+10)&gt;='RTF 2'!$Q38,('RTF 2'!$P38-10)&lt;='RTF 2'!$Q38,('RTF 2'!$O38+10)&gt;='RTF 2'!$Q38,('RTF 2'!$O38-10)&lt;='RTF 2'!$Q38)</f>
        <v>1</v>
      </c>
      <c r="Z169" s="8" t="b">
        <f>AND(('RTF 2'!$O38+10)&gt;='RTF 2'!$P38,('RTF 2'!$O38-10)&lt;='RTF 2'!$P38,OR('RTF 2'!$P38&gt;'RTF 2'!$Y38,'RTF 2'!$O38&gt;'RTF 2'!$Y38))</f>
        <v>0</v>
      </c>
      <c r="AA169" s="11" t="b">
        <f>AND(('RTF 2'!$Q38+10)&gt;='RTF 2'!$P38,('RTF 2'!$Q38-10)&lt;='RTF 2'!$P38,OR('RTF 2'!$P38&gt;'RTF 2'!$Z38,'RTF 2'!$Q38&gt;'RTF 2'!$Z38))</f>
        <v>0</v>
      </c>
      <c r="AB169" s="35" t="b">
        <f t="shared" si="39"/>
        <v>0</v>
      </c>
      <c r="AC169" s="8" t="b">
        <f>'RTF 2'!$Q38&gt;'RTF 2'!$P38</f>
        <v>0</v>
      </c>
      <c r="AD169" s="8" t="b">
        <f>AND('RTF 2'!$P38&gt;='RTF 2'!$Q38,'RTF 2'!$Q38&gt;'RTF 2'!$AA38)</f>
        <v>0</v>
      </c>
      <c r="AE169" s="8" t="b">
        <f>AND('RTF 2'!$AA38&gt;'RTF 2'!$Q38,'RTF 2'!$Q38&gt;'RTF 2'!$AB38)</f>
        <v>0</v>
      </c>
      <c r="AF169" s="8" t="b">
        <f>'RTF 2'!$Q38&lt;'RTF 2'!$AB38</f>
        <v>1</v>
      </c>
    </row>
    <row r="170" spans="1:32" x14ac:dyDescent="0.25">
      <c r="A170" s="8">
        <v>1500</v>
      </c>
      <c r="B170" s="8">
        <f>IF('Warrant 4'!$BL$31="No",133,133*(1-'Warrant 4'!$BL$37))</f>
        <v>133</v>
      </c>
      <c r="C170" s="8"/>
      <c r="D170" s="8"/>
      <c r="I170" s="49">
        <f>IF('RTF 2'!$D$9=1,'Lookup Tables'!$J170,IF('RTF 2'!$D$9=2,'Lookup Tables'!$K170,IF('RTF 2'!$D$9=3,'Lookup Tables'!$L170,IF('RTF 2'!$D$9=4,'Lookup Tables'!$M170,'Lookup Tables'!$N170))))</f>
        <v>15</v>
      </c>
      <c r="J170">
        <f t="shared" si="35"/>
        <v>20</v>
      </c>
      <c r="K170">
        <f t="shared" si="36"/>
        <v>20</v>
      </c>
      <c r="L170">
        <f>IF('RTF 2'!$D$9=3,'Lookup Tables'!$V$143,0)</f>
        <v>0</v>
      </c>
      <c r="M170">
        <f t="shared" si="37"/>
        <v>40</v>
      </c>
      <c r="N170">
        <f t="shared" si="38"/>
        <v>15</v>
      </c>
      <c r="P170" s="8" t="b">
        <f>'RTF 2'!Q39&gt;'RTF 2'!S39</f>
        <v>0</v>
      </c>
      <c r="Q170" s="8" t="b">
        <f>AND('RTF 2'!S39&gt;='RTF 2'!Q39,'RTF 2'!Q39&gt;'RTF 2'!T39)</f>
        <v>0</v>
      </c>
      <c r="R170" s="35" t="b">
        <f>'RTF 2'!Q39&lt;='RTF 2'!T39</f>
        <v>1</v>
      </c>
      <c r="S170" s="8" t="b">
        <f>'RTF 2'!$Q39&gt;'RTF 2'!$U39</f>
        <v>0</v>
      </c>
      <c r="T170" s="8" t="b">
        <f>AND('RTF 2'!$U39&gt;='RTF 2'!$Q39,'RTF 2'!$Q39&gt;'RTF 2'!$V39)</f>
        <v>0</v>
      </c>
      <c r="U170" s="35" t="b">
        <f>'RTF 2'!$Q39&lt;='RTF 2'!$V39</f>
        <v>1</v>
      </c>
      <c r="V170" s="42"/>
      <c r="W170" s="8" t="b">
        <f>'RTF 2'!$Q39&gt;('RTF 2'!$P39+'RTF 2'!$O39)</f>
        <v>0</v>
      </c>
      <c r="X170" s="8" t="b">
        <f>'RTF 2'!$O39&gt;('RTF 2'!$P39+'RTF 2'!$Q39)</f>
        <v>0</v>
      </c>
      <c r="Y170" s="8" t="b">
        <f>AND(('RTF 2'!$O39+10)&gt;='RTF 2'!$P39,('RTF 2'!$O39-10)&lt;='RTF 2'!$P39,('RTF 2'!$P39+10)&gt;='RTF 2'!$Q39,('RTF 2'!$P39-10)&lt;='RTF 2'!$Q39,('RTF 2'!$O39+10)&gt;='RTF 2'!$Q39,('RTF 2'!$O39-10)&lt;='RTF 2'!$Q39)</f>
        <v>1</v>
      </c>
      <c r="Z170" s="8" t="b">
        <f>AND(('RTF 2'!$O39+10)&gt;='RTF 2'!$P39,('RTF 2'!$O39-10)&lt;='RTF 2'!$P39,OR('RTF 2'!$P39&gt;'RTF 2'!$Y39,'RTF 2'!$O39&gt;'RTF 2'!$Y39))</f>
        <v>0</v>
      </c>
      <c r="AA170" s="11" t="b">
        <f>AND(('RTF 2'!$Q39+10)&gt;='RTF 2'!$P39,('RTF 2'!$Q39-10)&lt;='RTF 2'!$P39,OR('RTF 2'!$P39&gt;'RTF 2'!$Z39,'RTF 2'!$Q39&gt;'RTF 2'!$Z39))</f>
        <v>0</v>
      </c>
      <c r="AB170" s="35" t="b">
        <f t="shared" si="39"/>
        <v>0</v>
      </c>
      <c r="AC170" s="8" t="b">
        <f>'RTF 2'!$Q39&gt;'RTF 2'!$P39</f>
        <v>0</v>
      </c>
      <c r="AD170" s="8" t="b">
        <f>AND('RTF 2'!$P39&gt;='RTF 2'!$Q39,'RTF 2'!$Q39&gt;'RTF 2'!$AA39)</f>
        <v>0</v>
      </c>
      <c r="AE170" s="8" t="b">
        <f>AND('RTF 2'!$AA39&gt;'RTF 2'!$Q39,'RTF 2'!$Q39&gt;'RTF 2'!$AB39)</f>
        <v>0</v>
      </c>
      <c r="AF170" s="8" t="b">
        <f>'RTF 2'!$Q39&lt;'RTF 2'!$AB39</f>
        <v>1</v>
      </c>
    </row>
    <row r="171" spans="1:32" x14ac:dyDescent="0.25">
      <c r="A171" s="8">
        <v>1400</v>
      </c>
      <c r="B171" s="395">
        <f>1005.61-1.0188*A171+0.0002889*A171^2</f>
        <v>145.53399999999999</v>
      </c>
      <c r="C171" s="8"/>
      <c r="D171" s="8"/>
      <c r="I171" s="49">
        <f>IF('RTF 2'!$D$9=1,'Lookup Tables'!$J171,IF('RTF 2'!$D$9=2,'Lookup Tables'!$K171,IF('RTF 2'!$D$9=3,'Lookup Tables'!$L171,IF('RTF 2'!$D$9=4,'Lookup Tables'!$M171,'Lookup Tables'!$N171))))</f>
        <v>15</v>
      </c>
      <c r="J171">
        <f t="shared" si="35"/>
        <v>20</v>
      </c>
      <c r="K171">
        <f t="shared" si="36"/>
        <v>20</v>
      </c>
      <c r="L171">
        <f>IF('RTF 2'!$D$9=3,'Lookup Tables'!$V$143,0)</f>
        <v>0</v>
      </c>
      <c r="M171">
        <f t="shared" si="37"/>
        <v>40</v>
      </c>
      <c r="N171">
        <f t="shared" si="38"/>
        <v>15</v>
      </c>
      <c r="P171" s="8" t="b">
        <f>'RTF 2'!Q40&gt;'RTF 2'!S40</f>
        <v>0</v>
      </c>
      <c r="Q171" s="8" t="b">
        <f>AND('RTF 2'!S40&gt;='RTF 2'!Q40,'RTF 2'!Q40&gt;'RTF 2'!T40)</f>
        <v>0</v>
      </c>
      <c r="R171" s="35" t="b">
        <f>'RTF 2'!Q40&lt;='RTF 2'!T40</f>
        <v>1</v>
      </c>
      <c r="S171" s="8" t="b">
        <f>'RTF 2'!$Q40&gt;'RTF 2'!$U40</f>
        <v>0</v>
      </c>
      <c r="T171" s="8" t="b">
        <f>AND('RTF 2'!$U40&gt;='RTF 2'!$Q40,'RTF 2'!$Q40&gt;'RTF 2'!$V40)</f>
        <v>0</v>
      </c>
      <c r="U171" s="35" t="b">
        <f>'RTF 2'!$Q40&lt;='RTF 2'!$V40</f>
        <v>1</v>
      </c>
      <c r="V171" s="42"/>
      <c r="W171" s="8" t="b">
        <f>'RTF 2'!$Q40&gt;('RTF 2'!$P40+'RTF 2'!$O40)</f>
        <v>0</v>
      </c>
      <c r="X171" s="8" t="b">
        <f>'RTF 2'!$O40&gt;('RTF 2'!$P40+'RTF 2'!$Q40)</f>
        <v>0</v>
      </c>
      <c r="Y171" s="8" t="b">
        <f>AND(('RTF 2'!$O40+10)&gt;='RTF 2'!$P40,('RTF 2'!$O40-10)&lt;='RTF 2'!$P40,('RTF 2'!$P40+10)&gt;='RTF 2'!$Q40,('RTF 2'!$P40-10)&lt;='RTF 2'!$Q40,('RTF 2'!$O40+10)&gt;='RTF 2'!$Q40,('RTF 2'!$O40-10)&lt;='RTF 2'!$Q40)</f>
        <v>1</v>
      </c>
      <c r="Z171" s="8" t="b">
        <f>AND(('RTF 2'!$O40+10)&gt;='RTF 2'!$P40,('RTF 2'!$O40-10)&lt;='RTF 2'!$P40,OR('RTF 2'!$P40&gt;'RTF 2'!$Y40,'RTF 2'!$O40&gt;'RTF 2'!$Y40))</f>
        <v>0</v>
      </c>
      <c r="AA171" s="11" t="b">
        <f>AND(('RTF 2'!$Q40+10)&gt;='RTF 2'!$P40,('RTF 2'!$Q40-10)&lt;='RTF 2'!$P40,OR('RTF 2'!$P40&gt;'RTF 2'!$Z40,'RTF 2'!$Q40&gt;'RTF 2'!$Z40))</f>
        <v>0</v>
      </c>
      <c r="AB171" s="35" t="b">
        <f t="shared" si="39"/>
        <v>0</v>
      </c>
      <c r="AC171" s="8" t="b">
        <f>'RTF 2'!$Q40&gt;'RTF 2'!$P40</f>
        <v>0</v>
      </c>
      <c r="AD171" s="8" t="b">
        <f>AND('RTF 2'!$P40&gt;='RTF 2'!$Q40,'RTF 2'!$Q40&gt;'RTF 2'!$AA40)</f>
        <v>0</v>
      </c>
      <c r="AE171" s="8" t="b">
        <f>AND('RTF 2'!$AA40&gt;'RTF 2'!$Q40,'RTF 2'!$Q40&gt;'RTF 2'!$AB40)</f>
        <v>0</v>
      </c>
      <c r="AF171" s="8" t="b">
        <f>'RTF 2'!$Q40&lt;'RTF 2'!$AB40</f>
        <v>1</v>
      </c>
    </row>
    <row r="172" spans="1:32" x14ac:dyDescent="0.25">
      <c r="A172" s="8">
        <v>1300</v>
      </c>
      <c r="B172" s="395">
        <f t="shared" ref="B172:B181" si="41">1005.61-1.0188*A172+0.0002889*A172^2</f>
        <v>169.41100000000017</v>
      </c>
      <c r="C172" s="8"/>
      <c r="D172" s="8"/>
      <c r="I172" s="49">
        <f>IF('RTF 2'!$D$9=1,'Lookup Tables'!$J172,IF('RTF 2'!$D$9=2,'Lookup Tables'!$K172,IF('RTF 2'!$D$9=3,'Lookup Tables'!$L172,IF('RTF 2'!$D$9=4,'Lookup Tables'!$M172,'Lookup Tables'!$N172))))</f>
        <v>15</v>
      </c>
      <c r="J172">
        <f t="shared" si="35"/>
        <v>20</v>
      </c>
      <c r="K172">
        <f t="shared" si="36"/>
        <v>20</v>
      </c>
      <c r="L172">
        <f>IF('RTF 2'!$D$9=3,'Lookup Tables'!$V$143,0)</f>
        <v>0</v>
      </c>
      <c r="M172">
        <f t="shared" si="37"/>
        <v>40</v>
      </c>
      <c r="N172">
        <f t="shared" si="38"/>
        <v>15</v>
      </c>
      <c r="P172" s="8" t="b">
        <f>'RTF 2'!Q41&gt;'RTF 2'!S41</f>
        <v>0</v>
      </c>
      <c r="Q172" s="8" t="b">
        <f>AND('RTF 2'!S41&gt;='RTF 2'!Q41,'RTF 2'!Q41&gt;'RTF 2'!T41)</f>
        <v>0</v>
      </c>
      <c r="R172" s="35" t="b">
        <f>'RTF 2'!Q41&lt;='RTF 2'!T41</f>
        <v>1</v>
      </c>
      <c r="S172" s="8" t="b">
        <f>'RTF 2'!$Q41&gt;'RTF 2'!$U41</f>
        <v>0</v>
      </c>
      <c r="T172" s="8" t="b">
        <f>AND('RTF 2'!$U41&gt;='RTF 2'!$Q41,'RTF 2'!$Q41&gt;'RTF 2'!$V41)</f>
        <v>0</v>
      </c>
      <c r="U172" s="35" t="b">
        <f>'RTF 2'!$Q41&lt;='RTF 2'!$V41</f>
        <v>1</v>
      </c>
      <c r="V172" s="42"/>
      <c r="W172" s="8" t="b">
        <f>'RTF 2'!$Q41&gt;('RTF 2'!$P41+'RTF 2'!$O41)</f>
        <v>0</v>
      </c>
      <c r="X172" s="8" t="b">
        <f>'RTF 2'!$O41&gt;('RTF 2'!$P41+'RTF 2'!$Q41)</f>
        <v>0</v>
      </c>
      <c r="Y172" s="8" t="b">
        <f>AND(('RTF 2'!$O41+10)&gt;='RTF 2'!$P41,('RTF 2'!$O41-10)&lt;='RTF 2'!$P41,('RTF 2'!$P41+10)&gt;='RTF 2'!$Q41,('RTF 2'!$P41-10)&lt;='RTF 2'!$Q41,('RTF 2'!$O41+10)&gt;='RTF 2'!$Q41,('RTF 2'!$O41-10)&lt;='RTF 2'!$Q41)</f>
        <v>1</v>
      </c>
      <c r="Z172" s="8" t="b">
        <f>AND(('RTF 2'!$O41+10)&gt;='RTF 2'!$P41,('RTF 2'!$O41-10)&lt;='RTF 2'!$P41,OR('RTF 2'!$P41&gt;'RTF 2'!$Y41,'RTF 2'!$O41&gt;'RTF 2'!$Y41))</f>
        <v>0</v>
      </c>
      <c r="AA172" s="11" t="b">
        <f>AND(('RTF 2'!$Q41+10)&gt;='RTF 2'!$P41,('RTF 2'!$Q41-10)&lt;='RTF 2'!$P41,OR('RTF 2'!$P41&gt;'RTF 2'!$Z41,'RTF 2'!$Q41&gt;'RTF 2'!$Z41))</f>
        <v>0</v>
      </c>
      <c r="AB172" s="35" t="b">
        <f t="shared" si="39"/>
        <v>0</v>
      </c>
      <c r="AC172" s="8" t="b">
        <f>'RTF 2'!$Q41&gt;'RTF 2'!$P41</f>
        <v>0</v>
      </c>
      <c r="AD172" s="8" t="b">
        <f>AND('RTF 2'!$P41&gt;='RTF 2'!$Q41,'RTF 2'!$Q41&gt;'RTF 2'!$AA41)</f>
        <v>0</v>
      </c>
      <c r="AE172" s="8" t="b">
        <f>AND('RTF 2'!$AA41&gt;'RTF 2'!$Q41,'RTF 2'!$Q41&gt;'RTF 2'!$AB41)</f>
        <v>0</v>
      </c>
      <c r="AF172" s="8" t="b">
        <f>'RTF 2'!$Q41&lt;'RTF 2'!$AB41</f>
        <v>1</v>
      </c>
    </row>
    <row r="173" spans="1:32" x14ac:dyDescent="0.25">
      <c r="A173" s="8">
        <v>1200</v>
      </c>
      <c r="B173" s="395">
        <f t="shared" si="41"/>
        <v>199.06600000000003</v>
      </c>
      <c r="C173" s="8"/>
      <c r="D173" s="8"/>
      <c r="I173" s="49">
        <f>IF('RTF 2'!$D$9=1,'Lookup Tables'!$J173,IF('RTF 2'!$D$9=2,'Lookup Tables'!$K173,IF('RTF 2'!$D$9=3,'Lookup Tables'!$L173,IF('RTF 2'!$D$9=4,'Lookup Tables'!$M173,'Lookup Tables'!$N173))))</f>
        <v>15</v>
      </c>
      <c r="J173">
        <f t="shared" si="35"/>
        <v>20</v>
      </c>
      <c r="K173">
        <f t="shared" si="36"/>
        <v>20</v>
      </c>
      <c r="L173">
        <f>IF('RTF 2'!$D$9=3,'Lookup Tables'!$V$143,0)</f>
        <v>0</v>
      </c>
      <c r="M173">
        <f t="shared" si="37"/>
        <v>40</v>
      </c>
      <c r="N173">
        <f t="shared" si="38"/>
        <v>15</v>
      </c>
      <c r="P173" s="8" t="b">
        <f>'RTF 2'!Q42&gt;'RTF 2'!S42</f>
        <v>0</v>
      </c>
      <c r="Q173" s="8" t="b">
        <f>AND('RTF 2'!S42&gt;='RTF 2'!Q42,'RTF 2'!Q42&gt;'RTF 2'!T42)</f>
        <v>0</v>
      </c>
      <c r="R173" s="35" t="b">
        <f>'RTF 2'!Q42&lt;='RTF 2'!T42</f>
        <v>1</v>
      </c>
      <c r="S173" s="8" t="b">
        <f>'RTF 2'!$Q42&gt;'RTF 2'!$U42</f>
        <v>0</v>
      </c>
      <c r="T173" s="8" t="b">
        <f>AND('RTF 2'!$U42&gt;='RTF 2'!$Q42,'RTF 2'!$Q42&gt;'RTF 2'!$V42)</f>
        <v>0</v>
      </c>
      <c r="U173" s="35" t="b">
        <f>'RTF 2'!$Q42&lt;='RTF 2'!$V42</f>
        <v>1</v>
      </c>
      <c r="V173" s="42"/>
      <c r="W173" s="8" t="b">
        <f>'RTF 2'!$Q42&gt;('RTF 2'!$P42+'RTF 2'!$O42)</f>
        <v>0</v>
      </c>
      <c r="X173" s="8" t="b">
        <f>'RTF 2'!$O42&gt;('RTF 2'!$P42+'RTF 2'!$Q42)</f>
        <v>0</v>
      </c>
      <c r="Y173" s="8" t="b">
        <f>AND(('RTF 2'!$O42+10)&gt;='RTF 2'!$P42,('RTF 2'!$O42-10)&lt;='RTF 2'!$P42,('RTF 2'!$P42+10)&gt;='RTF 2'!$Q42,('RTF 2'!$P42-10)&lt;='RTF 2'!$Q42,('RTF 2'!$O42+10)&gt;='RTF 2'!$Q42,('RTF 2'!$O42-10)&lt;='RTF 2'!$Q42)</f>
        <v>1</v>
      </c>
      <c r="Z173" s="8" t="b">
        <f>AND(('RTF 2'!$O42+10)&gt;='RTF 2'!$P42,('RTF 2'!$O42-10)&lt;='RTF 2'!$P42,OR('RTF 2'!$P42&gt;'RTF 2'!$Y42,'RTF 2'!$O42&gt;'RTF 2'!$Y42))</f>
        <v>0</v>
      </c>
      <c r="AA173" s="11" t="b">
        <f>AND(('RTF 2'!$Q42+10)&gt;='RTF 2'!$P42,('RTF 2'!$Q42-10)&lt;='RTF 2'!$P42,OR('RTF 2'!$P42&gt;'RTF 2'!$Z42,'RTF 2'!$Q42&gt;'RTF 2'!$Z42))</f>
        <v>0</v>
      </c>
      <c r="AB173" s="35" t="b">
        <f t="shared" si="39"/>
        <v>0</v>
      </c>
      <c r="AC173" s="8" t="b">
        <f>'RTF 2'!$Q42&gt;'RTF 2'!$P42</f>
        <v>0</v>
      </c>
      <c r="AD173" s="8" t="b">
        <f>AND('RTF 2'!$P42&gt;='RTF 2'!$Q42,'RTF 2'!$Q42&gt;'RTF 2'!$AA42)</f>
        <v>0</v>
      </c>
      <c r="AE173" s="8" t="b">
        <f>AND('RTF 2'!$AA42&gt;'RTF 2'!$Q42,'RTF 2'!$Q42&gt;'RTF 2'!$AB42)</f>
        <v>0</v>
      </c>
      <c r="AF173" s="8" t="b">
        <f>'RTF 2'!$Q42&lt;'RTF 2'!$AB42</f>
        <v>1</v>
      </c>
    </row>
    <row r="174" spans="1:32" x14ac:dyDescent="0.25">
      <c r="A174" s="8">
        <v>1100</v>
      </c>
      <c r="B174" s="395">
        <f t="shared" si="41"/>
        <v>234.49900000000014</v>
      </c>
      <c r="C174" s="8"/>
      <c r="D174" s="8"/>
      <c r="I174" s="49">
        <f>IF('RTF 2'!$D$9=1,'Lookup Tables'!$J174,IF('RTF 2'!$D$9=2,'Lookup Tables'!$K174,IF('RTF 2'!$D$9=3,'Lookup Tables'!$L174,IF('RTF 2'!$D$9=4,'Lookup Tables'!$M174,'Lookup Tables'!$N174))))</f>
        <v>15</v>
      </c>
      <c r="J174">
        <f t="shared" si="35"/>
        <v>20</v>
      </c>
      <c r="K174">
        <f t="shared" si="36"/>
        <v>20</v>
      </c>
      <c r="L174">
        <f>IF('RTF 2'!$D$9=3,'Lookup Tables'!$V$143,0)</f>
        <v>0</v>
      </c>
      <c r="M174">
        <f t="shared" si="37"/>
        <v>40</v>
      </c>
      <c r="N174">
        <f t="shared" si="38"/>
        <v>15</v>
      </c>
      <c r="P174" s="8" t="b">
        <f>'RTF 2'!Q43&gt;'RTF 2'!S43</f>
        <v>0</v>
      </c>
      <c r="Q174" s="8" t="b">
        <f>AND('RTF 2'!S43&gt;='RTF 2'!Q43,'RTF 2'!Q43&gt;'RTF 2'!T43)</f>
        <v>0</v>
      </c>
      <c r="R174" s="35" t="b">
        <f>'RTF 2'!Q43&lt;='RTF 2'!T43</f>
        <v>1</v>
      </c>
      <c r="S174" s="8" t="b">
        <f>'RTF 2'!$Q43&gt;'RTF 2'!$U43</f>
        <v>0</v>
      </c>
      <c r="T174" s="8" t="b">
        <f>AND('RTF 2'!$U43&gt;='RTF 2'!$Q43,'RTF 2'!$Q43&gt;'RTF 2'!$V43)</f>
        <v>0</v>
      </c>
      <c r="U174" s="35" t="b">
        <f>'RTF 2'!$Q43&lt;='RTF 2'!$V43</f>
        <v>1</v>
      </c>
      <c r="V174" s="42"/>
      <c r="W174" s="8" t="b">
        <f>'RTF 2'!$Q43&gt;('RTF 2'!$P43+'RTF 2'!$O43)</f>
        <v>0</v>
      </c>
      <c r="X174" s="8" t="b">
        <f>'RTF 2'!$O43&gt;('RTF 2'!$P43+'RTF 2'!$Q43)</f>
        <v>0</v>
      </c>
      <c r="Y174" s="8" t="b">
        <f>AND(('RTF 2'!$O43+10)&gt;='RTF 2'!$P43,('RTF 2'!$O43-10)&lt;='RTF 2'!$P43,('RTF 2'!$P43+10)&gt;='RTF 2'!$Q43,('RTF 2'!$P43-10)&lt;='RTF 2'!$Q43,('RTF 2'!$O43+10)&gt;='RTF 2'!$Q43,('RTF 2'!$O43-10)&lt;='RTF 2'!$Q43)</f>
        <v>1</v>
      </c>
      <c r="Z174" s="8" t="b">
        <f>AND(('RTF 2'!$O43+10)&gt;='RTF 2'!$P43,('RTF 2'!$O43-10)&lt;='RTF 2'!$P43,OR('RTF 2'!$P43&gt;'RTF 2'!$Y43,'RTF 2'!$O43&gt;'RTF 2'!$Y43))</f>
        <v>0</v>
      </c>
      <c r="AA174" s="11" t="b">
        <f>AND(('RTF 2'!$Q43+10)&gt;='RTF 2'!$P43,('RTF 2'!$Q43-10)&lt;='RTF 2'!$P43,OR('RTF 2'!$P43&gt;'RTF 2'!$Z43,'RTF 2'!$Q43&gt;'RTF 2'!$Z43))</f>
        <v>0</v>
      </c>
      <c r="AB174" s="35" t="b">
        <f t="shared" si="39"/>
        <v>0</v>
      </c>
      <c r="AC174" s="8" t="b">
        <f>'RTF 2'!$Q43&gt;'RTF 2'!$P43</f>
        <v>0</v>
      </c>
      <c r="AD174" s="8" t="b">
        <f>AND('RTF 2'!$P43&gt;='RTF 2'!$Q43,'RTF 2'!$Q43&gt;'RTF 2'!$AA43)</f>
        <v>0</v>
      </c>
      <c r="AE174" s="8" t="b">
        <f>AND('RTF 2'!$AA43&gt;'RTF 2'!$Q43,'RTF 2'!$Q43&gt;'RTF 2'!$AB43)</f>
        <v>0</v>
      </c>
      <c r="AF174" s="8" t="b">
        <f>'RTF 2'!$Q43&lt;'RTF 2'!$AB43</f>
        <v>1</v>
      </c>
    </row>
    <row r="175" spans="1:32" x14ac:dyDescent="0.25">
      <c r="A175" s="8">
        <v>1000</v>
      </c>
      <c r="B175" s="395">
        <f t="shared" si="41"/>
        <v>275.71000000000004</v>
      </c>
      <c r="C175" s="8"/>
      <c r="D175" s="8"/>
      <c r="I175" s="49">
        <f>IF('RTF 2'!$D$9=1,'Lookup Tables'!$J175,IF('RTF 2'!$D$9=2,'Lookup Tables'!$K175,IF('RTF 2'!$D$9=3,'Lookup Tables'!$L175,IF('RTF 2'!$D$9=4,'Lookup Tables'!$M175,'Lookup Tables'!$N175))))</f>
        <v>15</v>
      </c>
      <c r="J175">
        <f t="shared" si="35"/>
        <v>20</v>
      </c>
      <c r="K175">
        <f t="shared" si="36"/>
        <v>20</v>
      </c>
      <c r="L175">
        <f>IF('RTF 2'!$D$9=3,'Lookup Tables'!$V$143,0)</f>
        <v>0</v>
      </c>
      <c r="M175">
        <f t="shared" si="37"/>
        <v>40</v>
      </c>
      <c r="N175">
        <f t="shared" si="38"/>
        <v>15</v>
      </c>
      <c r="P175" s="8" t="b">
        <f>'RTF 2'!Q44&gt;'RTF 2'!S44</f>
        <v>0</v>
      </c>
      <c r="Q175" s="8" t="b">
        <f>AND('RTF 2'!S44&gt;='RTF 2'!Q44,'RTF 2'!Q44&gt;'RTF 2'!T44)</f>
        <v>0</v>
      </c>
      <c r="R175" s="35" t="b">
        <f>'RTF 2'!Q44&lt;='RTF 2'!T44</f>
        <v>1</v>
      </c>
      <c r="S175" s="8" t="b">
        <f>'RTF 2'!$Q44&gt;'RTF 2'!$U44</f>
        <v>0</v>
      </c>
      <c r="T175" s="8" t="b">
        <f>AND('RTF 2'!$U44&gt;='RTF 2'!$Q44,'RTF 2'!$Q44&gt;'RTF 2'!$V44)</f>
        <v>0</v>
      </c>
      <c r="U175" s="35" t="b">
        <f>'RTF 2'!$Q44&lt;='RTF 2'!$V44</f>
        <v>1</v>
      </c>
      <c r="V175" s="42"/>
      <c r="W175" s="8" t="b">
        <f>'RTF 2'!$Q44&gt;('RTF 2'!$P44+'RTF 2'!$O44)</f>
        <v>0</v>
      </c>
      <c r="X175" s="8" t="b">
        <f>'RTF 2'!$O44&gt;('RTF 2'!$P44+'RTF 2'!$Q44)</f>
        <v>0</v>
      </c>
      <c r="Y175" s="8" t="b">
        <f>AND(('RTF 2'!$O44+10)&gt;='RTF 2'!$P44,('RTF 2'!$O44-10)&lt;='RTF 2'!$P44,('RTF 2'!$P44+10)&gt;='RTF 2'!$Q44,('RTF 2'!$P44-10)&lt;='RTF 2'!$Q44,('RTF 2'!$O44+10)&gt;='RTF 2'!$Q44,('RTF 2'!$O44-10)&lt;='RTF 2'!$Q44)</f>
        <v>1</v>
      </c>
      <c r="Z175" s="8" t="b">
        <f>AND(('RTF 2'!$O44+10)&gt;='RTF 2'!$P44,('RTF 2'!$O44-10)&lt;='RTF 2'!$P44,OR('RTF 2'!$P44&gt;'RTF 2'!$Y44,'RTF 2'!$O44&gt;'RTF 2'!$Y44))</f>
        <v>0</v>
      </c>
      <c r="AA175" s="11" t="b">
        <f>AND(('RTF 2'!$Q44+10)&gt;='RTF 2'!$P44,('RTF 2'!$Q44-10)&lt;='RTF 2'!$P44,OR('RTF 2'!$P44&gt;'RTF 2'!$Z44,'RTF 2'!$Q44&gt;'RTF 2'!$Z44))</f>
        <v>0</v>
      </c>
      <c r="AB175" s="35" t="b">
        <f t="shared" si="39"/>
        <v>0</v>
      </c>
      <c r="AC175" s="8" t="b">
        <f>'RTF 2'!$Q44&gt;'RTF 2'!$P44</f>
        <v>0</v>
      </c>
      <c r="AD175" s="8" t="b">
        <f>AND('RTF 2'!$P44&gt;='RTF 2'!$Q44,'RTF 2'!$Q44&gt;'RTF 2'!$AA44)</f>
        <v>0</v>
      </c>
      <c r="AE175" s="8" t="b">
        <f>AND('RTF 2'!$AA44&gt;'RTF 2'!$Q44,'RTF 2'!$Q44&gt;'RTF 2'!$AB44)</f>
        <v>0</v>
      </c>
      <c r="AF175" s="8" t="b">
        <f>'RTF 2'!$Q44&lt;'RTF 2'!$AB44</f>
        <v>1</v>
      </c>
    </row>
    <row r="176" spans="1:32" x14ac:dyDescent="0.25">
      <c r="A176" s="8">
        <v>900</v>
      </c>
      <c r="B176" s="395">
        <f t="shared" si="41"/>
        <v>322.69900000000007</v>
      </c>
      <c r="C176" s="8"/>
      <c r="D176" s="8"/>
      <c r="I176" s="49">
        <f>IF('RTF 2'!$D$9=1,'Lookup Tables'!$J176,IF('RTF 2'!$D$9=2,'Lookup Tables'!$K176,IF('RTF 2'!$D$9=3,'Lookup Tables'!$L176,IF('RTF 2'!$D$9=4,'Lookup Tables'!$M176,'Lookup Tables'!$N176))))</f>
        <v>15</v>
      </c>
      <c r="J176">
        <f t="shared" ref="J176:J207" si="42">IF(P176=TRUE,$P$143,IF(Q176=TRUE,$Q$143,$R$143))</f>
        <v>20</v>
      </c>
      <c r="K176">
        <f t="shared" ref="K176:K207" si="43">IF(S176=TRUE,$S$143,IF(T176=TRUE,$T$143,$U$143))</f>
        <v>20</v>
      </c>
      <c r="L176">
        <f>IF('RTF 2'!$D$9=3,'Lookup Tables'!$V$143,0)</f>
        <v>0</v>
      </c>
      <c r="M176">
        <f t="shared" ref="M176:M207" si="44">IF(W176=TRUE,$W$143,IF(X176=TRUE,(IF(S176=TRUE,$S$143,IF(T176=TRUE,$T$143,$U$143))),IF($Y$144=TRUE,$Y$143,IF(Z176=TRUE,$Z$143,IF(AA176=TRUE,$AA$143,$AB$143)))))</f>
        <v>40</v>
      </c>
      <c r="N176">
        <f t="shared" ref="N176:N207" si="45">IF(AC176=TRUE,$AC$143,IF(AD176=TRUE,$AD$143,IF(AE176=TRUE,$AE$143,$AF$143)))</f>
        <v>15</v>
      </c>
      <c r="P176" s="8" t="b">
        <f>'RTF 2'!Q45&gt;'RTF 2'!S45</f>
        <v>0</v>
      </c>
      <c r="Q176" s="8" t="b">
        <f>AND('RTF 2'!S45&gt;='RTF 2'!Q45,'RTF 2'!Q45&gt;'RTF 2'!T45)</f>
        <v>0</v>
      </c>
      <c r="R176" s="35" t="b">
        <f>'RTF 2'!Q45&lt;='RTF 2'!T45</f>
        <v>1</v>
      </c>
      <c r="S176" s="8" t="b">
        <f>'RTF 2'!$Q45&gt;'RTF 2'!$U45</f>
        <v>0</v>
      </c>
      <c r="T176" s="8" t="b">
        <f>AND('RTF 2'!$U45&gt;='RTF 2'!$Q45,'RTF 2'!$Q45&gt;'RTF 2'!$V45)</f>
        <v>0</v>
      </c>
      <c r="U176" s="35" t="b">
        <f>'RTF 2'!$Q45&lt;='RTF 2'!$V45</f>
        <v>1</v>
      </c>
      <c r="V176" s="42"/>
      <c r="W176" s="8" t="b">
        <f>'RTF 2'!$Q45&gt;('RTF 2'!$P45+'RTF 2'!$O45)</f>
        <v>0</v>
      </c>
      <c r="X176" s="8" t="b">
        <f>'RTF 2'!$O45&gt;('RTF 2'!$P45+'RTF 2'!$Q45)</f>
        <v>0</v>
      </c>
      <c r="Y176" s="8" t="b">
        <f>AND(('RTF 2'!$O45+10)&gt;='RTF 2'!$P45,('RTF 2'!$O45-10)&lt;='RTF 2'!$P45,('RTF 2'!$P45+10)&gt;='RTF 2'!$Q45,('RTF 2'!$P45-10)&lt;='RTF 2'!$Q45,('RTF 2'!$O45+10)&gt;='RTF 2'!$Q45,('RTF 2'!$O45-10)&lt;='RTF 2'!$Q45)</f>
        <v>1</v>
      </c>
      <c r="Z176" s="8" t="b">
        <f>AND(('RTF 2'!$O45+10)&gt;='RTF 2'!$P45,('RTF 2'!$O45-10)&lt;='RTF 2'!$P45,OR('RTF 2'!$P45&gt;'RTF 2'!$Y45,'RTF 2'!$O45&gt;'RTF 2'!$Y45))</f>
        <v>0</v>
      </c>
      <c r="AA176" s="11" t="b">
        <f>AND(('RTF 2'!$Q45+10)&gt;='RTF 2'!$P45,('RTF 2'!$Q45-10)&lt;='RTF 2'!$P45,OR('RTF 2'!$P45&gt;'RTF 2'!$Z45,'RTF 2'!$Q45&gt;'RTF 2'!$Z45))</f>
        <v>0</v>
      </c>
      <c r="AB176" s="35" t="b">
        <f t="shared" ref="AB176:AB207" si="46">IF(AND($W176=FALSE,$X176=FALSE,$Y176=FALSE,$Z176=FALSE,$AA176=FALSE),TRUE,FALSE)</f>
        <v>0</v>
      </c>
      <c r="AC176" s="8" t="b">
        <f>'RTF 2'!$Q45&gt;'RTF 2'!$P45</f>
        <v>0</v>
      </c>
      <c r="AD176" s="8" t="b">
        <f>AND('RTF 2'!$P45&gt;='RTF 2'!$Q45,'RTF 2'!$Q45&gt;'RTF 2'!$AA45)</f>
        <v>0</v>
      </c>
      <c r="AE176" s="8" t="b">
        <f>AND('RTF 2'!$AA45&gt;'RTF 2'!$Q45,'RTF 2'!$Q45&gt;'RTF 2'!$AB45)</f>
        <v>0</v>
      </c>
      <c r="AF176" s="8" t="b">
        <f>'RTF 2'!$Q45&lt;'RTF 2'!$AB45</f>
        <v>1</v>
      </c>
    </row>
    <row r="177" spans="1:32" x14ac:dyDescent="0.25">
      <c r="A177" s="8">
        <v>800</v>
      </c>
      <c r="B177" s="395">
        <f t="shared" si="41"/>
        <v>375.46600000000001</v>
      </c>
      <c r="C177" s="8"/>
      <c r="D177" s="8"/>
      <c r="I177" s="49">
        <f>IF('RTF 2'!$D$9=1,'Lookup Tables'!$J177,IF('RTF 2'!$D$9=2,'Lookup Tables'!$K177,IF('RTF 2'!$D$9=3,'Lookup Tables'!$L177,IF('RTF 2'!$D$9=4,'Lookup Tables'!$M177,'Lookup Tables'!$N177))))</f>
        <v>15</v>
      </c>
      <c r="J177">
        <f t="shared" si="42"/>
        <v>20</v>
      </c>
      <c r="K177">
        <f t="shared" si="43"/>
        <v>20</v>
      </c>
      <c r="L177">
        <f>IF('RTF 2'!$D$9=3,'Lookup Tables'!$V$143,0)</f>
        <v>0</v>
      </c>
      <c r="M177">
        <f t="shared" si="44"/>
        <v>40</v>
      </c>
      <c r="N177">
        <f t="shared" si="45"/>
        <v>15</v>
      </c>
      <c r="P177" s="8" t="b">
        <f>'RTF 2'!Q46&gt;'RTF 2'!S46</f>
        <v>0</v>
      </c>
      <c r="Q177" s="8" t="b">
        <f>AND('RTF 2'!S46&gt;='RTF 2'!Q46,'RTF 2'!Q46&gt;'RTF 2'!T46)</f>
        <v>0</v>
      </c>
      <c r="R177" s="35" t="b">
        <f>'RTF 2'!Q46&lt;='RTF 2'!T46</f>
        <v>1</v>
      </c>
      <c r="S177" s="8" t="b">
        <f>'RTF 2'!$Q46&gt;'RTF 2'!$U46</f>
        <v>0</v>
      </c>
      <c r="T177" s="8" t="b">
        <f>AND('RTF 2'!$U46&gt;='RTF 2'!$Q46,'RTF 2'!$Q46&gt;'RTF 2'!$V46)</f>
        <v>0</v>
      </c>
      <c r="U177" s="35" t="b">
        <f>'RTF 2'!$Q46&lt;='RTF 2'!$V46</f>
        <v>1</v>
      </c>
      <c r="V177" s="42"/>
      <c r="W177" s="8" t="b">
        <f>'RTF 2'!$Q46&gt;('RTF 2'!$P46+'RTF 2'!$O46)</f>
        <v>0</v>
      </c>
      <c r="X177" s="8" t="b">
        <f>'RTF 2'!$O46&gt;('RTF 2'!$P46+'RTF 2'!$Q46)</f>
        <v>0</v>
      </c>
      <c r="Y177" s="8" t="b">
        <f>AND(('RTF 2'!$O46+10)&gt;='RTF 2'!$P46,('RTF 2'!$O46-10)&lt;='RTF 2'!$P46,('RTF 2'!$P46+10)&gt;='RTF 2'!$Q46,('RTF 2'!$P46-10)&lt;='RTF 2'!$Q46,('RTF 2'!$O46+10)&gt;='RTF 2'!$Q46,('RTF 2'!$O46-10)&lt;='RTF 2'!$Q46)</f>
        <v>1</v>
      </c>
      <c r="Z177" s="8" t="b">
        <f>AND(('RTF 2'!$O46+10)&gt;='RTF 2'!$P46,('RTF 2'!$O46-10)&lt;='RTF 2'!$P46,OR('RTF 2'!$P46&gt;'RTF 2'!$Y46,'RTF 2'!$O46&gt;'RTF 2'!$Y46))</f>
        <v>0</v>
      </c>
      <c r="AA177" s="11" t="b">
        <f>AND(('RTF 2'!$Q46+10)&gt;='RTF 2'!$P46,('RTF 2'!$Q46-10)&lt;='RTF 2'!$P46,OR('RTF 2'!$P46&gt;'RTF 2'!$Z46,'RTF 2'!$Q46&gt;'RTF 2'!$Z46))</f>
        <v>0</v>
      </c>
      <c r="AB177" s="35" t="b">
        <f t="shared" si="46"/>
        <v>0</v>
      </c>
      <c r="AC177" s="8" t="b">
        <f>'RTF 2'!$Q46&gt;'RTF 2'!$P46</f>
        <v>0</v>
      </c>
      <c r="AD177" s="8" t="b">
        <f>AND('RTF 2'!$P46&gt;='RTF 2'!$Q46,'RTF 2'!$Q46&gt;'RTF 2'!$AA46)</f>
        <v>0</v>
      </c>
      <c r="AE177" s="8" t="b">
        <f>AND('RTF 2'!$AA46&gt;'RTF 2'!$Q46,'RTF 2'!$Q46&gt;'RTF 2'!$AB46)</f>
        <v>0</v>
      </c>
      <c r="AF177" s="8" t="b">
        <f>'RTF 2'!$Q46&lt;'RTF 2'!$AB46</f>
        <v>1</v>
      </c>
    </row>
    <row r="178" spans="1:32" x14ac:dyDescent="0.25">
      <c r="A178" s="8">
        <v>700</v>
      </c>
      <c r="B178" s="395">
        <f t="shared" si="41"/>
        <v>434.01100000000002</v>
      </c>
      <c r="C178" s="8"/>
      <c r="D178" s="8"/>
      <c r="I178" s="49">
        <f>IF('RTF 2'!$D$9=1,'Lookup Tables'!$J178,IF('RTF 2'!$D$9=2,'Lookup Tables'!$K178,IF('RTF 2'!$D$9=3,'Lookup Tables'!$L178,IF('RTF 2'!$D$9=4,'Lookup Tables'!$M178,'Lookup Tables'!$N178))))</f>
        <v>15</v>
      </c>
      <c r="J178">
        <f t="shared" si="42"/>
        <v>20</v>
      </c>
      <c r="K178">
        <f t="shared" si="43"/>
        <v>20</v>
      </c>
      <c r="L178">
        <f>IF('RTF 2'!$D$9=3,'Lookup Tables'!$V$143,0)</f>
        <v>0</v>
      </c>
      <c r="M178">
        <f t="shared" si="44"/>
        <v>40</v>
      </c>
      <c r="N178">
        <f t="shared" si="45"/>
        <v>15</v>
      </c>
      <c r="P178" s="8" t="b">
        <f>'RTF 2'!Q47&gt;'RTF 2'!S47</f>
        <v>0</v>
      </c>
      <c r="Q178" s="8" t="b">
        <f>AND('RTF 2'!S47&gt;='RTF 2'!Q47,'RTF 2'!Q47&gt;'RTF 2'!T47)</f>
        <v>0</v>
      </c>
      <c r="R178" s="35" t="b">
        <f>'RTF 2'!Q47&lt;='RTF 2'!T47</f>
        <v>1</v>
      </c>
      <c r="S178" s="8" t="b">
        <f>'RTF 2'!$Q47&gt;'RTF 2'!$U47</f>
        <v>0</v>
      </c>
      <c r="T178" s="8" t="b">
        <f>AND('RTF 2'!$U47&gt;='RTF 2'!$Q47,'RTF 2'!$Q47&gt;'RTF 2'!$V47)</f>
        <v>0</v>
      </c>
      <c r="U178" s="35" t="b">
        <f>'RTF 2'!$Q47&lt;='RTF 2'!$V47</f>
        <v>1</v>
      </c>
      <c r="V178" s="42"/>
      <c r="W178" s="8" t="b">
        <f>'RTF 2'!$Q47&gt;('RTF 2'!$P47+'RTF 2'!$O47)</f>
        <v>0</v>
      </c>
      <c r="X178" s="8" t="b">
        <f>'RTF 2'!$O47&gt;('RTF 2'!$P47+'RTF 2'!$Q47)</f>
        <v>0</v>
      </c>
      <c r="Y178" s="8" t="b">
        <f>AND(('RTF 2'!$O47+10)&gt;='RTF 2'!$P47,('RTF 2'!$O47-10)&lt;='RTF 2'!$P47,('RTF 2'!$P47+10)&gt;='RTF 2'!$Q47,('RTF 2'!$P47-10)&lt;='RTF 2'!$Q47,('RTF 2'!$O47+10)&gt;='RTF 2'!$Q47,('RTF 2'!$O47-10)&lt;='RTF 2'!$Q47)</f>
        <v>1</v>
      </c>
      <c r="Z178" s="8" t="b">
        <f>AND(('RTF 2'!$O47+10)&gt;='RTF 2'!$P47,('RTF 2'!$O47-10)&lt;='RTF 2'!$P47,OR('RTF 2'!$P47&gt;'RTF 2'!$Y47,'RTF 2'!$O47&gt;'RTF 2'!$Y47))</f>
        <v>0</v>
      </c>
      <c r="AA178" s="11" t="b">
        <f>AND(('RTF 2'!$Q47+10)&gt;='RTF 2'!$P47,('RTF 2'!$Q47-10)&lt;='RTF 2'!$P47,OR('RTF 2'!$P47&gt;'RTF 2'!$Z47,'RTF 2'!$Q47&gt;'RTF 2'!$Z47))</f>
        <v>0</v>
      </c>
      <c r="AB178" s="35" t="b">
        <f t="shared" si="46"/>
        <v>0</v>
      </c>
      <c r="AC178" s="8" t="b">
        <f>'RTF 2'!$Q47&gt;'RTF 2'!$P47</f>
        <v>0</v>
      </c>
      <c r="AD178" s="8" t="b">
        <f>AND('RTF 2'!$P47&gt;='RTF 2'!$Q47,'RTF 2'!$Q47&gt;'RTF 2'!$AA47)</f>
        <v>0</v>
      </c>
      <c r="AE178" s="8" t="b">
        <f>AND('RTF 2'!$AA47&gt;'RTF 2'!$Q47,'RTF 2'!$Q47&gt;'RTF 2'!$AB47)</f>
        <v>0</v>
      </c>
      <c r="AF178" s="8" t="b">
        <f>'RTF 2'!$Q47&lt;'RTF 2'!$AB47</f>
        <v>1</v>
      </c>
    </row>
    <row r="179" spans="1:32" x14ac:dyDescent="0.25">
      <c r="A179" s="8">
        <v>600</v>
      </c>
      <c r="B179" s="395">
        <f t="shared" si="41"/>
        <v>498.33400000000006</v>
      </c>
      <c r="C179" s="8"/>
      <c r="D179" s="8"/>
      <c r="I179" s="49">
        <f>IF('RTF 2'!$D$9=1,'Lookup Tables'!$J179,IF('RTF 2'!$D$9=2,'Lookup Tables'!$K179,IF('RTF 2'!$D$9=3,'Lookup Tables'!$L179,IF('RTF 2'!$D$9=4,'Lookup Tables'!$M179,'Lookup Tables'!$N179))))</f>
        <v>15</v>
      </c>
      <c r="J179">
        <f t="shared" si="42"/>
        <v>20</v>
      </c>
      <c r="K179">
        <f t="shared" si="43"/>
        <v>20</v>
      </c>
      <c r="L179">
        <f>IF('RTF 2'!$D$9=3,'Lookup Tables'!$V$143,0)</f>
        <v>0</v>
      </c>
      <c r="M179">
        <f t="shared" si="44"/>
        <v>40</v>
      </c>
      <c r="N179">
        <f t="shared" si="45"/>
        <v>15</v>
      </c>
      <c r="P179" s="8" t="b">
        <f>'RTF 2'!Q48&gt;'RTF 2'!S48</f>
        <v>0</v>
      </c>
      <c r="Q179" s="8" t="b">
        <f>AND('RTF 2'!S48&gt;='RTF 2'!Q48,'RTF 2'!Q48&gt;'RTF 2'!T48)</f>
        <v>0</v>
      </c>
      <c r="R179" s="35" t="b">
        <f>'RTF 2'!Q48&lt;='RTF 2'!T48</f>
        <v>1</v>
      </c>
      <c r="S179" s="8" t="b">
        <f>'RTF 2'!$Q48&gt;'RTF 2'!$U48</f>
        <v>0</v>
      </c>
      <c r="T179" s="8" t="b">
        <f>AND('RTF 2'!$U48&gt;='RTF 2'!$Q48,'RTF 2'!$Q48&gt;'RTF 2'!$V48)</f>
        <v>0</v>
      </c>
      <c r="U179" s="35" t="b">
        <f>'RTF 2'!$Q48&lt;='RTF 2'!$V48</f>
        <v>1</v>
      </c>
      <c r="V179" s="42"/>
      <c r="W179" s="8" t="b">
        <f>'RTF 2'!$Q48&gt;('RTF 2'!$P48+'RTF 2'!$O48)</f>
        <v>0</v>
      </c>
      <c r="X179" s="8" t="b">
        <f>'RTF 2'!$O48&gt;('RTF 2'!$P48+'RTF 2'!$Q48)</f>
        <v>0</v>
      </c>
      <c r="Y179" s="8" t="b">
        <f>AND(('RTF 2'!$O48+10)&gt;='RTF 2'!$P48,('RTF 2'!$O48-10)&lt;='RTF 2'!$P48,('RTF 2'!$P48+10)&gt;='RTF 2'!$Q48,('RTF 2'!$P48-10)&lt;='RTF 2'!$Q48,('RTF 2'!$O48+10)&gt;='RTF 2'!$Q48,('RTF 2'!$O48-10)&lt;='RTF 2'!$Q48)</f>
        <v>1</v>
      </c>
      <c r="Z179" s="8" t="b">
        <f>AND(('RTF 2'!$O48+10)&gt;='RTF 2'!$P48,('RTF 2'!$O48-10)&lt;='RTF 2'!$P48,OR('RTF 2'!$P48&gt;'RTF 2'!$Y48,'RTF 2'!$O48&gt;'RTF 2'!$Y48))</f>
        <v>0</v>
      </c>
      <c r="AA179" s="11" t="b">
        <f>AND(('RTF 2'!$Q48+10)&gt;='RTF 2'!$P48,('RTF 2'!$Q48-10)&lt;='RTF 2'!$P48,OR('RTF 2'!$P48&gt;'RTF 2'!$Z48,'RTF 2'!$Q48&gt;'RTF 2'!$Z48))</f>
        <v>0</v>
      </c>
      <c r="AB179" s="35" t="b">
        <f t="shared" si="46"/>
        <v>0</v>
      </c>
      <c r="AC179" s="8" t="b">
        <f>'RTF 2'!$Q48&gt;'RTF 2'!$P48</f>
        <v>0</v>
      </c>
      <c r="AD179" s="8" t="b">
        <f>AND('RTF 2'!$P48&gt;='RTF 2'!$Q48,'RTF 2'!$Q48&gt;'RTF 2'!$AA48)</f>
        <v>0</v>
      </c>
      <c r="AE179" s="8" t="b">
        <f>AND('RTF 2'!$AA48&gt;'RTF 2'!$Q48,'RTF 2'!$Q48&gt;'RTF 2'!$AB48)</f>
        <v>0</v>
      </c>
      <c r="AF179" s="8" t="b">
        <f>'RTF 2'!$Q48&lt;'RTF 2'!$AB48</f>
        <v>1</v>
      </c>
    </row>
    <row r="180" spans="1:32" x14ac:dyDescent="0.25">
      <c r="A180" s="8">
        <v>500</v>
      </c>
      <c r="B180" s="395">
        <f t="shared" si="41"/>
        <v>568.43500000000006</v>
      </c>
      <c r="C180" s="8"/>
      <c r="D180" s="8"/>
      <c r="I180" s="49">
        <f>IF('RTF 2'!$D$9=1,'Lookup Tables'!$J180,IF('RTF 2'!$D$9=2,'Lookup Tables'!$K180,IF('RTF 2'!$D$9=3,'Lookup Tables'!$L180,IF('RTF 2'!$D$9=4,'Lookup Tables'!$M180,'Lookup Tables'!$N180))))</f>
        <v>15</v>
      </c>
      <c r="J180">
        <f t="shared" si="42"/>
        <v>20</v>
      </c>
      <c r="K180">
        <f t="shared" si="43"/>
        <v>20</v>
      </c>
      <c r="L180">
        <f>IF('RTF 2'!$D$9=3,'Lookup Tables'!$V$143,0)</f>
        <v>0</v>
      </c>
      <c r="M180">
        <f t="shared" si="44"/>
        <v>40</v>
      </c>
      <c r="N180">
        <f t="shared" si="45"/>
        <v>15</v>
      </c>
      <c r="P180" s="8" t="b">
        <f>'RTF 2'!Q49&gt;'RTF 2'!S49</f>
        <v>0</v>
      </c>
      <c r="Q180" s="8" t="b">
        <f>AND('RTF 2'!S49&gt;='RTF 2'!Q49,'RTF 2'!Q49&gt;'RTF 2'!T49)</f>
        <v>0</v>
      </c>
      <c r="R180" s="35" t="b">
        <f>'RTF 2'!Q49&lt;='RTF 2'!T49</f>
        <v>1</v>
      </c>
      <c r="S180" s="8" t="b">
        <f>'RTF 2'!$Q49&gt;'RTF 2'!$U49</f>
        <v>0</v>
      </c>
      <c r="T180" s="8" t="b">
        <f>AND('RTF 2'!$U49&gt;='RTF 2'!$Q49,'RTF 2'!$Q49&gt;'RTF 2'!$V49)</f>
        <v>0</v>
      </c>
      <c r="U180" s="35" t="b">
        <f>'RTF 2'!$Q49&lt;='RTF 2'!$V49</f>
        <v>1</v>
      </c>
      <c r="V180" s="42"/>
      <c r="W180" s="8" t="b">
        <f>'RTF 2'!$Q49&gt;('RTF 2'!$P49+'RTF 2'!$O49)</f>
        <v>0</v>
      </c>
      <c r="X180" s="8" t="b">
        <f>'RTF 2'!$O49&gt;('RTF 2'!$P49+'RTF 2'!$Q49)</f>
        <v>0</v>
      </c>
      <c r="Y180" s="8" t="b">
        <f>AND(('RTF 2'!$O49+10)&gt;='RTF 2'!$P49,('RTF 2'!$O49-10)&lt;='RTF 2'!$P49,('RTF 2'!$P49+10)&gt;='RTF 2'!$Q49,('RTF 2'!$P49-10)&lt;='RTF 2'!$Q49,('RTF 2'!$O49+10)&gt;='RTF 2'!$Q49,('RTF 2'!$O49-10)&lt;='RTF 2'!$Q49)</f>
        <v>1</v>
      </c>
      <c r="Z180" s="8" t="b">
        <f>AND(('RTF 2'!$O49+10)&gt;='RTF 2'!$P49,('RTF 2'!$O49-10)&lt;='RTF 2'!$P49,OR('RTF 2'!$P49&gt;'RTF 2'!$Y49,'RTF 2'!$O49&gt;'RTF 2'!$Y49))</f>
        <v>0</v>
      </c>
      <c r="AA180" s="11" t="b">
        <f>AND(('RTF 2'!$Q49+10)&gt;='RTF 2'!$P49,('RTF 2'!$Q49-10)&lt;='RTF 2'!$P49,OR('RTF 2'!$P49&gt;'RTF 2'!$Z49,'RTF 2'!$Q49&gt;'RTF 2'!$Z49))</f>
        <v>0</v>
      </c>
      <c r="AB180" s="35" t="b">
        <f t="shared" si="46"/>
        <v>0</v>
      </c>
      <c r="AC180" s="8" t="b">
        <f>'RTF 2'!$Q49&gt;'RTF 2'!$P49</f>
        <v>0</v>
      </c>
      <c r="AD180" s="8" t="b">
        <f>AND('RTF 2'!$P49&gt;='RTF 2'!$Q49,'RTF 2'!$Q49&gt;'RTF 2'!$AA49)</f>
        <v>0</v>
      </c>
      <c r="AE180" s="8" t="b">
        <f>AND('RTF 2'!$AA49&gt;'RTF 2'!$Q49,'RTF 2'!$Q49&gt;'RTF 2'!$AB49)</f>
        <v>0</v>
      </c>
      <c r="AF180" s="8" t="b">
        <f>'RTF 2'!$Q49&lt;'RTF 2'!$AB49</f>
        <v>1</v>
      </c>
    </row>
    <row r="181" spans="1:32" x14ac:dyDescent="0.25">
      <c r="A181" s="8">
        <v>400</v>
      </c>
      <c r="B181" s="395">
        <f t="shared" si="41"/>
        <v>644.31400000000008</v>
      </c>
      <c r="C181" s="8"/>
      <c r="D181" s="8"/>
      <c r="I181" s="49">
        <f>IF('RTF 2'!$D$9=1,'Lookup Tables'!$J181,IF('RTF 2'!$D$9=2,'Lookup Tables'!$K181,IF('RTF 2'!$D$9=3,'Lookup Tables'!$L181,IF('RTF 2'!$D$9=4,'Lookup Tables'!$M181,'Lookup Tables'!$N181))))</f>
        <v>15</v>
      </c>
      <c r="J181">
        <f t="shared" si="42"/>
        <v>20</v>
      </c>
      <c r="K181">
        <f t="shared" si="43"/>
        <v>20</v>
      </c>
      <c r="L181">
        <f>IF('RTF 2'!$D$9=3,'Lookup Tables'!$V$143,0)</f>
        <v>0</v>
      </c>
      <c r="M181">
        <f t="shared" si="44"/>
        <v>40</v>
      </c>
      <c r="N181">
        <f t="shared" si="45"/>
        <v>15</v>
      </c>
      <c r="P181" s="8" t="b">
        <f>'RTF 2'!Q50&gt;'RTF 2'!S50</f>
        <v>0</v>
      </c>
      <c r="Q181" s="8" t="b">
        <f>AND('RTF 2'!S50&gt;='RTF 2'!Q50,'RTF 2'!Q50&gt;'RTF 2'!T50)</f>
        <v>0</v>
      </c>
      <c r="R181" s="35" t="b">
        <f>'RTF 2'!Q50&lt;='RTF 2'!T50</f>
        <v>1</v>
      </c>
      <c r="S181" s="8" t="b">
        <f>'RTF 2'!$Q50&gt;'RTF 2'!$U50</f>
        <v>0</v>
      </c>
      <c r="T181" s="8" t="b">
        <f>AND('RTF 2'!$U50&gt;='RTF 2'!$Q50,'RTF 2'!$Q50&gt;'RTF 2'!$V50)</f>
        <v>0</v>
      </c>
      <c r="U181" s="35" t="b">
        <f>'RTF 2'!$Q50&lt;='RTF 2'!$V50</f>
        <v>1</v>
      </c>
      <c r="V181" s="42"/>
      <c r="W181" s="8" t="b">
        <f>'RTF 2'!$Q50&gt;('RTF 2'!$P50+'RTF 2'!$O50)</f>
        <v>0</v>
      </c>
      <c r="X181" s="8" t="b">
        <f>'RTF 2'!$O50&gt;('RTF 2'!$P50+'RTF 2'!$Q50)</f>
        <v>0</v>
      </c>
      <c r="Y181" s="8" t="b">
        <f>AND(('RTF 2'!$O50+10)&gt;='RTF 2'!$P50,('RTF 2'!$O50-10)&lt;='RTF 2'!$P50,('RTF 2'!$P50+10)&gt;='RTF 2'!$Q50,('RTF 2'!$P50-10)&lt;='RTF 2'!$Q50,('RTF 2'!$O50+10)&gt;='RTF 2'!$Q50,('RTF 2'!$O50-10)&lt;='RTF 2'!$Q50)</f>
        <v>1</v>
      </c>
      <c r="Z181" s="8" t="b">
        <f>AND(('RTF 2'!$O50+10)&gt;='RTF 2'!$P50,('RTF 2'!$O50-10)&lt;='RTF 2'!$P50,OR('RTF 2'!$P50&gt;'RTF 2'!$Y50,'RTF 2'!$O50&gt;'RTF 2'!$Y50))</f>
        <v>0</v>
      </c>
      <c r="AA181" s="11" t="b">
        <f>AND(('RTF 2'!$Q50+10)&gt;='RTF 2'!$P50,('RTF 2'!$Q50-10)&lt;='RTF 2'!$P50,OR('RTF 2'!$P50&gt;'RTF 2'!$Z50,'RTF 2'!$Q50&gt;'RTF 2'!$Z50))</f>
        <v>0</v>
      </c>
      <c r="AB181" s="35" t="b">
        <f t="shared" si="46"/>
        <v>0</v>
      </c>
      <c r="AC181" s="8" t="b">
        <f>'RTF 2'!$Q50&gt;'RTF 2'!$P50</f>
        <v>0</v>
      </c>
      <c r="AD181" s="8" t="b">
        <f>AND('RTF 2'!$P50&gt;='RTF 2'!$Q50,'RTF 2'!$Q50&gt;'RTF 2'!$AA50)</f>
        <v>0</v>
      </c>
      <c r="AE181" s="8" t="b">
        <f>AND('RTF 2'!$AA50&gt;'RTF 2'!$Q50,'RTF 2'!$Q50&gt;'RTF 2'!$AB50)</f>
        <v>0</v>
      </c>
      <c r="AF181" s="8" t="b">
        <f>'RTF 2'!$Q50&lt;'RTF 2'!$AB50</f>
        <v>1</v>
      </c>
    </row>
    <row r="182" spans="1:32" x14ac:dyDescent="0.25">
      <c r="A182" s="8"/>
      <c r="B182" s="8"/>
      <c r="C182" s="8"/>
      <c r="D182" s="8"/>
      <c r="I182" s="49">
        <f>IF('RTF 2'!$D$9=1,'Lookup Tables'!$J182,IF('RTF 2'!$D$9=2,'Lookup Tables'!$K182,IF('RTF 2'!$D$9=3,'Lookup Tables'!$L182,IF('RTF 2'!$D$9=4,'Lookup Tables'!$M182,'Lookup Tables'!$N182))))</f>
        <v>15</v>
      </c>
      <c r="J182">
        <f t="shared" si="42"/>
        <v>20</v>
      </c>
      <c r="K182">
        <f t="shared" si="43"/>
        <v>20</v>
      </c>
      <c r="L182">
        <f>IF('RTF 2'!$D$9=3,'Lookup Tables'!$V$143,0)</f>
        <v>0</v>
      </c>
      <c r="M182">
        <f t="shared" si="44"/>
        <v>40</v>
      </c>
      <c r="N182">
        <f t="shared" si="45"/>
        <v>15</v>
      </c>
      <c r="P182" s="8" t="b">
        <f>'RTF 2'!Q51&gt;'RTF 2'!S51</f>
        <v>0</v>
      </c>
      <c r="Q182" s="8" t="b">
        <f>AND('RTF 2'!S51&gt;='RTF 2'!Q51,'RTF 2'!Q51&gt;'RTF 2'!T51)</f>
        <v>0</v>
      </c>
      <c r="R182" s="35" t="b">
        <f>'RTF 2'!Q51&lt;='RTF 2'!T51</f>
        <v>1</v>
      </c>
      <c r="S182" s="8" t="b">
        <f>'RTF 2'!$Q51&gt;'RTF 2'!$U51</f>
        <v>0</v>
      </c>
      <c r="T182" s="8" t="b">
        <f>AND('RTF 2'!$U51&gt;='RTF 2'!$Q51,'RTF 2'!$Q51&gt;'RTF 2'!$V51)</f>
        <v>0</v>
      </c>
      <c r="U182" s="35" t="b">
        <f>'RTF 2'!$Q51&lt;='RTF 2'!$V51</f>
        <v>1</v>
      </c>
      <c r="V182" s="42"/>
      <c r="W182" s="8" t="b">
        <f>'RTF 2'!$Q51&gt;('RTF 2'!$P51+'RTF 2'!$O51)</f>
        <v>0</v>
      </c>
      <c r="X182" s="8" t="b">
        <f>'RTF 2'!$O51&gt;('RTF 2'!$P51+'RTF 2'!$Q51)</f>
        <v>0</v>
      </c>
      <c r="Y182" s="8" t="b">
        <f>AND(('RTF 2'!$O51+10)&gt;='RTF 2'!$P51,('RTF 2'!$O51-10)&lt;='RTF 2'!$P51,('RTF 2'!$P51+10)&gt;='RTF 2'!$Q51,('RTF 2'!$P51-10)&lt;='RTF 2'!$Q51,('RTF 2'!$O51+10)&gt;='RTF 2'!$Q51,('RTF 2'!$O51-10)&lt;='RTF 2'!$Q51)</f>
        <v>1</v>
      </c>
      <c r="Z182" s="8" t="b">
        <f>AND(('RTF 2'!$O51+10)&gt;='RTF 2'!$P51,('RTF 2'!$O51-10)&lt;='RTF 2'!$P51,OR('RTF 2'!$P51&gt;'RTF 2'!$Y51,'RTF 2'!$O51&gt;'RTF 2'!$Y51))</f>
        <v>0</v>
      </c>
      <c r="AA182" s="11" t="b">
        <f>AND(('RTF 2'!$Q51+10)&gt;='RTF 2'!$P51,('RTF 2'!$Q51-10)&lt;='RTF 2'!$P51,OR('RTF 2'!$P51&gt;'RTF 2'!$Z51,'RTF 2'!$Q51&gt;'RTF 2'!$Z51))</f>
        <v>0</v>
      </c>
      <c r="AB182" s="35" t="b">
        <f t="shared" si="46"/>
        <v>0</v>
      </c>
      <c r="AC182" s="8" t="b">
        <f>'RTF 2'!$Q51&gt;'RTF 2'!$P51</f>
        <v>0</v>
      </c>
      <c r="AD182" s="8" t="b">
        <f>AND('RTF 2'!$P51&gt;='RTF 2'!$Q51,'RTF 2'!$Q51&gt;'RTF 2'!$AA51)</f>
        <v>0</v>
      </c>
      <c r="AE182" s="8" t="b">
        <f>AND('RTF 2'!$AA51&gt;'RTF 2'!$Q51,'RTF 2'!$Q51&gt;'RTF 2'!$AB51)</f>
        <v>0</v>
      </c>
      <c r="AF182" s="8" t="b">
        <f>'RTF 2'!$Q51&lt;'RTF 2'!$AB51</f>
        <v>1</v>
      </c>
    </row>
    <row r="183" spans="1:32" ht="12.75" customHeight="1" x14ac:dyDescent="0.25">
      <c r="A183" s="819" t="s">
        <v>358</v>
      </c>
      <c r="B183" s="819"/>
      <c r="C183" s="819"/>
      <c r="D183" s="819"/>
      <c r="E183" s="819"/>
      <c r="I183" s="49">
        <f>IF('RTF 2'!$D$9=1,'Lookup Tables'!$J183,IF('RTF 2'!$D$9=2,'Lookup Tables'!$K183,IF('RTF 2'!$D$9=3,'Lookup Tables'!$L183,IF('RTF 2'!$D$9=4,'Lookup Tables'!$M183,'Lookup Tables'!$N183))))</f>
        <v>15</v>
      </c>
      <c r="J183">
        <f t="shared" si="42"/>
        <v>20</v>
      </c>
      <c r="K183">
        <f t="shared" si="43"/>
        <v>20</v>
      </c>
      <c r="L183">
        <f>IF('RTF 2'!$D$9=3,'Lookup Tables'!$V$143,0)</f>
        <v>0</v>
      </c>
      <c r="M183">
        <f t="shared" si="44"/>
        <v>40</v>
      </c>
      <c r="N183">
        <f t="shared" si="45"/>
        <v>15</v>
      </c>
      <c r="P183" s="8" t="b">
        <f>'RTF 2'!Q52&gt;'RTF 2'!S52</f>
        <v>0</v>
      </c>
      <c r="Q183" s="8" t="b">
        <f>AND('RTF 2'!S52&gt;='RTF 2'!Q52,'RTF 2'!Q52&gt;'RTF 2'!T52)</f>
        <v>0</v>
      </c>
      <c r="R183" s="35" t="b">
        <f>'RTF 2'!Q52&lt;='RTF 2'!T52</f>
        <v>1</v>
      </c>
      <c r="S183" s="8" t="b">
        <f>'RTF 2'!$Q52&gt;'RTF 2'!$U52</f>
        <v>0</v>
      </c>
      <c r="T183" s="8" t="b">
        <f>AND('RTF 2'!$U52&gt;='RTF 2'!$Q52,'RTF 2'!$Q52&gt;'RTF 2'!$V52)</f>
        <v>0</v>
      </c>
      <c r="U183" s="35" t="b">
        <f>'RTF 2'!$Q52&lt;='RTF 2'!$V52</f>
        <v>1</v>
      </c>
      <c r="V183" s="42"/>
      <c r="W183" s="8" t="b">
        <f>'RTF 2'!$Q52&gt;('RTF 2'!$P52+'RTF 2'!$O52)</f>
        <v>0</v>
      </c>
      <c r="X183" s="8" t="b">
        <f>'RTF 2'!$O52&gt;('RTF 2'!$P52+'RTF 2'!$Q52)</f>
        <v>0</v>
      </c>
      <c r="Y183" s="8" t="b">
        <f>AND(('RTF 2'!$O52+10)&gt;='RTF 2'!$P52,('RTF 2'!$O52-10)&lt;='RTF 2'!$P52,('RTF 2'!$P52+10)&gt;='RTF 2'!$Q52,('RTF 2'!$P52-10)&lt;='RTF 2'!$Q52,('RTF 2'!$O52+10)&gt;='RTF 2'!$Q52,('RTF 2'!$O52-10)&lt;='RTF 2'!$Q52)</f>
        <v>1</v>
      </c>
      <c r="Z183" s="8" t="b">
        <f>AND(('RTF 2'!$O52+10)&gt;='RTF 2'!$P52,('RTF 2'!$O52-10)&lt;='RTF 2'!$P52,OR('RTF 2'!$P52&gt;'RTF 2'!$Y52,'RTF 2'!$O52&gt;'RTF 2'!$Y52))</f>
        <v>0</v>
      </c>
      <c r="AA183" s="11" t="b">
        <f>AND(('RTF 2'!$Q52+10)&gt;='RTF 2'!$P52,('RTF 2'!$Q52-10)&lt;='RTF 2'!$P52,OR('RTF 2'!$P52&gt;'RTF 2'!$Z52,'RTF 2'!$Q52&gt;'RTF 2'!$Z52))</f>
        <v>0</v>
      </c>
      <c r="AB183" s="35" t="b">
        <f t="shared" si="46"/>
        <v>0</v>
      </c>
      <c r="AC183" s="8" t="b">
        <f>'RTF 2'!$Q52&gt;'RTF 2'!$P52</f>
        <v>0</v>
      </c>
      <c r="AD183" s="8" t="b">
        <f>AND('RTF 2'!$P52&gt;='RTF 2'!$Q52,'RTF 2'!$Q52&gt;'RTF 2'!$AA52)</f>
        <v>0</v>
      </c>
      <c r="AE183" s="8" t="b">
        <f>AND('RTF 2'!$AA52&gt;'RTF 2'!$Q52,'RTF 2'!$Q52&gt;'RTF 2'!$AB52)</f>
        <v>0</v>
      </c>
      <c r="AF183" s="8" t="b">
        <f>'RTF 2'!$Q52&lt;'RTF 2'!$AB52</f>
        <v>1</v>
      </c>
    </row>
    <row r="184" spans="1:32" ht="12.75" customHeight="1" x14ac:dyDescent="0.25">
      <c r="A184" s="819"/>
      <c r="B184" s="819"/>
      <c r="C184" s="819"/>
      <c r="D184" s="819"/>
      <c r="E184" s="819"/>
      <c r="I184" s="49">
        <f>IF('RTF 2'!$D$9=1,'Lookup Tables'!$J184,IF('RTF 2'!$D$9=2,'Lookup Tables'!$K184,IF('RTF 2'!$D$9=3,'Lookup Tables'!$L184,IF('RTF 2'!$D$9=4,'Lookup Tables'!$M184,'Lookup Tables'!$N184))))</f>
        <v>15</v>
      </c>
      <c r="J184">
        <f t="shared" si="42"/>
        <v>20</v>
      </c>
      <c r="K184">
        <f t="shared" si="43"/>
        <v>20</v>
      </c>
      <c r="L184">
        <f>IF('RTF 2'!$D$9=3,'Lookup Tables'!$V$143,0)</f>
        <v>0</v>
      </c>
      <c r="M184">
        <f t="shared" si="44"/>
        <v>40</v>
      </c>
      <c r="N184">
        <f t="shared" si="45"/>
        <v>15</v>
      </c>
      <c r="P184" s="8" t="b">
        <f>'RTF 2'!Q53&gt;'RTF 2'!S53</f>
        <v>0</v>
      </c>
      <c r="Q184" s="8" t="b">
        <f>AND('RTF 2'!S53&gt;='RTF 2'!Q53,'RTF 2'!Q53&gt;'RTF 2'!T53)</f>
        <v>0</v>
      </c>
      <c r="R184" s="35" t="b">
        <f>'RTF 2'!Q53&lt;='RTF 2'!T53</f>
        <v>1</v>
      </c>
      <c r="S184" s="8" t="b">
        <f>'RTF 2'!$Q53&gt;'RTF 2'!$U53</f>
        <v>0</v>
      </c>
      <c r="T184" s="8" t="b">
        <f>AND('RTF 2'!$U53&gt;='RTF 2'!$Q53,'RTF 2'!$Q53&gt;'RTF 2'!$V53)</f>
        <v>0</v>
      </c>
      <c r="U184" s="35" t="b">
        <f>'RTF 2'!$Q53&lt;='RTF 2'!$V53</f>
        <v>1</v>
      </c>
      <c r="V184" s="42"/>
      <c r="W184" s="8" t="b">
        <f>'RTF 2'!$Q53&gt;('RTF 2'!$P53+'RTF 2'!$O53)</f>
        <v>0</v>
      </c>
      <c r="X184" s="8" t="b">
        <f>'RTF 2'!$O53&gt;('RTF 2'!$P53+'RTF 2'!$Q53)</f>
        <v>0</v>
      </c>
      <c r="Y184" s="8" t="b">
        <f>AND(('RTF 2'!$O53+10)&gt;='RTF 2'!$P53,('RTF 2'!$O53-10)&lt;='RTF 2'!$P53,('RTF 2'!$P53+10)&gt;='RTF 2'!$Q53,('RTF 2'!$P53-10)&lt;='RTF 2'!$Q53,('RTF 2'!$O53+10)&gt;='RTF 2'!$Q53,('RTF 2'!$O53-10)&lt;='RTF 2'!$Q53)</f>
        <v>1</v>
      </c>
      <c r="Z184" s="8" t="b">
        <f>AND(('RTF 2'!$O53+10)&gt;='RTF 2'!$P53,('RTF 2'!$O53-10)&lt;='RTF 2'!$P53,OR('RTF 2'!$P53&gt;'RTF 2'!$Y53,'RTF 2'!$O53&gt;'RTF 2'!$Y53))</f>
        <v>0</v>
      </c>
      <c r="AA184" s="11" t="b">
        <f>AND(('RTF 2'!$Q53+10)&gt;='RTF 2'!$P53,('RTF 2'!$Q53-10)&lt;='RTF 2'!$P53,OR('RTF 2'!$P53&gt;'RTF 2'!$Z53,'RTF 2'!$Q53&gt;'RTF 2'!$Z53))</f>
        <v>0</v>
      </c>
      <c r="AB184" s="35" t="b">
        <f t="shared" si="46"/>
        <v>0</v>
      </c>
      <c r="AC184" s="8" t="b">
        <f>'RTF 2'!$Q53&gt;'RTF 2'!$P53</f>
        <v>0</v>
      </c>
      <c r="AD184" s="8" t="b">
        <f>AND('RTF 2'!$P53&gt;='RTF 2'!$Q53,'RTF 2'!$Q53&gt;'RTF 2'!$AA53)</f>
        <v>0</v>
      </c>
      <c r="AE184" s="8" t="b">
        <f>AND('RTF 2'!$AA53&gt;'RTF 2'!$Q53,'RTF 2'!$Q53&gt;'RTF 2'!$AB53)</f>
        <v>0</v>
      </c>
      <c r="AF184" s="8" t="b">
        <f>'RTF 2'!$Q53&lt;'RTF 2'!$AB53</f>
        <v>1</v>
      </c>
    </row>
    <row r="185" spans="1:32" ht="12.75" customHeight="1" x14ac:dyDescent="0.25">
      <c r="A185" s="819"/>
      <c r="B185" s="819"/>
      <c r="C185" s="819"/>
      <c r="D185" s="819"/>
      <c r="E185" s="819"/>
      <c r="I185" s="49">
        <f>IF('RTF 2'!$D$9=1,'Lookup Tables'!$J185,IF('RTF 2'!$D$9=2,'Lookup Tables'!$K185,IF('RTF 2'!$D$9=3,'Lookup Tables'!$L185,IF('RTF 2'!$D$9=4,'Lookup Tables'!$M185,'Lookup Tables'!$N185))))</f>
        <v>15</v>
      </c>
      <c r="J185">
        <f t="shared" si="42"/>
        <v>20</v>
      </c>
      <c r="K185">
        <f t="shared" si="43"/>
        <v>20</v>
      </c>
      <c r="L185">
        <f>IF('RTF 2'!$D$9=3,'Lookup Tables'!$V$143,0)</f>
        <v>0</v>
      </c>
      <c r="M185">
        <f t="shared" si="44"/>
        <v>40</v>
      </c>
      <c r="N185">
        <f t="shared" si="45"/>
        <v>15</v>
      </c>
      <c r="P185" s="8" t="b">
        <f>'RTF 2'!Q54&gt;'RTF 2'!S54</f>
        <v>0</v>
      </c>
      <c r="Q185" s="8" t="b">
        <f>AND('RTF 2'!S54&gt;='RTF 2'!Q54,'RTF 2'!Q54&gt;'RTF 2'!T54)</f>
        <v>0</v>
      </c>
      <c r="R185" s="35" t="b">
        <f>'RTF 2'!Q54&lt;='RTF 2'!T54</f>
        <v>1</v>
      </c>
      <c r="S185" s="8" t="b">
        <f>'RTF 2'!$Q54&gt;'RTF 2'!$U54</f>
        <v>0</v>
      </c>
      <c r="T185" s="8" t="b">
        <f>AND('RTF 2'!$U54&gt;='RTF 2'!$Q54,'RTF 2'!$Q54&gt;'RTF 2'!$V54)</f>
        <v>0</v>
      </c>
      <c r="U185" s="35" t="b">
        <f>'RTF 2'!$Q54&lt;='RTF 2'!$V54</f>
        <v>1</v>
      </c>
      <c r="V185" s="42"/>
      <c r="W185" s="8" t="b">
        <f>'RTF 2'!$Q54&gt;('RTF 2'!$P54+'RTF 2'!$O54)</f>
        <v>0</v>
      </c>
      <c r="X185" s="8" t="b">
        <f>'RTF 2'!$O54&gt;('RTF 2'!$P54+'RTF 2'!$Q54)</f>
        <v>0</v>
      </c>
      <c r="Y185" s="8" t="b">
        <f>AND(('RTF 2'!$O54+10)&gt;='RTF 2'!$P54,('RTF 2'!$O54-10)&lt;='RTF 2'!$P54,('RTF 2'!$P54+10)&gt;='RTF 2'!$Q54,('RTF 2'!$P54-10)&lt;='RTF 2'!$Q54,('RTF 2'!$O54+10)&gt;='RTF 2'!$Q54,('RTF 2'!$O54-10)&lt;='RTF 2'!$Q54)</f>
        <v>1</v>
      </c>
      <c r="Z185" s="8" t="b">
        <f>AND(('RTF 2'!$O54+10)&gt;='RTF 2'!$P54,('RTF 2'!$O54-10)&lt;='RTF 2'!$P54,OR('RTF 2'!$P54&gt;'RTF 2'!$Y54,'RTF 2'!$O54&gt;'RTF 2'!$Y54))</f>
        <v>0</v>
      </c>
      <c r="AA185" s="11" t="b">
        <f>AND(('RTF 2'!$Q54+10)&gt;='RTF 2'!$P54,('RTF 2'!$Q54-10)&lt;='RTF 2'!$P54,OR('RTF 2'!$P54&gt;'RTF 2'!$Z54,'RTF 2'!$Q54&gt;'RTF 2'!$Z54))</f>
        <v>0</v>
      </c>
      <c r="AB185" s="35" t="b">
        <f t="shared" si="46"/>
        <v>0</v>
      </c>
      <c r="AC185" s="8" t="b">
        <f>'RTF 2'!$Q54&gt;'RTF 2'!$P54</f>
        <v>0</v>
      </c>
      <c r="AD185" s="8" t="b">
        <f>AND('RTF 2'!$P54&gt;='RTF 2'!$Q54,'RTF 2'!$Q54&gt;'RTF 2'!$AA54)</f>
        <v>0</v>
      </c>
      <c r="AE185" s="8" t="b">
        <f>AND('RTF 2'!$AA54&gt;'RTF 2'!$Q54,'RTF 2'!$Q54&gt;'RTF 2'!$AB54)</f>
        <v>0</v>
      </c>
      <c r="AF185" s="8" t="b">
        <f>'RTF 2'!$Q54&lt;'RTF 2'!$AB54</f>
        <v>1</v>
      </c>
    </row>
    <row r="186" spans="1:32" x14ac:dyDescent="0.25">
      <c r="A186" s="26" t="s">
        <v>354</v>
      </c>
      <c r="B186" s="26" t="s">
        <v>355</v>
      </c>
      <c r="I186" s="49">
        <f>IF('RTF 2'!$D$9=1,'Lookup Tables'!$J186,IF('RTF 2'!$D$9=2,'Lookup Tables'!$K186,IF('RTF 2'!$D$9=3,'Lookup Tables'!$L186,IF('RTF 2'!$D$9=4,'Lookup Tables'!$M186,'Lookup Tables'!$N186))))</f>
        <v>15</v>
      </c>
      <c r="J186">
        <f t="shared" si="42"/>
        <v>20</v>
      </c>
      <c r="K186">
        <f t="shared" si="43"/>
        <v>20</v>
      </c>
      <c r="L186">
        <f>IF('RTF 2'!$D$9=3,'Lookup Tables'!$V$143,0)</f>
        <v>0</v>
      </c>
      <c r="M186">
        <f t="shared" si="44"/>
        <v>40</v>
      </c>
      <c r="N186">
        <f t="shared" si="45"/>
        <v>15</v>
      </c>
      <c r="P186" s="8" t="b">
        <f>'RTF 2'!Q55&gt;'RTF 2'!S55</f>
        <v>0</v>
      </c>
      <c r="Q186" s="8" t="b">
        <f>AND('RTF 2'!S55&gt;='RTF 2'!Q55,'RTF 2'!Q55&gt;'RTF 2'!T55)</f>
        <v>0</v>
      </c>
      <c r="R186" s="35" t="b">
        <f>'RTF 2'!Q55&lt;='RTF 2'!T55</f>
        <v>1</v>
      </c>
      <c r="S186" s="8" t="b">
        <f>'RTF 2'!$Q55&gt;'RTF 2'!$U55</f>
        <v>0</v>
      </c>
      <c r="T186" s="8" t="b">
        <f>AND('RTF 2'!$U55&gt;='RTF 2'!$Q55,'RTF 2'!$Q55&gt;'RTF 2'!$V55)</f>
        <v>0</v>
      </c>
      <c r="U186" s="35" t="b">
        <f>'RTF 2'!$Q55&lt;='RTF 2'!$V55</f>
        <v>1</v>
      </c>
      <c r="V186" s="42"/>
      <c r="W186" s="8" t="b">
        <f>'RTF 2'!$Q55&gt;('RTF 2'!$P55+'RTF 2'!$O55)</f>
        <v>0</v>
      </c>
      <c r="X186" s="8" t="b">
        <f>'RTF 2'!$O55&gt;('RTF 2'!$P55+'RTF 2'!$Q55)</f>
        <v>0</v>
      </c>
      <c r="Y186" s="8" t="b">
        <f>AND(('RTF 2'!$O55+10)&gt;='RTF 2'!$P55,('RTF 2'!$O55-10)&lt;='RTF 2'!$P55,('RTF 2'!$P55+10)&gt;='RTF 2'!$Q55,('RTF 2'!$P55-10)&lt;='RTF 2'!$Q55,('RTF 2'!$O55+10)&gt;='RTF 2'!$Q55,('RTF 2'!$O55-10)&lt;='RTF 2'!$Q55)</f>
        <v>1</v>
      </c>
      <c r="Z186" s="8" t="b">
        <f>AND(('RTF 2'!$O55+10)&gt;='RTF 2'!$P55,('RTF 2'!$O55-10)&lt;='RTF 2'!$P55,OR('RTF 2'!$P55&gt;'RTF 2'!$Y55,'RTF 2'!$O55&gt;'RTF 2'!$Y55))</f>
        <v>0</v>
      </c>
      <c r="AA186" s="11" t="b">
        <f>AND(('RTF 2'!$Q55+10)&gt;='RTF 2'!$P55,('RTF 2'!$Q55-10)&lt;='RTF 2'!$P55,OR('RTF 2'!$P55&gt;'RTF 2'!$Z55,'RTF 2'!$Q55&gt;'RTF 2'!$Z55))</f>
        <v>0</v>
      </c>
      <c r="AB186" s="35" t="b">
        <f t="shared" si="46"/>
        <v>0</v>
      </c>
      <c r="AC186" s="8" t="b">
        <f>'RTF 2'!$Q55&gt;'RTF 2'!$P55</f>
        <v>0</v>
      </c>
      <c r="AD186" s="8" t="b">
        <f>AND('RTF 2'!$P55&gt;='RTF 2'!$Q55,'RTF 2'!$Q55&gt;'RTF 2'!$AA55)</f>
        <v>0</v>
      </c>
      <c r="AE186" s="8" t="b">
        <f>AND('RTF 2'!$AA55&gt;'RTF 2'!$Q55,'RTF 2'!$Q55&gt;'RTF 2'!$AB55)</f>
        <v>0</v>
      </c>
      <c r="AF186" s="8" t="b">
        <f>'RTF 2'!$Q55&lt;'RTF 2'!$AB55</f>
        <v>1</v>
      </c>
    </row>
    <row r="187" spans="1:32" x14ac:dyDescent="0.25">
      <c r="A187" s="8">
        <v>1200</v>
      </c>
      <c r="B187" s="8">
        <v>93</v>
      </c>
      <c r="I187" s="49">
        <f>IF('RTF 2'!$D$9=1,'Lookup Tables'!$J187,IF('RTF 2'!$D$9=2,'Lookup Tables'!$K187,IF('RTF 2'!$D$9=3,'Lookup Tables'!$L187,IF('RTF 2'!$D$9=4,'Lookup Tables'!$M187,'Lookup Tables'!$N187))))</f>
        <v>15</v>
      </c>
      <c r="J187">
        <f t="shared" si="42"/>
        <v>20</v>
      </c>
      <c r="K187">
        <f t="shared" si="43"/>
        <v>20</v>
      </c>
      <c r="L187">
        <f>IF('RTF 2'!$D$9=3,'Lookup Tables'!$V$143,0)</f>
        <v>0</v>
      </c>
      <c r="M187">
        <f t="shared" si="44"/>
        <v>40</v>
      </c>
      <c r="N187">
        <f t="shared" si="45"/>
        <v>15</v>
      </c>
      <c r="P187" s="8" t="b">
        <f>'RTF 2'!Q56&gt;'RTF 2'!S56</f>
        <v>0</v>
      </c>
      <c r="Q187" s="8" t="b">
        <f>AND('RTF 2'!S56&gt;='RTF 2'!Q56,'RTF 2'!Q56&gt;'RTF 2'!T56)</f>
        <v>0</v>
      </c>
      <c r="R187" s="35" t="b">
        <f>'RTF 2'!Q56&lt;='RTF 2'!T56</f>
        <v>1</v>
      </c>
      <c r="S187" s="8" t="b">
        <f>'RTF 2'!$Q56&gt;'RTF 2'!$U56</f>
        <v>0</v>
      </c>
      <c r="T187" s="8" t="b">
        <f>AND('RTF 2'!$U56&gt;='RTF 2'!$Q56,'RTF 2'!$Q56&gt;'RTF 2'!$V56)</f>
        <v>0</v>
      </c>
      <c r="U187" s="35" t="b">
        <f>'RTF 2'!$Q56&lt;='RTF 2'!$V56</f>
        <v>1</v>
      </c>
      <c r="V187" s="42"/>
      <c r="W187" s="8" t="b">
        <f>'RTF 2'!$Q56&gt;('RTF 2'!$P56+'RTF 2'!$O56)</f>
        <v>0</v>
      </c>
      <c r="X187" s="8" t="b">
        <f>'RTF 2'!$O56&gt;('RTF 2'!$P56+'RTF 2'!$Q56)</f>
        <v>0</v>
      </c>
      <c r="Y187" s="8" t="b">
        <f>AND(('RTF 2'!$O56+10)&gt;='RTF 2'!$P56,('RTF 2'!$O56-10)&lt;='RTF 2'!$P56,('RTF 2'!$P56+10)&gt;='RTF 2'!$Q56,('RTF 2'!$P56-10)&lt;='RTF 2'!$Q56,('RTF 2'!$O56+10)&gt;='RTF 2'!$Q56,('RTF 2'!$O56-10)&lt;='RTF 2'!$Q56)</f>
        <v>1</v>
      </c>
      <c r="Z187" s="8" t="b">
        <f>AND(('RTF 2'!$O56+10)&gt;='RTF 2'!$P56,('RTF 2'!$O56-10)&lt;='RTF 2'!$P56,OR('RTF 2'!$P56&gt;'RTF 2'!$Y56,'RTF 2'!$O56&gt;'RTF 2'!$Y56))</f>
        <v>0</v>
      </c>
      <c r="AA187" s="11" t="b">
        <f>AND(('RTF 2'!$Q56+10)&gt;='RTF 2'!$P56,('RTF 2'!$Q56-10)&lt;='RTF 2'!$P56,OR('RTF 2'!$P56&gt;'RTF 2'!$Z56,'RTF 2'!$Q56&gt;'RTF 2'!$Z56))</f>
        <v>0</v>
      </c>
      <c r="AB187" s="35" t="b">
        <f t="shared" si="46"/>
        <v>0</v>
      </c>
      <c r="AC187" s="8" t="b">
        <f>'RTF 2'!$Q56&gt;'RTF 2'!$P56</f>
        <v>0</v>
      </c>
      <c r="AD187" s="8" t="b">
        <f>AND('RTF 2'!$P56&gt;='RTF 2'!$Q56,'RTF 2'!$Q56&gt;'RTF 2'!$AA56)</f>
        <v>0</v>
      </c>
      <c r="AE187" s="8" t="b">
        <f>AND('RTF 2'!$AA56&gt;'RTF 2'!$Q56,'RTF 2'!$Q56&gt;'RTF 2'!$AB56)</f>
        <v>0</v>
      </c>
      <c r="AF187" s="8" t="b">
        <f>'RTF 2'!$Q56&lt;'RTF 2'!$AB56</f>
        <v>1</v>
      </c>
    </row>
    <row r="188" spans="1:32" x14ac:dyDescent="0.25">
      <c r="A188" s="8">
        <v>1100</v>
      </c>
      <c r="B188" s="8">
        <v>93</v>
      </c>
      <c r="I188" s="49">
        <f>IF('RTF 2'!$D$9=1,'Lookup Tables'!$J188,IF('RTF 2'!$D$9=2,'Lookup Tables'!$K188,IF('RTF 2'!$D$9=3,'Lookup Tables'!$L188,IF('RTF 2'!$D$9=4,'Lookup Tables'!$M188,'Lookup Tables'!$N188))))</f>
        <v>15</v>
      </c>
      <c r="J188">
        <f t="shared" si="42"/>
        <v>20</v>
      </c>
      <c r="K188">
        <f t="shared" si="43"/>
        <v>20</v>
      </c>
      <c r="L188">
        <f>IF('RTF 2'!$D$9=3,'Lookup Tables'!$V$143,0)</f>
        <v>0</v>
      </c>
      <c r="M188">
        <f t="shared" si="44"/>
        <v>40</v>
      </c>
      <c r="N188">
        <f t="shared" si="45"/>
        <v>15</v>
      </c>
      <c r="P188" s="8" t="b">
        <f>'RTF 2'!Q57&gt;'RTF 2'!S57</f>
        <v>0</v>
      </c>
      <c r="Q188" s="8" t="b">
        <f>AND('RTF 2'!S57&gt;='RTF 2'!Q57,'RTF 2'!Q57&gt;'RTF 2'!T57)</f>
        <v>0</v>
      </c>
      <c r="R188" s="35" t="b">
        <f>'RTF 2'!Q57&lt;='RTF 2'!T57</f>
        <v>1</v>
      </c>
      <c r="S188" s="8" t="b">
        <f>'RTF 2'!$Q57&gt;'RTF 2'!$U57</f>
        <v>0</v>
      </c>
      <c r="T188" s="8" t="b">
        <f>AND('RTF 2'!$U57&gt;='RTF 2'!$Q57,'RTF 2'!$Q57&gt;'RTF 2'!$V57)</f>
        <v>0</v>
      </c>
      <c r="U188" s="35" t="b">
        <f>'RTF 2'!$Q57&lt;='RTF 2'!$V57</f>
        <v>1</v>
      </c>
      <c r="V188" s="42"/>
      <c r="W188" s="8" t="b">
        <f>'RTF 2'!$Q57&gt;('RTF 2'!$P57+'RTF 2'!$O57)</f>
        <v>0</v>
      </c>
      <c r="X188" s="8" t="b">
        <f>'RTF 2'!$O57&gt;('RTF 2'!$P57+'RTF 2'!$Q57)</f>
        <v>0</v>
      </c>
      <c r="Y188" s="8" t="b">
        <f>AND(('RTF 2'!$O57+10)&gt;='RTF 2'!$P57,('RTF 2'!$O57-10)&lt;='RTF 2'!$P57,('RTF 2'!$P57+10)&gt;='RTF 2'!$Q57,('RTF 2'!$P57-10)&lt;='RTF 2'!$Q57,('RTF 2'!$O57+10)&gt;='RTF 2'!$Q57,('RTF 2'!$O57-10)&lt;='RTF 2'!$Q57)</f>
        <v>1</v>
      </c>
      <c r="Z188" s="8" t="b">
        <f>AND(('RTF 2'!$O57+10)&gt;='RTF 2'!$P57,('RTF 2'!$O57-10)&lt;='RTF 2'!$P57,OR('RTF 2'!$P57&gt;'RTF 2'!$Y57,'RTF 2'!$O57&gt;'RTF 2'!$Y57))</f>
        <v>0</v>
      </c>
      <c r="AA188" s="11" t="b">
        <f>AND(('RTF 2'!$Q57+10)&gt;='RTF 2'!$P57,('RTF 2'!$Q57-10)&lt;='RTF 2'!$P57,OR('RTF 2'!$P57&gt;'RTF 2'!$Z57,'RTF 2'!$Q57&gt;'RTF 2'!$Z57))</f>
        <v>0</v>
      </c>
      <c r="AB188" s="35" t="b">
        <f t="shared" si="46"/>
        <v>0</v>
      </c>
      <c r="AC188" s="8" t="b">
        <f>'RTF 2'!$Q57&gt;'RTF 2'!$P57</f>
        <v>0</v>
      </c>
      <c r="AD188" s="8" t="b">
        <f>AND('RTF 2'!$P57&gt;='RTF 2'!$Q57,'RTF 2'!$Q57&gt;'RTF 2'!$AA57)</f>
        <v>0</v>
      </c>
      <c r="AE188" s="8" t="b">
        <f>AND('RTF 2'!$AA57&gt;'RTF 2'!$Q57,'RTF 2'!$Q57&gt;'RTF 2'!$AB57)</f>
        <v>0</v>
      </c>
      <c r="AF188" s="8" t="b">
        <f>'RTF 2'!$Q57&lt;'RTF 2'!$AB57</f>
        <v>1</v>
      </c>
    </row>
    <row r="189" spans="1:32" x14ac:dyDescent="0.25">
      <c r="A189" s="8">
        <v>1044</v>
      </c>
      <c r="B189" s="8">
        <v>93</v>
      </c>
      <c r="I189" s="49">
        <f>IF('RTF 2'!$D$9=1,'Lookup Tables'!$J189,IF('RTF 2'!$D$9=2,'Lookup Tables'!$K189,IF('RTF 2'!$D$9=3,'Lookup Tables'!$L189,IF('RTF 2'!$D$9=4,'Lookup Tables'!$M189,'Lookup Tables'!$N189))))</f>
        <v>15</v>
      </c>
      <c r="J189">
        <f t="shared" si="42"/>
        <v>20</v>
      </c>
      <c r="K189">
        <f t="shared" si="43"/>
        <v>20</v>
      </c>
      <c r="L189">
        <f>IF('RTF 2'!$D$9=3,'Lookup Tables'!$V$143,0)</f>
        <v>0</v>
      </c>
      <c r="M189">
        <f t="shared" si="44"/>
        <v>40</v>
      </c>
      <c r="N189">
        <f t="shared" si="45"/>
        <v>15</v>
      </c>
      <c r="P189" s="8" t="b">
        <f>'RTF 2'!Q58&gt;'RTF 2'!S58</f>
        <v>0</v>
      </c>
      <c r="Q189" s="8" t="b">
        <f>AND('RTF 2'!S58&gt;='RTF 2'!Q58,'RTF 2'!Q58&gt;'RTF 2'!T58)</f>
        <v>0</v>
      </c>
      <c r="R189" s="35" t="b">
        <f>'RTF 2'!Q58&lt;='RTF 2'!T58</f>
        <v>1</v>
      </c>
      <c r="S189" s="8" t="b">
        <f>'RTF 2'!$Q58&gt;'RTF 2'!$U58</f>
        <v>0</v>
      </c>
      <c r="T189" s="8" t="b">
        <f>AND('RTF 2'!$U58&gt;='RTF 2'!$Q58,'RTF 2'!$Q58&gt;'RTF 2'!$V58)</f>
        <v>0</v>
      </c>
      <c r="U189" s="35" t="b">
        <f>'RTF 2'!$Q58&lt;='RTF 2'!$V58</f>
        <v>1</v>
      </c>
      <c r="V189" s="42"/>
      <c r="W189" s="8" t="b">
        <f>'RTF 2'!$Q58&gt;('RTF 2'!$P58+'RTF 2'!$O58)</f>
        <v>0</v>
      </c>
      <c r="X189" s="8" t="b">
        <f>'RTF 2'!$O58&gt;('RTF 2'!$P58+'RTF 2'!$Q58)</f>
        <v>0</v>
      </c>
      <c r="Y189" s="8" t="b">
        <f>AND(('RTF 2'!$O58+10)&gt;='RTF 2'!$P58,('RTF 2'!$O58-10)&lt;='RTF 2'!$P58,('RTF 2'!$P58+10)&gt;='RTF 2'!$Q58,('RTF 2'!$P58-10)&lt;='RTF 2'!$Q58,('RTF 2'!$O58+10)&gt;='RTF 2'!$Q58,('RTF 2'!$O58-10)&lt;='RTF 2'!$Q58)</f>
        <v>1</v>
      </c>
      <c r="Z189" s="8" t="b">
        <f>AND(('RTF 2'!$O58+10)&gt;='RTF 2'!$P58,('RTF 2'!$O58-10)&lt;='RTF 2'!$P58,OR('RTF 2'!$P58&gt;'RTF 2'!$Y58,'RTF 2'!$O58&gt;'RTF 2'!$Y58))</f>
        <v>0</v>
      </c>
      <c r="AA189" s="11" t="b">
        <f>AND(('RTF 2'!$Q58+10)&gt;='RTF 2'!$P58,('RTF 2'!$Q58-10)&lt;='RTF 2'!$P58,OR('RTF 2'!$P58&gt;'RTF 2'!$Z58,'RTF 2'!$Q58&gt;'RTF 2'!$Z58))</f>
        <v>0</v>
      </c>
      <c r="AB189" s="35" t="b">
        <f t="shared" si="46"/>
        <v>0</v>
      </c>
      <c r="AC189" s="8" t="b">
        <f>'RTF 2'!$Q58&gt;'RTF 2'!$P58</f>
        <v>0</v>
      </c>
      <c r="AD189" s="8" t="b">
        <f>AND('RTF 2'!$P58&gt;='RTF 2'!$Q58,'RTF 2'!$Q58&gt;'RTF 2'!$AA58)</f>
        <v>0</v>
      </c>
      <c r="AE189" s="8" t="b">
        <f>AND('RTF 2'!$AA58&gt;'RTF 2'!$Q58,'RTF 2'!$Q58&gt;'RTF 2'!$AB58)</f>
        <v>0</v>
      </c>
      <c r="AF189" s="8" t="b">
        <f>'RTF 2'!$Q58&lt;'RTF 2'!$AB58</f>
        <v>1</v>
      </c>
    </row>
    <row r="190" spans="1:32" x14ac:dyDescent="0.25">
      <c r="A190" s="8">
        <v>1000</v>
      </c>
      <c r="B190" s="395">
        <f>669.187-0.96162*A190+0.0003915*A190^2</f>
        <v>99.067000000000007</v>
      </c>
      <c r="I190" s="49">
        <f>IF('RTF 2'!$D$9=1,'Lookup Tables'!$J190,IF('RTF 2'!$D$9=2,'Lookup Tables'!$K190,IF('RTF 2'!$D$9=3,'Lookup Tables'!$L190,IF('RTF 2'!$D$9=4,'Lookup Tables'!$M190,'Lookup Tables'!$N190))))</f>
        <v>15</v>
      </c>
      <c r="J190">
        <f t="shared" si="42"/>
        <v>20</v>
      </c>
      <c r="K190">
        <f t="shared" si="43"/>
        <v>20</v>
      </c>
      <c r="L190">
        <f>IF('RTF 2'!$D$9=3,'Lookup Tables'!$V$143,0)</f>
        <v>0</v>
      </c>
      <c r="M190">
        <f t="shared" si="44"/>
        <v>40</v>
      </c>
      <c r="N190">
        <f t="shared" si="45"/>
        <v>15</v>
      </c>
      <c r="P190" s="8" t="b">
        <f>'RTF 2'!Q59&gt;'RTF 2'!S59</f>
        <v>0</v>
      </c>
      <c r="Q190" s="8" t="b">
        <f>AND('RTF 2'!S59&gt;='RTF 2'!Q59,'RTF 2'!Q59&gt;'RTF 2'!T59)</f>
        <v>0</v>
      </c>
      <c r="R190" s="35" t="b">
        <f>'RTF 2'!Q59&lt;='RTF 2'!T59</f>
        <v>1</v>
      </c>
      <c r="S190" s="8" t="b">
        <f>'RTF 2'!$Q59&gt;'RTF 2'!$U59</f>
        <v>0</v>
      </c>
      <c r="T190" s="8" t="b">
        <f>AND('RTF 2'!$U59&gt;='RTF 2'!$Q59,'RTF 2'!$Q59&gt;'RTF 2'!$V59)</f>
        <v>0</v>
      </c>
      <c r="U190" s="35" t="b">
        <f>'RTF 2'!$Q59&lt;='RTF 2'!$V59</f>
        <v>1</v>
      </c>
      <c r="V190" s="42"/>
      <c r="W190" s="8" t="b">
        <f>'RTF 2'!$Q59&gt;('RTF 2'!$P59+'RTF 2'!$O59)</f>
        <v>0</v>
      </c>
      <c r="X190" s="8" t="b">
        <f>'RTF 2'!$O59&gt;('RTF 2'!$P59+'RTF 2'!$Q59)</f>
        <v>0</v>
      </c>
      <c r="Y190" s="8" t="b">
        <f>AND(('RTF 2'!$O59+10)&gt;='RTF 2'!$P59,('RTF 2'!$O59-10)&lt;='RTF 2'!$P59,('RTF 2'!$P59+10)&gt;='RTF 2'!$Q59,('RTF 2'!$P59-10)&lt;='RTF 2'!$Q59,('RTF 2'!$O59+10)&gt;='RTF 2'!$Q59,('RTF 2'!$O59-10)&lt;='RTF 2'!$Q59)</f>
        <v>1</v>
      </c>
      <c r="Z190" s="8" t="b">
        <f>AND(('RTF 2'!$O59+10)&gt;='RTF 2'!$P59,('RTF 2'!$O59-10)&lt;='RTF 2'!$P59,OR('RTF 2'!$P59&gt;'RTF 2'!$Y59,'RTF 2'!$O59&gt;'RTF 2'!$Y59))</f>
        <v>0</v>
      </c>
      <c r="AA190" s="11" t="b">
        <f>AND(('RTF 2'!$Q59+10)&gt;='RTF 2'!$P59,('RTF 2'!$Q59-10)&lt;='RTF 2'!$P59,OR('RTF 2'!$P59&gt;'RTF 2'!$Z59,'RTF 2'!$Q59&gt;'RTF 2'!$Z59))</f>
        <v>0</v>
      </c>
      <c r="AB190" s="35" t="b">
        <f t="shared" si="46"/>
        <v>0</v>
      </c>
      <c r="AC190" s="8" t="b">
        <f>'RTF 2'!$Q59&gt;'RTF 2'!$P59</f>
        <v>0</v>
      </c>
      <c r="AD190" s="8" t="b">
        <f>AND('RTF 2'!$P59&gt;='RTF 2'!$Q59,'RTF 2'!$Q59&gt;'RTF 2'!$AA59)</f>
        <v>0</v>
      </c>
      <c r="AE190" s="8" t="b">
        <f>AND('RTF 2'!$AA59&gt;'RTF 2'!$Q59,'RTF 2'!$Q59&gt;'RTF 2'!$AB59)</f>
        <v>0</v>
      </c>
      <c r="AF190" s="8" t="b">
        <f>'RTF 2'!$Q59&lt;'RTF 2'!$AB59</f>
        <v>1</v>
      </c>
    </row>
    <row r="191" spans="1:32" ht="34.5" customHeight="1" x14ac:dyDescent="0.25">
      <c r="A191" s="8">
        <v>900</v>
      </c>
      <c r="B191" s="395">
        <f t="shared" ref="B191:B198" si="47">669.187-0.96162*A191+0.0003915*A191^2</f>
        <v>120.84399999999988</v>
      </c>
      <c r="I191" s="49">
        <f>IF('RTF 2'!$D$9=1,'Lookup Tables'!$J191,IF('RTF 2'!$D$9=2,'Lookup Tables'!$K191,IF('RTF 2'!$D$9=3,'Lookup Tables'!$L191,IF('RTF 2'!$D$9=4,'Lookup Tables'!$M191,'Lookup Tables'!$N191))))</f>
        <v>15</v>
      </c>
      <c r="J191">
        <f t="shared" si="42"/>
        <v>20</v>
      </c>
      <c r="K191">
        <f t="shared" si="43"/>
        <v>20</v>
      </c>
      <c r="L191">
        <f>IF('RTF 2'!$D$9=3,'Lookup Tables'!$V$143,0)</f>
        <v>0</v>
      </c>
      <c r="M191">
        <f t="shared" si="44"/>
        <v>40</v>
      </c>
      <c r="N191">
        <f t="shared" si="45"/>
        <v>15</v>
      </c>
      <c r="P191" s="8" t="b">
        <f>'RTF 2'!Q60&gt;'RTF 2'!S60</f>
        <v>0</v>
      </c>
      <c r="Q191" s="8" t="b">
        <f>AND('RTF 2'!S60&gt;='RTF 2'!Q60,'RTF 2'!Q60&gt;'RTF 2'!T60)</f>
        <v>0</v>
      </c>
      <c r="R191" s="35" t="b">
        <f>'RTF 2'!Q60&lt;='RTF 2'!T60</f>
        <v>1</v>
      </c>
      <c r="S191" s="8" t="b">
        <f>'RTF 2'!$Q60&gt;'RTF 2'!$U60</f>
        <v>0</v>
      </c>
      <c r="T191" s="8" t="b">
        <f>AND('RTF 2'!$U60&gt;='RTF 2'!$Q60,'RTF 2'!$Q60&gt;'RTF 2'!$V60)</f>
        <v>0</v>
      </c>
      <c r="U191" s="35" t="b">
        <f>'RTF 2'!$Q60&lt;='RTF 2'!$V60</f>
        <v>1</v>
      </c>
      <c r="V191" s="42"/>
      <c r="W191" s="8" t="b">
        <f>'RTF 2'!$Q60&gt;('RTF 2'!$P60+'RTF 2'!$O60)</f>
        <v>0</v>
      </c>
      <c r="X191" s="8" t="b">
        <f>'RTF 2'!$O60&gt;('RTF 2'!$P60+'RTF 2'!$Q60)</f>
        <v>0</v>
      </c>
      <c r="Y191" s="8" t="b">
        <f>AND(('RTF 2'!$O60+10)&gt;='RTF 2'!$P60,('RTF 2'!$O60-10)&lt;='RTF 2'!$P60,('RTF 2'!$P60+10)&gt;='RTF 2'!$Q60,('RTF 2'!$P60-10)&lt;='RTF 2'!$Q60,('RTF 2'!$O60+10)&gt;='RTF 2'!$Q60,('RTF 2'!$O60-10)&lt;='RTF 2'!$Q60)</f>
        <v>1</v>
      </c>
      <c r="Z191" s="8" t="b">
        <f>AND(('RTF 2'!$O60+10)&gt;='RTF 2'!$P60,('RTF 2'!$O60-10)&lt;='RTF 2'!$P60,OR('RTF 2'!$P60&gt;'RTF 2'!$Y60,'RTF 2'!$O60&gt;'RTF 2'!$Y60))</f>
        <v>0</v>
      </c>
      <c r="AA191" s="11" t="b">
        <f>AND(('RTF 2'!$Q60+10)&gt;='RTF 2'!$P60,('RTF 2'!$Q60-10)&lt;='RTF 2'!$P60,OR('RTF 2'!$P60&gt;'RTF 2'!$Z60,'RTF 2'!$Q60&gt;'RTF 2'!$Z60))</f>
        <v>0</v>
      </c>
      <c r="AB191" s="35" t="b">
        <f t="shared" si="46"/>
        <v>0</v>
      </c>
      <c r="AC191" s="8" t="b">
        <f>'RTF 2'!$Q60&gt;'RTF 2'!$P60</f>
        <v>0</v>
      </c>
      <c r="AD191" s="8" t="b">
        <f>AND('RTF 2'!$P60&gt;='RTF 2'!$Q60,'RTF 2'!$Q60&gt;'RTF 2'!$AA60)</f>
        <v>0</v>
      </c>
      <c r="AE191" s="8" t="b">
        <f>AND('RTF 2'!$AA60&gt;'RTF 2'!$Q60,'RTF 2'!$Q60&gt;'RTF 2'!$AB60)</f>
        <v>0</v>
      </c>
      <c r="AF191" s="8" t="b">
        <f>'RTF 2'!$Q60&lt;'RTF 2'!$AB60</f>
        <v>1</v>
      </c>
    </row>
    <row r="192" spans="1:32" ht="34.5" customHeight="1" x14ac:dyDescent="0.25">
      <c r="A192" s="8">
        <v>800</v>
      </c>
      <c r="B192" s="395">
        <f t="shared" si="47"/>
        <v>150.45099999999994</v>
      </c>
      <c r="I192" s="49">
        <f>IF('RTF 2'!$D$9=1,'Lookup Tables'!$J192,IF('RTF 2'!$D$9=2,'Lookup Tables'!$K192,IF('RTF 2'!$D$9=3,'Lookup Tables'!$L192,IF('RTF 2'!$D$9=4,'Lookup Tables'!$M192,'Lookup Tables'!$N192))))</f>
        <v>15</v>
      </c>
      <c r="J192">
        <f t="shared" si="42"/>
        <v>20</v>
      </c>
      <c r="K192">
        <f t="shared" si="43"/>
        <v>20</v>
      </c>
      <c r="L192">
        <f>IF('RTF 2'!$D$9=3,'Lookup Tables'!$V$143,0)</f>
        <v>0</v>
      </c>
      <c r="M192">
        <f t="shared" si="44"/>
        <v>40</v>
      </c>
      <c r="N192">
        <f t="shared" si="45"/>
        <v>15</v>
      </c>
      <c r="P192" s="8" t="b">
        <f>'RTF 2'!Q61&gt;'RTF 2'!S61</f>
        <v>0</v>
      </c>
      <c r="Q192" s="8" t="b">
        <f>AND('RTF 2'!S61&gt;='RTF 2'!Q61,'RTF 2'!Q61&gt;'RTF 2'!T61)</f>
        <v>0</v>
      </c>
      <c r="R192" s="35" t="b">
        <f>'RTF 2'!Q61&lt;='RTF 2'!T61</f>
        <v>1</v>
      </c>
      <c r="S192" s="8" t="b">
        <f>'RTF 2'!$Q61&gt;'RTF 2'!$U61</f>
        <v>0</v>
      </c>
      <c r="T192" s="8" t="b">
        <f>AND('RTF 2'!$U61&gt;='RTF 2'!$Q61,'RTF 2'!$Q61&gt;'RTF 2'!$V61)</f>
        <v>0</v>
      </c>
      <c r="U192" s="35" t="b">
        <f>'RTF 2'!$Q61&lt;='RTF 2'!$V61</f>
        <v>1</v>
      </c>
      <c r="V192" s="42"/>
      <c r="W192" s="8" t="b">
        <f>'RTF 2'!$Q61&gt;('RTF 2'!$P61+'RTF 2'!$O61)</f>
        <v>0</v>
      </c>
      <c r="X192" s="8" t="b">
        <f>'RTF 2'!$O61&gt;('RTF 2'!$P61+'RTF 2'!$Q61)</f>
        <v>0</v>
      </c>
      <c r="Y192" s="8" t="b">
        <f>AND(('RTF 2'!$O61+10)&gt;='RTF 2'!$P61,('RTF 2'!$O61-10)&lt;='RTF 2'!$P61,('RTF 2'!$P61+10)&gt;='RTF 2'!$Q61,('RTF 2'!$P61-10)&lt;='RTF 2'!$Q61,('RTF 2'!$O61+10)&gt;='RTF 2'!$Q61,('RTF 2'!$O61-10)&lt;='RTF 2'!$Q61)</f>
        <v>1</v>
      </c>
      <c r="Z192" s="8" t="b">
        <f>AND(('RTF 2'!$O61+10)&gt;='RTF 2'!$P61,('RTF 2'!$O61-10)&lt;='RTF 2'!$P61,OR('RTF 2'!$P61&gt;'RTF 2'!$Y61,'RTF 2'!$O61&gt;'RTF 2'!$Y61))</f>
        <v>0</v>
      </c>
      <c r="AA192" s="11" t="b">
        <f>AND(('RTF 2'!$Q61+10)&gt;='RTF 2'!$P61,('RTF 2'!$Q61-10)&lt;='RTF 2'!$P61,OR('RTF 2'!$P61&gt;'RTF 2'!$Z61,'RTF 2'!$Q61&gt;'RTF 2'!$Z61))</f>
        <v>0</v>
      </c>
      <c r="AB192" s="35" t="b">
        <f t="shared" si="46"/>
        <v>0</v>
      </c>
      <c r="AC192" s="8" t="b">
        <f>'RTF 2'!$Q61&gt;'RTF 2'!$P61</f>
        <v>0</v>
      </c>
      <c r="AD192" s="8" t="b">
        <f>AND('RTF 2'!$P61&gt;='RTF 2'!$Q61,'RTF 2'!$Q61&gt;'RTF 2'!$AA61)</f>
        <v>0</v>
      </c>
      <c r="AE192" s="8" t="b">
        <f>AND('RTF 2'!$AA61&gt;'RTF 2'!$Q61,'RTF 2'!$Q61&gt;'RTF 2'!$AB61)</f>
        <v>0</v>
      </c>
      <c r="AF192" s="8" t="b">
        <f>'RTF 2'!$Q61&lt;'RTF 2'!$AB61</f>
        <v>1</v>
      </c>
    </row>
    <row r="193" spans="1:32" ht="34.5" customHeight="1" x14ac:dyDescent="0.25">
      <c r="A193" s="8">
        <v>700</v>
      </c>
      <c r="B193" s="395">
        <f t="shared" si="47"/>
        <v>187.88799999999998</v>
      </c>
      <c r="I193" s="49">
        <f>IF('RTF 2'!$D$9=1,'Lookup Tables'!$J193,IF('RTF 2'!$D$9=2,'Lookup Tables'!$K193,IF('RTF 2'!$D$9=3,'Lookup Tables'!$L193,IF('RTF 2'!$D$9=4,'Lookup Tables'!$M193,'Lookup Tables'!$N193))))</f>
        <v>15</v>
      </c>
      <c r="J193">
        <f t="shared" si="42"/>
        <v>20</v>
      </c>
      <c r="K193">
        <f t="shared" si="43"/>
        <v>20</v>
      </c>
      <c r="L193">
        <f>IF('RTF 2'!$D$9=3,'Lookup Tables'!$V$143,0)</f>
        <v>0</v>
      </c>
      <c r="M193">
        <f t="shared" si="44"/>
        <v>40</v>
      </c>
      <c r="N193">
        <f t="shared" si="45"/>
        <v>15</v>
      </c>
      <c r="P193" s="8" t="b">
        <f>'RTF 2'!Q62&gt;'RTF 2'!S62</f>
        <v>0</v>
      </c>
      <c r="Q193" s="8" t="b">
        <f>AND('RTF 2'!S62&gt;='RTF 2'!Q62,'RTF 2'!Q62&gt;'RTF 2'!T62)</f>
        <v>0</v>
      </c>
      <c r="R193" s="35" t="b">
        <f>'RTF 2'!Q62&lt;='RTF 2'!T62</f>
        <v>1</v>
      </c>
      <c r="S193" s="8" t="b">
        <f>'RTF 2'!$Q62&gt;'RTF 2'!$U62</f>
        <v>0</v>
      </c>
      <c r="T193" s="8" t="b">
        <f>AND('RTF 2'!$U62&gt;='RTF 2'!$Q62,'RTF 2'!$Q62&gt;'RTF 2'!$V62)</f>
        <v>0</v>
      </c>
      <c r="U193" s="35" t="b">
        <f>'RTF 2'!$Q62&lt;='RTF 2'!$V62</f>
        <v>1</v>
      </c>
      <c r="V193" s="42"/>
      <c r="W193" s="8" t="b">
        <f>'RTF 2'!$Q62&gt;('RTF 2'!$P62+'RTF 2'!$O62)</f>
        <v>0</v>
      </c>
      <c r="X193" s="8" t="b">
        <f>'RTF 2'!$O62&gt;('RTF 2'!$P62+'RTF 2'!$Q62)</f>
        <v>0</v>
      </c>
      <c r="Y193" s="8" t="b">
        <f>AND(('RTF 2'!$O62+10)&gt;='RTF 2'!$P62,('RTF 2'!$O62-10)&lt;='RTF 2'!$P62,('RTF 2'!$P62+10)&gt;='RTF 2'!$Q62,('RTF 2'!$P62-10)&lt;='RTF 2'!$Q62,('RTF 2'!$O62+10)&gt;='RTF 2'!$Q62,('RTF 2'!$O62-10)&lt;='RTF 2'!$Q62)</f>
        <v>1</v>
      </c>
      <c r="Z193" s="8" t="b">
        <f>AND(('RTF 2'!$O62+10)&gt;='RTF 2'!$P62,('RTF 2'!$O62-10)&lt;='RTF 2'!$P62,OR('RTF 2'!$P62&gt;'RTF 2'!$Y62,'RTF 2'!$O62&gt;'RTF 2'!$Y62))</f>
        <v>0</v>
      </c>
      <c r="AA193" s="11" t="b">
        <f>AND(('RTF 2'!$Q62+10)&gt;='RTF 2'!$P62,('RTF 2'!$Q62-10)&lt;='RTF 2'!$P62,OR('RTF 2'!$P62&gt;'RTF 2'!$Z62,'RTF 2'!$Q62&gt;'RTF 2'!$Z62))</f>
        <v>0</v>
      </c>
      <c r="AB193" s="35" t="b">
        <f t="shared" si="46"/>
        <v>0</v>
      </c>
      <c r="AC193" s="8" t="b">
        <f>'RTF 2'!$Q62&gt;'RTF 2'!$P62</f>
        <v>0</v>
      </c>
      <c r="AD193" s="8" t="b">
        <f>AND('RTF 2'!$P62&gt;='RTF 2'!$Q62,'RTF 2'!$Q62&gt;'RTF 2'!$AA62)</f>
        <v>0</v>
      </c>
      <c r="AE193" s="8" t="b">
        <f>AND('RTF 2'!$AA62&gt;'RTF 2'!$Q62,'RTF 2'!$Q62&gt;'RTF 2'!$AB62)</f>
        <v>0</v>
      </c>
      <c r="AF193" s="8" t="b">
        <f>'RTF 2'!$Q62&lt;'RTF 2'!$AB62</f>
        <v>1</v>
      </c>
    </row>
    <row r="194" spans="1:32" x14ac:dyDescent="0.25">
      <c r="A194" s="8">
        <v>600</v>
      </c>
      <c r="B194" s="395">
        <f t="shared" si="47"/>
        <v>233.15500000000003</v>
      </c>
      <c r="I194" s="49">
        <f>IF('RTF 2'!$D$9=1,'Lookup Tables'!$J194,IF('RTF 2'!$D$9=2,'Lookup Tables'!$K194,IF('RTF 2'!$D$9=3,'Lookup Tables'!$L194,IF('RTF 2'!$D$9=4,'Lookup Tables'!$M194,'Lookup Tables'!$N194))))</f>
        <v>15</v>
      </c>
      <c r="J194">
        <f t="shared" si="42"/>
        <v>20</v>
      </c>
      <c r="K194">
        <f t="shared" si="43"/>
        <v>20</v>
      </c>
      <c r="L194">
        <f>IF('RTF 2'!$D$9=3,'Lookup Tables'!$V$143,0)</f>
        <v>0</v>
      </c>
      <c r="M194">
        <f t="shared" si="44"/>
        <v>40</v>
      </c>
      <c r="N194">
        <f t="shared" si="45"/>
        <v>15</v>
      </c>
      <c r="P194" s="8" t="b">
        <f>'RTF 2'!Q63&gt;'RTF 2'!S63</f>
        <v>0</v>
      </c>
      <c r="Q194" s="8" t="b">
        <f>AND('RTF 2'!S63&gt;='RTF 2'!Q63,'RTF 2'!Q63&gt;'RTF 2'!T63)</f>
        <v>0</v>
      </c>
      <c r="R194" s="35" t="b">
        <f>'RTF 2'!Q63&lt;='RTF 2'!T63</f>
        <v>1</v>
      </c>
      <c r="S194" s="8" t="b">
        <f>'RTF 2'!$Q63&gt;'RTF 2'!$U63</f>
        <v>0</v>
      </c>
      <c r="T194" s="8" t="b">
        <f>AND('RTF 2'!$U63&gt;='RTF 2'!$Q63,'RTF 2'!$Q63&gt;'RTF 2'!$V63)</f>
        <v>0</v>
      </c>
      <c r="U194" s="35" t="b">
        <f>'RTF 2'!$Q63&lt;='RTF 2'!$V63</f>
        <v>1</v>
      </c>
      <c r="V194" s="42"/>
      <c r="W194" s="8" t="b">
        <f>'RTF 2'!$Q63&gt;('RTF 2'!$P63+'RTF 2'!$O63)</f>
        <v>0</v>
      </c>
      <c r="X194" s="8" t="b">
        <f>'RTF 2'!$O63&gt;('RTF 2'!$P63+'RTF 2'!$Q63)</f>
        <v>0</v>
      </c>
      <c r="Y194" s="8" t="b">
        <f>AND(('RTF 2'!$O63+10)&gt;='RTF 2'!$P63,('RTF 2'!$O63-10)&lt;='RTF 2'!$P63,('RTF 2'!$P63+10)&gt;='RTF 2'!$Q63,('RTF 2'!$P63-10)&lt;='RTF 2'!$Q63,('RTF 2'!$O63+10)&gt;='RTF 2'!$Q63,('RTF 2'!$O63-10)&lt;='RTF 2'!$Q63)</f>
        <v>1</v>
      </c>
      <c r="Z194" s="8" t="b">
        <f>AND(('RTF 2'!$O63+10)&gt;='RTF 2'!$P63,('RTF 2'!$O63-10)&lt;='RTF 2'!$P63,OR('RTF 2'!$P63&gt;'RTF 2'!$Y63,'RTF 2'!$O63&gt;'RTF 2'!$Y63))</f>
        <v>0</v>
      </c>
      <c r="AA194" s="11" t="b">
        <f>AND(('RTF 2'!$Q63+10)&gt;='RTF 2'!$P63,('RTF 2'!$Q63-10)&lt;='RTF 2'!$P63,OR('RTF 2'!$P63&gt;'RTF 2'!$Z63,'RTF 2'!$Q63&gt;'RTF 2'!$Z63))</f>
        <v>0</v>
      </c>
      <c r="AB194" s="35" t="b">
        <f t="shared" si="46"/>
        <v>0</v>
      </c>
      <c r="AC194" s="8" t="b">
        <f>'RTF 2'!$Q63&gt;'RTF 2'!$P63</f>
        <v>0</v>
      </c>
      <c r="AD194" s="8" t="b">
        <f>AND('RTF 2'!$P63&gt;='RTF 2'!$Q63,'RTF 2'!$Q63&gt;'RTF 2'!$AA63)</f>
        <v>0</v>
      </c>
      <c r="AE194" s="8" t="b">
        <f>AND('RTF 2'!$AA63&gt;'RTF 2'!$Q63,'RTF 2'!$Q63&gt;'RTF 2'!$AB63)</f>
        <v>0</v>
      </c>
      <c r="AF194" s="8" t="b">
        <f>'RTF 2'!$Q63&lt;'RTF 2'!$AB63</f>
        <v>1</v>
      </c>
    </row>
    <row r="195" spans="1:32" x14ac:dyDescent="0.25">
      <c r="A195" s="8">
        <v>500</v>
      </c>
      <c r="B195" s="395">
        <f t="shared" si="47"/>
        <v>286.25200000000001</v>
      </c>
      <c r="I195" s="49">
        <f>IF('RTF 2'!$D$9=1,'Lookup Tables'!$J195,IF('RTF 2'!$D$9=2,'Lookup Tables'!$K195,IF('RTF 2'!$D$9=3,'Lookup Tables'!$L195,IF('RTF 2'!$D$9=4,'Lookup Tables'!$M195,'Lookup Tables'!$N195))))</f>
        <v>15</v>
      </c>
      <c r="J195">
        <f t="shared" si="42"/>
        <v>20</v>
      </c>
      <c r="K195">
        <f t="shared" si="43"/>
        <v>20</v>
      </c>
      <c r="L195">
        <f>IF('RTF 2'!$D$9=3,'Lookup Tables'!$V$143,0)</f>
        <v>0</v>
      </c>
      <c r="M195">
        <f t="shared" si="44"/>
        <v>40</v>
      </c>
      <c r="N195">
        <f t="shared" si="45"/>
        <v>15</v>
      </c>
      <c r="P195" s="8" t="b">
        <f>'RTF 2'!Q64&gt;'RTF 2'!S64</f>
        <v>0</v>
      </c>
      <c r="Q195" s="8" t="b">
        <f>AND('RTF 2'!S64&gt;='RTF 2'!Q64,'RTF 2'!Q64&gt;'RTF 2'!T64)</f>
        <v>0</v>
      </c>
      <c r="R195" s="35" t="b">
        <f>'RTF 2'!Q64&lt;='RTF 2'!T64</f>
        <v>1</v>
      </c>
      <c r="S195" s="8" t="b">
        <f>'RTF 2'!$Q64&gt;'RTF 2'!$U64</f>
        <v>0</v>
      </c>
      <c r="T195" s="8" t="b">
        <f>AND('RTF 2'!$U64&gt;='RTF 2'!$Q64,'RTF 2'!$Q64&gt;'RTF 2'!$V64)</f>
        <v>0</v>
      </c>
      <c r="U195" s="35" t="b">
        <f>'RTF 2'!$Q64&lt;='RTF 2'!$V64</f>
        <v>1</v>
      </c>
      <c r="V195" s="42"/>
      <c r="W195" s="8" t="b">
        <f>'RTF 2'!$Q64&gt;('RTF 2'!$P64+'RTF 2'!$O64)</f>
        <v>0</v>
      </c>
      <c r="X195" s="8" t="b">
        <f>'RTF 2'!$O64&gt;('RTF 2'!$P64+'RTF 2'!$Q64)</f>
        <v>0</v>
      </c>
      <c r="Y195" s="8" t="b">
        <f>AND(('RTF 2'!$O64+10)&gt;='RTF 2'!$P64,('RTF 2'!$O64-10)&lt;='RTF 2'!$P64,('RTF 2'!$P64+10)&gt;='RTF 2'!$Q64,('RTF 2'!$P64-10)&lt;='RTF 2'!$Q64,('RTF 2'!$O64+10)&gt;='RTF 2'!$Q64,('RTF 2'!$O64-10)&lt;='RTF 2'!$Q64)</f>
        <v>1</v>
      </c>
      <c r="Z195" s="8" t="b">
        <f>AND(('RTF 2'!$O64+10)&gt;='RTF 2'!$P64,('RTF 2'!$O64-10)&lt;='RTF 2'!$P64,OR('RTF 2'!$P64&gt;'RTF 2'!$Y64,'RTF 2'!$O64&gt;'RTF 2'!$Y64))</f>
        <v>0</v>
      </c>
      <c r="AA195" s="11" t="b">
        <f>AND(('RTF 2'!$Q64+10)&gt;='RTF 2'!$P64,('RTF 2'!$Q64-10)&lt;='RTF 2'!$P64,OR('RTF 2'!$P64&gt;'RTF 2'!$Z64,'RTF 2'!$Q64&gt;'RTF 2'!$Z64))</f>
        <v>0</v>
      </c>
      <c r="AB195" s="35" t="b">
        <f t="shared" si="46"/>
        <v>0</v>
      </c>
      <c r="AC195" s="8" t="b">
        <f>'RTF 2'!$Q64&gt;'RTF 2'!$P64</f>
        <v>0</v>
      </c>
      <c r="AD195" s="8" t="b">
        <f>AND('RTF 2'!$P64&gt;='RTF 2'!$Q64,'RTF 2'!$Q64&gt;'RTF 2'!$AA64)</f>
        <v>0</v>
      </c>
      <c r="AE195" s="8" t="b">
        <f>AND('RTF 2'!$AA64&gt;'RTF 2'!$Q64,'RTF 2'!$Q64&gt;'RTF 2'!$AB64)</f>
        <v>0</v>
      </c>
      <c r="AF195" s="8" t="b">
        <f>'RTF 2'!$Q64&lt;'RTF 2'!$AB64</f>
        <v>1</v>
      </c>
    </row>
    <row r="196" spans="1:32" x14ac:dyDescent="0.25">
      <c r="A196" s="8">
        <v>400</v>
      </c>
      <c r="B196" s="395">
        <f t="shared" si="47"/>
        <v>347.17899999999997</v>
      </c>
      <c r="I196" s="49">
        <f>IF('RTF 2'!$D$9=1,'Lookup Tables'!$J196,IF('RTF 2'!$D$9=2,'Lookup Tables'!$K196,IF('RTF 2'!$D$9=3,'Lookup Tables'!$L196,IF('RTF 2'!$D$9=4,'Lookup Tables'!$M196,'Lookup Tables'!$N196))))</f>
        <v>15</v>
      </c>
      <c r="J196">
        <f t="shared" si="42"/>
        <v>20</v>
      </c>
      <c r="K196">
        <f t="shared" si="43"/>
        <v>20</v>
      </c>
      <c r="L196">
        <f>IF('RTF 2'!$D$9=3,'Lookup Tables'!$V$143,0)</f>
        <v>0</v>
      </c>
      <c r="M196">
        <f t="shared" si="44"/>
        <v>40</v>
      </c>
      <c r="N196">
        <f t="shared" si="45"/>
        <v>15</v>
      </c>
      <c r="P196" s="8" t="b">
        <f>'RTF 2'!Q65&gt;'RTF 2'!S65</f>
        <v>0</v>
      </c>
      <c r="Q196" s="8" t="b">
        <f>AND('RTF 2'!S65&gt;='RTF 2'!Q65,'RTF 2'!Q65&gt;'RTF 2'!T65)</f>
        <v>0</v>
      </c>
      <c r="R196" s="35" t="b">
        <f>'RTF 2'!Q65&lt;='RTF 2'!T65</f>
        <v>1</v>
      </c>
      <c r="S196" s="8" t="b">
        <f>'RTF 2'!$Q65&gt;'RTF 2'!$U65</f>
        <v>0</v>
      </c>
      <c r="T196" s="8" t="b">
        <f>AND('RTF 2'!$U65&gt;='RTF 2'!$Q65,'RTF 2'!$Q65&gt;'RTF 2'!$V65)</f>
        <v>0</v>
      </c>
      <c r="U196" s="35" t="b">
        <f>'RTF 2'!$Q65&lt;='RTF 2'!$V65</f>
        <v>1</v>
      </c>
      <c r="V196" s="42"/>
      <c r="W196" s="8" t="b">
        <f>'RTF 2'!$Q65&gt;('RTF 2'!$P65+'RTF 2'!$O65)</f>
        <v>0</v>
      </c>
      <c r="X196" s="8" t="b">
        <f>'RTF 2'!$O65&gt;('RTF 2'!$P65+'RTF 2'!$Q65)</f>
        <v>0</v>
      </c>
      <c r="Y196" s="8" t="b">
        <f>AND(('RTF 2'!$O65+10)&gt;='RTF 2'!$P65,('RTF 2'!$O65-10)&lt;='RTF 2'!$P65,('RTF 2'!$P65+10)&gt;='RTF 2'!$Q65,('RTF 2'!$P65-10)&lt;='RTF 2'!$Q65,('RTF 2'!$O65+10)&gt;='RTF 2'!$Q65,('RTF 2'!$O65-10)&lt;='RTF 2'!$Q65)</f>
        <v>1</v>
      </c>
      <c r="Z196" s="8" t="b">
        <f>AND(('RTF 2'!$O65+10)&gt;='RTF 2'!$P65,('RTF 2'!$O65-10)&lt;='RTF 2'!$P65,OR('RTF 2'!$P65&gt;'RTF 2'!$Y65,'RTF 2'!$O65&gt;'RTF 2'!$Y65))</f>
        <v>0</v>
      </c>
      <c r="AA196" s="11" t="b">
        <f>AND(('RTF 2'!$Q65+10)&gt;='RTF 2'!$P65,('RTF 2'!$Q65-10)&lt;='RTF 2'!$P65,OR('RTF 2'!$P65&gt;'RTF 2'!$Z65,'RTF 2'!$Q65&gt;'RTF 2'!$Z65))</f>
        <v>0</v>
      </c>
      <c r="AB196" s="35" t="b">
        <f t="shared" si="46"/>
        <v>0</v>
      </c>
      <c r="AC196" s="8" t="b">
        <f>'RTF 2'!$Q65&gt;'RTF 2'!$P65</f>
        <v>0</v>
      </c>
      <c r="AD196" s="8" t="b">
        <f>AND('RTF 2'!$P65&gt;='RTF 2'!$Q65,'RTF 2'!$Q65&gt;'RTF 2'!$AA65)</f>
        <v>0</v>
      </c>
      <c r="AE196" s="8" t="b">
        <f>AND('RTF 2'!$AA65&gt;'RTF 2'!$Q65,'RTF 2'!$Q65&gt;'RTF 2'!$AB65)</f>
        <v>0</v>
      </c>
      <c r="AF196" s="8" t="b">
        <f>'RTF 2'!$Q65&lt;'RTF 2'!$AB65</f>
        <v>1</v>
      </c>
    </row>
    <row r="197" spans="1:32" x14ac:dyDescent="0.25">
      <c r="A197" s="8">
        <v>300</v>
      </c>
      <c r="B197" s="395">
        <f t="shared" si="47"/>
        <v>415.93600000000004</v>
      </c>
      <c r="I197" s="49">
        <f>IF('RTF 2'!$D$9=1,'Lookup Tables'!$J197,IF('RTF 2'!$D$9=2,'Lookup Tables'!$K197,IF('RTF 2'!$D$9=3,'Lookup Tables'!$L197,IF('RTF 2'!$D$9=4,'Lookup Tables'!$M197,'Lookup Tables'!$N197))))</f>
        <v>15</v>
      </c>
      <c r="J197">
        <f t="shared" si="42"/>
        <v>20</v>
      </c>
      <c r="K197">
        <f t="shared" si="43"/>
        <v>20</v>
      </c>
      <c r="L197">
        <f>IF('RTF 2'!$D$9=3,'Lookup Tables'!$V$143,0)</f>
        <v>0</v>
      </c>
      <c r="M197">
        <f t="shared" si="44"/>
        <v>40</v>
      </c>
      <c r="N197">
        <f t="shared" si="45"/>
        <v>15</v>
      </c>
      <c r="P197" s="8" t="b">
        <f>'RTF 2'!Q66&gt;'RTF 2'!S66</f>
        <v>0</v>
      </c>
      <c r="Q197" s="8" t="b">
        <f>AND('RTF 2'!S66&gt;='RTF 2'!Q66,'RTF 2'!Q66&gt;'RTF 2'!T66)</f>
        <v>0</v>
      </c>
      <c r="R197" s="35" t="b">
        <f>'RTF 2'!Q66&lt;='RTF 2'!T66</f>
        <v>1</v>
      </c>
      <c r="S197" s="8" t="b">
        <f>'RTF 2'!$Q66&gt;'RTF 2'!$U66</f>
        <v>0</v>
      </c>
      <c r="T197" s="8" t="b">
        <f>AND('RTF 2'!$U66&gt;='RTF 2'!$Q66,'RTF 2'!$Q66&gt;'RTF 2'!$V66)</f>
        <v>0</v>
      </c>
      <c r="U197" s="35" t="b">
        <f>'RTF 2'!$Q66&lt;='RTF 2'!$V66</f>
        <v>1</v>
      </c>
      <c r="V197" s="42"/>
      <c r="W197" s="8" t="b">
        <f>'RTF 2'!$Q66&gt;('RTF 2'!$P66+'RTF 2'!$O66)</f>
        <v>0</v>
      </c>
      <c r="X197" s="8" t="b">
        <f>'RTF 2'!$O66&gt;('RTF 2'!$P66+'RTF 2'!$Q66)</f>
        <v>0</v>
      </c>
      <c r="Y197" s="8" t="b">
        <f>AND(('RTF 2'!$O66+10)&gt;='RTF 2'!$P66,('RTF 2'!$O66-10)&lt;='RTF 2'!$P66,('RTF 2'!$P66+10)&gt;='RTF 2'!$Q66,('RTF 2'!$P66-10)&lt;='RTF 2'!$Q66,('RTF 2'!$O66+10)&gt;='RTF 2'!$Q66,('RTF 2'!$O66-10)&lt;='RTF 2'!$Q66)</f>
        <v>1</v>
      </c>
      <c r="Z197" s="8" t="b">
        <f>AND(('RTF 2'!$O66+10)&gt;='RTF 2'!$P66,('RTF 2'!$O66-10)&lt;='RTF 2'!$P66,OR('RTF 2'!$P66&gt;'RTF 2'!$Y66,'RTF 2'!$O66&gt;'RTF 2'!$Y66))</f>
        <v>0</v>
      </c>
      <c r="AA197" s="11" t="b">
        <f>AND(('RTF 2'!$Q66+10)&gt;='RTF 2'!$P66,('RTF 2'!$Q66-10)&lt;='RTF 2'!$P66,OR('RTF 2'!$P66&gt;'RTF 2'!$Z66,'RTF 2'!$Q66&gt;'RTF 2'!$Z66))</f>
        <v>0</v>
      </c>
      <c r="AB197" s="35" t="b">
        <f t="shared" si="46"/>
        <v>0</v>
      </c>
      <c r="AC197" s="8" t="b">
        <f>'RTF 2'!$Q66&gt;'RTF 2'!$P66</f>
        <v>0</v>
      </c>
      <c r="AD197" s="8" t="b">
        <f>AND('RTF 2'!$P66&gt;='RTF 2'!$Q66,'RTF 2'!$Q66&gt;'RTF 2'!$AA66)</f>
        <v>0</v>
      </c>
      <c r="AE197" s="8" t="b">
        <f>AND('RTF 2'!$AA66&gt;'RTF 2'!$Q66,'RTF 2'!$Q66&gt;'RTF 2'!$AB66)</f>
        <v>0</v>
      </c>
      <c r="AF197" s="8" t="b">
        <f>'RTF 2'!$Q66&lt;'RTF 2'!$AB66</f>
        <v>1</v>
      </c>
    </row>
    <row r="198" spans="1:32" x14ac:dyDescent="0.25">
      <c r="A198" s="8">
        <v>260</v>
      </c>
      <c r="B198" s="395">
        <f t="shared" si="47"/>
        <v>445.63119999999998</v>
      </c>
      <c r="I198" s="49">
        <f>IF('RTF 2'!$D$9=1,'Lookup Tables'!$J198,IF('RTF 2'!$D$9=2,'Lookup Tables'!$K198,IF('RTF 2'!$D$9=3,'Lookup Tables'!$L198,IF('RTF 2'!$D$9=4,'Lookup Tables'!$M198,'Lookup Tables'!$N198))))</f>
        <v>15</v>
      </c>
      <c r="J198">
        <f t="shared" si="42"/>
        <v>20</v>
      </c>
      <c r="K198">
        <f t="shared" si="43"/>
        <v>20</v>
      </c>
      <c r="L198">
        <f>IF('RTF 2'!$D$9=3,'Lookup Tables'!$V$143,0)</f>
        <v>0</v>
      </c>
      <c r="M198">
        <f t="shared" si="44"/>
        <v>40</v>
      </c>
      <c r="N198">
        <f t="shared" si="45"/>
        <v>15</v>
      </c>
      <c r="P198" s="8" t="b">
        <f>'RTF 2'!Q67&gt;'RTF 2'!S67</f>
        <v>0</v>
      </c>
      <c r="Q198" s="8" t="b">
        <f>AND('RTF 2'!S67&gt;='RTF 2'!Q67,'RTF 2'!Q67&gt;'RTF 2'!T67)</f>
        <v>0</v>
      </c>
      <c r="R198" s="35" t="b">
        <f>'RTF 2'!Q67&lt;='RTF 2'!T67</f>
        <v>1</v>
      </c>
      <c r="S198" s="8" t="b">
        <f>'RTF 2'!$Q67&gt;'RTF 2'!$U67</f>
        <v>0</v>
      </c>
      <c r="T198" s="8" t="b">
        <f>AND('RTF 2'!$U67&gt;='RTF 2'!$Q67,'RTF 2'!$Q67&gt;'RTF 2'!$V67)</f>
        <v>0</v>
      </c>
      <c r="U198" s="35" t="b">
        <f>'RTF 2'!$Q67&lt;='RTF 2'!$V67</f>
        <v>1</v>
      </c>
      <c r="V198" s="42"/>
      <c r="W198" s="8" t="b">
        <f>'RTF 2'!$Q67&gt;('RTF 2'!$P67+'RTF 2'!$O67)</f>
        <v>0</v>
      </c>
      <c r="X198" s="8" t="b">
        <f>'RTF 2'!$O67&gt;('RTF 2'!$P67+'RTF 2'!$Q67)</f>
        <v>0</v>
      </c>
      <c r="Y198" s="8" t="b">
        <f>AND(('RTF 2'!$O67+10)&gt;='RTF 2'!$P67,('RTF 2'!$O67-10)&lt;='RTF 2'!$P67,('RTF 2'!$P67+10)&gt;='RTF 2'!$Q67,('RTF 2'!$P67-10)&lt;='RTF 2'!$Q67,('RTF 2'!$O67+10)&gt;='RTF 2'!$Q67,('RTF 2'!$O67-10)&lt;='RTF 2'!$Q67)</f>
        <v>1</v>
      </c>
      <c r="Z198" s="8" t="b">
        <f>AND(('RTF 2'!$O67+10)&gt;='RTF 2'!$P67,('RTF 2'!$O67-10)&lt;='RTF 2'!$P67,OR('RTF 2'!$P67&gt;'RTF 2'!$Y67,'RTF 2'!$O67&gt;'RTF 2'!$Y67))</f>
        <v>0</v>
      </c>
      <c r="AA198" s="11" t="b">
        <f>AND(('RTF 2'!$Q67+10)&gt;='RTF 2'!$P67,('RTF 2'!$Q67-10)&lt;='RTF 2'!$P67,OR('RTF 2'!$P67&gt;'RTF 2'!$Z67,'RTF 2'!$Q67&gt;'RTF 2'!$Z67))</f>
        <v>0</v>
      </c>
      <c r="AB198" s="35" t="b">
        <f t="shared" si="46"/>
        <v>0</v>
      </c>
      <c r="AC198" s="8" t="b">
        <f>'RTF 2'!$Q67&gt;'RTF 2'!$P67</f>
        <v>0</v>
      </c>
      <c r="AD198" s="8" t="b">
        <f>AND('RTF 2'!$P67&gt;='RTF 2'!$Q67,'RTF 2'!$Q67&gt;'RTF 2'!$AA67)</f>
        <v>0</v>
      </c>
      <c r="AE198" s="8" t="b">
        <f>AND('RTF 2'!$AA67&gt;'RTF 2'!$Q67,'RTF 2'!$Q67&gt;'RTF 2'!$AB67)</f>
        <v>0</v>
      </c>
      <c r="AF198" s="8" t="b">
        <f>'RTF 2'!$Q67&lt;'RTF 2'!$AB67</f>
        <v>1</v>
      </c>
    </row>
    <row r="199" spans="1:32" x14ac:dyDescent="0.25">
      <c r="I199" s="49">
        <f>IF('RTF 2'!$D$9=1,'Lookup Tables'!$J199,IF('RTF 2'!$D$9=2,'Lookup Tables'!$K199,IF('RTF 2'!$D$9=3,'Lookup Tables'!$L199,IF('RTF 2'!$D$9=4,'Lookup Tables'!$M199,'Lookup Tables'!$N199))))</f>
        <v>15</v>
      </c>
      <c r="J199">
        <f t="shared" si="42"/>
        <v>20</v>
      </c>
      <c r="K199">
        <f t="shared" si="43"/>
        <v>20</v>
      </c>
      <c r="L199">
        <f>IF('RTF 2'!$D$9=3,'Lookup Tables'!$V$143,0)</f>
        <v>0</v>
      </c>
      <c r="M199">
        <f t="shared" si="44"/>
        <v>40</v>
      </c>
      <c r="N199">
        <f t="shared" si="45"/>
        <v>15</v>
      </c>
      <c r="P199" s="8" t="b">
        <f>'RTF 2'!Q68&gt;'RTF 2'!S68</f>
        <v>0</v>
      </c>
      <c r="Q199" s="8" t="b">
        <f>AND('RTF 2'!S68&gt;='RTF 2'!Q68,'RTF 2'!Q68&gt;'RTF 2'!T68)</f>
        <v>0</v>
      </c>
      <c r="R199" s="35" t="b">
        <f>'RTF 2'!Q68&lt;='RTF 2'!T68</f>
        <v>1</v>
      </c>
      <c r="S199" s="8" t="b">
        <f>'RTF 2'!$Q68&gt;'RTF 2'!$U68</f>
        <v>0</v>
      </c>
      <c r="T199" s="8" t="b">
        <f>AND('RTF 2'!$U68&gt;='RTF 2'!$Q68,'RTF 2'!$Q68&gt;'RTF 2'!$V68)</f>
        <v>0</v>
      </c>
      <c r="U199" s="35" t="b">
        <f>'RTF 2'!$Q68&lt;='RTF 2'!$V68</f>
        <v>1</v>
      </c>
      <c r="V199" s="42"/>
      <c r="W199" s="8" t="b">
        <f>'RTF 2'!$Q68&gt;('RTF 2'!$P68+'RTF 2'!$O68)</f>
        <v>0</v>
      </c>
      <c r="X199" s="8" t="b">
        <f>'RTF 2'!$O68&gt;('RTF 2'!$P68+'RTF 2'!$Q68)</f>
        <v>0</v>
      </c>
      <c r="Y199" s="8" t="b">
        <f>AND(('RTF 2'!$O68+10)&gt;='RTF 2'!$P68,('RTF 2'!$O68-10)&lt;='RTF 2'!$P68,('RTF 2'!$P68+10)&gt;='RTF 2'!$Q68,('RTF 2'!$P68-10)&lt;='RTF 2'!$Q68,('RTF 2'!$O68+10)&gt;='RTF 2'!$Q68,('RTF 2'!$O68-10)&lt;='RTF 2'!$Q68)</f>
        <v>1</v>
      </c>
      <c r="Z199" s="8" t="b">
        <f>AND(('RTF 2'!$O68+10)&gt;='RTF 2'!$P68,('RTF 2'!$O68-10)&lt;='RTF 2'!$P68,OR('RTF 2'!$P68&gt;'RTF 2'!$Y68,'RTF 2'!$O68&gt;'RTF 2'!$Y68))</f>
        <v>0</v>
      </c>
      <c r="AA199" s="11" t="b">
        <f>AND(('RTF 2'!$Q68+10)&gt;='RTF 2'!$P68,('RTF 2'!$Q68-10)&lt;='RTF 2'!$P68,OR('RTF 2'!$P68&gt;'RTF 2'!$Z68,'RTF 2'!$Q68&gt;'RTF 2'!$Z68))</f>
        <v>0</v>
      </c>
      <c r="AB199" s="35" t="b">
        <f t="shared" si="46"/>
        <v>0</v>
      </c>
      <c r="AC199" s="8" t="b">
        <f>'RTF 2'!$Q68&gt;'RTF 2'!$P68</f>
        <v>0</v>
      </c>
      <c r="AD199" s="8" t="b">
        <f>AND('RTF 2'!$P68&gt;='RTF 2'!$Q68,'RTF 2'!$Q68&gt;'RTF 2'!$AA68)</f>
        <v>0</v>
      </c>
      <c r="AE199" s="8" t="b">
        <f>AND('RTF 2'!$AA68&gt;'RTF 2'!$Q68,'RTF 2'!$Q68&gt;'RTF 2'!$AB68)</f>
        <v>0</v>
      </c>
      <c r="AF199" s="8" t="b">
        <f>'RTF 2'!$Q68&lt;'RTF 2'!$AB68</f>
        <v>1</v>
      </c>
    </row>
    <row r="200" spans="1:32" x14ac:dyDescent="0.25">
      <c r="A200" s="819" t="s">
        <v>419</v>
      </c>
      <c r="B200" s="819"/>
      <c r="C200" s="819"/>
      <c r="D200" s="819"/>
      <c r="E200" s="819"/>
      <c r="F200" s="819"/>
      <c r="I200" s="49">
        <f>IF('RTF 2'!$D$9=1,'Lookup Tables'!$J200,IF('RTF 2'!$D$9=2,'Lookup Tables'!$K200,IF('RTF 2'!$D$9=3,'Lookup Tables'!$L200,IF('RTF 2'!$D$9=4,'Lookup Tables'!$M200,'Lookup Tables'!$N200))))</f>
        <v>15</v>
      </c>
      <c r="J200">
        <f t="shared" si="42"/>
        <v>20</v>
      </c>
      <c r="K200">
        <f t="shared" si="43"/>
        <v>20</v>
      </c>
      <c r="L200">
        <f>IF('RTF 2'!$D$9=3,'Lookup Tables'!$V$143,0)</f>
        <v>0</v>
      </c>
      <c r="M200">
        <f t="shared" si="44"/>
        <v>40</v>
      </c>
      <c r="N200">
        <f t="shared" si="45"/>
        <v>15</v>
      </c>
      <c r="P200" s="8" t="b">
        <f>'RTF 2'!Q69&gt;'RTF 2'!S69</f>
        <v>0</v>
      </c>
      <c r="Q200" s="8" t="b">
        <f>AND('RTF 2'!S69&gt;='RTF 2'!Q69,'RTF 2'!Q69&gt;'RTF 2'!T69)</f>
        <v>0</v>
      </c>
      <c r="R200" s="35" t="b">
        <f>'RTF 2'!Q69&lt;='RTF 2'!T69</f>
        <v>1</v>
      </c>
      <c r="S200" s="8" t="b">
        <f>'RTF 2'!$Q69&gt;'RTF 2'!$U69</f>
        <v>0</v>
      </c>
      <c r="T200" s="8" t="b">
        <f>AND('RTF 2'!$U69&gt;='RTF 2'!$Q69,'RTF 2'!$Q69&gt;'RTF 2'!$V69)</f>
        <v>0</v>
      </c>
      <c r="U200" s="35" t="b">
        <f>'RTF 2'!$Q69&lt;='RTF 2'!$V69</f>
        <v>1</v>
      </c>
      <c r="V200" s="42"/>
      <c r="W200" s="8" t="b">
        <f>'RTF 2'!$Q69&gt;('RTF 2'!$P69+'RTF 2'!$O69)</f>
        <v>0</v>
      </c>
      <c r="X200" s="8" t="b">
        <f>'RTF 2'!$O69&gt;('RTF 2'!$P69+'RTF 2'!$Q69)</f>
        <v>0</v>
      </c>
      <c r="Y200" s="8" t="b">
        <f>AND(('RTF 2'!$O69+10)&gt;='RTF 2'!$P69,('RTF 2'!$O69-10)&lt;='RTF 2'!$P69,('RTF 2'!$P69+10)&gt;='RTF 2'!$Q69,('RTF 2'!$P69-10)&lt;='RTF 2'!$Q69,('RTF 2'!$O69+10)&gt;='RTF 2'!$Q69,('RTF 2'!$O69-10)&lt;='RTF 2'!$Q69)</f>
        <v>1</v>
      </c>
      <c r="Z200" s="8" t="b">
        <f>AND(('RTF 2'!$O69+10)&gt;='RTF 2'!$P69,('RTF 2'!$O69-10)&lt;='RTF 2'!$P69,OR('RTF 2'!$P69&gt;'RTF 2'!$Y69,'RTF 2'!$O69&gt;'RTF 2'!$Y69))</f>
        <v>0</v>
      </c>
      <c r="AA200" s="11" t="b">
        <f>AND(('RTF 2'!$Q69+10)&gt;='RTF 2'!$P69,('RTF 2'!$Q69-10)&lt;='RTF 2'!$P69,OR('RTF 2'!$P69&gt;'RTF 2'!$Z69,'RTF 2'!$Q69&gt;'RTF 2'!$Z69))</f>
        <v>0</v>
      </c>
      <c r="AB200" s="35" t="b">
        <f t="shared" si="46"/>
        <v>0</v>
      </c>
      <c r="AC200" s="8" t="b">
        <f>'RTF 2'!$Q69&gt;'RTF 2'!$P69</f>
        <v>0</v>
      </c>
      <c r="AD200" s="8" t="b">
        <f>AND('RTF 2'!$P69&gt;='RTF 2'!$Q69,'RTF 2'!$Q69&gt;'RTF 2'!$AA69)</f>
        <v>0</v>
      </c>
      <c r="AE200" s="8" t="b">
        <f>AND('RTF 2'!$AA69&gt;'RTF 2'!$Q69,'RTF 2'!$Q69&gt;'RTF 2'!$AB69)</f>
        <v>0</v>
      </c>
      <c r="AF200" s="8" t="b">
        <f>'RTF 2'!$Q69&lt;'RTF 2'!$AB69</f>
        <v>1</v>
      </c>
    </row>
    <row r="201" spans="1:32" x14ac:dyDescent="0.25">
      <c r="A201" s="819"/>
      <c r="B201" s="819"/>
      <c r="C201" s="819"/>
      <c r="D201" s="819"/>
      <c r="E201" s="819"/>
      <c r="F201" s="819"/>
      <c r="I201" s="49">
        <f>IF('RTF 2'!$D$9=1,'Lookup Tables'!$J201,IF('RTF 2'!$D$9=2,'Lookup Tables'!$K201,IF('RTF 2'!$D$9=3,'Lookup Tables'!$L201,IF('RTF 2'!$D$9=4,'Lookup Tables'!$M201,'Lookup Tables'!$N201))))</f>
        <v>15</v>
      </c>
      <c r="J201">
        <f t="shared" si="42"/>
        <v>20</v>
      </c>
      <c r="K201">
        <f t="shared" si="43"/>
        <v>20</v>
      </c>
      <c r="L201">
        <f>IF('RTF 2'!$D$9=3,'Lookup Tables'!$V$143,0)</f>
        <v>0</v>
      </c>
      <c r="M201">
        <f t="shared" si="44"/>
        <v>40</v>
      </c>
      <c r="N201">
        <f t="shared" si="45"/>
        <v>15</v>
      </c>
      <c r="P201" s="8" t="b">
        <f>'RTF 2'!Q70&gt;'RTF 2'!S70</f>
        <v>0</v>
      </c>
      <c r="Q201" s="8" t="b">
        <f>AND('RTF 2'!S70&gt;='RTF 2'!Q70,'RTF 2'!Q70&gt;'RTF 2'!T70)</f>
        <v>0</v>
      </c>
      <c r="R201" s="35" t="b">
        <f>'RTF 2'!Q70&lt;='RTF 2'!T70</f>
        <v>1</v>
      </c>
      <c r="S201" s="8" t="b">
        <f>'RTF 2'!$Q70&gt;'RTF 2'!$U70</f>
        <v>0</v>
      </c>
      <c r="T201" s="8" t="b">
        <f>AND('RTF 2'!$U70&gt;='RTF 2'!$Q70,'RTF 2'!$Q70&gt;'RTF 2'!$V70)</f>
        <v>0</v>
      </c>
      <c r="U201" s="35" t="b">
        <f>'RTF 2'!$Q70&lt;='RTF 2'!$V70</f>
        <v>1</v>
      </c>
      <c r="V201" s="42"/>
      <c r="W201" s="8" t="b">
        <f>'RTF 2'!$Q70&gt;('RTF 2'!$P70+'RTF 2'!$O70)</f>
        <v>0</v>
      </c>
      <c r="X201" s="8" t="b">
        <f>'RTF 2'!$O70&gt;('RTF 2'!$P70+'RTF 2'!$Q70)</f>
        <v>0</v>
      </c>
      <c r="Y201" s="8" t="b">
        <f>AND(('RTF 2'!$O70+10)&gt;='RTF 2'!$P70,('RTF 2'!$O70-10)&lt;='RTF 2'!$P70,('RTF 2'!$P70+10)&gt;='RTF 2'!$Q70,('RTF 2'!$P70-10)&lt;='RTF 2'!$Q70,('RTF 2'!$O70+10)&gt;='RTF 2'!$Q70,('RTF 2'!$O70-10)&lt;='RTF 2'!$Q70)</f>
        <v>1</v>
      </c>
      <c r="Z201" s="8" t="b">
        <f>AND(('RTF 2'!$O70+10)&gt;='RTF 2'!$P70,('RTF 2'!$O70-10)&lt;='RTF 2'!$P70,OR('RTF 2'!$P70&gt;'RTF 2'!$Y70,'RTF 2'!$O70&gt;'RTF 2'!$Y70))</f>
        <v>0</v>
      </c>
      <c r="AA201" s="11" t="b">
        <f>AND(('RTF 2'!$Q70+10)&gt;='RTF 2'!$P70,('RTF 2'!$Q70-10)&lt;='RTF 2'!$P70,OR('RTF 2'!$P70&gt;'RTF 2'!$Z70,'RTF 2'!$Q70&gt;'RTF 2'!$Z70))</f>
        <v>0</v>
      </c>
      <c r="AB201" s="35" t="b">
        <f t="shared" si="46"/>
        <v>0</v>
      </c>
      <c r="AC201" s="8" t="b">
        <f>'RTF 2'!$Q70&gt;'RTF 2'!$P70</f>
        <v>0</v>
      </c>
      <c r="AD201" s="8" t="b">
        <f>AND('RTF 2'!$P70&gt;='RTF 2'!$Q70,'RTF 2'!$Q70&gt;'RTF 2'!$AA70)</f>
        <v>0</v>
      </c>
      <c r="AE201" s="8" t="b">
        <f>AND('RTF 2'!$AA70&gt;'RTF 2'!$Q70,'RTF 2'!$Q70&gt;'RTF 2'!$AB70)</f>
        <v>0</v>
      </c>
      <c r="AF201" s="8" t="b">
        <f>'RTF 2'!$Q70&lt;'RTF 2'!$AB70</f>
        <v>1</v>
      </c>
    </row>
    <row r="202" spans="1:32" x14ac:dyDescent="0.25">
      <c r="A202" s="819"/>
      <c r="B202" s="819"/>
      <c r="C202" s="819"/>
      <c r="D202" s="819"/>
      <c r="E202" s="819"/>
      <c r="F202" s="819"/>
      <c r="I202" s="49">
        <f>IF('RTF 2'!$D$9=1,'Lookup Tables'!$J202,IF('RTF 2'!$D$9=2,'Lookup Tables'!$K202,IF('RTF 2'!$D$9=3,'Lookup Tables'!$L202,IF('RTF 2'!$D$9=4,'Lookup Tables'!$M202,'Lookup Tables'!$N202))))</f>
        <v>15</v>
      </c>
      <c r="J202">
        <f t="shared" si="42"/>
        <v>20</v>
      </c>
      <c r="K202">
        <f t="shared" si="43"/>
        <v>20</v>
      </c>
      <c r="L202">
        <f>IF('RTF 2'!$D$9=3,'Lookup Tables'!$V$143,0)</f>
        <v>0</v>
      </c>
      <c r="M202">
        <f t="shared" si="44"/>
        <v>40</v>
      </c>
      <c r="N202">
        <f t="shared" si="45"/>
        <v>15</v>
      </c>
      <c r="P202" s="8" t="b">
        <f>'RTF 2'!Q71&gt;'RTF 2'!S71</f>
        <v>0</v>
      </c>
      <c r="Q202" s="8" t="b">
        <f>AND('RTF 2'!S71&gt;='RTF 2'!Q71,'RTF 2'!Q71&gt;'RTF 2'!T71)</f>
        <v>0</v>
      </c>
      <c r="R202" s="35" t="b">
        <f>'RTF 2'!Q71&lt;='RTF 2'!T71</f>
        <v>1</v>
      </c>
      <c r="S202" s="8" t="b">
        <f>'RTF 2'!$Q71&gt;'RTF 2'!$U71</f>
        <v>0</v>
      </c>
      <c r="T202" s="8" t="b">
        <f>AND('RTF 2'!$U71&gt;='RTF 2'!$Q71,'RTF 2'!$Q71&gt;'RTF 2'!$V71)</f>
        <v>0</v>
      </c>
      <c r="U202" s="35" t="b">
        <f>'RTF 2'!$Q71&lt;='RTF 2'!$V71</f>
        <v>1</v>
      </c>
      <c r="V202" s="42"/>
      <c r="W202" s="8" t="b">
        <f>'RTF 2'!$Q71&gt;('RTF 2'!$P71+'RTF 2'!$O71)</f>
        <v>0</v>
      </c>
      <c r="X202" s="8" t="b">
        <f>'RTF 2'!$O71&gt;('RTF 2'!$P71+'RTF 2'!$Q71)</f>
        <v>0</v>
      </c>
      <c r="Y202" s="8" t="b">
        <f>AND(('RTF 2'!$O71+10)&gt;='RTF 2'!$P71,('RTF 2'!$O71-10)&lt;='RTF 2'!$P71,('RTF 2'!$P71+10)&gt;='RTF 2'!$Q71,('RTF 2'!$P71-10)&lt;='RTF 2'!$Q71,('RTF 2'!$O71+10)&gt;='RTF 2'!$Q71,('RTF 2'!$O71-10)&lt;='RTF 2'!$Q71)</f>
        <v>1</v>
      </c>
      <c r="Z202" s="8" t="b">
        <f>AND(('RTF 2'!$O71+10)&gt;='RTF 2'!$P71,('RTF 2'!$O71-10)&lt;='RTF 2'!$P71,OR('RTF 2'!$P71&gt;'RTF 2'!$Y71,'RTF 2'!$O71&gt;'RTF 2'!$Y71))</f>
        <v>0</v>
      </c>
      <c r="AA202" s="11" t="b">
        <f>AND(('RTF 2'!$Q71+10)&gt;='RTF 2'!$P71,('RTF 2'!$Q71-10)&lt;='RTF 2'!$P71,OR('RTF 2'!$P71&gt;'RTF 2'!$Z71,'RTF 2'!$Q71&gt;'RTF 2'!$Z71))</f>
        <v>0</v>
      </c>
      <c r="AB202" s="35" t="b">
        <f t="shared" si="46"/>
        <v>0</v>
      </c>
      <c r="AC202" s="8" t="b">
        <f>'RTF 2'!$Q71&gt;'RTF 2'!$P71</f>
        <v>0</v>
      </c>
      <c r="AD202" s="8" t="b">
        <f>AND('RTF 2'!$P71&gt;='RTF 2'!$Q71,'RTF 2'!$Q71&gt;'RTF 2'!$AA71)</f>
        <v>0</v>
      </c>
      <c r="AE202" s="8" t="b">
        <f>AND('RTF 2'!$AA71&gt;'RTF 2'!$Q71,'RTF 2'!$Q71&gt;'RTF 2'!$AB71)</f>
        <v>0</v>
      </c>
      <c r="AF202" s="8" t="b">
        <f>'RTF 2'!$Q71&lt;'RTF 2'!$AB71</f>
        <v>1</v>
      </c>
    </row>
    <row r="203" spans="1:32" x14ac:dyDescent="0.25">
      <c r="A203" s="26" t="s">
        <v>354</v>
      </c>
      <c r="B203" s="26" t="s">
        <v>355</v>
      </c>
      <c r="C203" s="26" t="s">
        <v>421</v>
      </c>
      <c r="D203" s="26" t="s">
        <v>421</v>
      </c>
      <c r="E203" s="26" t="s">
        <v>422</v>
      </c>
      <c r="F203" s="26" t="s">
        <v>423</v>
      </c>
      <c r="I203" s="49">
        <f>IF('RTF 2'!$D$9=1,'Lookup Tables'!$J203,IF('RTF 2'!$D$9=2,'Lookup Tables'!$K203,IF('RTF 2'!$D$9=3,'Lookup Tables'!$L203,IF('RTF 2'!$D$9=4,'Lookup Tables'!$M203,'Lookup Tables'!$N203))))</f>
        <v>15</v>
      </c>
      <c r="J203">
        <f t="shared" si="42"/>
        <v>20</v>
      </c>
      <c r="K203">
        <f t="shared" si="43"/>
        <v>20</v>
      </c>
      <c r="L203">
        <f>IF('RTF 2'!$D$9=3,'Lookup Tables'!$V$143,0)</f>
        <v>0</v>
      </c>
      <c r="M203">
        <f t="shared" si="44"/>
        <v>40</v>
      </c>
      <c r="N203">
        <f t="shared" si="45"/>
        <v>15</v>
      </c>
      <c r="P203" s="8" t="b">
        <f>'RTF 2'!Q72&gt;'RTF 2'!S72</f>
        <v>0</v>
      </c>
      <c r="Q203" s="8" t="b">
        <f>AND('RTF 2'!S72&gt;='RTF 2'!Q72,'RTF 2'!Q72&gt;'RTF 2'!T72)</f>
        <v>0</v>
      </c>
      <c r="R203" s="35" t="b">
        <f>'RTF 2'!Q72&lt;='RTF 2'!T72</f>
        <v>1</v>
      </c>
      <c r="S203" s="8" t="b">
        <f>'RTF 2'!$Q72&gt;'RTF 2'!$U72</f>
        <v>0</v>
      </c>
      <c r="T203" s="8" t="b">
        <f>AND('RTF 2'!$U72&gt;='RTF 2'!$Q72,'RTF 2'!$Q72&gt;'RTF 2'!$V72)</f>
        <v>0</v>
      </c>
      <c r="U203" s="35" t="b">
        <f>'RTF 2'!$Q72&lt;='RTF 2'!$V72</f>
        <v>1</v>
      </c>
      <c r="V203" s="42"/>
      <c r="W203" s="8" t="b">
        <f>'RTF 2'!$Q72&gt;('RTF 2'!$P72+'RTF 2'!$O72)</f>
        <v>0</v>
      </c>
      <c r="X203" s="8" t="b">
        <f>'RTF 2'!$O72&gt;('RTF 2'!$P72+'RTF 2'!$Q72)</f>
        <v>0</v>
      </c>
      <c r="Y203" s="8" t="b">
        <f>AND(('RTF 2'!$O72+10)&gt;='RTF 2'!$P72,('RTF 2'!$O72-10)&lt;='RTF 2'!$P72,('RTF 2'!$P72+10)&gt;='RTF 2'!$Q72,('RTF 2'!$P72-10)&lt;='RTF 2'!$Q72,('RTF 2'!$O72+10)&gt;='RTF 2'!$Q72,('RTF 2'!$O72-10)&lt;='RTF 2'!$Q72)</f>
        <v>1</v>
      </c>
      <c r="Z203" s="8" t="b">
        <f>AND(('RTF 2'!$O72+10)&gt;='RTF 2'!$P72,('RTF 2'!$O72-10)&lt;='RTF 2'!$P72,OR('RTF 2'!$P72&gt;'RTF 2'!$Y72,'RTF 2'!$O72&gt;'RTF 2'!$Y72))</f>
        <v>0</v>
      </c>
      <c r="AA203" s="11" t="b">
        <f>AND(('RTF 2'!$Q72+10)&gt;='RTF 2'!$P72,('RTF 2'!$Q72-10)&lt;='RTF 2'!$P72,OR('RTF 2'!$P72&gt;'RTF 2'!$Z72,'RTF 2'!$Q72&gt;'RTF 2'!$Z72))</f>
        <v>0</v>
      </c>
      <c r="AB203" s="35" t="b">
        <f t="shared" si="46"/>
        <v>0</v>
      </c>
      <c r="AC203" s="8" t="b">
        <f>'RTF 2'!$Q72&gt;'RTF 2'!$P72</f>
        <v>0</v>
      </c>
      <c r="AD203" s="8" t="b">
        <f>AND('RTF 2'!$P72&gt;='RTF 2'!$Q72,'RTF 2'!$Q72&gt;'RTF 2'!$AA72)</f>
        <v>0</v>
      </c>
      <c r="AE203" s="8" t="b">
        <f>AND('RTF 2'!$AA72&gt;'RTF 2'!$Q72,'RTF 2'!$Q72&gt;'RTF 2'!$AB72)</f>
        <v>0</v>
      </c>
      <c r="AF203" s="8" t="b">
        <f>'RTF 2'!$Q72&lt;'RTF 2'!$AB72</f>
        <v>1</v>
      </c>
    </row>
    <row r="204" spans="1:32" x14ac:dyDescent="0.25">
      <c r="A204" s="26" t="s">
        <v>420</v>
      </c>
      <c r="B204" s="26" t="s">
        <v>424</v>
      </c>
      <c r="C204" s="26" t="s">
        <v>425</v>
      </c>
      <c r="D204" s="26" t="s">
        <v>425</v>
      </c>
      <c r="E204" s="26" t="s">
        <v>426</v>
      </c>
      <c r="F204" s="26" t="s">
        <v>427</v>
      </c>
      <c r="I204" s="49">
        <f>IF('RTF 2'!$D$9=1,'Lookup Tables'!$J204,IF('RTF 2'!$D$9=2,'Lookup Tables'!$K204,IF('RTF 2'!$D$9=3,'Lookup Tables'!$L204,IF('RTF 2'!$D$9=4,'Lookup Tables'!$M204,'Lookup Tables'!$N204))))</f>
        <v>15</v>
      </c>
      <c r="J204">
        <f t="shared" si="42"/>
        <v>20</v>
      </c>
      <c r="K204">
        <f t="shared" si="43"/>
        <v>20</v>
      </c>
      <c r="L204">
        <f>IF('RTF 2'!$D$9=3,'Lookup Tables'!$V$143,0)</f>
        <v>0</v>
      </c>
      <c r="M204">
        <f t="shared" si="44"/>
        <v>40</v>
      </c>
      <c r="N204">
        <f t="shared" si="45"/>
        <v>15</v>
      </c>
      <c r="P204" s="8" t="b">
        <f>'RTF 2'!Q73&gt;'RTF 2'!S73</f>
        <v>0</v>
      </c>
      <c r="Q204" s="8" t="b">
        <f>AND('RTF 2'!S73&gt;='RTF 2'!Q73,'RTF 2'!Q73&gt;'RTF 2'!T73)</f>
        <v>0</v>
      </c>
      <c r="R204" s="35" t="b">
        <f>'RTF 2'!Q73&lt;='RTF 2'!T73</f>
        <v>1</v>
      </c>
      <c r="S204" s="8" t="b">
        <f>'RTF 2'!$Q73&gt;'RTF 2'!$U73</f>
        <v>0</v>
      </c>
      <c r="T204" s="8" t="b">
        <f>AND('RTF 2'!$U73&gt;='RTF 2'!$Q73,'RTF 2'!$Q73&gt;'RTF 2'!$V73)</f>
        <v>0</v>
      </c>
      <c r="U204" s="35" t="b">
        <f>'RTF 2'!$Q73&lt;='RTF 2'!$V73</f>
        <v>1</v>
      </c>
      <c r="V204" s="42"/>
      <c r="W204" s="8" t="b">
        <f>'RTF 2'!$Q73&gt;('RTF 2'!$P73+'RTF 2'!$O73)</f>
        <v>0</v>
      </c>
      <c r="X204" s="8" t="b">
        <f>'RTF 2'!$O73&gt;('RTF 2'!$P73+'RTF 2'!$Q73)</f>
        <v>0</v>
      </c>
      <c r="Y204" s="8" t="b">
        <f>AND(('RTF 2'!$O73+10)&gt;='RTF 2'!$P73,('RTF 2'!$O73-10)&lt;='RTF 2'!$P73,('RTF 2'!$P73+10)&gt;='RTF 2'!$Q73,('RTF 2'!$P73-10)&lt;='RTF 2'!$Q73,('RTF 2'!$O73+10)&gt;='RTF 2'!$Q73,('RTF 2'!$O73-10)&lt;='RTF 2'!$Q73)</f>
        <v>1</v>
      </c>
      <c r="Z204" s="8" t="b">
        <f>AND(('RTF 2'!$O73+10)&gt;='RTF 2'!$P73,('RTF 2'!$O73-10)&lt;='RTF 2'!$P73,OR('RTF 2'!$P73&gt;'RTF 2'!$Y73,'RTF 2'!$O73&gt;'RTF 2'!$Y73))</f>
        <v>0</v>
      </c>
      <c r="AA204" s="11" t="b">
        <f>AND(('RTF 2'!$Q73+10)&gt;='RTF 2'!$P73,('RTF 2'!$Q73-10)&lt;='RTF 2'!$P73,OR('RTF 2'!$P73&gt;'RTF 2'!$Z73,'RTF 2'!$Q73&gt;'RTF 2'!$Z73))</f>
        <v>0</v>
      </c>
      <c r="AB204" s="35" t="b">
        <f t="shared" si="46"/>
        <v>0</v>
      </c>
      <c r="AC204" s="8" t="b">
        <f>'RTF 2'!$Q73&gt;'RTF 2'!$P73</f>
        <v>0</v>
      </c>
      <c r="AD204" s="8" t="b">
        <f>AND('RTF 2'!$P73&gt;='RTF 2'!$Q73,'RTF 2'!$Q73&gt;'RTF 2'!$AA73)</f>
        <v>0</v>
      </c>
      <c r="AE204" s="8" t="b">
        <f>AND('RTF 2'!$AA73&gt;'RTF 2'!$Q73,'RTF 2'!$Q73&gt;'RTF 2'!$AB73)</f>
        <v>0</v>
      </c>
      <c r="AF204" s="8" t="b">
        <f>'RTF 2'!$Q73&lt;'RTF 2'!$AB73</f>
        <v>1</v>
      </c>
    </row>
    <row r="205" spans="1:32" ht="12.75" customHeight="1" x14ac:dyDescent="0.25">
      <c r="A205">
        <v>180</v>
      </c>
      <c r="B205">
        <v>500</v>
      </c>
      <c r="I205" s="49">
        <f>IF('RTF 2'!$D$9=1,'Lookup Tables'!$J205,IF('RTF 2'!$D$9=2,'Lookup Tables'!$K205,IF('RTF 2'!$D$9=3,'Lookup Tables'!$L205,IF('RTF 2'!$D$9=4,'Lookup Tables'!$M205,'Lookup Tables'!$N205))))</f>
        <v>15</v>
      </c>
      <c r="J205">
        <f t="shared" si="42"/>
        <v>20</v>
      </c>
      <c r="K205">
        <f t="shared" si="43"/>
        <v>20</v>
      </c>
      <c r="L205">
        <f>IF('RTF 2'!$D$9=3,'Lookup Tables'!$V$143,0)</f>
        <v>0</v>
      </c>
      <c r="M205">
        <f t="shared" si="44"/>
        <v>40</v>
      </c>
      <c r="N205">
        <f t="shared" si="45"/>
        <v>15</v>
      </c>
      <c r="P205" s="8" t="b">
        <f>'RTF 2'!Q74&gt;'RTF 2'!S74</f>
        <v>0</v>
      </c>
      <c r="Q205" s="8" t="b">
        <f>AND('RTF 2'!S74&gt;='RTF 2'!Q74,'RTF 2'!Q74&gt;'RTF 2'!T74)</f>
        <v>0</v>
      </c>
      <c r="R205" s="35" t="b">
        <f>'RTF 2'!Q74&lt;='RTF 2'!T74</f>
        <v>1</v>
      </c>
      <c r="S205" s="8" t="b">
        <f>'RTF 2'!$Q74&gt;'RTF 2'!$U74</f>
        <v>0</v>
      </c>
      <c r="T205" s="8" t="b">
        <f>AND('RTF 2'!$U74&gt;='RTF 2'!$Q74,'RTF 2'!$Q74&gt;'RTF 2'!$V74)</f>
        <v>0</v>
      </c>
      <c r="U205" s="35" t="b">
        <f>'RTF 2'!$Q74&lt;='RTF 2'!$V74</f>
        <v>1</v>
      </c>
      <c r="V205" s="42"/>
      <c r="W205" s="8" t="b">
        <f>'RTF 2'!$Q74&gt;('RTF 2'!$P74+'RTF 2'!$O74)</f>
        <v>0</v>
      </c>
      <c r="X205" s="8" t="b">
        <f>'RTF 2'!$O74&gt;('RTF 2'!$P74+'RTF 2'!$Q74)</f>
        <v>0</v>
      </c>
      <c r="Y205" s="8" t="b">
        <f>AND(('RTF 2'!$O74+10)&gt;='RTF 2'!$P74,('RTF 2'!$O74-10)&lt;='RTF 2'!$P74,('RTF 2'!$P74+10)&gt;='RTF 2'!$Q74,('RTF 2'!$P74-10)&lt;='RTF 2'!$Q74,('RTF 2'!$O74+10)&gt;='RTF 2'!$Q74,('RTF 2'!$O74-10)&lt;='RTF 2'!$Q74)</f>
        <v>1</v>
      </c>
      <c r="Z205" s="8" t="b">
        <f>AND(('RTF 2'!$O74+10)&gt;='RTF 2'!$P74,('RTF 2'!$O74-10)&lt;='RTF 2'!$P74,OR('RTF 2'!$P74&gt;'RTF 2'!$Y74,'RTF 2'!$O74&gt;'RTF 2'!$Y74))</f>
        <v>0</v>
      </c>
      <c r="AA205" s="11" t="b">
        <f>AND(('RTF 2'!$Q74+10)&gt;='RTF 2'!$P74,('RTF 2'!$Q74-10)&lt;='RTF 2'!$P74,OR('RTF 2'!$P74&gt;'RTF 2'!$Z74,'RTF 2'!$Q74&gt;'RTF 2'!$Z74))</f>
        <v>0</v>
      </c>
      <c r="AB205" s="35" t="b">
        <f t="shared" si="46"/>
        <v>0</v>
      </c>
      <c r="AC205" s="8" t="b">
        <f>'RTF 2'!$Q74&gt;'RTF 2'!$P74</f>
        <v>0</v>
      </c>
      <c r="AD205" s="8" t="b">
        <f>AND('RTF 2'!$P74&gt;='RTF 2'!$Q74,'RTF 2'!$Q74&gt;'RTF 2'!$AA74)</f>
        <v>0</v>
      </c>
      <c r="AE205" s="8" t="b">
        <f>AND('RTF 2'!$AA74&gt;'RTF 2'!$Q74,'RTF 2'!$Q74&gt;'RTF 2'!$AB74)</f>
        <v>0</v>
      </c>
      <c r="AF205" s="8" t="b">
        <f>'RTF 2'!$Q74&lt;'RTF 2'!$AB74</f>
        <v>1</v>
      </c>
    </row>
    <row r="206" spans="1:32" ht="12.75" customHeight="1" x14ac:dyDescent="0.25">
      <c r="A206">
        <v>200</v>
      </c>
      <c r="B206">
        <v>350</v>
      </c>
      <c r="I206" s="49">
        <f>IF('RTF 2'!$D$9=1,'Lookup Tables'!$J206,IF('RTF 2'!$D$9=2,'Lookup Tables'!$K206,IF('RTF 2'!$D$9=3,'Lookup Tables'!$L206,IF('RTF 2'!$D$9=4,'Lookup Tables'!$M206,'Lookup Tables'!$N206))))</f>
        <v>15</v>
      </c>
      <c r="J206">
        <f t="shared" si="42"/>
        <v>20</v>
      </c>
      <c r="K206">
        <f t="shared" si="43"/>
        <v>20</v>
      </c>
      <c r="L206">
        <f>IF('RTF 2'!$D$9=3,'Lookup Tables'!$V$143,0)</f>
        <v>0</v>
      </c>
      <c r="M206">
        <f t="shared" si="44"/>
        <v>40</v>
      </c>
      <c r="N206">
        <f t="shared" si="45"/>
        <v>15</v>
      </c>
      <c r="P206" s="8" t="b">
        <f>'RTF 2'!Q75&gt;'RTF 2'!S75</f>
        <v>0</v>
      </c>
      <c r="Q206" s="8" t="b">
        <f>AND('RTF 2'!S75&gt;='RTF 2'!Q75,'RTF 2'!Q75&gt;'RTF 2'!T75)</f>
        <v>0</v>
      </c>
      <c r="R206" s="35" t="b">
        <f>'RTF 2'!Q75&lt;='RTF 2'!T75</f>
        <v>1</v>
      </c>
      <c r="S206" s="8" t="b">
        <f>'RTF 2'!$Q75&gt;'RTF 2'!$U75</f>
        <v>0</v>
      </c>
      <c r="T206" s="8" t="b">
        <f>AND('RTF 2'!$U75&gt;='RTF 2'!$Q75,'RTF 2'!$Q75&gt;'RTF 2'!$V75)</f>
        <v>0</v>
      </c>
      <c r="U206" s="35" t="b">
        <f>'RTF 2'!$Q75&lt;='RTF 2'!$V75</f>
        <v>1</v>
      </c>
      <c r="V206" s="42"/>
      <c r="W206" s="8" t="b">
        <f>'RTF 2'!$Q75&gt;('RTF 2'!$P75+'RTF 2'!$O75)</f>
        <v>0</v>
      </c>
      <c r="X206" s="8" t="b">
        <f>'RTF 2'!$O75&gt;('RTF 2'!$P75+'RTF 2'!$Q75)</f>
        <v>0</v>
      </c>
      <c r="Y206" s="8" t="b">
        <f>AND(('RTF 2'!$O75+10)&gt;='RTF 2'!$P75,('RTF 2'!$O75-10)&lt;='RTF 2'!$P75,('RTF 2'!$P75+10)&gt;='RTF 2'!$Q75,('RTF 2'!$P75-10)&lt;='RTF 2'!$Q75,('RTF 2'!$O75+10)&gt;='RTF 2'!$Q75,('RTF 2'!$O75-10)&lt;='RTF 2'!$Q75)</f>
        <v>1</v>
      </c>
      <c r="Z206" s="8" t="b">
        <f>AND(('RTF 2'!$O75+10)&gt;='RTF 2'!$P75,('RTF 2'!$O75-10)&lt;='RTF 2'!$P75,OR('RTF 2'!$P75&gt;'RTF 2'!$Y75,'RTF 2'!$O75&gt;'RTF 2'!$Y75))</f>
        <v>0</v>
      </c>
      <c r="AA206" s="11" t="b">
        <f>AND(('RTF 2'!$Q75+10)&gt;='RTF 2'!$P75,('RTF 2'!$Q75-10)&lt;='RTF 2'!$P75,OR('RTF 2'!$P75&gt;'RTF 2'!$Z75,'RTF 2'!$Q75&gt;'RTF 2'!$Z75))</f>
        <v>0</v>
      </c>
      <c r="AB206" s="35" t="b">
        <f t="shared" si="46"/>
        <v>0</v>
      </c>
      <c r="AC206" s="8" t="b">
        <f>'RTF 2'!$Q75&gt;'RTF 2'!$P75</f>
        <v>0</v>
      </c>
      <c r="AD206" s="8" t="b">
        <f>AND('RTF 2'!$P75&gt;='RTF 2'!$Q75,'RTF 2'!$Q75&gt;'RTF 2'!$AA75)</f>
        <v>0</v>
      </c>
      <c r="AE206" s="8" t="b">
        <f>AND('RTF 2'!$AA75&gt;'RTF 2'!$Q75,'RTF 2'!$Q75&gt;'RTF 2'!$AB75)</f>
        <v>0</v>
      </c>
      <c r="AF206" s="8" t="b">
        <f>'RTF 2'!$Q75&lt;'RTF 2'!$AB75</f>
        <v>1</v>
      </c>
    </row>
    <row r="207" spans="1:32" ht="12.75" customHeight="1" x14ac:dyDescent="0.25">
      <c r="A207">
        <v>250</v>
      </c>
      <c r="B207">
        <v>235</v>
      </c>
      <c r="C207">
        <v>510</v>
      </c>
      <c r="D207">
        <v>510</v>
      </c>
      <c r="I207" s="49">
        <f>IF('RTF 2'!$D$9=1,'Lookup Tables'!$J207,IF('RTF 2'!$D$9=2,'Lookup Tables'!$K207,IF('RTF 2'!$D$9=3,'Lookup Tables'!$L207,IF('RTF 2'!$D$9=4,'Lookup Tables'!$M207,'Lookup Tables'!$N207))))</f>
        <v>15</v>
      </c>
      <c r="J207">
        <f t="shared" si="42"/>
        <v>20</v>
      </c>
      <c r="K207">
        <f t="shared" si="43"/>
        <v>20</v>
      </c>
      <c r="L207">
        <f>IF('RTF 2'!$D$9=3,'Lookup Tables'!$V$143,0)</f>
        <v>0</v>
      </c>
      <c r="M207">
        <f t="shared" si="44"/>
        <v>40</v>
      </c>
      <c r="N207">
        <f t="shared" si="45"/>
        <v>15</v>
      </c>
      <c r="P207" s="8" t="b">
        <f>'RTF 2'!Q76&gt;'RTF 2'!S76</f>
        <v>0</v>
      </c>
      <c r="Q207" s="8" t="b">
        <f>AND('RTF 2'!S76&gt;='RTF 2'!Q76,'RTF 2'!Q76&gt;'RTF 2'!T76)</f>
        <v>0</v>
      </c>
      <c r="R207" s="35" t="b">
        <f>'RTF 2'!Q76&lt;='RTF 2'!T76</f>
        <v>1</v>
      </c>
      <c r="S207" s="8" t="b">
        <f>'RTF 2'!$Q76&gt;'RTF 2'!$U76</f>
        <v>0</v>
      </c>
      <c r="T207" s="8" t="b">
        <f>AND('RTF 2'!$U76&gt;='RTF 2'!$Q76,'RTF 2'!$Q76&gt;'RTF 2'!$V76)</f>
        <v>0</v>
      </c>
      <c r="U207" s="35" t="b">
        <f>'RTF 2'!$Q76&lt;='RTF 2'!$V76</f>
        <v>1</v>
      </c>
      <c r="V207" s="42"/>
      <c r="W207" s="8" t="b">
        <f>'RTF 2'!$Q76&gt;('RTF 2'!$P76+'RTF 2'!$O76)</f>
        <v>0</v>
      </c>
      <c r="X207" s="8" t="b">
        <f>'RTF 2'!$O76&gt;('RTF 2'!$P76+'RTF 2'!$Q76)</f>
        <v>0</v>
      </c>
      <c r="Y207" s="8" t="b">
        <f>AND(('RTF 2'!$O76+10)&gt;='RTF 2'!$P76,('RTF 2'!$O76-10)&lt;='RTF 2'!$P76,('RTF 2'!$P76+10)&gt;='RTF 2'!$Q76,('RTF 2'!$P76-10)&lt;='RTF 2'!$Q76,('RTF 2'!$O76+10)&gt;='RTF 2'!$Q76,('RTF 2'!$O76-10)&lt;='RTF 2'!$Q76)</f>
        <v>1</v>
      </c>
      <c r="Z207" s="8" t="b">
        <f>AND(('RTF 2'!$O76+10)&gt;='RTF 2'!$P76,('RTF 2'!$O76-10)&lt;='RTF 2'!$P76,OR('RTF 2'!$P76&gt;'RTF 2'!$Y76,'RTF 2'!$O76&gt;'RTF 2'!$Y76))</f>
        <v>0</v>
      </c>
      <c r="AA207" s="11" t="b">
        <f>AND(('RTF 2'!$Q76+10)&gt;='RTF 2'!$P76,('RTF 2'!$Q76-10)&lt;='RTF 2'!$P76,OR('RTF 2'!$P76&gt;'RTF 2'!$Z76,'RTF 2'!$Q76&gt;'RTF 2'!$Z76))</f>
        <v>0</v>
      </c>
      <c r="AB207" s="35" t="b">
        <f t="shared" si="46"/>
        <v>0</v>
      </c>
      <c r="AC207" s="8" t="b">
        <f>'RTF 2'!$Q76&gt;'RTF 2'!$P76</f>
        <v>0</v>
      </c>
      <c r="AD207" s="8" t="b">
        <f>AND('RTF 2'!$P76&gt;='RTF 2'!$Q76,'RTF 2'!$Q76&gt;'RTF 2'!$AA76)</f>
        <v>0</v>
      </c>
      <c r="AE207" s="8" t="b">
        <f>AND('RTF 2'!$AA76&gt;'RTF 2'!$Q76,'RTF 2'!$Q76&gt;'RTF 2'!$AB76)</f>
        <v>0</v>
      </c>
      <c r="AF207" s="8" t="b">
        <f>'RTF 2'!$Q76&lt;'RTF 2'!$AB76</f>
        <v>1</v>
      </c>
    </row>
    <row r="208" spans="1:32" x14ac:dyDescent="0.25">
      <c r="A208">
        <v>300</v>
      </c>
      <c r="B208">
        <v>160</v>
      </c>
      <c r="C208">
        <v>380</v>
      </c>
      <c r="D208">
        <v>380</v>
      </c>
      <c r="I208" s="49">
        <f>IF('RTF 2'!$D$9=1,'Lookup Tables'!$J208,IF('RTF 2'!$D$9=2,'Lookup Tables'!$K208,IF('RTF 2'!$D$9=3,'Lookup Tables'!$L208,IF('RTF 2'!$D$9=4,'Lookup Tables'!$M208,'Lookup Tables'!$N208))))</f>
        <v>15</v>
      </c>
      <c r="J208">
        <f t="shared" ref="J208:J239" si="48">IF(P208=TRUE,$P$143,IF(Q208=TRUE,$Q$143,$R$143))</f>
        <v>20</v>
      </c>
      <c r="K208">
        <f t="shared" ref="K208:K239" si="49">IF(S208=TRUE,$S$143,IF(T208=TRUE,$T$143,$U$143))</f>
        <v>20</v>
      </c>
      <c r="L208">
        <f>IF('RTF 2'!$D$9=3,'Lookup Tables'!$V$143,0)</f>
        <v>0</v>
      </c>
      <c r="M208">
        <f t="shared" ref="M208:M239" si="50">IF(W208=TRUE,$W$143,IF(X208=TRUE,(IF(S208=TRUE,$S$143,IF(T208=TRUE,$T$143,$U$143))),IF($Y$144=TRUE,$Y$143,IF(Z208=TRUE,$Z$143,IF(AA208=TRUE,$AA$143,$AB$143)))))</f>
        <v>40</v>
      </c>
      <c r="N208">
        <f t="shared" ref="N208:N239" si="51">IF(AC208=TRUE,$AC$143,IF(AD208=TRUE,$AD$143,IF(AE208=TRUE,$AE$143,$AF$143)))</f>
        <v>15</v>
      </c>
      <c r="P208" s="8" t="b">
        <f>'RTF 2'!Q77&gt;'RTF 2'!S77</f>
        <v>0</v>
      </c>
      <c r="Q208" s="8" t="b">
        <f>AND('RTF 2'!S77&gt;='RTF 2'!Q77,'RTF 2'!Q77&gt;'RTF 2'!T77)</f>
        <v>0</v>
      </c>
      <c r="R208" s="35" t="b">
        <f>'RTF 2'!Q77&lt;='RTF 2'!T77</f>
        <v>1</v>
      </c>
      <c r="S208" s="8" t="b">
        <f>'RTF 2'!$Q77&gt;'RTF 2'!$U77</f>
        <v>0</v>
      </c>
      <c r="T208" s="8" t="b">
        <f>AND('RTF 2'!$U77&gt;='RTF 2'!$Q77,'RTF 2'!$Q77&gt;'RTF 2'!$V77)</f>
        <v>0</v>
      </c>
      <c r="U208" s="35" t="b">
        <f>'RTF 2'!$Q77&lt;='RTF 2'!$V77</f>
        <v>1</v>
      </c>
      <c r="V208" s="42"/>
      <c r="W208" s="8" t="b">
        <f>'RTF 2'!$Q77&gt;('RTF 2'!$P77+'RTF 2'!$O77)</f>
        <v>0</v>
      </c>
      <c r="X208" s="8" t="b">
        <f>'RTF 2'!$O77&gt;('RTF 2'!$P77+'RTF 2'!$Q77)</f>
        <v>0</v>
      </c>
      <c r="Y208" s="8" t="b">
        <f>AND(('RTF 2'!$O77+10)&gt;='RTF 2'!$P77,('RTF 2'!$O77-10)&lt;='RTF 2'!$P77,('RTF 2'!$P77+10)&gt;='RTF 2'!$Q77,('RTF 2'!$P77-10)&lt;='RTF 2'!$Q77,('RTF 2'!$O77+10)&gt;='RTF 2'!$Q77,('RTF 2'!$O77-10)&lt;='RTF 2'!$Q77)</f>
        <v>1</v>
      </c>
      <c r="Z208" s="8" t="b">
        <f>AND(('RTF 2'!$O77+10)&gt;='RTF 2'!$P77,('RTF 2'!$O77-10)&lt;='RTF 2'!$P77,OR('RTF 2'!$P77&gt;'RTF 2'!$Y77,'RTF 2'!$O77&gt;'RTF 2'!$Y77))</f>
        <v>0</v>
      </c>
      <c r="AA208" s="11" t="b">
        <f>AND(('RTF 2'!$Q77+10)&gt;='RTF 2'!$P77,('RTF 2'!$Q77-10)&lt;='RTF 2'!$P77,OR('RTF 2'!$P77&gt;'RTF 2'!$Z77,'RTF 2'!$Q77&gt;'RTF 2'!$Z77))</f>
        <v>0</v>
      </c>
      <c r="AB208" s="35" t="b">
        <f t="shared" ref="AB208:AB239" si="52">IF(AND($W208=FALSE,$X208=FALSE,$Y208=FALSE,$Z208=FALSE,$AA208=FALSE),TRUE,FALSE)</f>
        <v>0</v>
      </c>
      <c r="AC208" s="8" t="b">
        <f>'RTF 2'!$Q77&gt;'RTF 2'!$P77</f>
        <v>0</v>
      </c>
      <c r="AD208" s="8" t="b">
        <f>AND('RTF 2'!$P77&gt;='RTF 2'!$Q77,'RTF 2'!$Q77&gt;'RTF 2'!$AA77)</f>
        <v>0</v>
      </c>
      <c r="AE208" s="8" t="b">
        <f>AND('RTF 2'!$AA77&gt;'RTF 2'!$Q77,'RTF 2'!$Q77&gt;'RTF 2'!$AB77)</f>
        <v>0</v>
      </c>
      <c r="AF208" s="8" t="b">
        <f>'RTF 2'!$Q77&lt;'RTF 2'!$AB77</f>
        <v>1</v>
      </c>
    </row>
    <row r="209" spans="1:32" x14ac:dyDescent="0.25">
      <c r="A209">
        <v>400</v>
      </c>
      <c r="B209">
        <v>75</v>
      </c>
      <c r="C209">
        <v>210</v>
      </c>
      <c r="D209">
        <v>210</v>
      </c>
      <c r="E209">
        <v>550</v>
      </c>
      <c r="I209" s="49">
        <f>IF('RTF 2'!$D$9=1,'Lookup Tables'!$J209,IF('RTF 2'!$D$9=2,'Lookup Tables'!$K209,IF('RTF 2'!$D$9=3,'Lookup Tables'!$L209,IF('RTF 2'!$D$9=4,'Lookup Tables'!$M209,'Lookup Tables'!$N209))))</f>
        <v>15</v>
      </c>
      <c r="J209">
        <f t="shared" si="48"/>
        <v>20</v>
      </c>
      <c r="K209">
        <f t="shared" si="49"/>
        <v>20</v>
      </c>
      <c r="L209">
        <f>IF('RTF 2'!$D$9=3,'Lookup Tables'!$V$143,0)</f>
        <v>0</v>
      </c>
      <c r="M209">
        <f t="shared" si="50"/>
        <v>40</v>
      </c>
      <c r="N209">
        <f t="shared" si="51"/>
        <v>15</v>
      </c>
      <c r="P209" s="8" t="b">
        <f>'RTF 2'!Q78&gt;'RTF 2'!S78</f>
        <v>0</v>
      </c>
      <c r="Q209" s="8" t="b">
        <f>AND('RTF 2'!S78&gt;='RTF 2'!Q78,'RTF 2'!Q78&gt;'RTF 2'!T78)</f>
        <v>0</v>
      </c>
      <c r="R209" s="35" t="b">
        <f>'RTF 2'!Q78&lt;='RTF 2'!T78</f>
        <v>1</v>
      </c>
      <c r="S209" s="8" t="b">
        <f>'RTF 2'!$Q78&gt;'RTF 2'!$U78</f>
        <v>0</v>
      </c>
      <c r="T209" s="8" t="b">
        <f>AND('RTF 2'!$U78&gt;='RTF 2'!$Q78,'RTF 2'!$Q78&gt;'RTF 2'!$V78)</f>
        <v>0</v>
      </c>
      <c r="U209" s="35" t="b">
        <f>'RTF 2'!$Q78&lt;='RTF 2'!$V78</f>
        <v>1</v>
      </c>
      <c r="V209" s="42"/>
      <c r="W209" s="8" t="b">
        <f>'RTF 2'!$Q78&gt;('RTF 2'!$P78+'RTF 2'!$O78)</f>
        <v>0</v>
      </c>
      <c r="X209" s="8" t="b">
        <f>'RTF 2'!$O78&gt;('RTF 2'!$P78+'RTF 2'!$Q78)</f>
        <v>0</v>
      </c>
      <c r="Y209" s="8" t="b">
        <f>AND(('RTF 2'!$O78+10)&gt;='RTF 2'!$P78,('RTF 2'!$O78-10)&lt;='RTF 2'!$P78,('RTF 2'!$P78+10)&gt;='RTF 2'!$Q78,('RTF 2'!$P78-10)&lt;='RTF 2'!$Q78,('RTF 2'!$O78+10)&gt;='RTF 2'!$Q78,('RTF 2'!$O78-10)&lt;='RTF 2'!$Q78)</f>
        <v>1</v>
      </c>
      <c r="Z209" s="8" t="b">
        <f>AND(('RTF 2'!$O78+10)&gt;='RTF 2'!$P78,('RTF 2'!$O78-10)&lt;='RTF 2'!$P78,OR('RTF 2'!$P78&gt;'RTF 2'!$Y78,'RTF 2'!$O78&gt;'RTF 2'!$Y78))</f>
        <v>0</v>
      </c>
      <c r="AA209" s="11" t="b">
        <f>AND(('RTF 2'!$Q78+10)&gt;='RTF 2'!$P78,('RTF 2'!$Q78-10)&lt;='RTF 2'!$P78,OR('RTF 2'!$P78&gt;'RTF 2'!$Z78,'RTF 2'!$Q78&gt;'RTF 2'!$Z78))</f>
        <v>0</v>
      </c>
      <c r="AB209" s="35" t="b">
        <f t="shared" si="52"/>
        <v>0</v>
      </c>
      <c r="AC209" s="8" t="b">
        <f>'RTF 2'!$Q78&gt;'RTF 2'!$P78</f>
        <v>0</v>
      </c>
      <c r="AD209" s="8" t="b">
        <f>AND('RTF 2'!$P78&gt;='RTF 2'!$Q78,'RTF 2'!$Q78&gt;'RTF 2'!$AA78)</f>
        <v>0</v>
      </c>
      <c r="AE209" s="8" t="b">
        <f>AND('RTF 2'!$AA78&gt;'RTF 2'!$Q78,'RTF 2'!$Q78&gt;'RTF 2'!$AB78)</f>
        <v>0</v>
      </c>
      <c r="AF209" s="8" t="b">
        <f>'RTF 2'!$Q78&lt;'RTF 2'!$AB78</f>
        <v>1</v>
      </c>
    </row>
    <row r="210" spans="1:32" x14ac:dyDescent="0.25">
      <c r="A210">
        <v>500</v>
      </c>
      <c r="B210">
        <v>40</v>
      </c>
      <c r="C210">
        <v>115</v>
      </c>
      <c r="D210">
        <v>115</v>
      </c>
      <c r="E210">
        <v>345</v>
      </c>
      <c r="I210" s="49">
        <f>IF('RTF 2'!$D$9=1,'Lookup Tables'!$J210,IF('RTF 2'!$D$9=2,'Lookup Tables'!$K210,IF('RTF 2'!$D$9=3,'Lookup Tables'!$L210,IF('RTF 2'!$D$9=4,'Lookup Tables'!$M210,'Lookup Tables'!$N210))))</f>
        <v>15</v>
      </c>
      <c r="J210">
        <f t="shared" si="48"/>
        <v>20</v>
      </c>
      <c r="K210">
        <f t="shared" si="49"/>
        <v>20</v>
      </c>
      <c r="L210">
        <f>IF('RTF 2'!$D$9=3,'Lookup Tables'!$V$143,0)</f>
        <v>0</v>
      </c>
      <c r="M210">
        <f t="shared" si="50"/>
        <v>40</v>
      </c>
      <c r="N210">
        <f t="shared" si="51"/>
        <v>15</v>
      </c>
      <c r="P210" s="8" t="b">
        <f>'RTF 2'!Q79&gt;'RTF 2'!S79</f>
        <v>0</v>
      </c>
      <c r="Q210" s="8" t="b">
        <f>AND('RTF 2'!S79&gt;='RTF 2'!Q79,'RTF 2'!Q79&gt;'RTF 2'!T79)</f>
        <v>0</v>
      </c>
      <c r="R210" s="35" t="b">
        <f>'RTF 2'!Q79&lt;='RTF 2'!T79</f>
        <v>1</v>
      </c>
      <c r="S210" s="8" t="b">
        <f>'RTF 2'!$Q79&gt;'RTF 2'!$U79</f>
        <v>0</v>
      </c>
      <c r="T210" s="8" t="b">
        <f>AND('RTF 2'!$U79&gt;='RTF 2'!$Q79,'RTF 2'!$Q79&gt;'RTF 2'!$V79)</f>
        <v>0</v>
      </c>
      <c r="U210" s="35" t="b">
        <f>'RTF 2'!$Q79&lt;='RTF 2'!$V79</f>
        <v>1</v>
      </c>
      <c r="V210" s="42"/>
      <c r="W210" s="8" t="b">
        <f>'RTF 2'!$Q79&gt;('RTF 2'!$P79+'RTF 2'!$O79)</f>
        <v>0</v>
      </c>
      <c r="X210" s="8" t="b">
        <f>'RTF 2'!$O79&gt;('RTF 2'!$P79+'RTF 2'!$Q79)</f>
        <v>0</v>
      </c>
      <c r="Y210" s="8" t="b">
        <f>AND(('RTF 2'!$O79+10)&gt;='RTF 2'!$P79,('RTF 2'!$O79-10)&lt;='RTF 2'!$P79,('RTF 2'!$P79+10)&gt;='RTF 2'!$Q79,('RTF 2'!$P79-10)&lt;='RTF 2'!$Q79,('RTF 2'!$O79+10)&gt;='RTF 2'!$Q79,('RTF 2'!$O79-10)&lt;='RTF 2'!$Q79)</f>
        <v>1</v>
      </c>
      <c r="Z210" s="8" t="b">
        <f>AND(('RTF 2'!$O79+10)&gt;='RTF 2'!$P79,('RTF 2'!$O79-10)&lt;='RTF 2'!$P79,OR('RTF 2'!$P79&gt;'RTF 2'!$Y79,'RTF 2'!$O79&gt;'RTF 2'!$Y79))</f>
        <v>0</v>
      </c>
      <c r="AA210" s="11" t="b">
        <f>AND(('RTF 2'!$Q79+10)&gt;='RTF 2'!$P79,('RTF 2'!$Q79-10)&lt;='RTF 2'!$P79,OR('RTF 2'!$P79&gt;'RTF 2'!$Z79,'RTF 2'!$Q79&gt;'RTF 2'!$Z79))</f>
        <v>0</v>
      </c>
      <c r="AB210" s="35" t="b">
        <f t="shared" si="52"/>
        <v>0</v>
      </c>
      <c r="AC210" s="8" t="b">
        <f>'RTF 2'!$Q79&gt;'RTF 2'!$P79</f>
        <v>0</v>
      </c>
      <c r="AD210" s="8" t="b">
        <f>AND('RTF 2'!$P79&gt;='RTF 2'!$Q79,'RTF 2'!$Q79&gt;'RTF 2'!$AA79)</f>
        <v>0</v>
      </c>
      <c r="AE210" s="8" t="b">
        <f>AND('RTF 2'!$AA79&gt;'RTF 2'!$Q79,'RTF 2'!$Q79&gt;'RTF 2'!$AB79)</f>
        <v>0</v>
      </c>
      <c r="AF210" s="8" t="b">
        <f>'RTF 2'!$Q79&lt;'RTF 2'!$AB79</f>
        <v>1</v>
      </c>
    </row>
    <row r="211" spans="1:32" x14ac:dyDescent="0.25">
      <c r="A211">
        <v>600</v>
      </c>
      <c r="B211">
        <v>20</v>
      </c>
      <c r="C211">
        <v>60</v>
      </c>
      <c r="D211">
        <v>60</v>
      </c>
      <c r="E211">
        <v>220</v>
      </c>
      <c r="I211" s="49">
        <f>IF('RTF 2'!$D$9=1,'Lookup Tables'!$J211,IF('RTF 2'!$D$9=2,'Lookup Tables'!$K211,IF('RTF 2'!$D$9=3,'Lookup Tables'!$L211,IF('RTF 2'!$D$9=4,'Lookup Tables'!$M211,'Lookup Tables'!$N211))))</f>
        <v>15</v>
      </c>
      <c r="J211">
        <f t="shared" si="48"/>
        <v>20</v>
      </c>
      <c r="K211">
        <f t="shared" si="49"/>
        <v>20</v>
      </c>
      <c r="L211">
        <f>IF('RTF 2'!$D$9=3,'Lookup Tables'!$V$143,0)</f>
        <v>0</v>
      </c>
      <c r="M211">
        <f t="shared" si="50"/>
        <v>40</v>
      </c>
      <c r="N211">
        <f t="shared" si="51"/>
        <v>15</v>
      </c>
      <c r="P211" s="8" t="b">
        <f>'RTF 2'!Q80&gt;'RTF 2'!S80</f>
        <v>0</v>
      </c>
      <c r="Q211" s="8" t="b">
        <f>AND('RTF 2'!S80&gt;='RTF 2'!Q80,'RTF 2'!Q80&gt;'RTF 2'!T80)</f>
        <v>0</v>
      </c>
      <c r="R211" s="35" t="b">
        <f>'RTF 2'!Q80&lt;='RTF 2'!T80</f>
        <v>1</v>
      </c>
      <c r="S211" s="8" t="b">
        <f>'RTF 2'!$Q80&gt;'RTF 2'!$U80</f>
        <v>0</v>
      </c>
      <c r="T211" s="8" t="b">
        <f>AND('RTF 2'!$U80&gt;='RTF 2'!$Q80,'RTF 2'!$Q80&gt;'RTF 2'!$V80)</f>
        <v>0</v>
      </c>
      <c r="U211" s="35" t="b">
        <f>'RTF 2'!$Q80&lt;='RTF 2'!$V80</f>
        <v>1</v>
      </c>
      <c r="V211" s="42"/>
      <c r="W211" s="8" t="b">
        <f>'RTF 2'!$Q80&gt;('RTF 2'!$P80+'RTF 2'!$O80)</f>
        <v>0</v>
      </c>
      <c r="X211" s="8" t="b">
        <f>'RTF 2'!$O80&gt;('RTF 2'!$P80+'RTF 2'!$Q80)</f>
        <v>0</v>
      </c>
      <c r="Y211" s="8" t="b">
        <f>AND(('RTF 2'!$O80+10)&gt;='RTF 2'!$P80,('RTF 2'!$O80-10)&lt;='RTF 2'!$P80,('RTF 2'!$P80+10)&gt;='RTF 2'!$Q80,('RTF 2'!$P80-10)&lt;='RTF 2'!$Q80,('RTF 2'!$O80+10)&gt;='RTF 2'!$Q80,('RTF 2'!$O80-10)&lt;='RTF 2'!$Q80)</f>
        <v>1</v>
      </c>
      <c r="Z211" s="8" t="b">
        <f>AND(('RTF 2'!$O80+10)&gt;='RTF 2'!$P80,('RTF 2'!$O80-10)&lt;='RTF 2'!$P80,OR('RTF 2'!$P80&gt;'RTF 2'!$Y80,'RTF 2'!$O80&gt;'RTF 2'!$Y80))</f>
        <v>0</v>
      </c>
      <c r="AA211" s="11" t="b">
        <f>AND(('RTF 2'!$Q80+10)&gt;='RTF 2'!$P80,('RTF 2'!$Q80-10)&lt;='RTF 2'!$P80,OR('RTF 2'!$P80&gt;'RTF 2'!$Z80,'RTF 2'!$Q80&gt;'RTF 2'!$Z80))</f>
        <v>0</v>
      </c>
      <c r="AB211" s="35" t="b">
        <f t="shared" si="52"/>
        <v>0</v>
      </c>
      <c r="AC211" s="8" t="b">
        <f>'RTF 2'!$Q80&gt;'RTF 2'!$P80</f>
        <v>0</v>
      </c>
      <c r="AD211" s="8" t="b">
        <f>AND('RTF 2'!$P80&gt;='RTF 2'!$Q80,'RTF 2'!$Q80&gt;'RTF 2'!$AA80)</f>
        <v>0</v>
      </c>
      <c r="AE211" s="8" t="b">
        <f>AND('RTF 2'!$AA80&gt;'RTF 2'!$Q80,'RTF 2'!$Q80&gt;'RTF 2'!$AB80)</f>
        <v>0</v>
      </c>
      <c r="AF211" s="8" t="b">
        <f>'RTF 2'!$Q80&lt;'RTF 2'!$AB80</f>
        <v>1</v>
      </c>
    </row>
    <row r="212" spans="1:32" x14ac:dyDescent="0.25">
      <c r="A212">
        <v>700</v>
      </c>
      <c r="B212">
        <v>20</v>
      </c>
      <c r="C212">
        <v>30</v>
      </c>
      <c r="D212">
        <v>30</v>
      </c>
      <c r="E212">
        <v>150</v>
      </c>
      <c r="F212">
        <v>450</v>
      </c>
      <c r="I212" s="49">
        <f>IF('RTF 2'!$D$9=1,'Lookup Tables'!$J212,IF('RTF 2'!$D$9=2,'Lookup Tables'!$K212,IF('RTF 2'!$D$9=3,'Lookup Tables'!$L212,IF('RTF 2'!$D$9=4,'Lookup Tables'!$M212,'Lookup Tables'!$N212))))</f>
        <v>15</v>
      </c>
      <c r="J212">
        <f t="shared" si="48"/>
        <v>20</v>
      </c>
      <c r="K212">
        <f t="shared" si="49"/>
        <v>20</v>
      </c>
      <c r="L212">
        <f>IF('RTF 2'!$D$9=3,'Lookup Tables'!$V$143,0)</f>
        <v>0</v>
      </c>
      <c r="M212">
        <f t="shared" si="50"/>
        <v>40</v>
      </c>
      <c r="N212">
        <f t="shared" si="51"/>
        <v>15</v>
      </c>
      <c r="P212" s="8" t="b">
        <f>'RTF 2'!Q81&gt;'RTF 2'!S81</f>
        <v>0</v>
      </c>
      <c r="Q212" s="8" t="b">
        <f>AND('RTF 2'!S81&gt;='RTF 2'!Q81,'RTF 2'!Q81&gt;'RTF 2'!T81)</f>
        <v>0</v>
      </c>
      <c r="R212" s="35" t="b">
        <f>'RTF 2'!Q81&lt;='RTF 2'!T81</f>
        <v>1</v>
      </c>
      <c r="S212" s="8" t="b">
        <f>'RTF 2'!$Q81&gt;'RTF 2'!$U81</f>
        <v>0</v>
      </c>
      <c r="T212" s="8" t="b">
        <f>AND('RTF 2'!$U81&gt;='RTF 2'!$Q81,'RTF 2'!$Q81&gt;'RTF 2'!$V81)</f>
        <v>0</v>
      </c>
      <c r="U212" s="35" t="b">
        <f>'RTF 2'!$Q81&lt;='RTF 2'!$V81</f>
        <v>1</v>
      </c>
      <c r="V212" s="42"/>
      <c r="W212" s="8" t="b">
        <f>'RTF 2'!$Q81&gt;('RTF 2'!$P81+'RTF 2'!$O81)</f>
        <v>0</v>
      </c>
      <c r="X212" s="8" t="b">
        <f>'RTF 2'!$O81&gt;('RTF 2'!$P81+'RTF 2'!$Q81)</f>
        <v>0</v>
      </c>
      <c r="Y212" s="8" t="b">
        <f>AND(('RTF 2'!$O81+10)&gt;='RTF 2'!$P81,('RTF 2'!$O81-10)&lt;='RTF 2'!$P81,('RTF 2'!$P81+10)&gt;='RTF 2'!$Q81,('RTF 2'!$P81-10)&lt;='RTF 2'!$Q81,('RTF 2'!$O81+10)&gt;='RTF 2'!$Q81,('RTF 2'!$O81-10)&lt;='RTF 2'!$Q81)</f>
        <v>1</v>
      </c>
      <c r="Z212" s="8" t="b">
        <f>AND(('RTF 2'!$O81+10)&gt;='RTF 2'!$P81,('RTF 2'!$O81-10)&lt;='RTF 2'!$P81,OR('RTF 2'!$P81&gt;'RTF 2'!$Y81,'RTF 2'!$O81&gt;'RTF 2'!$Y81))</f>
        <v>0</v>
      </c>
      <c r="AA212" s="11" t="b">
        <f>AND(('RTF 2'!$Q81+10)&gt;='RTF 2'!$P81,('RTF 2'!$Q81-10)&lt;='RTF 2'!$P81,OR('RTF 2'!$P81&gt;'RTF 2'!$Z81,'RTF 2'!$Q81&gt;'RTF 2'!$Z81))</f>
        <v>0</v>
      </c>
      <c r="AB212" s="35" t="b">
        <f t="shared" si="52"/>
        <v>0</v>
      </c>
      <c r="AC212" s="8" t="b">
        <f>'RTF 2'!$Q81&gt;'RTF 2'!$P81</f>
        <v>0</v>
      </c>
      <c r="AD212" s="8" t="b">
        <f>AND('RTF 2'!$P81&gt;='RTF 2'!$Q81,'RTF 2'!$Q81&gt;'RTF 2'!$AA81)</f>
        <v>0</v>
      </c>
      <c r="AE212" s="8" t="b">
        <f>AND('RTF 2'!$AA81&gt;'RTF 2'!$Q81,'RTF 2'!$Q81&gt;'RTF 2'!$AB81)</f>
        <v>0</v>
      </c>
      <c r="AF212" s="8" t="b">
        <f>'RTF 2'!$Q81&lt;'RTF 2'!$AB81</f>
        <v>1</v>
      </c>
    </row>
    <row r="213" spans="1:32" ht="34.5" customHeight="1" x14ac:dyDescent="0.25">
      <c r="A213">
        <v>800</v>
      </c>
      <c r="B213">
        <v>20</v>
      </c>
      <c r="C213">
        <v>20</v>
      </c>
      <c r="D213">
        <v>20</v>
      </c>
      <c r="E213">
        <v>100</v>
      </c>
      <c r="F213">
        <v>325</v>
      </c>
      <c r="I213" s="49">
        <f>IF('RTF 2'!$D$9=1,'Lookup Tables'!$J213,IF('RTF 2'!$D$9=2,'Lookup Tables'!$K213,IF('RTF 2'!$D$9=3,'Lookup Tables'!$L213,IF('RTF 2'!$D$9=4,'Lookup Tables'!$M213,'Lookup Tables'!$N213))))</f>
        <v>15</v>
      </c>
      <c r="J213">
        <f t="shared" si="48"/>
        <v>20</v>
      </c>
      <c r="K213">
        <f t="shared" si="49"/>
        <v>20</v>
      </c>
      <c r="L213">
        <f>IF('RTF 2'!$D$9=3,'Lookup Tables'!$V$143,0)</f>
        <v>0</v>
      </c>
      <c r="M213">
        <f t="shared" si="50"/>
        <v>40</v>
      </c>
      <c r="N213">
        <f t="shared" si="51"/>
        <v>15</v>
      </c>
      <c r="P213" s="8" t="b">
        <f>'RTF 2'!Q82&gt;'RTF 2'!S82</f>
        <v>0</v>
      </c>
      <c r="Q213" s="8" t="b">
        <f>AND('RTF 2'!S82&gt;='RTF 2'!Q82,'RTF 2'!Q82&gt;'RTF 2'!T82)</f>
        <v>0</v>
      </c>
      <c r="R213" s="35" t="b">
        <f>'RTF 2'!Q82&lt;='RTF 2'!T82</f>
        <v>1</v>
      </c>
      <c r="S213" s="8" t="b">
        <f>'RTF 2'!$Q82&gt;'RTF 2'!$U82</f>
        <v>0</v>
      </c>
      <c r="T213" s="8" t="b">
        <f>AND('RTF 2'!$U82&gt;='RTF 2'!$Q82,'RTF 2'!$Q82&gt;'RTF 2'!$V82)</f>
        <v>0</v>
      </c>
      <c r="U213" s="35" t="b">
        <f>'RTF 2'!$Q82&lt;='RTF 2'!$V82</f>
        <v>1</v>
      </c>
      <c r="V213" s="42"/>
      <c r="W213" s="8" t="b">
        <f>'RTF 2'!$Q82&gt;('RTF 2'!$P82+'RTF 2'!$O82)</f>
        <v>0</v>
      </c>
      <c r="X213" s="8" t="b">
        <f>'RTF 2'!$O82&gt;('RTF 2'!$P82+'RTF 2'!$Q82)</f>
        <v>0</v>
      </c>
      <c r="Y213" s="8" t="b">
        <f>AND(('RTF 2'!$O82+10)&gt;='RTF 2'!$P82,('RTF 2'!$O82-10)&lt;='RTF 2'!$P82,('RTF 2'!$P82+10)&gt;='RTF 2'!$Q82,('RTF 2'!$P82-10)&lt;='RTF 2'!$Q82,('RTF 2'!$O82+10)&gt;='RTF 2'!$Q82,('RTF 2'!$O82-10)&lt;='RTF 2'!$Q82)</f>
        <v>1</v>
      </c>
      <c r="Z213" s="8" t="b">
        <f>AND(('RTF 2'!$O82+10)&gt;='RTF 2'!$P82,('RTF 2'!$O82-10)&lt;='RTF 2'!$P82,OR('RTF 2'!$P82&gt;'RTF 2'!$Y82,'RTF 2'!$O82&gt;'RTF 2'!$Y82))</f>
        <v>0</v>
      </c>
      <c r="AA213" s="11" t="b">
        <f>AND(('RTF 2'!$Q82+10)&gt;='RTF 2'!$P82,('RTF 2'!$Q82-10)&lt;='RTF 2'!$P82,OR('RTF 2'!$P82&gt;'RTF 2'!$Z82,'RTF 2'!$Q82&gt;'RTF 2'!$Z82))</f>
        <v>0</v>
      </c>
      <c r="AB213" s="35" t="b">
        <f t="shared" si="52"/>
        <v>0</v>
      </c>
      <c r="AC213" s="8" t="b">
        <f>'RTF 2'!$Q82&gt;'RTF 2'!$P82</f>
        <v>0</v>
      </c>
      <c r="AD213" s="8" t="b">
        <f>AND('RTF 2'!$P82&gt;='RTF 2'!$Q82,'RTF 2'!$Q82&gt;'RTF 2'!$AA82)</f>
        <v>0</v>
      </c>
      <c r="AE213" s="8" t="b">
        <f>AND('RTF 2'!$AA82&gt;'RTF 2'!$Q82,'RTF 2'!$Q82&gt;'RTF 2'!$AB82)</f>
        <v>0</v>
      </c>
      <c r="AF213" s="8" t="b">
        <f>'RTF 2'!$Q82&lt;'RTF 2'!$AB82</f>
        <v>1</v>
      </c>
    </row>
    <row r="214" spans="1:32" ht="34.5" customHeight="1" x14ac:dyDescent="0.25">
      <c r="A214">
        <v>900</v>
      </c>
      <c r="B214">
        <v>20</v>
      </c>
      <c r="C214">
        <v>20</v>
      </c>
      <c r="D214">
        <v>20</v>
      </c>
      <c r="E214">
        <v>70</v>
      </c>
      <c r="F214">
        <v>240</v>
      </c>
      <c r="I214" s="49">
        <f>IF('RTF 2'!$D$9=1,'Lookup Tables'!$J214,IF('RTF 2'!$D$9=2,'Lookup Tables'!$K214,IF('RTF 2'!$D$9=3,'Lookup Tables'!$L214,IF('RTF 2'!$D$9=4,'Lookup Tables'!$M214,'Lookup Tables'!$N214))))</f>
        <v>15</v>
      </c>
      <c r="J214">
        <f t="shared" si="48"/>
        <v>20</v>
      </c>
      <c r="K214">
        <f t="shared" si="49"/>
        <v>20</v>
      </c>
      <c r="L214">
        <f>IF('RTF 2'!$D$9=3,'Lookup Tables'!$V$143,0)</f>
        <v>0</v>
      </c>
      <c r="M214">
        <f t="shared" si="50"/>
        <v>40</v>
      </c>
      <c r="N214">
        <f t="shared" si="51"/>
        <v>15</v>
      </c>
      <c r="P214" s="8" t="b">
        <f>'RTF 2'!Q83&gt;'RTF 2'!S83</f>
        <v>0</v>
      </c>
      <c r="Q214" s="8" t="b">
        <f>AND('RTF 2'!S83&gt;='RTF 2'!Q83,'RTF 2'!Q83&gt;'RTF 2'!T83)</f>
        <v>0</v>
      </c>
      <c r="R214" s="35" t="b">
        <f>'RTF 2'!Q83&lt;='RTF 2'!T83</f>
        <v>1</v>
      </c>
      <c r="S214" s="8" t="b">
        <f>'RTF 2'!$Q83&gt;'RTF 2'!$U83</f>
        <v>0</v>
      </c>
      <c r="T214" s="8" t="b">
        <f>AND('RTF 2'!$U83&gt;='RTF 2'!$Q83,'RTF 2'!$Q83&gt;'RTF 2'!$V83)</f>
        <v>0</v>
      </c>
      <c r="U214" s="35" t="b">
        <f>'RTF 2'!$Q83&lt;='RTF 2'!$V83</f>
        <v>1</v>
      </c>
      <c r="V214" s="42"/>
      <c r="W214" s="8" t="b">
        <f>'RTF 2'!$Q83&gt;('RTF 2'!$P83+'RTF 2'!$O83)</f>
        <v>0</v>
      </c>
      <c r="X214" s="8" t="b">
        <f>'RTF 2'!$O83&gt;('RTF 2'!$P83+'RTF 2'!$Q83)</f>
        <v>0</v>
      </c>
      <c r="Y214" s="8" t="b">
        <f>AND(('RTF 2'!$O83+10)&gt;='RTF 2'!$P83,('RTF 2'!$O83-10)&lt;='RTF 2'!$P83,('RTF 2'!$P83+10)&gt;='RTF 2'!$Q83,('RTF 2'!$P83-10)&lt;='RTF 2'!$Q83,('RTF 2'!$O83+10)&gt;='RTF 2'!$Q83,('RTF 2'!$O83-10)&lt;='RTF 2'!$Q83)</f>
        <v>1</v>
      </c>
      <c r="Z214" s="8" t="b">
        <f>AND(('RTF 2'!$O83+10)&gt;='RTF 2'!$P83,('RTF 2'!$O83-10)&lt;='RTF 2'!$P83,OR('RTF 2'!$P83&gt;'RTF 2'!$Y83,'RTF 2'!$O83&gt;'RTF 2'!$Y83))</f>
        <v>0</v>
      </c>
      <c r="AA214" s="11" t="b">
        <f>AND(('RTF 2'!$Q83+10)&gt;='RTF 2'!$P83,('RTF 2'!$Q83-10)&lt;='RTF 2'!$P83,OR('RTF 2'!$P83&gt;'RTF 2'!$Z83,'RTF 2'!$Q83&gt;'RTF 2'!$Z83))</f>
        <v>0</v>
      </c>
      <c r="AB214" s="35" t="b">
        <f t="shared" si="52"/>
        <v>0</v>
      </c>
      <c r="AC214" s="8" t="b">
        <f>'RTF 2'!$Q83&gt;'RTF 2'!$P83</f>
        <v>0</v>
      </c>
      <c r="AD214" s="8" t="b">
        <f>AND('RTF 2'!$P83&gt;='RTF 2'!$Q83,'RTF 2'!$Q83&gt;'RTF 2'!$AA83)</f>
        <v>0</v>
      </c>
      <c r="AE214" s="8" t="b">
        <f>AND('RTF 2'!$AA83&gt;'RTF 2'!$Q83,'RTF 2'!$Q83&gt;'RTF 2'!$AB83)</f>
        <v>0</v>
      </c>
      <c r="AF214" s="8" t="b">
        <f>'RTF 2'!$Q83&lt;'RTF 2'!$AB83</f>
        <v>1</v>
      </c>
    </row>
    <row r="215" spans="1:32" ht="34.5" customHeight="1" x14ac:dyDescent="0.25">
      <c r="A215">
        <v>1000</v>
      </c>
      <c r="B215">
        <v>20</v>
      </c>
      <c r="C215">
        <v>20</v>
      </c>
      <c r="D215">
        <v>20</v>
      </c>
      <c r="E215">
        <v>50</v>
      </c>
      <c r="F215">
        <v>180</v>
      </c>
      <c r="I215" s="49">
        <f>IF('RTF 2'!$D$9=1,'Lookup Tables'!$J215,IF('RTF 2'!$D$9=2,'Lookup Tables'!$K215,IF('RTF 2'!$D$9=3,'Lookup Tables'!$L215,IF('RTF 2'!$D$9=4,'Lookup Tables'!$M215,'Lookup Tables'!$N215))))</f>
        <v>15</v>
      </c>
      <c r="J215">
        <f t="shared" si="48"/>
        <v>20</v>
      </c>
      <c r="K215">
        <f t="shared" si="49"/>
        <v>20</v>
      </c>
      <c r="L215">
        <f>IF('RTF 2'!$D$9=3,'Lookup Tables'!$V$143,0)</f>
        <v>0</v>
      </c>
      <c r="M215">
        <f t="shared" si="50"/>
        <v>40</v>
      </c>
      <c r="N215">
        <f t="shared" si="51"/>
        <v>15</v>
      </c>
      <c r="P215" s="8" t="b">
        <f>'RTF 2'!Q84&gt;'RTF 2'!S84</f>
        <v>0</v>
      </c>
      <c r="Q215" s="8" t="b">
        <f>AND('RTF 2'!S84&gt;='RTF 2'!Q84,'RTF 2'!Q84&gt;'RTF 2'!T84)</f>
        <v>0</v>
      </c>
      <c r="R215" s="35" t="b">
        <f>'RTF 2'!Q84&lt;='RTF 2'!T84</f>
        <v>1</v>
      </c>
      <c r="S215" s="8" t="b">
        <f>'RTF 2'!$Q84&gt;'RTF 2'!$U84</f>
        <v>0</v>
      </c>
      <c r="T215" s="8" t="b">
        <f>AND('RTF 2'!$U84&gt;='RTF 2'!$Q84,'RTF 2'!$Q84&gt;'RTF 2'!$V84)</f>
        <v>0</v>
      </c>
      <c r="U215" s="35" t="b">
        <f>'RTF 2'!$Q84&lt;='RTF 2'!$V84</f>
        <v>1</v>
      </c>
      <c r="V215" s="42"/>
      <c r="W215" s="8" t="b">
        <f>'RTF 2'!$Q84&gt;('RTF 2'!$P84+'RTF 2'!$O84)</f>
        <v>0</v>
      </c>
      <c r="X215" s="8" t="b">
        <f>'RTF 2'!$O84&gt;('RTF 2'!$P84+'RTF 2'!$Q84)</f>
        <v>0</v>
      </c>
      <c r="Y215" s="8" t="b">
        <f>AND(('RTF 2'!$O84+10)&gt;='RTF 2'!$P84,('RTF 2'!$O84-10)&lt;='RTF 2'!$P84,('RTF 2'!$P84+10)&gt;='RTF 2'!$Q84,('RTF 2'!$P84-10)&lt;='RTF 2'!$Q84,('RTF 2'!$O84+10)&gt;='RTF 2'!$Q84,('RTF 2'!$O84-10)&lt;='RTF 2'!$Q84)</f>
        <v>1</v>
      </c>
      <c r="Z215" s="8" t="b">
        <f>AND(('RTF 2'!$O84+10)&gt;='RTF 2'!$P84,('RTF 2'!$O84-10)&lt;='RTF 2'!$P84,OR('RTF 2'!$P84&gt;'RTF 2'!$Y84,'RTF 2'!$O84&gt;'RTF 2'!$Y84))</f>
        <v>0</v>
      </c>
      <c r="AA215" s="11" t="b">
        <f>AND(('RTF 2'!$Q84+10)&gt;='RTF 2'!$P84,('RTF 2'!$Q84-10)&lt;='RTF 2'!$P84,OR('RTF 2'!$P84&gt;'RTF 2'!$Z84,'RTF 2'!$Q84&gt;'RTF 2'!$Z84))</f>
        <v>0</v>
      </c>
      <c r="AB215" s="35" t="b">
        <f t="shared" si="52"/>
        <v>0</v>
      </c>
      <c r="AC215" s="8" t="b">
        <f>'RTF 2'!$Q84&gt;'RTF 2'!$P84</f>
        <v>0</v>
      </c>
      <c r="AD215" s="8" t="b">
        <f>AND('RTF 2'!$P84&gt;='RTF 2'!$Q84,'RTF 2'!$Q84&gt;'RTF 2'!$AA84)</f>
        <v>0</v>
      </c>
      <c r="AE215" s="8" t="b">
        <f>AND('RTF 2'!$AA84&gt;'RTF 2'!$Q84,'RTF 2'!$Q84&gt;'RTF 2'!$AB84)</f>
        <v>0</v>
      </c>
      <c r="AF215" s="8" t="b">
        <f>'RTF 2'!$Q84&lt;'RTF 2'!$AB84</f>
        <v>1</v>
      </c>
    </row>
    <row r="216" spans="1:32" x14ac:dyDescent="0.25">
      <c r="A216">
        <v>1125</v>
      </c>
      <c r="B216">
        <v>20</v>
      </c>
      <c r="C216">
        <v>20</v>
      </c>
      <c r="D216">
        <v>20</v>
      </c>
      <c r="E216">
        <v>35</v>
      </c>
      <c r="F216">
        <v>130</v>
      </c>
      <c r="I216" s="49">
        <f>IF('RTF 2'!$D$9=1,'Lookup Tables'!$J216,IF('RTF 2'!$D$9=2,'Lookup Tables'!$K216,IF('RTF 2'!$D$9=3,'Lookup Tables'!$L216,IF('RTF 2'!$D$9=4,'Lookup Tables'!$M216,'Lookup Tables'!$N216))))</f>
        <v>15</v>
      </c>
      <c r="J216">
        <f t="shared" si="48"/>
        <v>20</v>
      </c>
      <c r="K216">
        <f t="shared" si="49"/>
        <v>20</v>
      </c>
      <c r="L216">
        <f>IF('RTF 2'!$D$9=3,'Lookup Tables'!$V$143,0)</f>
        <v>0</v>
      </c>
      <c r="M216">
        <f t="shared" si="50"/>
        <v>40</v>
      </c>
      <c r="N216">
        <f t="shared" si="51"/>
        <v>15</v>
      </c>
      <c r="P216" s="8" t="b">
        <f>'RTF 2'!Q85&gt;'RTF 2'!S85</f>
        <v>0</v>
      </c>
      <c r="Q216" s="8" t="b">
        <f>AND('RTF 2'!S85&gt;='RTF 2'!Q85,'RTF 2'!Q85&gt;'RTF 2'!T85)</f>
        <v>0</v>
      </c>
      <c r="R216" s="35" t="b">
        <f>'RTF 2'!Q85&lt;='RTF 2'!T85</f>
        <v>1</v>
      </c>
      <c r="S216" s="8" t="b">
        <f>'RTF 2'!$Q85&gt;'RTF 2'!$U85</f>
        <v>0</v>
      </c>
      <c r="T216" s="8" t="b">
        <f>AND('RTF 2'!$U85&gt;='RTF 2'!$Q85,'RTF 2'!$Q85&gt;'RTF 2'!$V85)</f>
        <v>0</v>
      </c>
      <c r="U216" s="35" t="b">
        <f>'RTF 2'!$Q85&lt;='RTF 2'!$V85</f>
        <v>1</v>
      </c>
      <c r="V216" s="42"/>
      <c r="W216" s="8" t="b">
        <f>'RTF 2'!$Q85&gt;('RTF 2'!$P85+'RTF 2'!$O85)</f>
        <v>0</v>
      </c>
      <c r="X216" s="8" t="b">
        <f>'RTF 2'!$O85&gt;('RTF 2'!$P85+'RTF 2'!$Q85)</f>
        <v>0</v>
      </c>
      <c r="Y216" s="8" t="b">
        <f>AND(('RTF 2'!$O85+10)&gt;='RTF 2'!$P85,('RTF 2'!$O85-10)&lt;='RTF 2'!$P85,('RTF 2'!$P85+10)&gt;='RTF 2'!$Q85,('RTF 2'!$P85-10)&lt;='RTF 2'!$Q85,('RTF 2'!$O85+10)&gt;='RTF 2'!$Q85,('RTF 2'!$O85-10)&lt;='RTF 2'!$Q85)</f>
        <v>1</v>
      </c>
      <c r="Z216" s="8" t="b">
        <f>AND(('RTF 2'!$O85+10)&gt;='RTF 2'!$P85,('RTF 2'!$O85-10)&lt;='RTF 2'!$P85,OR('RTF 2'!$P85&gt;'RTF 2'!$Y85,'RTF 2'!$O85&gt;'RTF 2'!$Y85))</f>
        <v>0</v>
      </c>
      <c r="AA216" s="11" t="b">
        <f>AND(('RTF 2'!$Q85+10)&gt;='RTF 2'!$P85,('RTF 2'!$Q85-10)&lt;='RTF 2'!$P85,OR('RTF 2'!$P85&gt;'RTF 2'!$Z85,'RTF 2'!$Q85&gt;'RTF 2'!$Z85))</f>
        <v>0</v>
      </c>
      <c r="AB216" s="35" t="b">
        <f t="shared" si="52"/>
        <v>0</v>
      </c>
      <c r="AC216" s="8" t="b">
        <f>'RTF 2'!$Q85&gt;'RTF 2'!$P85</f>
        <v>0</v>
      </c>
      <c r="AD216" s="8" t="b">
        <f>AND('RTF 2'!$P85&gt;='RTF 2'!$Q85,'RTF 2'!$Q85&gt;'RTF 2'!$AA85)</f>
        <v>0</v>
      </c>
      <c r="AE216" s="8" t="b">
        <f>AND('RTF 2'!$AA85&gt;'RTF 2'!$Q85,'RTF 2'!$Q85&gt;'RTF 2'!$AB85)</f>
        <v>0</v>
      </c>
      <c r="AF216" s="8" t="b">
        <f>'RTF 2'!$Q85&lt;'RTF 2'!$AB85</f>
        <v>1</v>
      </c>
    </row>
    <row r="217" spans="1:32" x14ac:dyDescent="0.25">
      <c r="A217">
        <v>1250</v>
      </c>
      <c r="B217">
        <v>20</v>
      </c>
      <c r="C217">
        <v>20</v>
      </c>
      <c r="D217">
        <v>20</v>
      </c>
      <c r="E217">
        <v>20</v>
      </c>
      <c r="F217">
        <v>90</v>
      </c>
      <c r="I217" s="49">
        <f>IF('RTF 2'!$D$9=1,'Lookup Tables'!$J217,IF('RTF 2'!$D$9=2,'Lookup Tables'!$K217,IF('RTF 2'!$D$9=3,'Lookup Tables'!$L217,IF('RTF 2'!$D$9=4,'Lookup Tables'!$M217,'Lookup Tables'!$N217))))</f>
        <v>15</v>
      </c>
      <c r="J217">
        <f t="shared" si="48"/>
        <v>20</v>
      </c>
      <c r="K217">
        <f t="shared" si="49"/>
        <v>20</v>
      </c>
      <c r="L217">
        <f>IF('RTF 2'!$D$9=3,'Lookup Tables'!$V$143,0)</f>
        <v>0</v>
      </c>
      <c r="M217">
        <f t="shared" si="50"/>
        <v>40</v>
      </c>
      <c r="N217">
        <f t="shared" si="51"/>
        <v>15</v>
      </c>
      <c r="P217" s="8" t="b">
        <f>'RTF 2'!Q86&gt;'RTF 2'!S86</f>
        <v>0</v>
      </c>
      <c r="Q217" s="8" t="b">
        <f>AND('RTF 2'!S86&gt;='RTF 2'!Q86,'RTF 2'!Q86&gt;'RTF 2'!T86)</f>
        <v>0</v>
      </c>
      <c r="R217" s="35" t="b">
        <f>'RTF 2'!Q86&lt;='RTF 2'!T86</f>
        <v>1</v>
      </c>
      <c r="S217" s="8" t="b">
        <f>'RTF 2'!$Q86&gt;'RTF 2'!$U86</f>
        <v>0</v>
      </c>
      <c r="T217" s="8" t="b">
        <f>AND('RTF 2'!$U86&gt;='RTF 2'!$Q86,'RTF 2'!$Q86&gt;'RTF 2'!$V86)</f>
        <v>0</v>
      </c>
      <c r="U217" s="35" t="b">
        <f>'RTF 2'!$Q86&lt;='RTF 2'!$V86</f>
        <v>1</v>
      </c>
      <c r="V217" s="42"/>
      <c r="W217" s="8" t="b">
        <f>'RTF 2'!$Q86&gt;('RTF 2'!$P86+'RTF 2'!$O86)</f>
        <v>0</v>
      </c>
      <c r="X217" s="8" t="b">
        <f>'RTF 2'!$O86&gt;('RTF 2'!$P86+'RTF 2'!$Q86)</f>
        <v>0</v>
      </c>
      <c r="Y217" s="8" t="b">
        <f>AND(('RTF 2'!$O86+10)&gt;='RTF 2'!$P86,('RTF 2'!$O86-10)&lt;='RTF 2'!$P86,('RTF 2'!$P86+10)&gt;='RTF 2'!$Q86,('RTF 2'!$P86-10)&lt;='RTF 2'!$Q86,('RTF 2'!$O86+10)&gt;='RTF 2'!$Q86,('RTF 2'!$O86-10)&lt;='RTF 2'!$Q86)</f>
        <v>1</v>
      </c>
      <c r="Z217" s="8" t="b">
        <f>AND(('RTF 2'!$O86+10)&gt;='RTF 2'!$P86,('RTF 2'!$O86-10)&lt;='RTF 2'!$P86,OR('RTF 2'!$P86&gt;'RTF 2'!$Y86,'RTF 2'!$O86&gt;'RTF 2'!$Y86))</f>
        <v>0</v>
      </c>
      <c r="AA217" s="11" t="b">
        <f>AND(('RTF 2'!$Q86+10)&gt;='RTF 2'!$P86,('RTF 2'!$Q86-10)&lt;='RTF 2'!$P86,OR('RTF 2'!$P86&gt;'RTF 2'!$Z86,'RTF 2'!$Q86&gt;'RTF 2'!$Z86))</f>
        <v>0</v>
      </c>
      <c r="AB217" s="35" t="b">
        <f t="shared" si="52"/>
        <v>0</v>
      </c>
      <c r="AC217" s="8" t="b">
        <f>'RTF 2'!$Q86&gt;'RTF 2'!$P86</f>
        <v>0</v>
      </c>
      <c r="AD217" s="8" t="b">
        <f>AND('RTF 2'!$P86&gt;='RTF 2'!$Q86,'RTF 2'!$Q86&gt;'RTF 2'!$AA86)</f>
        <v>0</v>
      </c>
      <c r="AE217" s="8" t="b">
        <f>AND('RTF 2'!$AA86&gt;'RTF 2'!$Q86,'RTF 2'!$Q86&gt;'RTF 2'!$AB86)</f>
        <v>0</v>
      </c>
      <c r="AF217" s="8" t="b">
        <f>'RTF 2'!$Q86&lt;'RTF 2'!$AB86</f>
        <v>1</v>
      </c>
    </row>
    <row r="218" spans="1:32" x14ac:dyDescent="0.25">
      <c r="A218">
        <v>1500</v>
      </c>
      <c r="B218">
        <v>20</v>
      </c>
      <c r="C218">
        <v>20</v>
      </c>
      <c r="D218">
        <v>20</v>
      </c>
      <c r="E218">
        <v>20</v>
      </c>
      <c r="F218">
        <v>45</v>
      </c>
      <c r="I218" s="49">
        <f>IF('RTF 2'!$D$9=1,'Lookup Tables'!$J218,IF('RTF 2'!$D$9=2,'Lookup Tables'!$K218,IF('RTF 2'!$D$9=3,'Lookup Tables'!$L218,IF('RTF 2'!$D$9=4,'Lookup Tables'!$M218,'Lookup Tables'!$N218))))</f>
        <v>15</v>
      </c>
      <c r="J218">
        <f t="shared" si="48"/>
        <v>20</v>
      </c>
      <c r="K218">
        <f t="shared" si="49"/>
        <v>20</v>
      </c>
      <c r="L218">
        <f>IF('RTF 2'!$D$9=3,'Lookup Tables'!$V$143,0)</f>
        <v>0</v>
      </c>
      <c r="M218">
        <f t="shared" si="50"/>
        <v>40</v>
      </c>
      <c r="N218">
        <f t="shared" si="51"/>
        <v>15</v>
      </c>
      <c r="P218" s="8" t="b">
        <f>'RTF 2'!Q87&gt;'RTF 2'!S87</f>
        <v>0</v>
      </c>
      <c r="Q218" s="8" t="b">
        <f>AND('RTF 2'!S87&gt;='RTF 2'!Q87,'RTF 2'!Q87&gt;'RTF 2'!T87)</f>
        <v>0</v>
      </c>
      <c r="R218" s="35" t="b">
        <f>'RTF 2'!Q87&lt;='RTF 2'!T87</f>
        <v>1</v>
      </c>
      <c r="S218" s="8" t="b">
        <f>'RTF 2'!$Q87&gt;'RTF 2'!$U87</f>
        <v>0</v>
      </c>
      <c r="T218" s="8" t="b">
        <f>AND('RTF 2'!$U87&gt;='RTF 2'!$Q87,'RTF 2'!$Q87&gt;'RTF 2'!$V87)</f>
        <v>0</v>
      </c>
      <c r="U218" s="35" t="b">
        <f>'RTF 2'!$Q87&lt;='RTF 2'!$V87</f>
        <v>1</v>
      </c>
      <c r="V218" s="42"/>
      <c r="W218" s="8" t="b">
        <f>'RTF 2'!$Q87&gt;('RTF 2'!$P87+'RTF 2'!$O87)</f>
        <v>0</v>
      </c>
      <c r="X218" s="8" t="b">
        <f>'RTF 2'!$O87&gt;('RTF 2'!$P87+'RTF 2'!$Q87)</f>
        <v>0</v>
      </c>
      <c r="Y218" s="8" t="b">
        <f>AND(('RTF 2'!$O87+10)&gt;='RTF 2'!$P87,('RTF 2'!$O87-10)&lt;='RTF 2'!$P87,('RTF 2'!$P87+10)&gt;='RTF 2'!$Q87,('RTF 2'!$P87-10)&lt;='RTF 2'!$Q87,('RTF 2'!$O87+10)&gt;='RTF 2'!$Q87,('RTF 2'!$O87-10)&lt;='RTF 2'!$Q87)</f>
        <v>1</v>
      </c>
      <c r="Z218" s="8" t="b">
        <f>AND(('RTF 2'!$O87+10)&gt;='RTF 2'!$P87,('RTF 2'!$O87-10)&lt;='RTF 2'!$P87,OR('RTF 2'!$P87&gt;'RTF 2'!$Y87,'RTF 2'!$O87&gt;'RTF 2'!$Y87))</f>
        <v>0</v>
      </c>
      <c r="AA218" s="11" t="b">
        <f>AND(('RTF 2'!$Q87+10)&gt;='RTF 2'!$P87,('RTF 2'!$Q87-10)&lt;='RTF 2'!$P87,OR('RTF 2'!$P87&gt;'RTF 2'!$Z87,'RTF 2'!$Q87&gt;'RTF 2'!$Z87))</f>
        <v>0</v>
      </c>
      <c r="AB218" s="35" t="b">
        <f t="shared" si="52"/>
        <v>0</v>
      </c>
      <c r="AC218" s="8" t="b">
        <f>'RTF 2'!$Q87&gt;'RTF 2'!$P87</f>
        <v>0</v>
      </c>
      <c r="AD218" s="8" t="b">
        <f>AND('RTF 2'!$P87&gt;='RTF 2'!$Q87,'RTF 2'!$Q87&gt;'RTF 2'!$AA87)</f>
        <v>0</v>
      </c>
      <c r="AE218" s="8" t="b">
        <f>AND('RTF 2'!$AA87&gt;'RTF 2'!$Q87,'RTF 2'!$Q87&gt;'RTF 2'!$AB87)</f>
        <v>0</v>
      </c>
      <c r="AF218" s="8" t="b">
        <f>'RTF 2'!$Q87&lt;'RTF 2'!$AB87</f>
        <v>1</v>
      </c>
    </row>
    <row r="219" spans="1:32" x14ac:dyDescent="0.25">
      <c r="A219">
        <v>1750</v>
      </c>
      <c r="B219">
        <v>20</v>
      </c>
      <c r="C219">
        <v>20</v>
      </c>
      <c r="D219">
        <v>20</v>
      </c>
      <c r="E219">
        <v>20</v>
      </c>
      <c r="F219">
        <v>20</v>
      </c>
      <c r="I219" s="49">
        <f>IF('RTF 2'!$D$9=1,'Lookup Tables'!$J219,IF('RTF 2'!$D$9=2,'Lookup Tables'!$K219,IF('RTF 2'!$D$9=3,'Lookup Tables'!$L219,IF('RTF 2'!$D$9=4,'Lookup Tables'!$M219,'Lookup Tables'!$N219))))</f>
        <v>15</v>
      </c>
      <c r="J219">
        <f t="shared" si="48"/>
        <v>20</v>
      </c>
      <c r="K219">
        <f t="shared" si="49"/>
        <v>20</v>
      </c>
      <c r="L219">
        <f>IF('RTF 2'!$D$9=3,'Lookup Tables'!$V$143,0)</f>
        <v>0</v>
      </c>
      <c r="M219">
        <f t="shared" si="50"/>
        <v>40</v>
      </c>
      <c r="N219">
        <f t="shared" si="51"/>
        <v>15</v>
      </c>
      <c r="P219" s="8" t="b">
        <f>'RTF 2'!Q88&gt;'RTF 2'!S88</f>
        <v>0</v>
      </c>
      <c r="Q219" s="8" t="b">
        <f>AND('RTF 2'!S88&gt;='RTF 2'!Q88,'RTF 2'!Q88&gt;'RTF 2'!T88)</f>
        <v>0</v>
      </c>
      <c r="R219" s="35" t="b">
        <f>'RTF 2'!Q88&lt;='RTF 2'!T88</f>
        <v>1</v>
      </c>
      <c r="S219" s="8" t="b">
        <f>'RTF 2'!$Q88&gt;'RTF 2'!$U88</f>
        <v>0</v>
      </c>
      <c r="T219" s="8" t="b">
        <f>AND('RTF 2'!$U88&gt;='RTF 2'!$Q88,'RTF 2'!$Q88&gt;'RTF 2'!$V88)</f>
        <v>0</v>
      </c>
      <c r="U219" s="35" t="b">
        <f>'RTF 2'!$Q88&lt;='RTF 2'!$V88</f>
        <v>1</v>
      </c>
      <c r="V219" s="42"/>
      <c r="W219" s="8" t="b">
        <f>'RTF 2'!$Q88&gt;('RTF 2'!$P88+'RTF 2'!$O88)</f>
        <v>0</v>
      </c>
      <c r="X219" s="8" t="b">
        <f>'RTF 2'!$O88&gt;('RTF 2'!$P88+'RTF 2'!$Q88)</f>
        <v>0</v>
      </c>
      <c r="Y219" s="8" t="b">
        <f>AND(('RTF 2'!$O88+10)&gt;='RTF 2'!$P88,('RTF 2'!$O88-10)&lt;='RTF 2'!$P88,('RTF 2'!$P88+10)&gt;='RTF 2'!$Q88,('RTF 2'!$P88-10)&lt;='RTF 2'!$Q88,('RTF 2'!$O88+10)&gt;='RTF 2'!$Q88,('RTF 2'!$O88-10)&lt;='RTF 2'!$Q88)</f>
        <v>1</v>
      </c>
      <c r="Z219" s="8" t="b">
        <f>AND(('RTF 2'!$O88+10)&gt;='RTF 2'!$P88,('RTF 2'!$O88-10)&lt;='RTF 2'!$P88,OR('RTF 2'!$P88&gt;'RTF 2'!$Y88,'RTF 2'!$O88&gt;'RTF 2'!$Y88))</f>
        <v>0</v>
      </c>
      <c r="AA219" s="11" t="b">
        <f>AND(('RTF 2'!$Q88+10)&gt;='RTF 2'!$P88,('RTF 2'!$Q88-10)&lt;='RTF 2'!$P88,OR('RTF 2'!$P88&gt;'RTF 2'!$Z88,'RTF 2'!$Q88&gt;'RTF 2'!$Z88))</f>
        <v>0</v>
      </c>
      <c r="AB219" s="35" t="b">
        <f t="shared" si="52"/>
        <v>0</v>
      </c>
      <c r="AC219" s="8" t="b">
        <f>'RTF 2'!$Q88&gt;'RTF 2'!$P88</f>
        <v>0</v>
      </c>
      <c r="AD219" s="8" t="b">
        <f>AND('RTF 2'!$P88&gt;='RTF 2'!$Q88,'RTF 2'!$Q88&gt;'RTF 2'!$AA88)</f>
        <v>0</v>
      </c>
      <c r="AE219" s="8" t="b">
        <f>AND('RTF 2'!$AA88&gt;'RTF 2'!$Q88,'RTF 2'!$Q88&gt;'RTF 2'!$AB88)</f>
        <v>0</v>
      </c>
      <c r="AF219" s="8" t="b">
        <f>'RTF 2'!$Q88&lt;'RTF 2'!$AB88</f>
        <v>1</v>
      </c>
    </row>
    <row r="220" spans="1:32" x14ac:dyDescent="0.25">
      <c r="A220">
        <v>2000</v>
      </c>
      <c r="B220">
        <v>20</v>
      </c>
      <c r="C220">
        <v>20</v>
      </c>
      <c r="D220">
        <v>20</v>
      </c>
      <c r="E220">
        <v>20</v>
      </c>
      <c r="F220">
        <v>20</v>
      </c>
      <c r="I220" s="49">
        <f>IF('RTF 2'!$D$9=1,'Lookup Tables'!$J220,IF('RTF 2'!$D$9=2,'Lookup Tables'!$K220,IF('RTF 2'!$D$9=3,'Lookup Tables'!$L220,IF('RTF 2'!$D$9=4,'Lookup Tables'!$M220,'Lookup Tables'!$N220))))</f>
        <v>15</v>
      </c>
      <c r="J220">
        <f t="shared" si="48"/>
        <v>20</v>
      </c>
      <c r="K220">
        <f t="shared" si="49"/>
        <v>20</v>
      </c>
      <c r="L220">
        <f>IF('RTF 2'!$D$9=3,'Lookup Tables'!$V$143,0)</f>
        <v>0</v>
      </c>
      <c r="M220">
        <f t="shared" si="50"/>
        <v>40</v>
      </c>
      <c r="N220">
        <f t="shared" si="51"/>
        <v>15</v>
      </c>
      <c r="P220" s="8" t="b">
        <f>'RTF 2'!Q89&gt;'RTF 2'!S89</f>
        <v>0</v>
      </c>
      <c r="Q220" s="8" t="b">
        <f>AND('RTF 2'!S89&gt;='RTF 2'!Q89,'RTF 2'!Q89&gt;'RTF 2'!T89)</f>
        <v>0</v>
      </c>
      <c r="R220" s="35" t="b">
        <f>'RTF 2'!Q89&lt;='RTF 2'!T89</f>
        <v>1</v>
      </c>
      <c r="S220" s="8" t="b">
        <f>'RTF 2'!$Q89&gt;'RTF 2'!$U89</f>
        <v>0</v>
      </c>
      <c r="T220" s="8" t="b">
        <f>AND('RTF 2'!$U89&gt;='RTF 2'!$Q89,'RTF 2'!$Q89&gt;'RTF 2'!$V89)</f>
        <v>0</v>
      </c>
      <c r="U220" s="35" t="b">
        <f>'RTF 2'!$Q89&lt;='RTF 2'!$V89</f>
        <v>1</v>
      </c>
      <c r="V220" s="42"/>
      <c r="W220" s="8" t="b">
        <f>'RTF 2'!$Q89&gt;('RTF 2'!$P89+'RTF 2'!$O89)</f>
        <v>0</v>
      </c>
      <c r="X220" s="8" t="b">
        <f>'RTF 2'!$O89&gt;('RTF 2'!$P89+'RTF 2'!$Q89)</f>
        <v>0</v>
      </c>
      <c r="Y220" s="8" t="b">
        <f>AND(('RTF 2'!$O89+10)&gt;='RTF 2'!$P89,('RTF 2'!$O89-10)&lt;='RTF 2'!$P89,('RTF 2'!$P89+10)&gt;='RTF 2'!$Q89,('RTF 2'!$P89-10)&lt;='RTF 2'!$Q89,('RTF 2'!$O89+10)&gt;='RTF 2'!$Q89,('RTF 2'!$O89-10)&lt;='RTF 2'!$Q89)</f>
        <v>1</v>
      </c>
      <c r="Z220" s="8" t="b">
        <f>AND(('RTF 2'!$O89+10)&gt;='RTF 2'!$P89,('RTF 2'!$O89-10)&lt;='RTF 2'!$P89,OR('RTF 2'!$P89&gt;'RTF 2'!$Y89,'RTF 2'!$O89&gt;'RTF 2'!$Y89))</f>
        <v>0</v>
      </c>
      <c r="AA220" s="11" t="b">
        <f>AND(('RTF 2'!$Q89+10)&gt;='RTF 2'!$P89,('RTF 2'!$Q89-10)&lt;='RTF 2'!$P89,OR('RTF 2'!$P89&gt;'RTF 2'!$Z89,'RTF 2'!$Q89&gt;'RTF 2'!$Z89))</f>
        <v>0</v>
      </c>
      <c r="AB220" s="35" t="b">
        <f t="shared" si="52"/>
        <v>0</v>
      </c>
      <c r="AC220" s="8" t="b">
        <f>'RTF 2'!$Q89&gt;'RTF 2'!$P89</f>
        <v>0</v>
      </c>
      <c r="AD220" s="8" t="b">
        <f>AND('RTF 2'!$P89&gt;='RTF 2'!$Q89,'RTF 2'!$Q89&gt;'RTF 2'!$AA89)</f>
        <v>0</v>
      </c>
      <c r="AE220" s="8" t="b">
        <f>AND('RTF 2'!$AA89&gt;'RTF 2'!$Q89,'RTF 2'!$Q89&gt;'RTF 2'!$AB89)</f>
        <v>0</v>
      </c>
      <c r="AF220" s="8" t="b">
        <f>'RTF 2'!$Q89&lt;'RTF 2'!$AB89</f>
        <v>1</v>
      </c>
    </row>
    <row r="221" spans="1:32" x14ac:dyDescent="0.25">
      <c r="I221" s="49">
        <f>IF('RTF 2'!$D$9=1,'Lookup Tables'!$J221,IF('RTF 2'!$D$9=2,'Lookup Tables'!$K221,IF('RTF 2'!$D$9=3,'Lookup Tables'!$L221,IF('RTF 2'!$D$9=4,'Lookup Tables'!$M221,'Lookup Tables'!$N221))))</f>
        <v>15</v>
      </c>
      <c r="J221">
        <f t="shared" si="48"/>
        <v>20</v>
      </c>
      <c r="K221">
        <f t="shared" si="49"/>
        <v>20</v>
      </c>
      <c r="L221">
        <f>IF('RTF 2'!$D$9=3,'Lookup Tables'!$V$143,0)</f>
        <v>0</v>
      </c>
      <c r="M221">
        <f t="shared" si="50"/>
        <v>40</v>
      </c>
      <c r="N221">
        <f t="shared" si="51"/>
        <v>15</v>
      </c>
      <c r="P221" s="8" t="b">
        <f>'RTF 2'!Q90&gt;'RTF 2'!S90</f>
        <v>0</v>
      </c>
      <c r="Q221" s="8" t="b">
        <f>AND('RTF 2'!S90&gt;='RTF 2'!Q90,'RTF 2'!Q90&gt;'RTF 2'!T90)</f>
        <v>0</v>
      </c>
      <c r="R221" s="35" t="b">
        <f>'RTF 2'!Q90&lt;='RTF 2'!T90</f>
        <v>1</v>
      </c>
      <c r="S221" s="8" t="b">
        <f>'RTF 2'!$Q90&gt;'RTF 2'!$U90</f>
        <v>0</v>
      </c>
      <c r="T221" s="8" t="b">
        <f>AND('RTF 2'!$U90&gt;='RTF 2'!$Q90,'RTF 2'!$Q90&gt;'RTF 2'!$V90)</f>
        <v>0</v>
      </c>
      <c r="U221" s="35" t="b">
        <f>'RTF 2'!$Q90&lt;='RTF 2'!$V90</f>
        <v>1</v>
      </c>
      <c r="V221" s="42"/>
      <c r="W221" s="8" t="b">
        <f>'RTF 2'!$Q90&gt;('RTF 2'!$P90+'RTF 2'!$O90)</f>
        <v>0</v>
      </c>
      <c r="X221" s="8" t="b">
        <f>'RTF 2'!$O90&gt;('RTF 2'!$P90+'RTF 2'!$Q90)</f>
        <v>0</v>
      </c>
      <c r="Y221" s="8" t="b">
        <f>AND(('RTF 2'!$O90+10)&gt;='RTF 2'!$P90,('RTF 2'!$O90-10)&lt;='RTF 2'!$P90,('RTF 2'!$P90+10)&gt;='RTF 2'!$Q90,('RTF 2'!$P90-10)&lt;='RTF 2'!$Q90,('RTF 2'!$O90+10)&gt;='RTF 2'!$Q90,('RTF 2'!$O90-10)&lt;='RTF 2'!$Q90)</f>
        <v>1</v>
      </c>
      <c r="Z221" s="8" t="b">
        <f>AND(('RTF 2'!$O90+10)&gt;='RTF 2'!$P90,('RTF 2'!$O90-10)&lt;='RTF 2'!$P90,OR('RTF 2'!$P90&gt;'RTF 2'!$Y90,'RTF 2'!$O90&gt;'RTF 2'!$Y90))</f>
        <v>0</v>
      </c>
      <c r="AA221" s="11" t="b">
        <f>AND(('RTF 2'!$Q90+10)&gt;='RTF 2'!$P90,('RTF 2'!$Q90-10)&lt;='RTF 2'!$P90,OR('RTF 2'!$P90&gt;'RTF 2'!$Z90,'RTF 2'!$Q90&gt;'RTF 2'!$Z90))</f>
        <v>0</v>
      </c>
      <c r="AB221" s="35" t="b">
        <f t="shared" si="52"/>
        <v>0</v>
      </c>
      <c r="AC221" s="8" t="b">
        <f>'RTF 2'!$Q90&gt;'RTF 2'!$P90</f>
        <v>0</v>
      </c>
      <c r="AD221" s="8" t="b">
        <f>AND('RTF 2'!$P90&gt;='RTF 2'!$Q90,'RTF 2'!$Q90&gt;'RTF 2'!$AA90)</f>
        <v>0</v>
      </c>
      <c r="AE221" s="8" t="b">
        <f>AND('RTF 2'!$AA90&gt;'RTF 2'!$Q90,'RTF 2'!$Q90&gt;'RTF 2'!$AB90)</f>
        <v>0</v>
      </c>
      <c r="AF221" s="8" t="b">
        <f>'RTF 2'!$Q90&lt;'RTF 2'!$AB90</f>
        <v>1</v>
      </c>
    </row>
    <row r="222" spans="1:32" x14ac:dyDescent="0.25">
      <c r="A222" s="819" t="s">
        <v>428</v>
      </c>
      <c r="B222" s="819"/>
      <c r="C222" s="819"/>
      <c r="D222" s="819"/>
      <c r="E222" s="819"/>
      <c r="F222" s="819"/>
      <c r="I222" s="49">
        <f>IF('RTF 2'!$D$9=1,'Lookup Tables'!$J222,IF('RTF 2'!$D$9=2,'Lookup Tables'!$K222,IF('RTF 2'!$D$9=3,'Lookup Tables'!$L222,IF('RTF 2'!$D$9=4,'Lookup Tables'!$M222,'Lookup Tables'!$N222))))</f>
        <v>15</v>
      </c>
      <c r="J222">
        <f t="shared" si="48"/>
        <v>20</v>
      </c>
      <c r="K222">
        <f t="shared" si="49"/>
        <v>20</v>
      </c>
      <c r="L222">
        <f>IF('RTF 2'!$D$9=3,'Lookup Tables'!$V$143,0)</f>
        <v>0</v>
      </c>
      <c r="M222">
        <f t="shared" si="50"/>
        <v>40</v>
      </c>
      <c r="N222">
        <f t="shared" si="51"/>
        <v>15</v>
      </c>
      <c r="P222" s="8" t="b">
        <f>'RTF 2'!Q91&gt;'RTF 2'!S91</f>
        <v>0</v>
      </c>
      <c r="Q222" s="8" t="b">
        <f>AND('RTF 2'!S91&gt;='RTF 2'!Q91,'RTF 2'!Q91&gt;'RTF 2'!T91)</f>
        <v>0</v>
      </c>
      <c r="R222" s="35" t="b">
        <f>'RTF 2'!Q91&lt;='RTF 2'!T91</f>
        <v>1</v>
      </c>
      <c r="S222" s="8" t="b">
        <f>'RTF 2'!$Q91&gt;'RTF 2'!$U91</f>
        <v>0</v>
      </c>
      <c r="T222" s="8" t="b">
        <f>AND('RTF 2'!$U91&gt;='RTF 2'!$Q91,'RTF 2'!$Q91&gt;'RTF 2'!$V91)</f>
        <v>0</v>
      </c>
      <c r="U222" s="35" t="b">
        <f>'RTF 2'!$Q91&lt;='RTF 2'!$V91</f>
        <v>1</v>
      </c>
      <c r="V222" s="42"/>
      <c r="W222" s="8" t="b">
        <f>'RTF 2'!$Q91&gt;('RTF 2'!$P91+'RTF 2'!$O91)</f>
        <v>0</v>
      </c>
      <c r="X222" s="8" t="b">
        <f>'RTF 2'!$O91&gt;('RTF 2'!$P91+'RTF 2'!$Q91)</f>
        <v>0</v>
      </c>
      <c r="Y222" s="8" t="b">
        <f>AND(('RTF 2'!$O91+10)&gt;='RTF 2'!$P91,('RTF 2'!$O91-10)&lt;='RTF 2'!$P91,('RTF 2'!$P91+10)&gt;='RTF 2'!$Q91,('RTF 2'!$P91-10)&lt;='RTF 2'!$Q91,('RTF 2'!$O91+10)&gt;='RTF 2'!$Q91,('RTF 2'!$O91-10)&lt;='RTF 2'!$Q91)</f>
        <v>1</v>
      </c>
      <c r="Z222" s="8" t="b">
        <f>AND(('RTF 2'!$O91+10)&gt;='RTF 2'!$P91,('RTF 2'!$O91-10)&lt;='RTF 2'!$P91,OR('RTF 2'!$P91&gt;'RTF 2'!$Y91,'RTF 2'!$O91&gt;'RTF 2'!$Y91))</f>
        <v>0</v>
      </c>
      <c r="AA222" s="11" t="b">
        <f>AND(('RTF 2'!$Q91+10)&gt;='RTF 2'!$P91,('RTF 2'!$Q91-10)&lt;='RTF 2'!$P91,OR('RTF 2'!$P91&gt;'RTF 2'!$Z91,'RTF 2'!$Q91&gt;'RTF 2'!$Z91))</f>
        <v>0</v>
      </c>
      <c r="AB222" s="35" t="b">
        <f t="shared" si="52"/>
        <v>0</v>
      </c>
      <c r="AC222" s="8" t="b">
        <f>'RTF 2'!$Q91&gt;'RTF 2'!$P91</f>
        <v>0</v>
      </c>
      <c r="AD222" s="8" t="b">
        <f>AND('RTF 2'!$P91&gt;='RTF 2'!$Q91,'RTF 2'!$Q91&gt;'RTF 2'!$AA91)</f>
        <v>0</v>
      </c>
      <c r="AE222" s="8" t="b">
        <f>AND('RTF 2'!$AA91&gt;'RTF 2'!$Q91,'RTF 2'!$Q91&gt;'RTF 2'!$AB91)</f>
        <v>0</v>
      </c>
      <c r="AF222" s="8" t="b">
        <f>'RTF 2'!$Q91&lt;'RTF 2'!$AB91</f>
        <v>1</v>
      </c>
    </row>
    <row r="223" spans="1:32" x14ac:dyDescent="0.25">
      <c r="A223" s="819"/>
      <c r="B223" s="819"/>
      <c r="C223" s="819"/>
      <c r="D223" s="819"/>
      <c r="E223" s="819"/>
      <c r="F223" s="819"/>
      <c r="I223" s="49">
        <f>IF('RTF 2'!$D$9=1,'Lookup Tables'!$J223,IF('RTF 2'!$D$9=2,'Lookup Tables'!$K223,IF('RTF 2'!$D$9=3,'Lookup Tables'!$L223,IF('RTF 2'!$D$9=4,'Lookup Tables'!$M223,'Lookup Tables'!$N223))))</f>
        <v>15</v>
      </c>
      <c r="J223">
        <f t="shared" si="48"/>
        <v>20</v>
      </c>
      <c r="K223">
        <f t="shared" si="49"/>
        <v>20</v>
      </c>
      <c r="L223">
        <f>IF('RTF 2'!$D$9=3,'Lookup Tables'!$V$143,0)</f>
        <v>0</v>
      </c>
      <c r="M223">
        <f t="shared" si="50"/>
        <v>40</v>
      </c>
      <c r="N223">
        <f t="shared" si="51"/>
        <v>15</v>
      </c>
      <c r="P223" s="8" t="b">
        <f>'RTF 2'!Q92&gt;'RTF 2'!S92</f>
        <v>0</v>
      </c>
      <c r="Q223" s="8" t="b">
        <f>AND('RTF 2'!S92&gt;='RTF 2'!Q92,'RTF 2'!Q92&gt;'RTF 2'!T92)</f>
        <v>0</v>
      </c>
      <c r="R223" s="35" t="b">
        <f>'RTF 2'!Q92&lt;='RTF 2'!T92</f>
        <v>1</v>
      </c>
      <c r="S223" s="8" t="b">
        <f>'RTF 2'!$Q92&gt;'RTF 2'!$U92</f>
        <v>0</v>
      </c>
      <c r="T223" s="8" t="b">
        <f>AND('RTF 2'!$U92&gt;='RTF 2'!$Q92,'RTF 2'!$Q92&gt;'RTF 2'!$V92)</f>
        <v>0</v>
      </c>
      <c r="U223" s="35" t="b">
        <f>'RTF 2'!$Q92&lt;='RTF 2'!$V92</f>
        <v>1</v>
      </c>
      <c r="V223" s="42"/>
      <c r="W223" s="8" t="b">
        <f>'RTF 2'!$Q92&gt;('RTF 2'!$P92+'RTF 2'!$O92)</f>
        <v>0</v>
      </c>
      <c r="X223" s="8" t="b">
        <f>'RTF 2'!$O92&gt;('RTF 2'!$P92+'RTF 2'!$Q92)</f>
        <v>0</v>
      </c>
      <c r="Y223" s="8" t="b">
        <f>AND(('RTF 2'!$O92+10)&gt;='RTF 2'!$P92,('RTF 2'!$O92-10)&lt;='RTF 2'!$P92,('RTF 2'!$P92+10)&gt;='RTF 2'!$Q92,('RTF 2'!$P92-10)&lt;='RTF 2'!$Q92,('RTF 2'!$O92+10)&gt;='RTF 2'!$Q92,('RTF 2'!$O92-10)&lt;='RTF 2'!$Q92)</f>
        <v>1</v>
      </c>
      <c r="Z223" s="8" t="b">
        <f>AND(('RTF 2'!$O92+10)&gt;='RTF 2'!$P92,('RTF 2'!$O92-10)&lt;='RTF 2'!$P92,OR('RTF 2'!$P92&gt;'RTF 2'!$Y92,'RTF 2'!$O92&gt;'RTF 2'!$Y92))</f>
        <v>0</v>
      </c>
      <c r="AA223" s="11" t="b">
        <f>AND(('RTF 2'!$Q92+10)&gt;='RTF 2'!$P92,('RTF 2'!$Q92-10)&lt;='RTF 2'!$P92,OR('RTF 2'!$P92&gt;'RTF 2'!$Z92,'RTF 2'!$Q92&gt;'RTF 2'!$Z92))</f>
        <v>0</v>
      </c>
      <c r="AB223" s="35" t="b">
        <f t="shared" si="52"/>
        <v>0</v>
      </c>
      <c r="AC223" s="8" t="b">
        <f>'RTF 2'!$Q92&gt;'RTF 2'!$P92</f>
        <v>0</v>
      </c>
      <c r="AD223" s="8" t="b">
        <f>AND('RTF 2'!$P92&gt;='RTF 2'!$Q92,'RTF 2'!$Q92&gt;'RTF 2'!$AA92)</f>
        <v>0</v>
      </c>
      <c r="AE223" s="8" t="b">
        <f>AND('RTF 2'!$AA92&gt;'RTF 2'!$Q92,'RTF 2'!$Q92&gt;'RTF 2'!$AB92)</f>
        <v>0</v>
      </c>
      <c r="AF223" s="8" t="b">
        <f>'RTF 2'!$Q92&lt;'RTF 2'!$AB92</f>
        <v>1</v>
      </c>
    </row>
    <row r="224" spans="1:32" x14ac:dyDescent="0.25">
      <c r="A224" s="819"/>
      <c r="B224" s="819"/>
      <c r="C224" s="819"/>
      <c r="D224" s="819"/>
      <c r="E224" s="819"/>
      <c r="F224" s="819"/>
      <c r="I224" s="49">
        <f>IF('RTF 2'!$D$9=1,'Lookup Tables'!$J224,IF('RTF 2'!$D$9=2,'Lookup Tables'!$K224,IF('RTF 2'!$D$9=3,'Lookup Tables'!$L224,IF('RTF 2'!$D$9=4,'Lookup Tables'!$M224,'Lookup Tables'!$N224))))</f>
        <v>15</v>
      </c>
      <c r="J224">
        <f t="shared" si="48"/>
        <v>20</v>
      </c>
      <c r="K224">
        <f t="shared" si="49"/>
        <v>20</v>
      </c>
      <c r="L224">
        <f>IF('RTF 2'!$D$9=3,'Lookup Tables'!$V$143,0)</f>
        <v>0</v>
      </c>
      <c r="M224">
        <f t="shared" si="50"/>
        <v>40</v>
      </c>
      <c r="N224">
        <f t="shared" si="51"/>
        <v>15</v>
      </c>
      <c r="P224" s="8" t="b">
        <f>'RTF 2'!Q93&gt;'RTF 2'!S93</f>
        <v>0</v>
      </c>
      <c r="Q224" s="8" t="b">
        <f>AND('RTF 2'!S93&gt;='RTF 2'!Q93,'RTF 2'!Q93&gt;'RTF 2'!T93)</f>
        <v>0</v>
      </c>
      <c r="R224" s="35" t="b">
        <f>'RTF 2'!Q93&lt;='RTF 2'!T93</f>
        <v>1</v>
      </c>
      <c r="S224" s="8" t="b">
        <f>'RTF 2'!$Q93&gt;'RTF 2'!$U93</f>
        <v>0</v>
      </c>
      <c r="T224" s="8" t="b">
        <f>AND('RTF 2'!$U93&gt;='RTF 2'!$Q93,'RTF 2'!$Q93&gt;'RTF 2'!$V93)</f>
        <v>0</v>
      </c>
      <c r="U224" s="35" t="b">
        <f>'RTF 2'!$Q93&lt;='RTF 2'!$V93</f>
        <v>1</v>
      </c>
      <c r="V224" s="42"/>
      <c r="W224" s="8" t="b">
        <f>'RTF 2'!$Q93&gt;('RTF 2'!$P93+'RTF 2'!$O93)</f>
        <v>0</v>
      </c>
      <c r="X224" s="8" t="b">
        <f>'RTF 2'!$O93&gt;('RTF 2'!$P93+'RTF 2'!$Q93)</f>
        <v>0</v>
      </c>
      <c r="Y224" s="8" t="b">
        <f>AND(('RTF 2'!$O93+10)&gt;='RTF 2'!$P93,('RTF 2'!$O93-10)&lt;='RTF 2'!$P93,('RTF 2'!$P93+10)&gt;='RTF 2'!$Q93,('RTF 2'!$P93-10)&lt;='RTF 2'!$Q93,('RTF 2'!$O93+10)&gt;='RTF 2'!$Q93,('RTF 2'!$O93-10)&lt;='RTF 2'!$Q93)</f>
        <v>1</v>
      </c>
      <c r="Z224" s="8" t="b">
        <f>AND(('RTF 2'!$O93+10)&gt;='RTF 2'!$P93,('RTF 2'!$O93-10)&lt;='RTF 2'!$P93,OR('RTF 2'!$P93&gt;'RTF 2'!$Y93,'RTF 2'!$O93&gt;'RTF 2'!$Y93))</f>
        <v>0</v>
      </c>
      <c r="AA224" s="11" t="b">
        <f>AND(('RTF 2'!$Q93+10)&gt;='RTF 2'!$P93,('RTF 2'!$Q93-10)&lt;='RTF 2'!$P93,OR('RTF 2'!$P93&gt;'RTF 2'!$Z93,'RTF 2'!$Q93&gt;'RTF 2'!$Z93))</f>
        <v>0</v>
      </c>
      <c r="AB224" s="35" t="b">
        <f t="shared" si="52"/>
        <v>0</v>
      </c>
      <c r="AC224" s="8" t="b">
        <f>'RTF 2'!$Q93&gt;'RTF 2'!$P93</f>
        <v>0</v>
      </c>
      <c r="AD224" s="8" t="b">
        <f>AND('RTF 2'!$P93&gt;='RTF 2'!$Q93,'RTF 2'!$Q93&gt;'RTF 2'!$AA93)</f>
        <v>0</v>
      </c>
      <c r="AE224" s="8" t="b">
        <f>AND('RTF 2'!$AA93&gt;'RTF 2'!$Q93,'RTF 2'!$Q93&gt;'RTF 2'!$AB93)</f>
        <v>0</v>
      </c>
      <c r="AF224" s="8" t="b">
        <f>'RTF 2'!$Q93&lt;'RTF 2'!$AB93</f>
        <v>1</v>
      </c>
    </row>
    <row r="225" spans="1:32" x14ac:dyDescent="0.25">
      <c r="A225" s="26" t="s">
        <v>354</v>
      </c>
      <c r="B225" s="26" t="s">
        <v>355</v>
      </c>
      <c r="C225" s="26" t="s">
        <v>421</v>
      </c>
      <c r="D225" s="26" t="s">
        <v>421</v>
      </c>
      <c r="E225" s="26" t="s">
        <v>422</v>
      </c>
      <c r="F225" s="26" t="s">
        <v>423</v>
      </c>
      <c r="I225" s="49">
        <f>IF('RTF 2'!$D$9=1,'Lookup Tables'!$J225,IF('RTF 2'!$D$9=2,'Lookup Tables'!$K225,IF('RTF 2'!$D$9=3,'Lookup Tables'!$L225,IF('RTF 2'!$D$9=4,'Lookup Tables'!$M225,'Lookup Tables'!$N225))))</f>
        <v>15</v>
      </c>
      <c r="J225">
        <f t="shared" si="48"/>
        <v>20</v>
      </c>
      <c r="K225">
        <f t="shared" si="49"/>
        <v>20</v>
      </c>
      <c r="L225">
        <f>IF('RTF 2'!$D$9=3,'Lookup Tables'!$V$143,0)</f>
        <v>0</v>
      </c>
      <c r="M225">
        <f t="shared" si="50"/>
        <v>40</v>
      </c>
      <c r="N225">
        <f t="shared" si="51"/>
        <v>15</v>
      </c>
      <c r="P225" s="8" t="b">
        <f>'RTF 2'!Q94&gt;'RTF 2'!S94</f>
        <v>0</v>
      </c>
      <c r="Q225" s="8" t="b">
        <f>AND('RTF 2'!S94&gt;='RTF 2'!Q94,'RTF 2'!Q94&gt;'RTF 2'!T94)</f>
        <v>0</v>
      </c>
      <c r="R225" s="35" t="b">
        <f>'RTF 2'!Q94&lt;='RTF 2'!T94</f>
        <v>1</v>
      </c>
      <c r="S225" s="8" t="b">
        <f>'RTF 2'!$Q94&gt;'RTF 2'!$U94</f>
        <v>0</v>
      </c>
      <c r="T225" s="8" t="b">
        <f>AND('RTF 2'!$U94&gt;='RTF 2'!$Q94,'RTF 2'!$Q94&gt;'RTF 2'!$V94)</f>
        <v>0</v>
      </c>
      <c r="U225" s="35" t="b">
        <f>'RTF 2'!$Q94&lt;='RTF 2'!$V94</f>
        <v>1</v>
      </c>
      <c r="V225" s="42"/>
      <c r="W225" s="8" t="b">
        <f>'RTF 2'!$Q94&gt;('RTF 2'!$P94+'RTF 2'!$O94)</f>
        <v>0</v>
      </c>
      <c r="X225" s="8" t="b">
        <f>'RTF 2'!$O94&gt;('RTF 2'!$P94+'RTF 2'!$Q94)</f>
        <v>0</v>
      </c>
      <c r="Y225" s="8" t="b">
        <f>AND(('RTF 2'!$O94+10)&gt;='RTF 2'!$P94,('RTF 2'!$O94-10)&lt;='RTF 2'!$P94,('RTF 2'!$P94+10)&gt;='RTF 2'!$Q94,('RTF 2'!$P94-10)&lt;='RTF 2'!$Q94,('RTF 2'!$O94+10)&gt;='RTF 2'!$Q94,('RTF 2'!$O94-10)&lt;='RTF 2'!$Q94)</f>
        <v>1</v>
      </c>
      <c r="Z225" s="8" t="b">
        <f>AND(('RTF 2'!$O94+10)&gt;='RTF 2'!$P94,('RTF 2'!$O94-10)&lt;='RTF 2'!$P94,OR('RTF 2'!$P94&gt;'RTF 2'!$Y94,'RTF 2'!$O94&gt;'RTF 2'!$Y94))</f>
        <v>0</v>
      </c>
      <c r="AA225" s="11" t="b">
        <f>AND(('RTF 2'!$Q94+10)&gt;='RTF 2'!$P94,('RTF 2'!$Q94-10)&lt;='RTF 2'!$P94,OR('RTF 2'!$P94&gt;'RTF 2'!$Z94,'RTF 2'!$Q94&gt;'RTF 2'!$Z94))</f>
        <v>0</v>
      </c>
      <c r="AB225" s="35" t="b">
        <f t="shared" si="52"/>
        <v>0</v>
      </c>
      <c r="AC225" s="8" t="b">
        <f>'RTF 2'!$Q94&gt;'RTF 2'!$P94</f>
        <v>0</v>
      </c>
      <c r="AD225" s="8" t="b">
        <f>AND('RTF 2'!$P94&gt;='RTF 2'!$Q94,'RTF 2'!$Q94&gt;'RTF 2'!$AA94)</f>
        <v>0</v>
      </c>
      <c r="AE225" s="8" t="b">
        <f>AND('RTF 2'!$AA94&gt;'RTF 2'!$Q94,'RTF 2'!$Q94&gt;'RTF 2'!$AB94)</f>
        <v>0</v>
      </c>
      <c r="AF225" s="8" t="b">
        <f>'RTF 2'!$Q94&lt;'RTF 2'!$AB94</f>
        <v>1</v>
      </c>
    </row>
    <row r="226" spans="1:32" x14ac:dyDescent="0.25">
      <c r="A226" s="26" t="s">
        <v>420</v>
      </c>
      <c r="B226" s="26" t="s">
        <v>424</v>
      </c>
      <c r="C226" s="26" t="s">
        <v>425</v>
      </c>
      <c r="D226" s="26" t="s">
        <v>425</v>
      </c>
      <c r="E226" s="26" t="s">
        <v>426</v>
      </c>
      <c r="F226" s="26" t="s">
        <v>427</v>
      </c>
      <c r="I226" s="49">
        <f>IF('RTF 2'!$D$9=1,'Lookup Tables'!$J226,IF('RTF 2'!$D$9=2,'Lookup Tables'!$K226,IF('RTF 2'!$D$9=3,'Lookup Tables'!$L226,IF('RTF 2'!$D$9=4,'Lookup Tables'!$M226,'Lookup Tables'!$N226))))</f>
        <v>15</v>
      </c>
      <c r="J226">
        <f t="shared" si="48"/>
        <v>20</v>
      </c>
      <c r="K226">
        <f t="shared" si="49"/>
        <v>20</v>
      </c>
      <c r="L226">
        <f>IF('RTF 2'!$D$9=3,'Lookup Tables'!$V$143,0)</f>
        <v>0</v>
      </c>
      <c r="M226">
        <f t="shared" si="50"/>
        <v>40</v>
      </c>
      <c r="N226">
        <f t="shared" si="51"/>
        <v>15</v>
      </c>
      <c r="P226" s="8" t="b">
        <f>'RTF 2'!Q95&gt;'RTF 2'!S95</f>
        <v>0</v>
      </c>
      <c r="Q226" s="8" t="b">
        <f>AND('RTF 2'!S95&gt;='RTF 2'!Q95,'RTF 2'!Q95&gt;'RTF 2'!T95)</f>
        <v>0</v>
      </c>
      <c r="R226" s="35" t="b">
        <f>'RTF 2'!Q95&lt;='RTF 2'!T95</f>
        <v>1</v>
      </c>
      <c r="S226" s="8" t="b">
        <f>'RTF 2'!$Q95&gt;'RTF 2'!$U95</f>
        <v>0</v>
      </c>
      <c r="T226" s="8" t="b">
        <f>AND('RTF 2'!$U95&gt;='RTF 2'!$Q95,'RTF 2'!$Q95&gt;'RTF 2'!$V95)</f>
        <v>0</v>
      </c>
      <c r="U226" s="35" t="b">
        <f>'RTF 2'!$Q95&lt;='RTF 2'!$V95</f>
        <v>1</v>
      </c>
      <c r="V226" s="42"/>
      <c r="W226" s="8" t="b">
        <f>'RTF 2'!$Q95&gt;('RTF 2'!$P95+'RTF 2'!$O95)</f>
        <v>0</v>
      </c>
      <c r="X226" s="8" t="b">
        <f>'RTF 2'!$O95&gt;('RTF 2'!$P95+'RTF 2'!$Q95)</f>
        <v>0</v>
      </c>
      <c r="Y226" s="8" t="b">
        <f>AND(('RTF 2'!$O95+10)&gt;='RTF 2'!$P95,('RTF 2'!$O95-10)&lt;='RTF 2'!$P95,('RTF 2'!$P95+10)&gt;='RTF 2'!$Q95,('RTF 2'!$P95-10)&lt;='RTF 2'!$Q95,('RTF 2'!$O95+10)&gt;='RTF 2'!$Q95,('RTF 2'!$O95-10)&lt;='RTF 2'!$Q95)</f>
        <v>1</v>
      </c>
      <c r="Z226" s="8" t="b">
        <f>AND(('RTF 2'!$O95+10)&gt;='RTF 2'!$P95,('RTF 2'!$O95-10)&lt;='RTF 2'!$P95,OR('RTF 2'!$P95&gt;'RTF 2'!$Y95,'RTF 2'!$O95&gt;'RTF 2'!$Y95))</f>
        <v>0</v>
      </c>
      <c r="AA226" s="11" t="b">
        <f>AND(('RTF 2'!$Q95+10)&gt;='RTF 2'!$P95,('RTF 2'!$Q95-10)&lt;='RTF 2'!$P95,OR('RTF 2'!$P95&gt;'RTF 2'!$Z95,'RTF 2'!$Q95&gt;'RTF 2'!$Z95))</f>
        <v>0</v>
      </c>
      <c r="AB226" s="35" t="b">
        <f t="shared" si="52"/>
        <v>0</v>
      </c>
      <c r="AC226" s="8" t="b">
        <f>'RTF 2'!$Q95&gt;'RTF 2'!$P95</f>
        <v>0</v>
      </c>
      <c r="AD226" s="8" t="b">
        <f>AND('RTF 2'!$P95&gt;='RTF 2'!$Q95,'RTF 2'!$Q95&gt;'RTF 2'!$AA95)</f>
        <v>0</v>
      </c>
      <c r="AE226" s="8" t="b">
        <f>AND('RTF 2'!$AA95&gt;'RTF 2'!$Q95,'RTF 2'!$Q95&gt;'RTF 2'!$AB95)</f>
        <v>0</v>
      </c>
      <c r="AF226" s="8" t="b">
        <f>'RTF 2'!$Q95&lt;'RTF 2'!$AB95</f>
        <v>1</v>
      </c>
    </row>
    <row r="227" spans="1:32" x14ac:dyDescent="0.25">
      <c r="A227">
        <v>150</v>
      </c>
      <c r="B227">
        <v>500</v>
      </c>
      <c r="I227" s="49">
        <f>IF('RTF 2'!$D$9=1,'Lookup Tables'!$J227,IF('RTF 2'!$D$9=2,'Lookup Tables'!$K227,IF('RTF 2'!$D$9=3,'Lookup Tables'!$L227,IF('RTF 2'!$D$9=4,'Lookup Tables'!$M227,'Lookup Tables'!$N227))))</f>
        <v>15</v>
      </c>
      <c r="J227">
        <f t="shared" si="48"/>
        <v>20</v>
      </c>
      <c r="K227">
        <f t="shared" si="49"/>
        <v>20</v>
      </c>
      <c r="L227">
        <f>IF('RTF 2'!$D$9=3,'Lookup Tables'!$V$143,0)</f>
        <v>0</v>
      </c>
      <c r="M227">
        <f t="shared" si="50"/>
        <v>40</v>
      </c>
      <c r="N227">
        <f t="shared" si="51"/>
        <v>15</v>
      </c>
      <c r="P227" s="8" t="b">
        <f>'RTF 2'!Q96&gt;'RTF 2'!S96</f>
        <v>0</v>
      </c>
      <c r="Q227" s="8" t="b">
        <f>AND('RTF 2'!S96&gt;='RTF 2'!Q96,'RTF 2'!Q96&gt;'RTF 2'!T96)</f>
        <v>0</v>
      </c>
      <c r="R227" s="35" t="b">
        <f>'RTF 2'!Q96&lt;='RTF 2'!T96</f>
        <v>1</v>
      </c>
      <c r="S227" s="8" t="b">
        <f>'RTF 2'!$Q96&gt;'RTF 2'!$U96</f>
        <v>0</v>
      </c>
      <c r="T227" s="8" t="b">
        <f>AND('RTF 2'!$U96&gt;='RTF 2'!$Q96,'RTF 2'!$Q96&gt;'RTF 2'!$V96)</f>
        <v>0</v>
      </c>
      <c r="U227" s="35" t="b">
        <f>'RTF 2'!$Q96&lt;='RTF 2'!$V96</f>
        <v>1</v>
      </c>
      <c r="V227" s="42"/>
      <c r="W227" s="8" t="b">
        <f>'RTF 2'!$Q96&gt;('RTF 2'!$P96+'RTF 2'!$O96)</f>
        <v>0</v>
      </c>
      <c r="X227" s="8" t="b">
        <f>'RTF 2'!$O96&gt;('RTF 2'!$P96+'RTF 2'!$Q96)</f>
        <v>0</v>
      </c>
      <c r="Y227" s="8" t="b">
        <f>AND(('RTF 2'!$O96+10)&gt;='RTF 2'!$P96,('RTF 2'!$O96-10)&lt;='RTF 2'!$P96,('RTF 2'!$P96+10)&gt;='RTF 2'!$Q96,('RTF 2'!$P96-10)&lt;='RTF 2'!$Q96,('RTF 2'!$O96+10)&gt;='RTF 2'!$Q96,('RTF 2'!$O96-10)&lt;='RTF 2'!$Q96)</f>
        <v>1</v>
      </c>
      <c r="Z227" s="8" t="b">
        <f>AND(('RTF 2'!$O96+10)&gt;='RTF 2'!$P96,('RTF 2'!$O96-10)&lt;='RTF 2'!$P96,OR('RTF 2'!$P96&gt;'RTF 2'!$Y96,'RTF 2'!$O96&gt;'RTF 2'!$Y96))</f>
        <v>0</v>
      </c>
      <c r="AA227" s="11" t="b">
        <f>AND(('RTF 2'!$Q96+10)&gt;='RTF 2'!$P96,('RTF 2'!$Q96-10)&lt;='RTF 2'!$P96,OR('RTF 2'!$P96&gt;'RTF 2'!$Z96,'RTF 2'!$Q96&gt;'RTF 2'!$Z96))</f>
        <v>0</v>
      </c>
      <c r="AB227" s="35" t="b">
        <f t="shared" si="52"/>
        <v>0</v>
      </c>
      <c r="AC227" s="8" t="b">
        <f>'RTF 2'!$Q96&gt;'RTF 2'!$P96</f>
        <v>0</v>
      </c>
      <c r="AD227" s="8" t="b">
        <f>AND('RTF 2'!$P96&gt;='RTF 2'!$Q96,'RTF 2'!$Q96&gt;'RTF 2'!$AA96)</f>
        <v>0</v>
      </c>
      <c r="AE227" s="8" t="b">
        <f>AND('RTF 2'!$AA96&gt;'RTF 2'!$Q96,'RTF 2'!$Q96&gt;'RTF 2'!$AB96)</f>
        <v>0</v>
      </c>
      <c r="AF227" s="8" t="b">
        <f>'RTF 2'!$Q96&lt;'RTF 2'!$AB96</f>
        <v>1</v>
      </c>
    </row>
    <row r="228" spans="1:32" x14ac:dyDescent="0.25">
      <c r="A228">
        <v>180</v>
      </c>
      <c r="B228">
        <v>185</v>
      </c>
      <c r="C228">
        <v>500</v>
      </c>
      <c r="D228">
        <v>500</v>
      </c>
      <c r="I228" s="49">
        <f>IF('RTF 2'!$D$9=1,'Lookup Tables'!$J228,IF('RTF 2'!$D$9=2,'Lookup Tables'!$K228,IF('RTF 2'!$D$9=3,'Lookup Tables'!$L228,IF('RTF 2'!$D$9=4,'Lookup Tables'!$M228,'Lookup Tables'!$N228))))</f>
        <v>15</v>
      </c>
      <c r="J228">
        <f t="shared" si="48"/>
        <v>20</v>
      </c>
      <c r="K228">
        <f t="shared" si="49"/>
        <v>20</v>
      </c>
      <c r="L228">
        <f>IF('RTF 2'!$D$9=3,'Lookup Tables'!$V$143,0)</f>
        <v>0</v>
      </c>
      <c r="M228">
        <f t="shared" si="50"/>
        <v>40</v>
      </c>
      <c r="N228">
        <f t="shared" si="51"/>
        <v>15</v>
      </c>
      <c r="P228" s="8" t="b">
        <f>'RTF 2'!Q97&gt;'RTF 2'!S97</f>
        <v>0</v>
      </c>
      <c r="Q228" s="8" t="b">
        <f>AND('RTF 2'!S97&gt;='RTF 2'!Q97,'RTF 2'!Q97&gt;'RTF 2'!T97)</f>
        <v>0</v>
      </c>
      <c r="R228" s="35" t="b">
        <f>'RTF 2'!Q97&lt;='RTF 2'!T97</f>
        <v>1</v>
      </c>
      <c r="S228" s="8" t="b">
        <f>'RTF 2'!$Q97&gt;'RTF 2'!$U97</f>
        <v>0</v>
      </c>
      <c r="T228" s="8" t="b">
        <f>AND('RTF 2'!$U97&gt;='RTF 2'!$Q97,'RTF 2'!$Q97&gt;'RTF 2'!$V97)</f>
        <v>0</v>
      </c>
      <c r="U228" s="35" t="b">
        <f>'RTF 2'!$Q97&lt;='RTF 2'!$V97</f>
        <v>1</v>
      </c>
      <c r="V228" s="42"/>
      <c r="W228" s="8" t="b">
        <f>'RTF 2'!$Q97&gt;('RTF 2'!$P97+'RTF 2'!$O97)</f>
        <v>0</v>
      </c>
      <c r="X228" s="8" t="b">
        <f>'RTF 2'!$O97&gt;('RTF 2'!$P97+'RTF 2'!$Q97)</f>
        <v>0</v>
      </c>
      <c r="Y228" s="8" t="b">
        <f>AND(('RTF 2'!$O97+10)&gt;='RTF 2'!$P97,('RTF 2'!$O97-10)&lt;='RTF 2'!$P97,('RTF 2'!$P97+10)&gt;='RTF 2'!$Q97,('RTF 2'!$P97-10)&lt;='RTF 2'!$Q97,('RTF 2'!$O97+10)&gt;='RTF 2'!$Q97,('RTF 2'!$O97-10)&lt;='RTF 2'!$Q97)</f>
        <v>1</v>
      </c>
      <c r="Z228" s="8" t="b">
        <f>AND(('RTF 2'!$O97+10)&gt;='RTF 2'!$P97,('RTF 2'!$O97-10)&lt;='RTF 2'!$P97,OR('RTF 2'!$P97&gt;'RTF 2'!$Y97,'RTF 2'!$O97&gt;'RTF 2'!$Y97))</f>
        <v>0</v>
      </c>
      <c r="AA228" s="11" t="b">
        <f>AND(('RTF 2'!$Q97+10)&gt;='RTF 2'!$P97,('RTF 2'!$Q97-10)&lt;='RTF 2'!$P97,OR('RTF 2'!$P97&gt;'RTF 2'!$Z97,'RTF 2'!$Q97&gt;'RTF 2'!$Z97))</f>
        <v>0</v>
      </c>
      <c r="AB228" s="35" t="b">
        <f t="shared" si="52"/>
        <v>0</v>
      </c>
      <c r="AC228" s="8" t="b">
        <f>'RTF 2'!$Q97&gt;'RTF 2'!$P97</f>
        <v>0</v>
      </c>
      <c r="AD228" s="8" t="b">
        <f>AND('RTF 2'!$P97&gt;='RTF 2'!$Q97,'RTF 2'!$Q97&gt;'RTF 2'!$AA97)</f>
        <v>0</v>
      </c>
      <c r="AE228" s="8" t="b">
        <f>AND('RTF 2'!$AA97&gt;'RTF 2'!$Q97,'RTF 2'!$Q97&gt;'RTF 2'!$AB97)</f>
        <v>0</v>
      </c>
      <c r="AF228" s="8" t="b">
        <f>'RTF 2'!$Q97&lt;'RTF 2'!$AB97</f>
        <v>1</v>
      </c>
    </row>
    <row r="229" spans="1:32" x14ac:dyDescent="0.25">
      <c r="A229">
        <v>200</v>
      </c>
      <c r="B229">
        <v>145</v>
      </c>
      <c r="C229">
        <v>425</v>
      </c>
      <c r="D229">
        <v>425</v>
      </c>
      <c r="I229" s="49">
        <f>IF('RTF 2'!$D$9=1,'Lookup Tables'!$J229,IF('RTF 2'!$D$9=2,'Lookup Tables'!$K229,IF('RTF 2'!$D$9=3,'Lookup Tables'!$L229,IF('RTF 2'!$D$9=4,'Lookup Tables'!$M229,'Lookup Tables'!$N229))))</f>
        <v>15</v>
      </c>
      <c r="J229">
        <f t="shared" si="48"/>
        <v>20</v>
      </c>
      <c r="K229">
        <f t="shared" si="49"/>
        <v>20</v>
      </c>
      <c r="L229">
        <f>IF('RTF 2'!$D$9=3,'Lookup Tables'!$V$143,0)</f>
        <v>0</v>
      </c>
      <c r="M229">
        <f t="shared" si="50"/>
        <v>40</v>
      </c>
      <c r="N229">
        <f t="shared" si="51"/>
        <v>15</v>
      </c>
      <c r="P229" s="8" t="b">
        <f>'RTF 2'!Q98&gt;'RTF 2'!S98</f>
        <v>0</v>
      </c>
      <c r="Q229" s="8" t="b">
        <f>AND('RTF 2'!S98&gt;='RTF 2'!Q98,'RTF 2'!Q98&gt;'RTF 2'!T98)</f>
        <v>0</v>
      </c>
      <c r="R229" s="35" t="b">
        <f>'RTF 2'!Q98&lt;='RTF 2'!T98</f>
        <v>1</v>
      </c>
      <c r="S229" s="8" t="b">
        <f>'RTF 2'!$Q98&gt;'RTF 2'!$U98</f>
        <v>0</v>
      </c>
      <c r="T229" s="8" t="b">
        <f>AND('RTF 2'!$U98&gt;='RTF 2'!$Q98,'RTF 2'!$Q98&gt;'RTF 2'!$V98)</f>
        <v>0</v>
      </c>
      <c r="U229" s="35" t="b">
        <f>'RTF 2'!$Q98&lt;='RTF 2'!$V98</f>
        <v>1</v>
      </c>
      <c r="V229" s="42"/>
      <c r="W229" s="8" t="b">
        <f>'RTF 2'!$Q98&gt;('RTF 2'!$P98+'RTF 2'!$O98)</f>
        <v>0</v>
      </c>
      <c r="X229" s="8" t="b">
        <f>'RTF 2'!$O98&gt;('RTF 2'!$P98+'RTF 2'!$Q98)</f>
        <v>0</v>
      </c>
      <c r="Y229" s="8" t="b">
        <f>AND(('RTF 2'!$O98+10)&gt;='RTF 2'!$P98,('RTF 2'!$O98-10)&lt;='RTF 2'!$P98,('RTF 2'!$P98+10)&gt;='RTF 2'!$Q98,('RTF 2'!$P98-10)&lt;='RTF 2'!$Q98,('RTF 2'!$O98+10)&gt;='RTF 2'!$Q98,('RTF 2'!$O98-10)&lt;='RTF 2'!$Q98)</f>
        <v>1</v>
      </c>
      <c r="Z229" s="8" t="b">
        <f>AND(('RTF 2'!$O98+10)&gt;='RTF 2'!$P98,('RTF 2'!$O98-10)&lt;='RTF 2'!$P98,OR('RTF 2'!$P98&gt;'RTF 2'!$Y98,'RTF 2'!$O98&gt;'RTF 2'!$Y98))</f>
        <v>0</v>
      </c>
      <c r="AA229" s="11" t="b">
        <f>AND(('RTF 2'!$Q98+10)&gt;='RTF 2'!$P98,('RTF 2'!$Q98-10)&lt;='RTF 2'!$P98,OR('RTF 2'!$P98&gt;'RTF 2'!$Z98,'RTF 2'!$Q98&gt;'RTF 2'!$Z98))</f>
        <v>0</v>
      </c>
      <c r="AB229" s="35" t="b">
        <f t="shared" si="52"/>
        <v>0</v>
      </c>
      <c r="AC229" s="8" t="b">
        <f>'RTF 2'!$Q98&gt;'RTF 2'!$P98</f>
        <v>0</v>
      </c>
      <c r="AD229" s="8" t="b">
        <f>AND('RTF 2'!$P98&gt;='RTF 2'!$Q98,'RTF 2'!$Q98&gt;'RTF 2'!$AA98)</f>
        <v>0</v>
      </c>
      <c r="AE229" s="8" t="b">
        <f>AND('RTF 2'!$AA98&gt;'RTF 2'!$Q98,'RTF 2'!$Q98&gt;'RTF 2'!$AB98)</f>
        <v>0</v>
      </c>
      <c r="AF229" s="8" t="b">
        <f>'RTF 2'!$Q98&lt;'RTF 2'!$AB98</f>
        <v>1</v>
      </c>
    </row>
    <row r="230" spans="1:32" x14ac:dyDescent="0.25">
      <c r="A230">
        <v>300</v>
      </c>
      <c r="B230">
        <v>60</v>
      </c>
      <c r="C230">
        <v>185</v>
      </c>
      <c r="D230">
        <v>185</v>
      </c>
      <c r="E230">
        <v>475</v>
      </c>
      <c r="I230" s="49">
        <f>IF('RTF 2'!$D$9=1,'Lookup Tables'!$J230,IF('RTF 2'!$D$9=2,'Lookup Tables'!$K230,IF('RTF 2'!$D$9=3,'Lookup Tables'!$L230,IF('RTF 2'!$D$9=4,'Lookup Tables'!$M230,'Lookup Tables'!$N230))))</f>
        <v>15</v>
      </c>
      <c r="J230">
        <f t="shared" si="48"/>
        <v>20</v>
      </c>
      <c r="K230">
        <f t="shared" si="49"/>
        <v>20</v>
      </c>
      <c r="L230">
        <f>IF('RTF 2'!$D$9=3,'Lookup Tables'!$V$143,0)</f>
        <v>0</v>
      </c>
      <c r="M230">
        <f t="shared" si="50"/>
        <v>40</v>
      </c>
      <c r="N230">
        <f t="shared" si="51"/>
        <v>15</v>
      </c>
      <c r="P230" s="8" t="b">
        <f>'RTF 2'!Q99&gt;'RTF 2'!S99</f>
        <v>0</v>
      </c>
      <c r="Q230" s="8" t="b">
        <f>AND('RTF 2'!S99&gt;='RTF 2'!Q99,'RTF 2'!Q99&gt;'RTF 2'!T99)</f>
        <v>0</v>
      </c>
      <c r="R230" s="35" t="b">
        <f>'RTF 2'!Q99&lt;='RTF 2'!T99</f>
        <v>1</v>
      </c>
      <c r="S230" s="8" t="b">
        <f>'RTF 2'!$Q99&gt;'RTF 2'!$U99</f>
        <v>0</v>
      </c>
      <c r="T230" s="8" t="b">
        <f>AND('RTF 2'!$U99&gt;='RTF 2'!$Q99,'RTF 2'!$Q99&gt;'RTF 2'!$V99)</f>
        <v>0</v>
      </c>
      <c r="U230" s="35" t="b">
        <f>'RTF 2'!$Q99&lt;='RTF 2'!$V99</f>
        <v>1</v>
      </c>
      <c r="V230" s="42"/>
      <c r="W230" s="8" t="b">
        <f>'RTF 2'!$Q99&gt;('RTF 2'!$P99+'RTF 2'!$O99)</f>
        <v>0</v>
      </c>
      <c r="X230" s="8" t="b">
        <f>'RTF 2'!$O99&gt;('RTF 2'!$P99+'RTF 2'!$Q99)</f>
        <v>0</v>
      </c>
      <c r="Y230" s="8" t="b">
        <f>AND(('RTF 2'!$O99+10)&gt;='RTF 2'!$P99,('RTF 2'!$O99-10)&lt;='RTF 2'!$P99,('RTF 2'!$P99+10)&gt;='RTF 2'!$Q99,('RTF 2'!$P99-10)&lt;='RTF 2'!$Q99,('RTF 2'!$O99+10)&gt;='RTF 2'!$Q99,('RTF 2'!$O99-10)&lt;='RTF 2'!$Q99)</f>
        <v>1</v>
      </c>
      <c r="Z230" s="8" t="b">
        <f>AND(('RTF 2'!$O99+10)&gt;='RTF 2'!$P99,('RTF 2'!$O99-10)&lt;='RTF 2'!$P99,OR('RTF 2'!$P99&gt;'RTF 2'!$Y99,'RTF 2'!$O99&gt;'RTF 2'!$Y99))</f>
        <v>0</v>
      </c>
      <c r="AA230" s="11" t="b">
        <f>AND(('RTF 2'!$Q99+10)&gt;='RTF 2'!$P99,('RTF 2'!$Q99-10)&lt;='RTF 2'!$P99,OR('RTF 2'!$P99&gt;'RTF 2'!$Z99,'RTF 2'!$Q99&gt;'RTF 2'!$Z99))</f>
        <v>0</v>
      </c>
      <c r="AB230" s="35" t="b">
        <f t="shared" si="52"/>
        <v>0</v>
      </c>
      <c r="AC230" s="8" t="b">
        <f>'RTF 2'!$Q99&gt;'RTF 2'!$P99</f>
        <v>0</v>
      </c>
      <c r="AD230" s="8" t="b">
        <f>AND('RTF 2'!$P99&gt;='RTF 2'!$Q99,'RTF 2'!$Q99&gt;'RTF 2'!$AA99)</f>
        <v>0</v>
      </c>
      <c r="AE230" s="8" t="b">
        <f>AND('RTF 2'!$AA99&gt;'RTF 2'!$Q99,'RTF 2'!$Q99&gt;'RTF 2'!$AB99)</f>
        <v>0</v>
      </c>
      <c r="AF230" s="8" t="b">
        <f>'RTF 2'!$Q99&lt;'RTF 2'!$AB99</f>
        <v>1</v>
      </c>
    </row>
    <row r="231" spans="1:32" x14ac:dyDescent="0.25">
      <c r="A231">
        <v>400</v>
      </c>
      <c r="B231">
        <v>23</v>
      </c>
      <c r="C231">
        <v>80</v>
      </c>
      <c r="D231">
        <v>80</v>
      </c>
      <c r="E231">
        <v>250</v>
      </c>
      <c r="I231" s="49">
        <f>IF('RTF 2'!$D$9=1,'Lookup Tables'!$J231,IF('RTF 2'!$D$9=2,'Lookup Tables'!$K231,IF('RTF 2'!$D$9=3,'Lookup Tables'!$L231,IF('RTF 2'!$D$9=4,'Lookup Tables'!$M231,'Lookup Tables'!$N231))))</f>
        <v>15</v>
      </c>
      <c r="J231">
        <f t="shared" si="48"/>
        <v>20</v>
      </c>
      <c r="K231">
        <f t="shared" si="49"/>
        <v>20</v>
      </c>
      <c r="L231">
        <f>IF('RTF 2'!$D$9=3,'Lookup Tables'!$V$143,0)</f>
        <v>0</v>
      </c>
      <c r="M231">
        <f t="shared" si="50"/>
        <v>40</v>
      </c>
      <c r="N231">
        <f t="shared" si="51"/>
        <v>15</v>
      </c>
      <c r="P231" s="8" t="b">
        <f>'RTF 2'!Q100&gt;'RTF 2'!S100</f>
        <v>0</v>
      </c>
      <c r="Q231" s="8" t="b">
        <f>AND('RTF 2'!S100&gt;='RTF 2'!Q100,'RTF 2'!Q100&gt;'RTF 2'!T100)</f>
        <v>0</v>
      </c>
      <c r="R231" s="35" t="b">
        <f>'RTF 2'!Q100&lt;='RTF 2'!T100</f>
        <v>1</v>
      </c>
      <c r="S231" s="8" t="b">
        <f>'RTF 2'!$Q100&gt;'RTF 2'!$U100</f>
        <v>0</v>
      </c>
      <c r="T231" s="8" t="b">
        <f>AND('RTF 2'!$U100&gt;='RTF 2'!$Q100,'RTF 2'!$Q100&gt;'RTF 2'!$V100)</f>
        <v>0</v>
      </c>
      <c r="U231" s="35" t="b">
        <f>'RTF 2'!$Q100&lt;='RTF 2'!$V100</f>
        <v>1</v>
      </c>
      <c r="V231" s="42"/>
      <c r="W231" s="8" t="b">
        <f>'RTF 2'!$Q100&gt;('RTF 2'!$P100+'RTF 2'!$O100)</f>
        <v>0</v>
      </c>
      <c r="X231" s="8" t="b">
        <f>'RTF 2'!$O100&gt;('RTF 2'!$P100+'RTF 2'!$Q100)</f>
        <v>0</v>
      </c>
      <c r="Y231" s="8" t="b">
        <f>AND(('RTF 2'!$O100+10)&gt;='RTF 2'!$P100,('RTF 2'!$O100-10)&lt;='RTF 2'!$P100,('RTF 2'!$P100+10)&gt;='RTF 2'!$Q100,('RTF 2'!$P100-10)&lt;='RTF 2'!$Q100,('RTF 2'!$O100+10)&gt;='RTF 2'!$Q100,('RTF 2'!$O100-10)&lt;='RTF 2'!$Q100)</f>
        <v>1</v>
      </c>
      <c r="Z231" s="8" t="b">
        <f>AND(('RTF 2'!$O100+10)&gt;='RTF 2'!$P100,('RTF 2'!$O100-10)&lt;='RTF 2'!$P100,OR('RTF 2'!$P100&gt;'RTF 2'!$Y100,'RTF 2'!$O100&gt;'RTF 2'!$Y100))</f>
        <v>0</v>
      </c>
      <c r="AA231" s="11" t="b">
        <f>AND(('RTF 2'!$Q100+10)&gt;='RTF 2'!$P100,('RTF 2'!$Q100-10)&lt;='RTF 2'!$P100,OR('RTF 2'!$P100&gt;'RTF 2'!$Z100,'RTF 2'!$Q100&gt;'RTF 2'!$Z100))</f>
        <v>0</v>
      </c>
      <c r="AB231" s="35" t="b">
        <f t="shared" si="52"/>
        <v>0</v>
      </c>
      <c r="AC231" s="8" t="b">
        <f>'RTF 2'!$Q100&gt;'RTF 2'!$P100</f>
        <v>0</v>
      </c>
      <c r="AD231" s="8" t="b">
        <f>AND('RTF 2'!$P100&gt;='RTF 2'!$Q100,'RTF 2'!$Q100&gt;'RTF 2'!$AA100)</f>
        <v>0</v>
      </c>
      <c r="AE231" s="8" t="b">
        <f>AND('RTF 2'!$AA100&gt;'RTF 2'!$Q100,'RTF 2'!$Q100&gt;'RTF 2'!$AB100)</f>
        <v>0</v>
      </c>
      <c r="AF231" s="8" t="b">
        <f>'RTF 2'!$Q100&lt;'RTF 2'!$AB100</f>
        <v>1</v>
      </c>
    </row>
    <row r="232" spans="1:32" x14ac:dyDescent="0.25">
      <c r="A232">
        <v>500</v>
      </c>
      <c r="B232">
        <v>20</v>
      </c>
      <c r="C232">
        <v>30</v>
      </c>
      <c r="D232">
        <v>30</v>
      </c>
      <c r="E232">
        <v>140</v>
      </c>
      <c r="I232" s="49">
        <f>IF('RTF 2'!$D$9=1,'Lookup Tables'!$J232,IF('RTF 2'!$D$9=2,'Lookup Tables'!$K232,IF('RTF 2'!$D$9=3,'Lookup Tables'!$L232,IF('RTF 2'!$D$9=4,'Lookup Tables'!$M232,'Lookup Tables'!$N232))))</f>
        <v>15</v>
      </c>
      <c r="J232">
        <f t="shared" si="48"/>
        <v>20</v>
      </c>
      <c r="K232">
        <f t="shared" si="49"/>
        <v>20</v>
      </c>
      <c r="L232">
        <f>IF('RTF 2'!$D$9=3,'Lookup Tables'!$V$143,0)</f>
        <v>0</v>
      </c>
      <c r="M232">
        <f t="shared" si="50"/>
        <v>40</v>
      </c>
      <c r="N232">
        <f t="shared" si="51"/>
        <v>15</v>
      </c>
      <c r="P232" s="8" t="b">
        <f>'RTF 2'!Q101&gt;'RTF 2'!S101</f>
        <v>0</v>
      </c>
      <c r="Q232" s="8" t="b">
        <f>AND('RTF 2'!S101&gt;='RTF 2'!Q101,'RTF 2'!Q101&gt;'RTF 2'!T101)</f>
        <v>0</v>
      </c>
      <c r="R232" s="35" t="b">
        <f>'RTF 2'!Q101&lt;='RTF 2'!T101</f>
        <v>1</v>
      </c>
      <c r="S232" s="8" t="b">
        <f>'RTF 2'!$Q101&gt;'RTF 2'!$U101</f>
        <v>0</v>
      </c>
      <c r="T232" s="8" t="b">
        <f>AND('RTF 2'!$U101&gt;='RTF 2'!$Q101,'RTF 2'!$Q101&gt;'RTF 2'!$V101)</f>
        <v>0</v>
      </c>
      <c r="U232" s="35" t="b">
        <f>'RTF 2'!$Q101&lt;='RTF 2'!$V101</f>
        <v>1</v>
      </c>
      <c r="V232" s="42"/>
      <c r="W232" s="8" t="b">
        <f>'RTF 2'!$Q101&gt;('RTF 2'!$P101+'RTF 2'!$O101)</f>
        <v>0</v>
      </c>
      <c r="X232" s="8" t="b">
        <f>'RTF 2'!$O101&gt;('RTF 2'!$P101+'RTF 2'!$Q101)</f>
        <v>0</v>
      </c>
      <c r="Y232" s="8" t="b">
        <f>AND(('RTF 2'!$O101+10)&gt;='RTF 2'!$P101,('RTF 2'!$O101-10)&lt;='RTF 2'!$P101,('RTF 2'!$P101+10)&gt;='RTF 2'!$Q101,('RTF 2'!$P101-10)&lt;='RTF 2'!$Q101,('RTF 2'!$O101+10)&gt;='RTF 2'!$Q101,('RTF 2'!$O101-10)&lt;='RTF 2'!$Q101)</f>
        <v>1</v>
      </c>
      <c r="Z232" s="8" t="b">
        <f>AND(('RTF 2'!$O101+10)&gt;='RTF 2'!$P101,('RTF 2'!$O101-10)&lt;='RTF 2'!$P101,OR('RTF 2'!$P101&gt;'RTF 2'!$Y101,'RTF 2'!$O101&gt;'RTF 2'!$Y101))</f>
        <v>0</v>
      </c>
      <c r="AA232" s="11" t="b">
        <f>AND(('RTF 2'!$Q101+10)&gt;='RTF 2'!$P101,('RTF 2'!$Q101-10)&lt;='RTF 2'!$P101,OR('RTF 2'!$P101&gt;'RTF 2'!$Z101,'RTF 2'!$Q101&gt;'RTF 2'!$Z101))</f>
        <v>0</v>
      </c>
      <c r="AB232" s="35" t="b">
        <f t="shared" si="52"/>
        <v>0</v>
      </c>
      <c r="AC232" s="8" t="b">
        <f>'RTF 2'!$Q101&gt;'RTF 2'!$P101</f>
        <v>0</v>
      </c>
      <c r="AD232" s="8" t="b">
        <f>AND('RTF 2'!$P101&gt;='RTF 2'!$Q101,'RTF 2'!$Q101&gt;'RTF 2'!$AA101)</f>
        <v>0</v>
      </c>
      <c r="AE232" s="8" t="b">
        <f>AND('RTF 2'!$AA101&gt;'RTF 2'!$Q101,'RTF 2'!$Q101&gt;'RTF 2'!$AB101)</f>
        <v>0</v>
      </c>
      <c r="AF232" s="8" t="b">
        <f>'RTF 2'!$Q101&lt;'RTF 2'!$AB101</f>
        <v>1</v>
      </c>
    </row>
    <row r="233" spans="1:32" x14ac:dyDescent="0.25">
      <c r="A233">
        <v>550</v>
      </c>
      <c r="B233">
        <v>20</v>
      </c>
      <c r="C233">
        <v>20</v>
      </c>
      <c r="D233">
        <v>20</v>
      </c>
      <c r="E233">
        <v>100</v>
      </c>
      <c r="I233" s="49">
        <f>IF('RTF 2'!$D$9=1,'Lookup Tables'!$J233,IF('RTF 2'!$D$9=2,'Lookup Tables'!$K233,IF('RTF 2'!$D$9=3,'Lookup Tables'!$L233,IF('RTF 2'!$D$9=4,'Lookup Tables'!$M233,'Lookup Tables'!$N233))))</f>
        <v>15</v>
      </c>
      <c r="J233">
        <f t="shared" si="48"/>
        <v>20</v>
      </c>
      <c r="K233">
        <f t="shared" si="49"/>
        <v>20</v>
      </c>
      <c r="L233">
        <f>IF('RTF 2'!$D$9=3,'Lookup Tables'!$V$143,0)</f>
        <v>0</v>
      </c>
      <c r="M233">
        <f t="shared" si="50"/>
        <v>40</v>
      </c>
      <c r="N233">
        <f t="shared" si="51"/>
        <v>15</v>
      </c>
      <c r="P233" s="8" t="b">
        <f>'RTF 2'!Q102&gt;'RTF 2'!S102</f>
        <v>0</v>
      </c>
      <c r="Q233" s="8" t="b">
        <f>AND('RTF 2'!S102&gt;='RTF 2'!Q102,'RTF 2'!Q102&gt;'RTF 2'!T102)</f>
        <v>0</v>
      </c>
      <c r="R233" s="35" t="b">
        <f>'RTF 2'!Q102&lt;='RTF 2'!T102</f>
        <v>1</v>
      </c>
      <c r="S233" s="8" t="b">
        <f>'RTF 2'!$Q102&gt;'RTF 2'!$U102</f>
        <v>0</v>
      </c>
      <c r="T233" s="8" t="b">
        <f>AND('RTF 2'!$U102&gt;='RTF 2'!$Q102,'RTF 2'!$Q102&gt;'RTF 2'!$V102)</f>
        <v>0</v>
      </c>
      <c r="U233" s="35" t="b">
        <f>'RTF 2'!$Q102&lt;='RTF 2'!$V102</f>
        <v>1</v>
      </c>
      <c r="V233" s="42"/>
      <c r="W233" s="8" t="b">
        <f>'RTF 2'!$Q102&gt;('RTF 2'!$P102+'RTF 2'!$O102)</f>
        <v>0</v>
      </c>
      <c r="X233" s="8" t="b">
        <f>'RTF 2'!$O102&gt;('RTF 2'!$P102+'RTF 2'!$Q102)</f>
        <v>0</v>
      </c>
      <c r="Y233" s="8" t="b">
        <f>AND(('RTF 2'!$O102+10)&gt;='RTF 2'!$P102,('RTF 2'!$O102-10)&lt;='RTF 2'!$P102,('RTF 2'!$P102+10)&gt;='RTF 2'!$Q102,('RTF 2'!$P102-10)&lt;='RTF 2'!$Q102,('RTF 2'!$O102+10)&gt;='RTF 2'!$Q102,('RTF 2'!$O102-10)&lt;='RTF 2'!$Q102)</f>
        <v>1</v>
      </c>
      <c r="Z233" s="8" t="b">
        <f>AND(('RTF 2'!$O102+10)&gt;='RTF 2'!$P102,('RTF 2'!$O102-10)&lt;='RTF 2'!$P102,OR('RTF 2'!$P102&gt;'RTF 2'!$Y102,'RTF 2'!$O102&gt;'RTF 2'!$Y102))</f>
        <v>0</v>
      </c>
      <c r="AA233" s="11" t="b">
        <f>AND(('RTF 2'!$Q102+10)&gt;='RTF 2'!$P102,('RTF 2'!$Q102-10)&lt;='RTF 2'!$P102,OR('RTF 2'!$P102&gt;'RTF 2'!$Z102,'RTF 2'!$Q102&gt;'RTF 2'!$Z102))</f>
        <v>0</v>
      </c>
      <c r="AB233" s="35" t="b">
        <f t="shared" si="52"/>
        <v>0</v>
      </c>
      <c r="AC233" s="8" t="b">
        <f>'RTF 2'!$Q102&gt;'RTF 2'!$P102</f>
        <v>0</v>
      </c>
      <c r="AD233" s="8" t="b">
        <f>AND('RTF 2'!$P102&gt;='RTF 2'!$Q102,'RTF 2'!$Q102&gt;'RTF 2'!$AA102)</f>
        <v>0</v>
      </c>
      <c r="AE233" s="8" t="b">
        <f>AND('RTF 2'!$AA102&gt;'RTF 2'!$Q102,'RTF 2'!$Q102&gt;'RTF 2'!$AB102)</f>
        <v>0</v>
      </c>
      <c r="AF233" s="8" t="b">
        <f>'RTF 2'!$Q102&lt;'RTF 2'!$AB102</f>
        <v>1</v>
      </c>
    </row>
    <row r="234" spans="1:32" x14ac:dyDescent="0.25">
      <c r="A234">
        <v>600</v>
      </c>
      <c r="B234">
        <v>20</v>
      </c>
      <c r="C234">
        <v>20</v>
      </c>
      <c r="D234">
        <v>20</v>
      </c>
      <c r="E234">
        <v>75</v>
      </c>
      <c r="I234" s="49">
        <f>IF('RTF 2'!$D$9=1,'Lookup Tables'!$J234,IF('RTF 2'!$D$9=2,'Lookup Tables'!$K234,IF('RTF 2'!$D$9=3,'Lookup Tables'!$L234,IF('RTF 2'!$D$9=4,'Lookup Tables'!$M234,'Lookup Tables'!$N234))))</f>
        <v>15</v>
      </c>
      <c r="J234">
        <f t="shared" si="48"/>
        <v>20</v>
      </c>
      <c r="K234">
        <f t="shared" si="49"/>
        <v>20</v>
      </c>
      <c r="L234">
        <f>IF('RTF 2'!$D$9=3,'Lookup Tables'!$V$143,0)</f>
        <v>0</v>
      </c>
      <c r="M234">
        <f t="shared" si="50"/>
        <v>40</v>
      </c>
      <c r="N234">
        <f t="shared" si="51"/>
        <v>15</v>
      </c>
      <c r="P234" s="8" t="b">
        <f>'RTF 2'!Q103&gt;'RTF 2'!S103</f>
        <v>0</v>
      </c>
      <c r="Q234" s="8" t="b">
        <f>AND('RTF 2'!S103&gt;='RTF 2'!Q103,'RTF 2'!Q103&gt;'RTF 2'!T103)</f>
        <v>0</v>
      </c>
      <c r="R234" s="35" t="b">
        <f>'RTF 2'!Q103&lt;='RTF 2'!T103</f>
        <v>1</v>
      </c>
      <c r="S234" s="8" t="b">
        <f>'RTF 2'!$Q103&gt;'RTF 2'!$U103</f>
        <v>0</v>
      </c>
      <c r="T234" s="8" t="b">
        <f>AND('RTF 2'!$U103&gt;='RTF 2'!$Q103,'RTF 2'!$Q103&gt;'RTF 2'!$V103)</f>
        <v>0</v>
      </c>
      <c r="U234" s="35" t="b">
        <f>'RTF 2'!$Q103&lt;='RTF 2'!$V103</f>
        <v>1</v>
      </c>
      <c r="V234" s="42"/>
      <c r="W234" s="8" t="b">
        <f>'RTF 2'!$Q103&gt;('RTF 2'!$P103+'RTF 2'!$O103)</f>
        <v>0</v>
      </c>
      <c r="X234" s="8" t="b">
        <f>'RTF 2'!$O103&gt;('RTF 2'!$P103+'RTF 2'!$Q103)</f>
        <v>0</v>
      </c>
      <c r="Y234" s="8" t="b">
        <f>AND(('RTF 2'!$O103+10)&gt;='RTF 2'!$P103,('RTF 2'!$O103-10)&lt;='RTF 2'!$P103,('RTF 2'!$P103+10)&gt;='RTF 2'!$Q103,('RTF 2'!$P103-10)&lt;='RTF 2'!$Q103,('RTF 2'!$O103+10)&gt;='RTF 2'!$Q103,('RTF 2'!$O103-10)&lt;='RTF 2'!$Q103)</f>
        <v>1</v>
      </c>
      <c r="Z234" s="8" t="b">
        <f>AND(('RTF 2'!$O103+10)&gt;='RTF 2'!$P103,('RTF 2'!$O103-10)&lt;='RTF 2'!$P103,OR('RTF 2'!$P103&gt;'RTF 2'!$Y103,'RTF 2'!$O103&gt;'RTF 2'!$Y103))</f>
        <v>0</v>
      </c>
      <c r="AA234" s="11" t="b">
        <f>AND(('RTF 2'!$Q103+10)&gt;='RTF 2'!$P103,('RTF 2'!$Q103-10)&lt;='RTF 2'!$P103,OR('RTF 2'!$P103&gt;'RTF 2'!$Z103,'RTF 2'!$Q103&gt;'RTF 2'!$Z103))</f>
        <v>0</v>
      </c>
      <c r="AB234" s="35" t="b">
        <f t="shared" si="52"/>
        <v>0</v>
      </c>
      <c r="AC234" s="8" t="b">
        <f>'RTF 2'!$Q103&gt;'RTF 2'!$P103</f>
        <v>0</v>
      </c>
      <c r="AD234" s="8" t="b">
        <f>AND('RTF 2'!$P103&gt;='RTF 2'!$Q103,'RTF 2'!$Q103&gt;'RTF 2'!$AA103)</f>
        <v>0</v>
      </c>
      <c r="AE234" s="8" t="b">
        <f>AND('RTF 2'!$AA103&gt;'RTF 2'!$Q103,'RTF 2'!$Q103&gt;'RTF 2'!$AB103)</f>
        <v>0</v>
      </c>
      <c r="AF234" s="8" t="b">
        <f>'RTF 2'!$Q103&lt;'RTF 2'!$AB103</f>
        <v>1</v>
      </c>
    </row>
    <row r="235" spans="1:32" x14ac:dyDescent="0.25">
      <c r="A235">
        <v>700</v>
      </c>
      <c r="B235">
        <v>20</v>
      </c>
      <c r="C235">
        <v>20</v>
      </c>
      <c r="D235">
        <v>20</v>
      </c>
      <c r="E235">
        <v>35</v>
      </c>
      <c r="F235">
        <v>170</v>
      </c>
      <c r="I235" s="49">
        <f>IF('RTF 2'!$D$9=1,'Lookup Tables'!$J235,IF('RTF 2'!$D$9=2,'Lookup Tables'!$K235,IF('RTF 2'!$D$9=3,'Lookup Tables'!$L235,IF('RTF 2'!$D$9=4,'Lookup Tables'!$M235,'Lookup Tables'!$N235))))</f>
        <v>15</v>
      </c>
      <c r="J235">
        <f t="shared" si="48"/>
        <v>20</v>
      </c>
      <c r="K235">
        <f t="shared" si="49"/>
        <v>20</v>
      </c>
      <c r="L235">
        <f>IF('RTF 2'!$D$9=3,'Lookup Tables'!$V$143,0)</f>
        <v>0</v>
      </c>
      <c r="M235">
        <f t="shared" si="50"/>
        <v>40</v>
      </c>
      <c r="N235">
        <f t="shared" si="51"/>
        <v>15</v>
      </c>
      <c r="P235" s="8" t="b">
        <f>'RTF 2'!Q104&gt;'RTF 2'!S104</f>
        <v>0</v>
      </c>
      <c r="Q235" s="8" t="b">
        <f>AND('RTF 2'!S104&gt;='RTF 2'!Q104,'RTF 2'!Q104&gt;'RTF 2'!T104)</f>
        <v>0</v>
      </c>
      <c r="R235" s="35" t="b">
        <f>'RTF 2'!Q104&lt;='RTF 2'!T104</f>
        <v>1</v>
      </c>
      <c r="S235" s="8" t="b">
        <f>'RTF 2'!$Q104&gt;'RTF 2'!$U104</f>
        <v>0</v>
      </c>
      <c r="T235" s="8" t="b">
        <f>AND('RTF 2'!$U104&gt;='RTF 2'!$Q104,'RTF 2'!$Q104&gt;'RTF 2'!$V104)</f>
        <v>0</v>
      </c>
      <c r="U235" s="35" t="b">
        <f>'RTF 2'!$Q104&lt;='RTF 2'!$V104</f>
        <v>1</v>
      </c>
      <c r="V235" s="42"/>
      <c r="W235" s="8" t="b">
        <f>'RTF 2'!$Q104&gt;('RTF 2'!$P104+'RTF 2'!$O104)</f>
        <v>0</v>
      </c>
      <c r="X235" s="8" t="b">
        <f>'RTF 2'!$O104&gt;('RTF 2'!$P104+'RTF 2'!$Q104)</f>
        <v>0</v>
      </c>
      <c r="Y235" s="8" t="b">
        <f>AND(('RTF 2'!$O104+10)&gt;='RTF 2'!$P104,('RTF 2'!$O104-10)&lt;='RTF 2'!$P104,('RTF 2'!$P104+10)&gt;='RTF 2'!$Q104,('RTF 2'!$P104-10)&lt;='RTF 2'!$Q104,('RTF 2'!$O104+10)&gt;='RTF 2'!$Q104,('RTF 2'!$O104-10)&lt;='RTF 2'!$Q104)</f>
        <v>1</v>
      </c>
      <c r="Z235" s="8" t="b">
        <f>AND(('RTF 2'!$O104+10)&gt;='RTF 2'!$P104,('RTF 2'!$O104-10)&lt;='RTF 2'!$P104,OR('RTF 2'!$P104&gt;'RTF 2'!$Y104,'RTF 2'!$O104&gt;'RTF 2'!$Y104))</f>
        <v>0</v>
      </c>
      <c r="AA235" s="11" t="b">
        <f>AND(('RTF 2'!$Q104+10)&gt;='RTF 2'!$P104,('RTF 2'!$Q104-10)&lt;='RTF 2'!$P104,OR('RTF 2'!$P104&gt;'RTF 2'!$Z104,'RTF 2'!$Q104&gt;'RTF 2'!$Z104))</f>
        <v>0</v>
      </c>
      <c r="AB235" s="35" t="b">
        <f t="shared" si="52"/>
        <v>0</v>
      </c>
      <c r="AC235" s="8" t="b">
        <f>'RTF 2'!$Q104&gt;'RTF 2'!$P104</f>
        <v>0</v>
      </c>
      <c r="AD235" s="8" t="b">
        <f>AND('RTF 2'!$P104&gt;='RTF 2'!$Q104,'RTF 2'!$Q104&gt;'RTF 2'!$AA104)</f>
        <v>0</v>
      </c>
      <c r="AE235" s="8" t="b">
        <f>AND('RTF 2'!$AA104&gt;'RTF 2'!$Q104,'RTF 2'!$Q104&gt;'RTF 2'!$AB104)</f>
        <v>0</v>
      </c>
      <c r="AF235" s="8" t="b">
        <f>'RTF 2'!$Q104&lt;'RTF 2'!$AB104</f>
        <v>1</v>
      </c>
    </row>
    <row r="236" spans="1:32" x14ac:dyDescent="0.25">
      <c r="A236">
        <v>775</v>
      </c>
      <c r="B236">
        <v>20</v>
      </c>
      <c r="C236">
        <v>20</v>
      </c>
      <c r="D236">
        <v>20</v>
      </c>
      <c r="E236">
        <v>20</v>
      </c>
      <c r="F236">
        <v>115</v>
      </c>
      <c r="I236" s="49">
        <f>IF('RTF 2'!$D$9=1,'Lookup Tables'!$J236,IF('RTF 2'!$D$9=2,'Lookup Tables'!$K236,IF('RTF 2'!$D$9=3,'Lookup Tables'!$L236,IF('RTF 2'!$D$9=4,'Lookup Tables'!$M236,'Lookup Tables'!$N236))))</f>
        <v>15</v>
      </c>
      <c r="J236">
        <f t="shared" si="48"/>
        <v>20</v>
      </c>
      <c r="K236">
        <f t="shared" si="49"/>
        <v>20</v>
      </c>
      <c r="L236">
        <f>IF('RTF 2'!$D$9=3,'Lookup Tables'!$V$143,0)</f>
        <v>0</v>
      </c>
      <c r="M236">
        <f t="shared" si="50"/>
        <v>40</v>
      </c>
      <c r="N236">
        <f t="shared" si="51"/>
        <v>15</v>
      </c>
      <c r="P236" s="8" t="b">
        <f>'RTF 2'!Q105&gt;'RTF 2'!S105</f>
        <v>0</v>
      </c>
      <c r="Q236" s="8" t="b">
        <f>AND('RTF 2'!S105&gt;='RTF 2'!Q105,'RTF 2'!Q105&gt;'RTF 2'!T105)</f>
        <v>0</v>
      </c>
      <c r="R236" s="35" t="b">
        <f>'RTF 2'!Q105&lt;='RTF 2'!T105</f>
        <v>1</v>
      </c>
      <c r="S236" s="8" t="b">
        <f>'RTF 2'!$Q105&gt;'RTF 2'!$U105</f>
        <v>0</v>
      </c>
      <c r="T236" s="8" t="b">
        <f>AND('RTF 2'!$U105&gt;='RTF 2'!$Q105,'RTF 2'!$Q105&gt;'RTF 2'!$V105)</f>
        <v>0</v>
      </c>
      <c r="U236" s="35" t="b">
        <f>'RTF 2'!$Q105&lt;='RTF 2'!$V105</f>
        <v>1</v>
      </c>
      <c r="V236" s="42"/>
      <c r="W236" s="8" t="b">
        <f>'RTF 2'!$Q105&gt;('RTF 2'!$P105+'RTF 2'!$O105)</f>
        <v>0</v>
      </c>
      <c r="X236" s="8" t="b">
        <f>'RTF 2'!$O105&gt;('RTF 2'!$P105+'RTF 2'!$Q105)</f>
        <v>0</v>
      </c>
      <c r="Y236" s="8" t="b">
        <f>AND(('RTF 2'!$O105+10)&gt;='RTF 2'!$P105,('RTF 2'!$O105-10)&lt;='RTF 2'!$P105,('RTF 2'!$P105+10)&gt;='RTF 2'!$Q105,('RTF 2'!$P105-10)&lt;='RTF 2'!$Q105,('RTF 2'!$O105+10)&gt;='RTF 2'!$Q105,('RTF 2'!$O105-10)&lt;='RTF 2'!$Q105)</f>
        <v>1</v>
      </c>
      <c r="Z236" s="8" t="b">
        <f>AND(('RTF 2'!$O105+10)&gt;='RTF 2'!$P105,('RTF 2'!$O105-10)&lt;='RTF 2'!$P105,OR('RTF 2'!$P105&gt;'RTF 2'!$Y105,'RTF 2'!$O105&gt;'RTF 2'!$Y105))</f>
        <v>0</v>
      </c>
      <c r="AA236" s="11" t="b">
        <f>AND(('RTF 2'!$Q105+10)&gt;='RTF 2'!$P105,('RTF 2'!$Q105-10)&lt;='RTF 2'!$P105,OR('RTF 2'!$P105&gt;'RTF 2'!$Z105,'RTF 2'!$Q105&gt;'RTF 2'!$Z105))</f>
        <v>0</v>
      </c>
      <c r="AB236" s="35" t="b">
        <f t="shared" si="52"/>
        <v>0</v>
      </c>
      <c r="AC236" s="8" t="b">
        <f>'RTF 2'!$Q105&gt;'RTF 2'!$P105</f>
        <v>0</v>
      </c>
      <c r="AD236" s="8" t="b">
        <f>AND('RTF 2'!$P105&gt;='RTF 2'!$Q105,'RTF 2'!$Q105&gt;'RTF 2'!$AA105)</f>
        <v>0</v>
      </c>
      <c r="AE236" s="8" t="b">
        <f>AND('RTF 2'!$AA105&gt;'RTF 2'!$Q105,'RTF 2'!$Q105&gt;'RTF 2'!$AB105)</f>
        <v>0</v>
      </c>
      <c r="AF236" s="8" t="b">
        <f>'RTF 2'!$Q105&lt;'RTF 2'!$AB105</f>
        <v>1</v>
      </c>
    </row>
    <row r="237" spans="1:32" x14ac:dyDescent="0.25">
      <c r="A237">
        <v>900</v>
      </c>
      <c r="B237">
        <v>20</v>
      </c>
      <c r="C237">
        <v>20</v>
      </c>
      <c r="D237">
        <v>20</v>
      </c>
      <c r="E237">
        <v>20</v>
      </c>
      <c r="F237">
        <v>75</v>
      </c>
      <c r="I237" s="49">
        <f>IF('RTF 2'!$D$9=1,'Lookup Tables'!$J237,IF('RTF 2'!$D$9=2,'Lookup Tables'!$K237,IF('RTF 2'!$D$9=3,'Lookup Tables'!$L237,IF('RTF 2'!$D$9=4,'Lookup Tables'!$M237,'Lookup Tables'!$N237))))</f>
        <v>15</v>
      </c>
      <c r="J237">
        <f t="shared" si="48"/>
        <v>20</v>
      </c>
      <c r="K237">
        <f t="shared" si="49"/>
        <v>20</v>
      </c>
      <c r="L237">
        <f>IF('RTF 2'!$D$9=3,'Lookup Tables'!$V$143,0)</f>
        <v>0</v>
      </c>
      <c r="M237">
        <f t="shared" si="50"/>
        <v>40</v>
      </c>
      <c r="N237">
        <f t="shared" si="51"/>
        <v>15</v>
      </c>
      <c r="P237" s="8" t="b">
        <f>'RTF 2'!Q106&gt;'RTF 2'!S106</f>
        <v>0</v>
      </c>
      <c r="Q237" s="8" t="b">
        <f>AND('RTF 2'!S106&gt;='RTF 2'!Q106,'RTF 2'!Q106&gt;'RTF 2'!T106)</f>
        <v>0</v>
      </c>
      <c r="R237" s="35" t="b">
        <f>'RTF 2'!Q106&lt;='RTF 2'!T106</f>
        <v>1</v>
      </c>
      <c r="S237" s="8" t="b">
        <f>'RTF 2'!$Q106&gt;'RTF 2'!$U106</f>
        <v>0</v>
      </c>
      <c r="T237" s="8" t="b">
        <f>AND('RTF 2'!$U106&gt;='RTF 2'!$Q106,'RTF 2'!$Q106&gt;'RTF 2'!$V106)</f>
        <v>0</v>
      </c>
      <c r="U237" s="35" t="b">
        <f>'RTF 2'!$Q106&lt;='RTF 2'!$V106</f>
        <v>1</v>
      </c>
      <c r="V237" s="42"/>
      <c r="W237" s="8" t="b">
        <f>'RTF 2'!$Q106&gt;('RTF 2'!$P106+'RTF 2'!$O106)</f>
        <v>0</v>
      </c>
      <c r="X237" s="8" t="b">
        <f>'RTF 2'!$O106&gt;('RTF 2'!$P106+'RTF 2'!$Q106)</f>
        <v>0</v>
      </c>
      <c r="Y237" s="8" t="b">
        <f>AND(('RTF 2'!$O106+10)&gt;='RTF 2'!$P106,('RTF 2'!$O106-10)&lt;='RTF 2'!$P106,('RTF 2'!$P106+10)&gt;='RTF 2'!$Q106,('RTF 2'!$P106-10)&lt;='RTF 2'!$Q106,('RTF 2'!$O106+10)&gt;='RTF 2'!$Q106,('RTF 2'!$O106-10)&lt;='RTF 2'!$Q106)</f>
        <v>1</v>
      </c>
      <c r="Z237" s="8" t="b">
        <f>AND(('RTF 2'!$O106+10)&gt;='RTF 2'!$P106,('RTF 2'!$O106-10)&lt;='RTF 2'!$P106,OR('RTF 2'!$P106&gt;'RTF 2'!$Y106,'RTF 2'!$O106&gt;'RTF 2'!$Y106))</f>
        <v>0</v>
      </c>
      <c r="AA237" s="11" t="b">
        <f>AND(('RTF 2'!$Q106+10)&gt;='RTF 2'!$P106,('RTF 2'!$Q106-10)&lt;='RTF 2'!$P106,OR('RTF 2'!$P106&gt;'RTF 2'!$Z106,'RTF 2'!$Q106&gt;'RTF 2'!$Z106))</f>
        <v>0</v>
      </c>
      <c r="AB237" s="35" t="b">
        <f t="shared" si="52"/>
        <v>0</v>
      </c>
      <c r="AC237" s="8" t="b">
        <f>'RTF 2'!$Q106&gt;'RTF 2'!$P106</f>
        <v>0</v>
      </c>
      <c r="AD237" s="8" t="b">
        <f>AND('RTF 2'!$P106&gt;='RTF 2'!$Q106,'RTF 2'!$Q106&gt;'RTF 2'!$AA106)</f>
        <v>0</v>
      </c>
      <c r="AE237" s="8" t="b">
        <f>AND('RTF 2'!$AA106&gt;'RTF 2'!$Q106,'RTF 2'!$Q106&gt;'RTF 2'!$AB106)</f>
        <v>0</v>
      </c>
      <c r="AF237" s="8" t="b">
        <f>'RTF 2'!$Q106&lt;'RTF 2'!$AB106</f>
        <v>1</v>
      </c>
    </row>
    <row r="238" spans="1:32" x14ac:dyDescent="0.25">
      <c r="A238">
        <v>1000</v>
      </c>
      <c r="B238">
        <v>20</v>
      </c>
      <c r="C238">
        <v>20</v>
      </c>
      <c r="D238">
        <v>20</v>
      </c>
      <c r="E238">
        <v>20</v>
      </c>
      <c r="F238">
        <v>50</v>
      </c>
      <c r="I238" s="49">
        <f>IF('RTF 2'!$D$9=1,'Lookup Tables'!$J238,IF('RTF 2'!$D$9=2,'Lookup Tables'!$K238,IF('RTF 2'!$D$9=3,'Lookup Tables'!$L238,IF('RTF 2'!$D$9=4,'Lookup Tables'!$M238,'Lookup Tables'!$N238))))</f>
        <v>15</v>
      </c>
      <c r="J238">
        <f t="shared" si="48"/>
        <v>20</v>
      </c>
      <c r="K238">
        <f t="shared" si="49"/>
        <v>20</v>
      </c>
      <c r="L238">
        <f>IF('RTF 2'!$D$9=3,'Lookup Tables'!$V$143,0)</f>
        <v>0</v>
      </c>
      <c r="M238">
        <f t="shared" si="50"/>
        <v>40</v>
      </c>
      <c r="N238">
        <f t="shared" si="51"/>
        <v>15</v>
      </c>
      <c r="P238" s="8" t="b">
        <f>'RTF 2'!Q107&gt;'RTF 2'!S107</f>
        <v>0</v>
      </c>
      <c r="Q238" s="8" t="b">
        <f>AND('RTF 2'!S107&gt;='RTF 2'!Q107,'RTF 2'!Q107&gt;'RTF 2'!T107)</f>
        <v>0</v>
      </c>
      <c r="R238" s="35" t="b">
        <f>'RTF 2'!Q107&lt;='RTF 2'!T107</f>
        <v>1</v>
      </c>
      <c r="S238" s="8" t="b">
        <f>'RTF 2'!$Q107&gt;'RTF 2'!$U107</f>
        <v>0</v>
      </c>
      <c r="T238" s="8" t="b">
        <f>AND('RTF 2'!$U107&gt;='RTF 2'!$Q107,'RTF 2'!$Q107&gt;'RTF 2'!$V107)</f>
        <v>0</v>
      </c>
      <c r="U238" s="35" t="b">
        <f>'RTF 2'!$Q107&lt;='RTF 2'!$V107</f>
        <v>1</v>
      </c>
      <c r="V238" s="42"/>
      <c r="W238" s="8" t="b">
        <f>'RTF 2'!$Q107&gt;('RTF 2'!$P107+'RTF 2'!$O107)</f>
        <v>0</v>
      </c>
      <c r="X238" s="8" t="b">
        <f>'RTF 2'!$O107&gt;('RTF 2'!$P107+'RTF 2'!$Q107)</f>
        <v>0</v>
      </c>
      <c r="Y238" s="8" t="b">
        <f>AND(('RTF 2'!$O107+10)&gt;='RTF 2'!$P107,('RTF 2'!$O107-10)&lt;='RTF 2'!$P107,('RTF 2'!$P107+10)&gt;='RTF 2'!$Q107,('RTF 2'!$P107-10)&lt;='RTF 2'!$Q107,('RTF 2'!$O107+10)&gt;='RTF 2'!$Q107,('RTF 2'!$O107-10)&lt;='RTF 2'!$Q107)</f>
        <v>1</v>
      </c>
      <c r="Z238" s="8" t="b">
        <f>AND(('RTF 2'!$O107+10)&gt;='RTF 2'!$P107,('RTF 2'!$O107-10)&lt;='RTF 2'!$P107,OR('RTF 2'!$P107&gt;'RTF 2'!$Y107,'RTF 2'!$O107&gt;'RTF 2'!$Y107))</f>
        <v>0</v>
      </c>
      <c r="AA238" s="11" t="b">
        <f>AND(('RTF 2'!$Q107+10)&gt;='RTF 2'!$P107,('RTF 2'!$Q107-10)&lt;='RTF 2'!$P107,OR('RTF 2'!$P107&gt;'RTF 2'!$Z107,'RTF 2'!$Q107&gt;'RTF 2'!$Z107))</f>
        <v>0</v>
      </c>
      <c r="AB238" s="35" t="b">
        <f t="shared" si="52"/>
        <v>0</v>
      </c>
      <c r="AC238" s="8" t="b">
        <f>'RTF 2'!$Q107&gt;'RTF 2'!$P107</f>
        <v>0</v>
      </c>
      <c r="AD238" s="8" t="b">
        <f>AND('RTF 2'!$P107&gt;='RTF 2'!$Q107,'RTF 2'!$Q107&gt;'RTF 2'!$AA107)</f>
        <v>0</v>
      </c>
      <c r="AE238" s="8" t="b">
        <f>AND('RTF 2'!$AA107&gt;'RTF 2'!$Q107,'RTF 2'!$Q107&gt;'RTF 2'!$AB107)</f>
        <v>0</v>
      </c>
      <c r="AF238" s="8" t="b">
        <f>'RTF 2'!$Q107&lt;'RTF 2'!$AB107</f>
        <v>1</v>
      </c>
    </row>
    <row r="239" spans="1:32" ht="13.8" thickBot="1" x14ac:dyDescent="0.3">
      <c r="A239">
        <v>1100</v>
      </c>
      <c r="B239">
        <v>20</v>
      </c>
      <c r="C239">
        <v>20</v>
      </c>
      <c r="D239">
        <v>20</v>
      </c>
      <c r="E239">
        <v>20</v>
      </c>
      <c r="F239">
        <v>30</v>
      </c>
      <c r="I239" s="49">
        <f>IF('RTF 2'!$D$9=1,'Lookup Tables'!$J239,IF('RTF 2'!$D$9=2,'Lookup Tables'!$K239,IF('RTF 2'!$D$9=3,'Lookup Tables'!$L239,IF('RTF 2'!$D$9=4,'Lookup Tables'!$M239,'Lookup Tables'!$N239))))</f>
        <v>15</v>
      </c>
      <c r="J239">
        <f t="shared" si="48"/>
        <v>20</v>
      </c>
      <c r="K239">
        <f t="shared" si="49"/>
        <v>20</v>
      </c>
      <c r="L239">
        <f>IF('RTF 2'!$D$9=3,'Lookup Tables'!$V$143,0)</f>
        <v>0</v>
      </c>
      <c r="M239">
        <f t="shared" si="50"/>
        <v>40</v>
      </c>
      <c r="N239">
        <f t="shared" si="51"/>
        <v>15</v>
      </c>
      <c r="P239" s="8" t="b">
        <f>'RTF 2'!Q108&gt;'RTF 2'!S108</f>
        <v>0</v>
      </c>
      <c r="Q239" s="8" t="b">
        <f>AND('RTF 2'!S108&gt;='RTF 2'!Q108,'RTF 2'!Q108&gt;'RTF 2'!T108)</f>
        <v>0</v>
      </c>
      <c r="R239" s="35" t="b">
        <f>'RTF 2'!Q108&lt;='RTF 2'!T108</f>
        <v>1</v>
      </c>
      <c r="S239" s="8" t="b">
        <f>'RTF 2'!$Q108&gt;'RTF 2'!$U108</f>
        <v>0</v>
      </c>
      <c r="T239" s="8" t="b">
        <f>AND('RTF 2'!$U108&gt;='RTF 2'!$Q108,'RTF 2'!$Q108&gt;'RTF 2'!$V108)</f>
        <v>0</v>
      </c>
      <c r="U239" s="35" t="b">
        <f>'RTF 2'!$Q108&lt;='RTF 2'!$V108</f>
        <v>1</v>
      </c>
      <c r="V239" s="38"/>
      <c r="W239" s="8" t="b">
        <f>'RTF 2'!$Q108&gt;('RTF 2'!$P108+'RTF 2'!$O108)</f>
        <v>0</v>
      </c>
      <c r="X239" s="8" t="b">
        <f>'RTF 2'!$O108&gt;('RTF 2'!$P108+'RTF 2'!$Q108)</f>
        <v>0</v>
      </c>
      <c r="Y239" s="8" t="b">
        <f>AND(('RTF 2'!$O108+10)&gt;='RTF 2'!$P108,('RTF 2'!$O108-10)&lt;='RTF 2'!$P108,('RTF 2'!$P108+10)&gt;='RTF 2'!$Q108,('RTF 2'!$P108-10)&lt;='RTF 2'!$Q108,('RTF 2'!$O108+10)&gt;='RTF 2'!$Q108,('RTF 2'!$O108-10)&lt;='RTF 2'!$Q108)</f>
        <v>1</v>
      </c>
      <c r="Z239" s="8" t="b">
        <f>AND(('RTF 2'!$O108+10)&gt;='RTF 2'!$P108,('RTF 2'!$O108-10)&lt;='RTF 2'!$P108,OR('RTF 2'!$P108&gt;'RTF 2'!$Y108,'RTF 2'!$O108&gt;'RTF 2'!$Y108))</f>
        <v>0</v>
      </c>
      <c r="AA239" s="11" t="b">
        <f>AND(('RTF 2'!$Q108+10)&gt;='RTF 2'!$P108,('RTF 2'!$Q108-10)&lt;='RTF 2'!$P108,OR('RTF 2'!$P108&gt;'RTF 2'!$Z108,'RTF 2'!$Q108&gt;'RTF 2'!$Z108))</f>
        <v>0</v>
      </c>
      <c r="AB239" s="35" t="b">
        <f t="shared" si="52"/>
        <v>0</v>
      </c>
      <c r="AC239" s="8" t="b">
        <f>'RTF 2'!$Q108&gt;'RTF 2'!$P108</f>
        <v>0</v>
      </c>
      <c r="AD239" s="8" t="b">
        <f>AND('RTF 2'!$P108&gt;='RTF 2'!$Q108,'RTF 2'!$Q108&gt;'RTF 2'!$AA108)</f>
        <v>0</v>
      </c>
      <c r="AE239" s="8" t="b">
        <f>AND('RTF 2'!$AA108&gt;'RTF 2'!$Q108,'RTF 2'!$Q108&gt;'RTF 2'!$AB108)</f>
        <v>0</v>
      </c>
      <c r="AF239" s="8" t="b">
        <f>'RTF 2'!$Q108&lt;'RTF 2'!$AB108</f>
        <v>1</v>
      </c>
    </row>
    <row r="240" spans="1:32" x14ac:dyDescent="0.25">
      <c r="A240">
        <v>1200</v>
      </c>
      <c r="B240">
        <v>20</v>
      </c>
      <c r="C240">
        <v>20</v>
      </c>
      <c r="D240">
        <v>20</v>
      </c>
      <c r="E240">
        <v>20</v>
      </c>
      <c r="F240">
        <v>20</v>
      </c>
      <c r="P240" s="8">
        <v>60</v>
      </c>
      <c r="Q240" s="8">
        <v>40</v>
      </c>
      <c r="R240" s="35">
        <v>20</v>
      </c>
      <c r="S240" s="8">
        <v>60</v>
      </c>
      <c r="T240" s="8">
        <v>40</v>
      </c>
      <c r="U240" s="35">
        <v>20</v>
      </c>
      <c r="V240" s="45">
        <v>75</v>
      </c>
      <c r="W240" s="8">
        <v>65</v>
      </c>
      <c r="X240" s="47"/>
      <c r="Y240" s="8">
        <v>40</v>
      </c>
      <c r="Z240" s="8">
        <v>20</v>
      </c>
      <c r="AA240" s="11">
        <v>50</v>
      </c>
      <c r="AB240" s="45">
        <v>30</v>
      </c>
      <c r="AC240" s="8">
        <v>75</v>
      </c>
      <c r="AD240" s="8">
        <v>50</v>
      </c>
      <c r="AE240" s="8">
        <v>30</v>
      </c>
      <c r="AF240" s="8">
        <v>15</v>
      </c>
    </row>
    <row r="241" spans="1:6" x14ac:dyDescent="0.25">
      <c r="A241">
        <v>1250</v>
      </c>
      <c r="B241">
        <v>20</v>
      </c>
      <c r="C241">
        <v>20</v>
      </c>
      <c r="D241">
        <v>20</v>
      </c>
      <c r="E241">
        <v>20</v>
      </c>
      <c r="F241">
        <v>20</v>
      </c>
    </row>
    <row r="242" spans="1:6" x14ac:dyDescent="0.25">
      <c r="A242">
        <v>1500</v>
      </c>
      <c r="B242">
        <v>20</v>
      </c>
      <c r="C242">
        <v>20</v>
      </c>
      <c r="D242">
        <v>20</v>
      </c>
      <c r="E242">
        <v>20</v>
      </c>
      <c r="F242">
        <v>20</v>
      </c>
    </row>
    <row r="243" spans="1:6" x14ac:dyDescent="0.25">
      <c r="A243">
        <v>1750</v>
      </c>
      <c r="B243">
        <v>20</v>
      </c>
      <c r="C243">
        <v>20</v>
      </c>
      <c r="D243">
        <v>20</v>
      </c>
      <c r="E243">
        <v>20</v>
      </c>
      <c r="F243">
        <v>20</v>
      </c>
    </row>
    <row r="244" spans="1:6" x14ac:dyDescent="0.25">
      <c r="A244">
        <v>2000</v>
      </c>
      <c r="B244">
        <v>20</v>
      </c>
      <c r="C244">
        <v>20</v>
      </c>
      <c r="D244">
        <v>20</v>
      </c>
      <c r="E244">
        <v>20</v>
      </c>
      <c r="F244">
        <v>20</v>
      </c>
    </row>
    <row r="248" spans="1:6" x14ac:dyDescent="0.25">
      <c r="A248" s="10"/>
      <c r="B248" s="10"/>
      <c r="C248" s="10"/>
      <c r="D248" s="10"/>
    </row>
    <row r="249" spans="1:6" x14ac:dyDescent="0.25">
      <c r="A249" s="10"/>
      <c r="B249" s="10"/>
      <c r="C249" s="10"/>
      <c r="D249" s="10"/>
    </row>
    <row r="250" spans="1:6" x14ac:dyDescent="0.25">
      <c r="A250" s="10"/>
      <c r="B250" s="10"/>
      <c r="C250" s="10"/>
      <c r="D250" s="10"/>
    </row>
    <row r="251" spans="1:6" x14ac:dyDescent="0.25">
      <c r="A251" s="10"/>
      <c r="B251" s="10"/>
      <c r="C251" s="10"/>
      <c r="D251" s="10"/>
    </row>
    <row r="252" spans="1:6" x14ac:dyDescent="0.25">
      <c r="A252" s="10"/>
      <c r="B252" s="10"/>
      <c r="C252" s="10"/>
      <c r="D252" s="10"/>
    </row>
    <row r="253" spans="1:6" x14ac:dyDescent="0.25">
      <c r="A253" s="10"/>
      <c r="B253" s="10"/>
      <c r="C253" s="10"/>
      <c r="D253" s="10"/>
    </row>
    <row r="254" spans="1:6" x14ac:dyDescent="0.25">
      <c r="A254" s="10"/>
      <c r="B254" s="10"/>
      <c r="C254" s="10"/>
      <c r="D254" s="10"/>
    </row>
    <row r="255" spans="1:6" x14ac:dyDescent="0.25">
      <c r="A255" s="10"/>
      <c r="B255" s="10"/>
      <c r="C255" s="10"/>
      <c r="D255" s="10"/>
    </row>
    <row r="256" spans="1:6" x14ac:dyDescent="0.25">
      <c r="A256" s="10"/>
      <c r="B256" s="10"/>
      <c r="C256" s="10"/>
      <c r="D256" s="10"/>
    </row>
    <row r="257" spans="1:4" x14ac:dyDescent="0.25">
      <c r="A257" s="10"/>
      <c r="B257" s="10"/>
      <c r="C257" s="10"/>
      <c r="D257" s="10"/>
    </row>
    <row r="258" spans="1:4" x14ac:dyDescent="0.25">
      <c r="A258" s="10"/>
      <c r="B258" s="10"/>
      <c r="C258" s="10"/>
      <c r="D258" s="10"/>
    </row>
    <row r="259" spans="1:4" x14ac:dyDescent="0.25">
      <c r="A259" s="10"/>
      <c r="B259" s="10"/>
      <c r="C259" s="10"/>
      <c r="D259" s="10"/>
    </row>
    <row r="260" spans="1:4" x14ac:dyDescent="0.25">
      <c r="A260" s="10"/>
      <c r="B260" s="10"/>
      <c r="C260" s="10"/>
      <c r="D260" s="10"/>
    </row>
    <row r="261" spans="1:4" x14ac:dyDescent="0.25">
      <c r="A261" s="10"/>
      <c r="B261" s="10"/>
      <c r="C261" s="10"/>
      <c r="D261" s="10"/>
    </row>
    <row r="262" spans="1:4" x14ac:dyDescent="0.25">
      <c r="A262" s="10"/>
      <c r="B262" s="10"/>
      <c r="C262" s="10"/>
      <c r="D262" s="10"/>
    </row>
    <row r="263" spans="1:4" x14ac:dyDescent="0.25">
      <c r="A263" s="10"/>
      <c r="B263" s="10"/>
      <c r="C263" s="10"/>
      <c r="D263" s="10"/>
    </row>
    <row r="264" spans="1:4" x14ac:dyDescent="0.25">
      <c r="A264" s="10"/>
      <c r="B264" s="10"/>
      <c r="C264" s="10"/>
      <c r="D264" s="10"/>
    </row>
    <row r="265" spans="1:4" x14ac:dyDescent="0.25">
      <c r="A265" s="10"/>
      <c r="B265" s="10"/>
      <c r="C265" s="10"/>
      <c r="D265" s="10"/>
    </row>
    <row r="266" spans="1:4" x14ac:dyDescent="0.25">
      <c r="A266" s="10"/>
      <c r="B266" s="10"/>
      <c r="C266" s="10"/>
      <c r="D266" s="10"/>
    </row>
    <row r="267" spans="1:4" x14ac:dyDescent="0.25">
      <c r="A267" s="10"/>
      <c r="B267" s="10"/>
      <c r="C267" s="10"/>
      <c r="D267" s="10"/>
    </row>
    <row r="268" spans="1:4" x14ac:dyDescent="0.25">
      <c r="A268" s="10"/>
      <c r="B268" s="10"/>
      <c r="C268" s="10"/>
      <c r="D268" s="10"/>
    </row>
    <row r="269" spans="1:4" x14ac:dyDescent="0.25">
      <c r="A269" s="10"/>
      <c r="B269" s="10"/>
      <c r="C269" s="10"/>
      <c r="D269" s="10"/>
    </row>
    <row r="270" spans="1:4" x14ac:dyDescent="0.25">
      <c r="A270" s="10"/>
      <c r="B270" s="10"/>
      <c r="C270" s="10"/>
      <c r="D270" s="10"/>
    </row>
    <row r="271" spans="1:4" x14ac:dyDescent="0.25">
      <c r="A271" s="10"/>
      <c r="B271" s="10"/>
      <c r="C271" s="10"/>
      <c r="D271" s="10"/>
    </row>
    <row r="272" spans="1:4" x14ac:dyDescent="0.25">
      <c r="A272" s="10"/>
      <c r="B272" s="10"/>
      <c r="C272" s="10"/>
      <c r="D272" s="10"/>
    </row>
    <row r="273" spans="1:4" x14ac:dyDescent="0.25">
      <c r="A273" s="10"/>
      <c r="B273" s="10"/>
      <c r="C273" s="10"/>
      <c r="D273" s="10"/>
    </row>
    <row r="274" spans="1:4" x14ac:dyDescent="0.25">
      <c r="A274" s="10"/>
      <c r="B274" s="10"/>
      <c r="C274" s="10"/>
      <c r="D274" s="10"/>
    </row>
    <row r="275" spans="1:4" x14ac:dyDescent="0.25">
      <c r="A275" s="10"/>
      <c r="B275" s="10"/>
      <c r="C275" s="10"/>
      <c r="D275" s="10"/>
    </row>
    <row r="276" spans="1:4" x14ac:dyDescent="0.25">
      <c r="A276" s="10"/>
      <c r="B276" s="10"/>
      <c r="C276" s="10"/>
      <c r="D276" s="10"/>
    </row>
    <row r="277" spans="1:4" x14ac:dyDescent="0.25">
      <c r="A277" s="10"/>
      <c r="B277" s="10"/>
      <c r="C277" s="10"/>
      <c r="D277" s="10"/>
    </row>
    <row r="278" spans="1:4" x14ac:dyDescent="0.25">
      <c r="A278" s="10"/>
      <c r="B278" s="10"/>
      <c r="C278" s="10"/>
      <c r="D278" s="10"/>
    </row>
    <row r="279" spans="1:4" x14ac:dyDescent="0.25">
      <c r="A279" s="10"/>
      <c r="B279" s="10"/>
      <c r="C279" s="10"/>
      <c r="D279" s="10"/>
    </row>
    <row r="280" spans="1:4" x14ac:dyDescent="0.25">
      <c r="A280" s="10"/>
      <c r="B280" s="10"/>
      <c r="C280" s="10"/>
      <c r="D280" s="10"/>
    </row>
    <row r="281" spans="1:4" x14ac:dyDescent="0.25">
      <c r="A281" s="10"/>
      <c r="B281" s="10"/>
      <c r="C281" s="10"/>
      <c r="D281" s="10"/>
    </row>
    <row r="282" spans="1:4" x14ac:dyDescent="0.25">
      <c r="A282" s="10"/>
      <c r="B282" s="10"/>
      <c r="C282" s="10"/>
      <c r="D282" s="10"/>
    </row>
    <row r="283" spans="1:4" x14ac:dyDescent="0.25">
      <c r="A283" s="10"/>
      <c r="B283" s="10"/>
      <c r="C283" s="10"/>
      <c r="D283" s="10"/>
    </row>
    <row r="284" spans="1:4" x14ac:dyDescent="0.25">
      <c r="A284" s="10"/>
      <c r="B284" s="10"/>
      <c r="C284" s="10"/>
      <c r="D284" s="10"/>
    </row>
    <row r="285" spans="1:4" x14ac:dyDescent="0.25">
      <c r="A285" s="10"/>
      <c r="B285" s="10"/>
      <c r="C285" s="10"/>
      <c r="D285" s="10"/>
    </row>
    <row r="286" spans="1:4" x14ac:dyDescent="0.25">
      <c r="A286" s="10"/>
      <c r="B286" s="10"/>
      <c r="C286" s="10"/>
      <c r="D286" s="10"/>
    </row>
    <row r="287" spans="1:4" x14ac:dyDescent="0.25">
      <c r="A287" s="10"/>
      <c r="B287" s="10"/>
      <c r="C287" s="10"/>
      <c r="D287" s="10"/>
    </row>
    <row r="288" spans="1:4" x14ac:dyDescent="0.25">
      <c r="A288" s="10"/>
      <c r="B288" s="10"/>
      <c r="C288" s="10"/>
      <c r="D288" s="10"/>
    </row>
    <row r="289" spans="1:4" x14ac:dyDescent="0.25">
      <c r="A289" s="10"/>
      <c r="B289" s="10"/>
      <c r="C289" s="10"/>
      <c r="D289" s="10"/>
    </row>
    <row r="290" spans="1:4" x14ac:dyDescent="0.25">
      <c r="A290" s="10"/>
      <c r="B290" s="10"/>
      <c r="C290" s="10"/>
      <c r="D290" s="10"/>
    </row>
    <row r="291" spans="1:4" x14ac:dyDescent="0.25">
      <c r="A291" s="10"/>
      <c r="B291" s="10"/>
      <c r="C291" s="10"/>
      <c r="D291" s="10"/>
    </row>
    <row r="292" spans="1:4" x14ac:dyDescent="0.25">
      <c r="A292" s="10"/>
      <c r="B292" s="10"/>
      <c r="C292" s="10"/>
      <c r="D292" s="10"/>
    </row>
    <row r="293" spans="1:4" x14ac:dyDescent="0.25">
      <c r="A293" s="10"/>
      <c r="B293" s="10"/>
      <c r="C293" s="10"/>
      <c r="D293" s="10"/>
    </row>
    <row r="294" spans="1:4" x14ac:dyDescent="0.25">
      <c r="A294" s="10"/>
      <c r="B294" s="10"/>
      <c r="C294" s="10"/>
      <c r="D294" s="10"/>
    </row>
    <row r="295" spans="1:4" x14ac:dyDescent="0.25">
      <c r="A295" s="10"/>
      <c r="B295" s="10"/>
      <c r="C295" s="10"/>
      <c r="D295" s="10"/>
    </row>
    <row r="296" spans="1:4" x14ac:dyDescent="0.25">
      <c r="A296" s="10"/>
      <c r="B296" s="10"/>
      <c r="C296" s="10"/>
      <c r="D296" s="10"/>
    </row>
    <row r="297" spans="1:4" x14ac:dyDescent="0.25">
      <c r="A297" s="10"/>
      <c r="B297" s="10"/>
      <c r="C297" s="10"/>
      <c r="D297" s="10"/>
    </row>
    <row r="298" spans="1:4" x14ac:dyDescent="0.25">
      <c r="A298" s="10"/>
      <c r="B298" s="10"/>
      <c r="C298" s="10"/>
      <c r="D298" s="10"/>
    </row>
    <row r="299" spans="1:4" x14ac:dyDescent="0.25">
      <c r="A299" s="10"/>
      <c r="B299" s="10"/>
      <c r="C299" s="10"/>
      <c r="D299" s="10"/>
    </row>
    <row r="300" spans="1:4" x14ac:dyDescent="0.25">
      <c r="A300" s="10"/>
      <c r="B300" s="10"/>
      <c r="C300" s="10"/>
      <c r="D300" s="10"/>
    </row>
    <row r="301" spans="1:4" x14ac:dyDescent="0.25">
      <c r="A301" s="10"/>
      <c r="B301" s="10"/>
      <c r="C301" s="10"/>
      <c r="D301" s="10"/>
    </row>
    <row r="302" spans="1:4" x14ac:dyDescent="0.25">
      <c r="A302" s="10"/>
      <c r="B302" s="10"/>
      <c r="C302" s="10"/>
      <c r="D302" s="10"/>
    </row>
    <row r="303" spans="1:4" x14ac:dyDescent="0.25">
      <c r="A303" s="10"/>
      <c r="B303" s="10"/>
      <c r="C303" s="10"/>
      <c r="D303" s="10"/>
    </row>
    <row r="304" spans="1:4" x14ac:dyDescent="0.25">
      <c r="A304" s="10"/>
      <c r="B304" s="10"/>
      <c r="C304" s="10"/>
      <c r="D304" s="10"/>
    </row>
    <row r="305" spans="1:4" x14ac:dyDescent="0.25">
      <c r="A305" s="10"/>
      <c r="B305" s="10"/>
      <c r="C305" s="10"/>
      <c r="D305" s="10"/>
    </row>
    <row r="306" spans="1:4" x14ac:dyDescent="0.25">
      <c r="A306" s="10"/>
      <c r="B306" s="10"/>
      <c r="C306" s="10"/>
      <c r="D306" s="10"/>
    </row>
    <row r="307" spans="1:4" x14ac:dyDescent="0.25">
      <c r="A307" s="10"/>
      <c r="B307" s="10"/>
      <c r="C307" s="10"/>
      <c r="D307" s="10"/>
    </row>
    <row r="308" spans="1:4" x14ac:dyDescent="0.25">
      <c r="A308" s="10"/>
      <c r="B308" s="10"/>
      <c r="C308" s="10"/>
      <c r="D308" s="10"/>
    </row>
    <row r="309" spans="1:4" x14ac:dyDescent="0.25">
      <c r="A309" s="10"/>
      <c r="B309" s="10"/>
      <c r="C309" s="10"/>
      <c r="D309" s="10"/>
    </row>
    <row r="310" spans="1:4" x14ac:dyDescent="0.25">
      <c r="A310" s="10"/>
      <c r="B310" s="10"/>
      <c r="C310" s="10"/>
      <c r="D310" s="10"/>
    </row>
    <row r="311" spans="1:4" x14ac:dyDescent="0.25">
      <c r="A311" s="10"/>
      <c r="B311" s="10"/>
      <c r="C311" s="10"/>
      <c r="D311" s="10"/>
    </row>
    <row r="312" spans="1:4" x14ac:dyDescent="0.25">
      <c r="A312" s="10"/>
      <c r="B312" s="10"/>
      <c r="C312" s="10"/>
      <c r="D312" s="10"/>
    </row>
    <row r="313" spans="1:4" x14ac:dyDescent="0.25">
      <c r="A313" s="10"/>
      <c r="B313" s="10"/>
      <c r="C313" s="10"/>
      <c r="D313" s="10"/>
    </row>
    <row r="314" spans="1:4" x14ac:dyDescent="0.25">
      <c r="A314" s="10"/>
      <c r="B314" s="10"/>
      <c r="C314" s="10"/>
      <c r="D314" s="10"/>
    </row>
    <row r="315" spans="1:4" x14ac:dyDescent="0.25">
      <c r="A315" s="10"/>
      <c r="B315" s="10"/>
      <c r="C315" s="10"/>
      <c r="D315" s="10"/>
    </row>
    <row r="316" spans="1:4" x14ac:dyDescent="0.25">
      <c r="A316" s="10"/>
      <c r="B316" s="10"/>
      <c r="C316" s="10"/>
      <c r="D316" s="10"/>
    </row>
    <row r="317" spans="1:4" x14ac:dyDescent="0.25">
      <c r="A317" s="10"/>
      <c r="B317" s="10"/>
      <c r="C317" s="10"/>
      <c r="D317" s="10"/>
    </row>
    <row r="318" spans="1:4" x14ac:dyDescent="0.25">
      <c r="A318" s="10"/>
      <c r="B318" s="10"/>
      <c r="C318" s="10"/>
      <c r="D318" s="10"/>
    </row>
    <row r="319" spans="1:4" x14ac:dyDescent="0.25">
      <c r="A319" s="10"/>
      <c r="B319" s="10"/>
      <c r="C319" s="10"/>
      <c r="D319" s="10"/>
    </row>
    <row r="320" spans="1:4" x14ac:dyDescent="0.25">
      <c r="A320" s="10"/>
      <c r="B320" s="10"/>
      <c r="C320" s="10"/>
      <c r="D320" s="10"/>
    </row>
    <row r="321" spans="1:4" x14ac:dyDescent="0.25">
      <c r="A321" s="10"/>
      <c r="B321" s="10"/>
      <c r="C321" s="10"/>
      <c r="D321" s="10"/>
    </row>
    <row r="322" spans="1:4" x14ac:dyDescent="0.25">
      <c r="A322" s="10"/>
      <c r="B322" s="10"/>
      <c r="C322" s="10"/>
      <c r="D322" s="10"/>
    </row>
    <row r="323" spans="1:4" x14ac:dyDescent="0.25">
      <c r="A323" s="10"/>
      <c r="B323" s="10"/>
      <c r="C323" s="10"/>
      <c r="D323" s="10"/>
    </row>
    <row r="324" spans="1:4" x14ac:dyDescent="0.25">
      <c r="A324" s="10"/>
      <c r="B324" s="10"/>
      <c r="C324" s="10"/>
      <c r="D324" s="10"/>
    </row>
    <row r="325" spans="1:4" x14ac:dyDescent="0.25">
      <c r="A325" s="10"/>
      <c r="B325" s="10"/>
      <c r="C325" s="10"/>
      <c r="D325" s="10"/>
    </row>
    <row r="326" spans="1:4" x14ac:dyDescent="0.25">
      <c r="A326" s="10"/>
      <c r="B326" s="10"/>
      <c r="C326" s="10"/>
      <c r="D326" s="10"/>
    </row>
    <row r="327" spans="1:4" x14ac:dyDescent="0.25">
      <c r="A327" s="10"/>
      <c r="B327" s="10"/>
      <c r="C327" s="10"/>
      <c r="D327" s="10"/>
    </row>
    <row r="328" spans="1:4" x14ac:dyDescent="0.25">
      <c r="A328" s="10"/>
      <c r="B328" s="10"/>
      <c r="C328" s="10"/>
      <c r="D328" s="10"/>
    </row>
    <row r="329" spans="1:4" x14ac:dyDescent="0.25">
      <c r="A329" s="10"/>
      <c r="B329" s="10"/>
      <c r="C329" s="10"/>
      <c r="D329" s="10"/>
    </row>
    <row r="330" spans="1:4" x14ac:dyDescent="0.25">
      <c r="A330" s="10"/>
      <c r="B330" s="10"/>
      <c r="C330" s="10"/>
      <c r="D330" s="10"/>
    </row>
    <row r="331" spans="1:4" x14ac:dyDescent="0.25">
      <c r="A331" s="10"/>
      <c r="B331" s="10"/>
      <c r="C331" s="10"/>
      <c r="D331" s="10"/>
    </row>
    <row r="332" spans="1:4" x14ac:dyDescent="0.25">
      <c r="A332" s="10"/>
      <c r="B332" s="10"/>
      <c r="C332" s="10"/>
      <c r="D332" s="10"/>
    </row>
    <row r="333" spans="1:4" x14ac:dyDescent="0.25">
      <c r="A333" s="10"/>
      <c r="B333" s="10"/>
      <c r="C333" s="10"/>
      <c r="D333" s="10"/>
    </row>
    <row r="334" spans="1:4" x14ac:dyDescent="0.25">
      <c r="A334" s="10"/>
      <c r="B334" s="10"/>
      <c r="C334" s="10"/>
      <c r="D334" s="10"/>
    </row>
    <row r="335" spans="1:4" x14ac:dyDescent="0.25">
      <c r="A335" s="10"/>
      <c r="B335" s="10"/>
      <c r="C335" s="10"/>
      <c r="D335" s="10"/>
    </row>
    <row r="336" spans="1:4" x14ac:dyDescent="0.25">
      <c r="A336" s="10"/>
      <c r="B336" s="10"/>
      <c r="C336" s="10"/>
      <c r="D336" s="10"/>
    </row>
    <row r="337" spans="1:4" x14ac:dyDescent="0.25">
      <c r="A337" s="10"/>
      <c r="B337" s="10"/>
      <c r="C337" s="10"/>
      <c r="D337" s="10"/>
    </row>
    <row r="338" spans="1:4" x14ac:dyDescent="0.25">
      <c r="A338" s="10"/>
      <c r="B338" s="10"/>
      <c r="C338" s="10"/>
      <c r="D338" s="10"/>
    </row>
    <row r="339" spans="1:4" x14ac:dyDescent="0.25">
      <c r="A339" s="10"/>
      <c r="B339" s="10"/>
      <c r="C339" s="10"/>
      <c r="D339" s="10"/>
    </row>
    <row r="340" spans="1:4" x14ac:dyDescent="0.25">
      <c r="A340" s="10"/>
      <c r="B340" s="10"/>
      <c r="C340" s="10"/>
      <c r="D340" s="10"/>
    </row>
    <row r="341" spans="1:4" x14ac:dyDescent="0.25">
      <c r="A341" s="10"/>
      <c r="B341" s="10"/>
      <c r="C341" s="10"/>
      <c r="D341" s="10"/>
    </row>
    <row r="342" spans="1:4" x14ac:dyDescent="0.25">
      <c r="A342" s="10"/>
      <c r="B342" s="10"/>
      <c r="C342" s="10"/>
      <c r="D342" s="10"/>
    </row>
    <row r="343" spans="1:4" x14ac:dyDescent="0.25">
      <c r="A343" s="10"/>
      <c r="B343" s="10"/>
      <c r="C343" s="10"/>
      <c r="D343" s="10"/>
    </row>
    <row r="344" spans="1:4" x14ac:dyDescent="0.25">
      <c r="A344" s="10"/>
      <c r="B344" s="10"/>
      <c r="C344" s="10"/>
      <c r="D344" s="10"/>
    </row>
    <row r="345" spans="1:4" x14ac:dyDescent="0.25">
      <c r="A345" s="10"/>
      <c r="B345" s="10"/>
      <c r="C345" s="10"/>
      <c r="D345" s="10"/>
    </row>
    <row r="346" spans="1:4" x14ac:dyDescent="0.25">
      <c r="A346" s="10"/>
      <c r="B346" s="10"/>
      <c r="C346" s="10"/>
      <c r="D346" s="10"/>
    </row>
    <row r="347" spans="1:4" x14ac:dyDescent="0.25">
      <c r="A347" s="10"/>
      <c r="B347" s="10"/>
      <c r="C347" s="10"/>
      <c r="D347" s="10"/>
    </row>
    <row r="348" spans="1:4" x14ac:dyDescent="0.25">
      <c r="A348" s="10"/>
      <c r="B348" s="10"/>
      <c r="C348" s="10"/>
      <c r="D348" s="10"/>
    </row>
    <row r="349" spans="1:4" x14ac:dyDescent="0.25">
      <c r="A349" s="10"/>
      <c r="B349" s="10"/>
      <c r="C349" s="10"/>
      <c r="D349" s="10"/>
    </row>
    <row r="350" spans="1:4" x14ac:dyDescent="0.25">
      <c r="A350" s="10"/>
      <c r="B350" s="10"/>
      <c r="C350" s="10"/>
      <c r="D350" s="10"/>
    </row>
    <row r="351" spans="1:4" x14ac:dyDescent="0.25">
      <c r="A351" s="10"/>
      <c r="B351" s="10"/>
      <c r="C351" s="10"/>
      <c r="D351" s="10"/>
    </row>
    <row r="352" spans="1:4" x14ac:dyDescent="0.25">
      <c r="A352" s="10"/>
      <c r="B352" s="10"/>
      <c r="C352" s="10"/>
      <c r="D352" s="10"/>
    </row>
    <row r="353" spans="1:4" x14ac:dyDescent="0.25">
      <c r="A353" s="10"/>
      <c r="B353" s="10"/>
      <c r="C353" s="10"/>
      <c r="D353" s="10"/>
    </row>
    <row r="354" spans="1:4" x14ac:dyDescent="0.25">
      <c r="A354" s="10"/>
      <c r="B354" s="10"/>
      <c r="C354" s="10"/>
      <c r="D354" s="10"/>
    </row>
    <row r="355" spans="1:4" x14ac:dyDescent="0.25">
      <c r="A355" s="10"/>
      <c r="B355" s="10"/>
      <c r="C355" s="10"/>
      <c r="D355" s="10"/>
    </row>
    <row r="356" spans="1:4" x14ac:dyDescent="0.25">
      <c r="A356" s="10"/>
      <c r="B356" s="10"/>
      <c r="C356" s="10"/>
      <c r="D356" s="10"/>
    </row>
    <row r="357" spans="1:4" x14ac:dyDescent="0.25">
      <c r="A357" s="10"/>
      <c r="B357" s="10"/>
      <c r="C357" s="10"/>
      <c r="D357" s="10"/>
    </row>
    <row r="358" spans="1:4" x14ac:dyDescent="0.25">
      <c r="A358" s="10"/>
      <c r="B358" s="10"/>
      <c r="C358" s="10"/>
      <c r="D358" s="10"/>
    </row>
    <row r="359" spans="1:4" x14ac:dyDescent="0.25">
      <c r="A359" s="10"/>
      <c r="B359" s="10"/>
      <c r="C359" s="10"/>
      <c r="D359" s="10"/>
    </row>
    <row r="360" spans="1:4" x14ac:dyDescent="0.25">
      <c r="A360" s="10"/>
      <c r="B360" s="10"/>
      <c r="C360" s="10"/>
      <c r="D360" s="10"/>
    </row>
    <row r="361" spans="1:4" x14ac:dyDescent="0.25">
      <c r="A361" s="10"/>
      <c r="B361" s="10"/>
      <c r="C361" s="10"/>
      <c r="D361" s="10"/>
    </row>
    <row r="362" spans="1:4" x14ac:dyDescent="0.25">
      <c r="A362" s="10"/>
      <c r="B362" s="10"/>
      <c r="C362" s="10"/>
      <c r="D362" s="10"/>
    </row>
    <row r="363" spans="1:4" x14ac:dyDescent="0.25">
      <c r="A363" s="10"/>
      <c r="B363" s="10"/>
      <c r="C363" s="10"/>
      <c r="D363" s="10"/>
    </row>
    <row r="364" spans="1:4" x14ac:dyDescent="0.25">
      <c r="A364" s="10"/>
      <c r="B364" s="10"/>
      <c r="C364" s="10"/>
      <c r="D364" s="10"/>
    </row>
    <row r="365" spans="1:4" x14ac:dyDescent="0.25">
      <c r="A365" s="10"/>
      <c r="B365" s="10"/>
      <c r="C365" s="10"/>
      <c r="D365" s="10"/>
    </row>
    <row r="366" spans="1:4" x14ac:dyDescent="0.25">
      <c r="A366" s="10"/>
      <c r="B366" s="10"/>
      <c r="C366" s="10"/>
      <c r="D366" s="10"/>
    </row>
    <row r="367" spans="1:4" x14ac:dyDescent="0.25">
      <c r="A367" s="10"/>
      <c r="B367" s="10"/>
      <c r="C367" s="10"/>
      <c r="D367" s="10"/>
    </row>
    <row r="368" spans="1:4" x14ac:dyDescent="0.25">
      <c r="A368" s="10"/>
      <c r="B368" s="10"/>
      <c r="C368" s="10"/>
      <c r="D368" s="10"/>
    </row>
    <row r="369" spans="1:4" x14ac:dyDescent="0.25">
      <c r="A369" s="10"/>
      <c r="B369" s="10"/>
      <c r="C369" s="10"/>
      <c r="D369" s="10"/>
    </row>
    <row r="370" spans="1:4" x14ac:dyDescent="0.25">
      <c r="A370" s="10"/>
      <c r="B370" s="10"/>
      <c r="C370" s="10"/>
      <c r="D370" s="10"/>
    </row>
    <row r="371" spans="1:4" x14ac:dyDescent="0.25">
      <c r="A371" s="10"/>
      <c r="B371" s="10"/>
      <c r="C371" s="10"/>
      <c r="D371" s="10"/>
    </row>
    <row r="372" spans="1:4" x14ac:dyDescent="0.25">
      <c r="A372" s="10"/>
      <c r="B372" s="10"/>
      <c r="C372" s="10"/>
      <c r="D372" s="10"/>
    </row>
    <row r="373" spans="1:4" x14ac:dyDescent="0.25">
      <c r="A373" s="10"/>
      <c r="B373" s="10"/>
      <c r="C373" s="10"/>
      <c r="D373" s="10"/>
    </row>
    <row r="374" spans="1:4" x14ac:dyDescent="0.25">
      <c r="A374" s="10"/>
      <c r="B374" s="10"/>
      <c r="C374" s="10"/>
      <c r="D374" s="10"/>
    </row>
    <row r="375" spans="1:4" x14ac:dyDescent="0.25">
      <c r="A375" s="10"/>
      <c r="B375" s="10"/>
      <c r="C375" s="10"/>
      <c r="D375" s="10"/>
    </row>
    <row r="376" spans="1:4" x14ac:dyDescent="0.25">
      <c r="A376" s="10"/>
      <c r="B376" s="10"/>
      <c r="C376" s="10"/>
      <c r="D376" s="10"/>
    </row>
    <row r="377" spans="1:4" x14ac:dyDescent="0.25">
      <c r="A377" s="10"/>
      <c r="B377" s="10"/>
      <c r="C377" s="10"/>
      <c r="D377" s="10"/>
    </row>
    <row r="378" spans="1:4" x14ac:dyDescent="0.25">
      <c r="A378" s="10"/>
      <c r="B378" s="10"/>
      <c r="C378" s="10"/>
      <c r="D378" s="10"/>
    </row>
    <row r="379" spans="1:4" x14ac:dyDescent="0.25">
      <c r="A379" s="10"/>
      <c r="B379" s="10"/>
      <c r="C379" s="10"/>
      <c r="D379" s="10"/>
    </row>
    <row r="380" spans="1:4" x14ac:dyDescent="0.25">
      <c r="A380" s="10"/>
      <c r="B380" s="10"/>
      <c r="C380" s="10"/>
      <c r="D380" s="10"/>
    </row>
    <row r="381" spans="1:4" x14ac:dyDescent="0.25">
      <c r="A381" s="10"/>
      <c r="B381" s="10"/>
      <c r="C381" s="10"/>
      <c r="D381" s="10"/>
    </row>
    <row r="382" spans="1:4" x14ac:dyDescent="0.25">
      <c r="A382" s="10"/>
      <c r="B382" s="10"/>
      <c r="C382" s="10"/>
      <c r="D382" s="10"/>
    </row>
    <row r="383" spans="1:4" x14ac:dyDescent="0.25">
      <c r="A383" s="10"/>
      <c r="B383" s="10"/>
      <c r="C383" s="10"/>
      <c r="D383" s="10"/>
    </row>
    <row r="384" spans="1:4" x14ac:dyDescent="0.25">
      <c r="A384" s="10"/>
      <c r="B384" s="10"/>
      <c r="C384" s="10"/>
      <c r="D384" s="10"/>
    </row>
    <row r="385" spans="1:4" x14ac:dyDescent="0.25">
      <c r="A385" s="10"/>
      <c r="B385" s="10"/>
      <c r="C385" s="10"/>
      <c r="D385" s="10"/>
    </row>
    <row r="386" spans="1:4" x14ac:dyDescent="0.25">
      <c r="A386" s="10"/>
      <c r="B386" s="10"/>
      <c r="C386" s="10"/>
      <c r="D386" s="10"/>
    </row>
    <row r="387" spans="1:4" x14ac:dyDescent="0.25">
      <c r="A387" s="10"/>
      <c r="B387" s="10"/>
      <c r="C387" s="10"/>
      <c r="D387" s="10"/>
    </row>
    <row r="388" spans="1:4" x14ac:dyDescent="0.25">
      <c r="A388" s="10"/>
      <c r="B388" s="10"/>
      <c r="C388" s="10"/>
      <c r="D388" s="10"/>
    </row>
    <row r="389" spans="1:4" x14ac:dyDescent="0.25">
      <c r="A389" s="10"/>
      <c r="B389" s="10"/>
      <c r="C389" s="10"/>
      <c r="D389" s="10"/>
    </row>
    <row r="390" spans="1:4" x14ac:dyDescent="0.25">
      <c r="A390" s="10"/>
      <c r="B390" s="10"/>
      <c r="C390" s="10"/>
      <c r="D390" s="10"/>
    </row>
    <row r="391" spans="1:4" x14ac:dyDescent="0.25">
      <c r="A391" s="10"/>
      <c r="B391" s="10"/>
      <c r="C391" s="10"/>
      <c r="D391" s="10"/>
    </row>
    <row r="392" spans="1:4" x14ac:dyDescent="0.25">
      <c r="A392" s="10"/>
      <c r="B392" s="10"/>
      <c r="C392" s="10"/>
      <c r="D392" s="10"/>
    </row>
    <row r="393" spans="1:4" x14ac:dyDescent="0.25">
      <c r="A393" s="10"/>
      <c r="B393" s="10"/>
      <c r="C393" s="10"/>
      <c r="D393" s="10"/>
    </row>
    <row r="394" spans="1:4" x14ac:dyDescent="0.25">
      <c r="A394" s="10"/>
      <c r="B394" s="10"/>
      <c r="C394" s="10"/>
      <c r="D394" s="10"/>
    </row>
    <row r="395" spans="1:4" x14ac:dyDescent="0.25">
      <c r="A395" s="10"/>
      <c r="B395" s="10"/>
      <c r="C395" s="10"/>
      <c r="D395" s="10"/>
    </row>
    <row r="396" spans="1:4" x14ac:dyDescent="0.25">
      <c r="A396" s="10"/>
      <c r="B396" s="10"/>
      <c r="C396" s="10"/>
      <c r="D396" s="10"/>
    </row>
    <row r="397" spans="1:4" x14ac:dyDescent="0.25">
      <c r="A397" s="10"/>
      <c r="B397" s="10"/>
      <c r="C397" s="10"/>
      <c r="D397" s="10"/>
    </row>
    <row r="398" spans="1:4" x14ac:dyDescent="0.25">
      <c r="A398" s="10"/>
      <c r="B398" s="10"/>
      <c r="C398" s="10"/>
      <c r="D398" s="10"/>
    </row>
    <row r="399" spans="1:4" x14ac:dyDescent="0.25">
      <c r="A399" s="10"/>
      <c r="B399" s="10"/>
      <c r="C399" s="10"/>
      <c r="D399" s="10"/>
    </row>
    <row r="400" spans="1:4" x14ac:dyDescent="0.25">
      <c r="A400" s="10"/>
      <c r="B400" s="10"/>
      <c r="C400" s="10"/>
      <c r="D400" s="10"/>
    </row>
    <row r="401" spans="1:4" x14ac:dyDescent="0.25">
      <c r="A401" s="10"/>
      <c r="B401" s="10"/>
      <c r="C401" s="10"/>
      <c r="D401" s="10"/>
    </row>
    <row r="402" spans="1:4" x14ac:dyDescent="0.25">
      <c r="A402" s="10"/>
      <c r="B402" s="10"/>
      <c r="C402" s="10"/>
      <c r="D402" s="10"/>
    </row>
    <row r="403" spans="1:4" x14ac:dyDescent="0.25">
      <c r="A403" s="10"/>
      <c r="B403" s="10"/>
      <c r="C403" s="10"/>
      <c r="D403" s="10"/>
    </row>
    <row r="404" spans="1:4" x14ac:dyDescent="0.25">
      <c r="A404" s="10"/>
      <c r="B404" s="10"/>
      <c r="C404" s="10"/>
      <c r="D404" s="10"/>
    </row>
    <row r="405" spans="1:4" x14ac:dyDescent="0.25">
      <c r="A405" s="10"/>
      <c r="B405" s="10"/>
      <c r="C405" s="10"/>
      <c r="D405" s="10"/>
    </row>
    <row r="406" spans="1:4" x14ac:dyDescent="0.25">
      <c r="A406" s="10"/>
      <c r="B406" s="10"/>
      <c r="C406" s="10"/>
      <c r="D406" s="10"/>
    </row>
    <row r="407" spans="1:4" x14ac:dyDescent="0.25">
      <c r="A407" s="10"/>
      <c r="B407" s="10"/>
      <c r="C407" s="10"/>
      <c r="D407" s="10"/>
    </row>
    <row r="408" spans="1:4" x14ac:dyDescent="0.25">
      <c r="A408" s="10"/>
      <c r="B408" s="10"/>
      <c r="C408" s="10"/>
      <c r="D408" s="10"/>
    </row>
    <row r="409" spans="1:4" x14ac:dyDescent="0.25">
      <c r="A409" s="10"/>
      <c r="B409" s="10"/>
      <c r="C409" s="10"/>
      <c r="D409" s="10"/>
    </row>
    <row r="410" spans="1:4" x14ac:dyDescent="0.25">
      <c r="A410" s="10"/>
      <c r="B410" s="10"/>
      <c r="C410" s="10"/>
      <c r="D410" s="10"/>
    </row>
    <row r="411" spans="1:4" x14ac:dyDescent="0.25">
      <c r="A411" s="10"/>
      <c r="B411" s="10"/>
      <c r="C411" s="10"/>
      <c r="D411" s="10"/>
    </row>
    <row r="412" spans="1:4" x14ac:dyDescent="0.25">
      <c r="A412" s="10"/>
      <c r="B412" s="10"/>
      <c r="C412" s="10"/>
      <c r="D412" s="10"/>
    </row>
    <row r="413" spans="1:4" x14ac:dyDescent="0.25">
      <c r="A413" s="10"/>
      <c r="B413" s="10"/>
      <c r="C413" s="10"/>
      <c r="D413" s="10"/>
    </row>
    <row r="414" spans="1:4" x14ac:dyDescent="0.25">
      <c r="A414" s="10"/>
      <c r="B414" s="10"/>
      <c r="C414" s="10"/>
      <c r="D414" s="10"/>
    </row>
    <row r="415" spans="1:4" x14ac:dyDescent="0.25">
      <c r="A415" s="10"/>
      <c r="B415" s="10"/>
      <c r="C415" s="10"/>
      <c r="D415" s="10"/>
    </row>
    <row r="416" spans="1:4" x14ac:dyDescent="0.25">
      <c r="A416" s="10"/>
      <c r="B416" s="10"/>
      <c r="C416" s="10"/>
      <c r="D416" s="10"/>
    </row>
    <row r="417" spans="1:4" x14ac:dyDescent="0.25">
      <c r="A417" s="10"/>
      <c r="B417" s="10"/>
      <c r="C417" s="10"/>
      <c r="D417" s="10"/>
    </row>
    <row r="418" spans="1:4" x14ac:dyDescent="0.25">
      <c r="A418" s="10"/>
      <c r="B418" s="10"/>
      <c r="C418" s="10"/>
      <c r="D418" s="10"/>
    </row>
    <row r="419" spans="1:4" x14ac:dyDescent="0.25">
      <c r="A419" s="10"/>
      <c r="B419" s="10"/>
      <c r="C419" s="10"/>
      <c r="D419" s="10"/>
    </row>
    <row r="420" spans="1:4" x14ac:dyDescent="0.25">
      <c r="A420" s="10"/>
      <c r="B420" s="10"/>
      <c r="C420" s="10"/>
      <c r="D420" s="10"/>
    </row>
    <row r="421" spans="1:4" x14ac:dyDescent="0.25">
      <c r="A421" s="10"/>
      <c r="B421" s="10"/>
      <c r="C421" s="10"/>
      <c r="D421" s="10"/>
    </row>
    <row r="422" spans="1:4" x14ac:dyDescent="0.25">
      <c r="A422" s="10"/>
      <c r="B422" s="10"/>
      <c r="C422" s="10"/>
      <c r="D422" s="10"/>
    </row>
    <row r="423" spans="1:4" x14ac:dyDescent="0.25">
      <c r="A423" s="10"/>
      <c r="B423" s="10"/>
      <c r="C423" s="10"/>
      <c r="D423" s="10"/>
    </row>
    <row r="424" spans="1:4" x14ac:dyDescent="0.25">
      <c r="A424" s="10"/>
      <c r="B424" s="10"/>
      <c r="C424" s="10"/>
      <c r="D424" s="10"/>
    </row>
    <row r="425" spans="1:4" x14ac:dyDescent="0.25">
      <c r="A425" s="10"/>
      <c r="B425" s="10"/>
      <c r="C425" s="10"/>
      <c r="D425" s="10"/>
    </row>
    <row r="426" spans="1:4" x14ac:dyDescent="0.25">
      <c r="A426" s="10"/>
      <c r="B426" s="10"/>
      <c r="C426" s="10"/>
      <c r="D426" s="10"/>
    </row>
    <row r="427" spans="1:4" x14ac:dyDescent="0.25">
      <c r="A427" s="10"/>
      <c r="B427" s="10"/>
      <c r="C427" s="10"/>
      <c r="D427" s="10"/>
    </row>
    <row r="428" spans="1:4" x14ac:dyDescent="0.25">
      <c r="A428" s="10"/>
      <c r="B428" s="10"/>
      <c r="C428" s="10"/>
      <c r="D428" s="10"/>
    </row>
    <row r="429" spans="1:4" x14ac:dyDescent="0.25">
      <c r="A429" s="10"/>
      <c r="B429" s="10"/>
      <c r="C429" s="10"/>
      <c r="D429" s="10"/>
    </row>
    <row r="430" spans="1:4" x14ac:dyDescent="0.25">
      <c r="A430" s="10"/>
      <c r="B430" s="10"/>
      <c r="C430" s="10"/>
      <c r="D430" s="10"/>
    </row>
    <row r="431" spans="1:4" x14ac:dyDescent="0.25">
      <c r="A431" s="10"/>
      <c r="B431" s="10"/>
      <c r="C431" s="10"/>
      <c r="D431" s="10"/>
    </row>
    <row r="432" spans="1:4" x14ac:dyDescent="0.25">
      <c r="A432" s="10"/>
      <c r="B432" s="10"/>
      <c r="C432" s="10"/>
      <c r="D432" s="10"/>
    </row>
    <row r="433" spans="1:4" x14ac:dyDescent="0.25">
      <c r="A433" s="10"/>
      <c r="B433" s="10"/>
      <c r="C433" s="10"/>
      <c r="D433" s="10"/>
    </row>
    <row r="434" spans="1:4" x14ac:dyDescent="0.25">
      <c r="A434" s="10"/>
      <c r="B434" s="10"/>
      <c r="C434" s="10"/>
      <c r="D434" s="10"/>
    </row>
    <row r="435" spans="1:4" x14ac:dyDescent="0.25">
      <c r="A435" s="10"/>
      <c r="B435" s="10"/>
      <c r="C435" s="10"/>
      <c r="D435" s="10"/>
    </row>
    <row r="436" spans="1:4" x14ac:dyDescent="0.25">
      <c r="A436" s="10"/>
      <c r="B436" s="10"/>
      <c r="C436" s="10"/>
      <c r="D436" s="10"/>
    </row>
    <row r="437" spans="1:4" x14ac:dyDescent="0.25">
      <c r="A437" s="10"/>
      <c r="B437" s="10"/>
      <c r="C437" s="10"/>
      <c r="D437" s="10"/>
    </row>
    <row r="438" spans="1:4" x14ac:dyDescent="0.25">
      <c r="A438" s="10"/>
      <c r="B438" s="10"/>
      <c r="C438" s="10"/>
      <c r="D438" s="10"/>
    </row>
    <row r="439" spans="1:4" x14ac:dyDescent="0.25">
      <c r="A439" s="10"/>
      <c r="B439" s="10"/>
      <c r="C439" s="10"/>
      <c r="D439" s="10"/>
    </row>
    <row r="440" spans="1:4" x14ac:dyDescent="0.25">
      <c r="A440" s="10"/>
      <c r="B440" s="10"/>
      <c r="C440" s="10"/>
      <c r="D440" s="10"/>
    </row>
    <row r="441" spans="1:4" x14ac:dyDescent="0.25">
      <c r="A441" s="10"/>
      <c r="B441" s="10"/>
      <c r="C441" s="10"/>
      <c r="D441" s="10"/>
    </row>
    <row r="442" spans="1:4" x14ac:dyDescent="0.25">
      <c r="A442" s="10"/>
      <c r="B442" s="10"/>
      <c r="C442" s="10"/>
      <c r="D442" s="10"/>
    </row>
    <row r="443" spans="1:4" x14ac:dyDescent="0.25">
      <c r="A443" s="10"/>
      <c r="B443" s="10"/>
      <c r="C443" s="10"/>
      <c r="D443" s="10"/>
    </row>
    <row r="444" spans="1:4" x14ac:dyDescent="0.25">
      <c r="A444" s="10"/>
      <c r="B444" s="10"/>
      <c r="C444" s="10"/>
      <c r="D444" s="10"/>
    </row>
    <row r="445" spans="1:4" x14ac:dyDescent="0.25">
      <c r="A445" s="10"/>
      <c r="B445" s="10"/>
      <c r="C445" s="10"/>
      <c r="D445" s="10"/>
    </row>
    <row r="446" spans="1:4" x14ac:dyDescent="0.25">
      <c r="A446" s="10"/>
      <c r="B446" s="10"/>
      <c r="C446" s="10"/>
      <c r="D446" s="10"/>
    </row>
    <row r="447" spans="1:4" x14ac:dyDescent="0.25">
      <c r="A447" s="10"/>
      <c r="B447" s="10"/>
      <c r="C447" s="10"/>
      <c r="D447" s="10"/>
    </row>
    <row r="448" spans="1:4" x14ac:dyDescent="0.25">
      <c r="A448" s="10"/>
      <c r="B448" s="10"/>
      <c r="C448" s="10"/>
      <c r="D448" s="10"/>
    </row>
    <row r="449" spans="1:4" x14ac:dyDescent="0.25">
      <c r="A449" s="10"/>
      <c r="B449" s="10"/>
      <c r="C449" s="10"/>
      <c r="D449" s="10"/>
    </row>
    <row r="450" spans="1:4" x14ac:dyDescent="0.25">
      <c r="A450" s="10"/>
      <c r="B450" s="10"/>
      <c r="C450" s="10"/>
      <c r="D450" s="10"/>
    </row>
    <row r="451" spans="1:4" x14ac:dyDescent="0.25">
      <c r="A451" s="10"/>
      <c r="B451" s="10"/>
      <c r="C451" s="10"/>
      <c r="D451" s="10"/>
    </row>
    <row r="452" spans="1:4" x14ac:dyDescent="0.25">
      <c r="A452" s="10"/>
      <c r="B452" s="10"/>
      <c r="C452" s="10"/>
      <c r="D452" s="10"/>
    </row>
    <row r="453" spans="1:4" x14ac:dyDescent="0.25">
      <c r="A453" s="10"/>
      <c r="B453" s="10"/>
      <c r="C453" s="10"/>
      <c r="D453" s="10"/>
    </row>
    <row r="454" spans="1:4" x14ac:dyDescent="0.25">
      <c r="A454" s="10"/>
      <c r="B454" s="10"/>
      <c r="C454" s="10"/>
      <c r="D454" s="10"/>
    </row>
    <row r="455" spans="1:4" x14ac:dyDescent="0.25">
      <c r="A455" s="10"/>
      <c r="B455" s="10"/>
      <c r="C455" s="10"/>
      <c r="D455" s="10"/>
    </row>
    <row r="456" spans="1:4" x14ac:dyDescent="0.25">
      <c r="A456" s="10"/>
      <c r="B456" s="10"/>
      <c r="C456" s="10"/>
      <c r="D456" s="10"/>
    </row>
    <row r="457" spans="1:4" x14ac:dyDescent="0.25">
      <c r="A457" s="10"/>
      <c r="B457" s="10"/>
      <c r="C457" s="10"/>
      <c r="D457" s="10"/>
    </row>
    <row r="458" spans="1:4" x14ac:dyDescent="0.25">
      <c r="A458" s="10"/>
      <c r="B458" s="10"/>
      <c r="C458" s="10"/>
      <c r="D458" s="10"/>
    </row>
    <row r="459" spans="1:4" x14ac:dyDescent="0.25">
      <c r="A459" s="10"/>
      <c r="B459" s="10"/>
      <c r="C459" s="10"/>
      <c r="D459" s="10"/>
    </row>
    <row r="460" spans="1:4" x14ac:dyDescent="0.25">
      <c r="A460" s="10"/>
      <c r="B460" s="10"/>
      <c r="C460" s="10"/>
      <c r="D460" s="10"/>
    </row>
    <row r="461" spans="1:4" x14ac:dyDescent="0.25">
      <c r="A461" s="10"/>
      <c r="B461" s="10"/>
      <c r="C461" s="10"/>
      <c r="D461" s="10"/>
    </row>
    <row r="462" spans="1:4" x14ac:dyDescent="0.25">
      <c r="A462" s="10"/>
      <c r="B462" s="10"/>
      <c r="C462" s="10"/>
      <c r="D462" s="10"/>
    </row>
    <row r="463" spans="1:4" x14ac:dyDescent="0.25">
      <c r="A463" s="10"/>
      <c r="B463" s="10"/>
      <c r="C463" s="10"/>
      <c r="D463" s="10"/>
    </row>
    <row r="464" spans="1:4" x14ac:dyDescent="0.25">
      <c r="A464" s="10"/>
      <c r="B464" s="10"/>
      <c r="C464" s="10"/>
      <c r="D464" s="10"/>
    </row>
    <row r="465" spans="1:4" x14ac:dyDescent="0.25">
      <c r="A465" s="10"/>
      <c r="B465" s="10"/>
      <c r="C465" s="10"/>
      <c r="D465" s="10"/>
    </row>
    <row r="466" spans="1:4" x14ac:dyDescent="0.25">
      <c r="A466" s="10"/>
      <c r="B466" s="10"/>
      <c r="C466" s="10"/>
      <c r="D466" s="10"/>
    </row>
    <row r="467" spans="1:4" x14ac:dyDescent="0.25">
      <c r="A467" s="10"/>
      <c r="B467" s="10"/>
      <c r="C467" s="10"/>
      <c r="D467" s="10"/>
    </row>
    <row r="468" spans="1:4" x14ac:dyDescent="0.25">
      <c r="A468" s="10"/>
      <c r="B468" s="10"/>
      <c r="C468" s="10"/>
      <c r="D468" s="10"/>
    </row>
    <row r="469" spans="1:4" x14ac:dyDescent="0.25">
      <c r="A469" s="10"/>
      <c r="B469" s="10"/>
      <c r="C469" s="10"/>
      <c r="D469" s="10"/>
    </row>
    <row r="470" spans="1:4" x14ac:dyDescent="0.25">
      <c r="A470" s="10"/>
      <c r="B470" s="10"/>
      <c r="C470" s="10"/>
      <c r="D470" s="10"/>
    </row>
    <row r="471" spans="1:4" x14ac:dyDescent="0.25">
      <c r="A471" s="10"/>
      <c r="B471" s="10"/>
      <c r="C471" s="10"/>
      <c r="D471" s="10"/>
    </row>
    <row r="472" spans="1:4" x14ac:dyDescent="0.25">
      <c r="A472" s="10"/>
      <c r="B472" s="10"/>
      <c r="C472" s="10"/>
      <c r="D472" s="10"/>
    </row>
    <row r="473" spans="1:4" x14ac:dyDescent="0.25">
      <c r="A473" s="10"/>
      <c r="B473" s="10"/>
      <c r="C473" s="10"/>
      <c r="D473" s="10"/>
    </row>
    <row r="474" spans="1:4" x14ac:dyDescent="0.25">
      <c r="A474" s="10"/>
      <c r="B474" s="10"/>
      <c r="C474" s="10"/>
      <c r="D474" s="10"/>
    </row>
    <row r="475" spans="1:4" x14ac:dyDescent="0.25">
      <c r="A475" s="10"/>
      <c r="B475" s="10"/>
      <c r="C475" s="10"/>
      <c r="D475" s="10"/>
    </row>
    <row r="476" spans="1:4" x14ac:dyDescent="0.25">
      <c r="A476" s="10"/>
      <c r="B476" s="10"/>
      <c r="C476" s="10"/>
      <c r="D476" s="10"/>
    </row>
    <row r="477" spans="1:4" x14ac:dyDescent="0.25">
      <c r="A477" s="10"/>
      <c r="B477" s="10"/>
      <c r="C477" s="10"/>
      <c r="D477" s="10"/>
    </row>
    <row r="478" spans="1:4" x14ac:dyDescent="0.25">
      <c r="A478" s="10"/>
      <c r="B478" s="10"/>
      <c r="C478" s="10"/>
      <c r="D478" s="10"/>
    </row>
    <row r="479" spans="1:4" x14ac:dyDescent="0.25">
      <c r="A479" s="10"/>
      <c r="B479" s="10"/>
      <c r="C479" s="10"/>
      <c r="D479" s="10"/>
    </row>
    <row r="480" spans="1:4" x14ac:dyDescent="0.25">
      <c r="A480" s="10"/>
      <c r="B480" s="10"/>
      <c r="C480" s="10"/>
      <c r="D480" s="10"/>
    </row>
    <row r="481" spans="1:4" x14ac:dyDescent="0.25">
      <c r="A481" s="10"/>
      <c r="B481" s="10"/>
      <c r="C481" s="10"/>
      <c r="D481" s="10"/>
    </row>
    <row r="482" spans="1:4" x14ac:dyDescent="0.25">
      <c r="A482" s="10"/>
      <c r="B482" s="10"/>
      <c r="C482" s="10"/>
      <c r="D482" s="10"/>
    </row>
    <row r="483" spans="1:4" x14ac:dyDescent="0.25">
      <c r="A483" s="10"/>
      <c r="B483" s="10"/>
      <c r="C483" s="10"/>
      <c r="D483" s="10"/>
    </row>
    <row r="484" spans="1:4" x14ac:dyDescent="0.25">
      <c r="A484" s="10"/>
      <c r="B484" s="10"/>
      <c r="C484" s="10"/>
      <c r="D484" s="10"/>
    </row>
    <row r="485" spans="1:4" x14ac:dyDescent="0.25">
      <c r="A485" s="10"/>
      <c r="B485" s="10"/>
      <c r="C485" s="10"/>
      <c r="D485" s="10"/>
    </row>
    <row r="486" spans="1:4" x14ac:dyDescent="0.25">
      <c r="A486" s="10"/>
      <c r="B486" s="10"/>
      <c r="C486" s="10"/>
      <c r="D486" s="10"/>
    </row>
    <row r="487" spans="1:4" x14ac:dyDescent="0.25">
      <c r="A487" s="10"/>
      <c r="B487" s="10"/>
      <c r="C487" s="10"/>
      <c r="D487" s="10"/>
    </row>
    <row r="488" spans="1:4" x14ac:dyDescent="0.25">
      <c r="A488" s="10"/>
      <c r="B488" s="10"/>
      <c r="C488" s="10"/>
      <c r="D488" s="10"/>
    </row>
    <row r="489" spans="1:4" x14ac:dyDescent="0.25">
      <c r="A489" s="10"/>
      <c r="B489" s="10"/>
      <c r="C489" s="10"/>
      <c r="D489" s="10"/>
    </row>
    <row r="490" spans="1:4" x14ac:dyDescent="0.25">
      <c r="A490" s="10"/>
      <c r="B490" s="10"/>
      <c r="C490" s="10"/>
      <c r="D490" s="10"/>
    </row>
    <row r="491" spans="1:4" x14ac:dyDescent="0.25">
      <c r="A491" s="10"/>
      <c r="B491" s="10"/>
      <c r="C491" s="10"/>
      <c r="D491" s="10"/>
    </row>
    <row r="492" spans="1:4" x14ac:dyDescent="0.25">
      <c r="A492" s="10"/>
      <c r="B492" s="10"/>
      <c r="C492" s="10"/>
      <c r="D492" s="10"/>
    </row>
    <row r="493" spans="1:4" x14ac:dyDescent="0.25">
      <c r="A493" s="10"/>
      <c r="B493" s="10"/>
      <c r="C493" s="10"/>
      <c r="D493" s="10"/>
    </row>
    <row r="494" spans="1:4" x14ac:dyDescent="0.25">
      <c r="A494" s="10"/>
      <c r="B494" s="10"/>
      <c r="C494" s="10"/>
      <c r="D494" s="10"/>
    </row>
    <row r="495" spans="1:4" x14ac:dyDescent="0.25">
      <c r="A495" s="10"/>
      <c r="B495" s="10"/>
      <c r="C495" s="10"/>
      <c r="D495" s="10"/>
    </row>
    <row r="496" spans="1:4" x14ac:dyDescent="0.25">
      <c r="A496" s="10"/>
      <c r="B496" s="10"/>
      <c r="C496" s="10"/>
      <c r="D496" s="10"/>
    </row>
    <row r="497" spans="1:4" x14ac:dyDescent="0.25">
      <c r="A497" s="10"/>
      <c r="B497" s="10"/>
      <c r="C497" s="10"/>
      <c r="D497" s="10"/>
    </row>
    <row r="498" spans="1:4" x14ac:dyDescent="0.25">
      <c r="A498" s="10"/>
      <c r="B498" s="10"/>
      <c r="C498" s="10"/>
      <c r="D498" s="10"/>
    </row>
    <row r="499" spans="1:4" x14ac:dyDescent="0.25">
      <c r="A499" s="10"/>
      <c r="B499" s="10"/>
      <c r="C499" s="10"/>
      <c r="D499" s="10"/>
    </row>
    <row r="500" spans="1:4" x14ac:dyDescent="0.25">
      <c r="A500" s="10"/>
      <c r="B500" s="10"/>
      <c r="C500" s="10"/>
      <c r="D500" s="10"/>
    </row>
    <row r="501" spans="1:4" x14ac:dyDescent="0.25">
      <c r="A501" s="10"/>
      <c r="B501" s="10"/>
      <c r="C501" s="10"/>
      <c r="D501" s="10"/>
    </row>
    <row r="502" spans="1:4" x14ac:dyDescent="0.25">
      <c r="A502" s="10"/>
      <c r="B502" s="10"/>
      <c r="C502" s="10"/>
      <c r="D502" s="10"/>
    </row>
    <row r="503" spans="1:4" x14ac:dyDescent="0.25">
      <c r="A503" s="10"/>
      <c r="B503" s="10"/>
      <c r="C503" s="10"/>
      <c r="D503" s="10"/>
    </row>
    <row r="504" spans="1:4" x14ac:dyDescent="0.25">
      <c r="A504" s="10"/>
      <c r="B504" s="10"/>
      <c r="C504" s="10"/>
      <c r="D504" s="10"/>
    </row>
    <row r="505" spans="1:4" x14ac:dyDescent="0.25">
      <c r="A505" s="10"/>
      <c r="B505" s="10"/>
      <c r="C505" s="10"/>
      <c r="D505" s="10"/>
    </row>
    <row r="506" spans="1:4" x14ac:dyDescent="0.25">
      <c r="A506" s="10"/>
      <c r="B506" s="10"/>
      <c r="C506" s="10"/>
      <c r="D506" s="10"/>
    </row>
    <row r="507" spans="1:4" x14ac:dyDescent="0.25">
      <c r="A507" s="10"/>
      <c r="B507" s="10"/>
      <c r="C507" s="10"/>
      <c r="D507" s="10"/>
    </row>
    <row r="508" spans="1:4" x14ac:dyDescent="0.25">
      <c r="A508" s="10"/>
      <c r="B508" s="10"/>
      <c r="C508" s="10"/>
      <c r="D508" s="10"/>
    </row>
    <row r="509" spans="1:4" x14ac:dyDescent="0.25">
      <c r="A509" s="10"/>
      <c r="B509" s="10"/>
      <c r="C509" s="10"/>
      <c r="D509" s="10"/>
    </row>
    <row r="510" spans="1:4" x14ac:dyDescent="0.25">
      <c r="A510" s="10"/>
      <c r="B510" s="10"/>
      <c r="C510" s="10"/>
      <c r="D510" s="10"/>
    </row>
    <row r="511" spans="1:4" x14ac:dyDescent="0.25">
      <c r="A511" s="10"/>
      <c r="B511" s="10"/>
      <c r="C511" s="10"/>
      <c r="D511" s="10"/>
    </row>
    <row r="512" spans="1:4" x14ac:dyDescent="0.25">
      <c r="A512" s="10"/>
      <c r="B512" s="10"/>
      <c r="C512" s="10"/>
      <c r="D512" s="10"/>
    </row>
    <row r="513" spans="1:4" x14ac:dyDescent="0.25">
      <c r="A513" s="10"/>
      <c r="B513" s="10"/>
      <c r="C513" s="10"/>
      <c r="D513" s="10"/>
    </row>
    <row r="514" spans="1:4" x14ac:dyDescent="0.25">
      <c r="A514" s="10"/>
      <c r="B514" s="10"/>
      <c r="C514" s="10"/>
      <c r="D514" s="10"/>
    </row>
    <row r="515" spans="1:4" x14ac:dyDescent="0.25">
      <c r="A515" s="10"/>
      <c r="B515" s="10"/>
      <c r="C515" s="10"/>
      <c r="D515" s="10"/>
    </row>
    <row r="516" spans="1:4" x14ac:dyDescent="0.25">
      <c r="A516" s="10"/>
      <c r="B516" s="10"/>
      <c r="C516" s="10"/>
      <c r="D516" s="10"/>
    </row>
    <row r="517" spans="1:4" x14ac:dyDescent="0.25">
      <c r="A517" s="10"/>
      <c r="B517" s="10"/>
      <c r="C517" s="10"/>
      <c r="D517" s="10"/>
    </row>
    <row r="518" spans="1:4" x14ac:dyDescent="0.25">
      <c r="A518" s="10"/>
      <c r="B518" s="10"/>
      <c r="C518" s="10"/>
      <c r="D518" s="10"/>
    </row>
    <row r="519" spans="1:4" x14ac:dyDescent="0.25">
      <c r="A519" s="10"/>
      <c r="B519" s="10"/>
      <c r="C519" s="10"/>
      <c r="D519" s="10"/>
    </row>
    <row r="520" spans="1:4" x14ac:dyDescent="0.25">
      <c r="A520" s="10"/>
      <c r="B520" s="10"/>
      <c r="C520" s="10"/>
      <c r="D520" s="10"/>
    </row>
    <row r="521" spans="1:4" x14ac:dyDescent="0.25">
      <c r="A521" s="10"/>
      <c r="B521" s="10"/>
      <c r="C521" s="10"/>
      <c r="D521" s="10"/>
    </row>
    <row r="522" spans="1:4" x14ac:dyDescent="0.25">
      <c r="A522" s="10"/>
      <c r="B522" s="10"/>
      <c r="C522" s="10"/>
      <c r="D522" s="10"/>
    </row>
    <row r="523" spans="1:4" x14ac:dyDescent="0.25">
      <c r="A523" s="10"/>
      <c r="B523" s="10"/>
      <c r="C523" s="10"/>
      <c r="D523" s="10"/>
    </row>
    <row r="524" spans="1:4" x14ac:dyDescent="0.25">
      <c r="A524" s="10"/>
      <c r="B524" s="10"/>
      <c r="C524" s="10"/>
      <c r="D524" s="10"/>
    </row>
    <row r="525" spans="1:4" x14ac:dyDescent="0.25">
      <c r="A525" s="10"/>
      <c r="B525" s="10"/>
      <c r="C525" s="10"/>
      <c r="D525" s="10"/>
    </row>
    <row r="526" spans="1:4" x14ac:dyDescent="0.25">
      <c r="A526" s="10"/>
      <c r="B526" s="10"/>
      <c r="C526" s="10"/>
      <c r="D526" s="10"/>
    </row>
    <row r="527" spans="1:4" x14ac:dyDescent="0.25">
      <c r="A527" s="10"/>
      <c r="B527" s="10"/>
      <c r="C527" s="10"/>
      <c r="D527" s="10"/>
    </row>
    <row r="528" spans="1:4" x14ac:dyDescent="0.25">
      <c r="A528" s="10"/>
      <c r="B528" s="10"/>
      <c r="C528" s="10"/>
      <c r="D528" s="10"/>
    </row>
    <row r="529" spans="1:4" x14ac:dyDescent="0.25">
      <c r="A529" s="10"/>
      <c r="B529" s="10"/>
      <c r="C529" s="10"/>
      <c r="D529" s="10"/>
    </row>
    <row r="530" spans="1:4" x14ac:dyDescent="0.25">
      <c r="A530" s="10"/>
      <c r="B530" s="10"/>
      <c r="C530" s="10"/>
      <c r="D530" s="10"/>
    </row>
    <row r="531" spans="1:4" x14ac:dyDescent="0.25">
      <c r="A531" s="10"/>
      <c r="B531" s="10"/>
      <c r="C531" s="10"/>
      <c r="D531" s="10"/>
    </row>
    <row r="532" spans="1:4" x14ac:dyDescent="0.25">
      <c r="A532" s="10"/>
      <c r="B532" s="10"/>
      <c r="C532" s="10"/>
      <c r="D532" s="10"/>
    </row>
    <row r="533" spans="1:4" x14ac:dyDescent="0.25">
      <c r="A533" s="10"/>
      <c r="B533" s="10"/>
      <c r="C533" s="10"/>
      <c r="D533" s="10"/>
    </row>
    <row r="534" spans="1:4" x14ac:dyDescent="0.25">
      <c r="A534" s="10"/>
      <c r="B534" s="10"/>
      <c r="C534" s="10"/>
      <c r="D534" s="10"/>
    </row>
    <row r="535" spans="1:4" x14ac:dyDescent="0.25">
      <c r="A535" s="10"/>
      <c r="B535" s="10"/>
      <c r="C535" s="10"/>
      <c r="D535" s="10"/>
    </row>
    <row r="536" spans="1:4" x14ac:dyDescent="0.25">
      <c r="A536" s="10"/>
      <c r="B536" s="10"/>
      <c r="C536" s="10"/>
      <c r="D536" s="10"/>
    </row>
    <row r="537" spans="1:4" x14ac:dyDescent="0.25">
      <c r="A537" s="10"/>
      <c r="B537" s="10"/>
      <c r="C537" s="10"/>
      <c r="D537" s="10"/>
    </row>
    <row r="538" spans="1:4" x14ac:dyDescent="0.25">
      <c r="A538" s="10"/>
      <c r="B538" s="10"/>
      <c r="C538" s="10"/>
      <c r="D538" s="10"/>
    </row>
    <row r="539" spans="1:4" x14ac:dyDescent="0.25">
      <c r="A539" s="10"/>
      <c r="B539" s="10"/>
      <c r="C539" s="10"/>
      <c r="D539" s="10"/>
    </row>
    <row r="540" spans="1:4" x14ac:dyDescent="0.25">
      <c r="A540" s="10"/>
      <c r="B540" s="10"/>
      <c r="C540" s="10"/>
      <c r="D540" s="10"/>
    </row>
    <row r="541" spans="1:4" x14ac:dyDescent="0.25">
      <c r="A541" s="10"/>
      <c r="B541" s="10"/>
      <c r="C541" s="10"/>
      <c r="D541" s="10"/>
    </row>
    <row r="542" spans="1:4" x14ac:dyDescent="0.25">
      <c r="A542" s="10"/>
      <c r="B542" s="10"/>
      <c r="C542" s="10"/>
      <c r="D542" s="10"/>
    </row>
    <row r="543" spans="1:4" x14ac:dyDescent="0.25">
      <c r="A543" s="10"/>
      <c r="B543" s="10"/>
      <c r="C543" s="10"/>
      <c r="D543" s="10"/>
    </row>
    <row r="544" spans="1:4" x14ac:dyDescent="0.25">
      <c r="A544" s="10"/>
      <c r="B544" s="10"/>
      <c r="C544" s="10"/>
      <c r="D544" s="10"/>
    </row>
    <row r="545" spans="1:4" x14ac:dyDescent="0.25">
      <c r="A545" s="10"/>
      <c r="B545" s="10"/>
      <c r="C545" s="10"/>
      <c r="D545" s="10"/>
    </row>
    <row r="546" spans="1:4" x14ac:dyDescent="0.25">
      <c r="A546" s="10"/>
      <c r="B546" s="10"/>
      <c r="C546" s="10"/>
      <c r="D546" s="10"/>
    </row>
    <row r="547" spans="1:4" x14ac:dyDescent="0.25">
      <c r="A547" s="10"/>
      <c r="B547" s="10"/>
      <c r="C547" s="10"/>
      <c r="D547" s="10"/>
    </row>
    <row r="548" spans="1:4" x14ac:dyDescent="0.25">
      <c r="A548" s="10"/>
      <c r="B548" s="10"/>
      <c r="C548" s="10"/>
      <c r="D548" s="10"/>
    </row>
    <row r="549" spans="1:4" x14ac:dyDescent="0.25">
      <c r="A549" s="10"/>
      <c r="B549" s="10"/>
      <c r="C549" s="10"/>
      <c r="D549" s="10"/>
    </row>
    <row r="550" spans="1:4" x14ac:dyDescent="0.25">
      <c r="A550" s="10"/>
      <c r="B550" s="10"/>
      <c r="C550" s="10"/>
      <c r="D550" s="10"/>
    </row>
    <row r="551" spans="1:4" x14ac:dyDescent="0.25">
      <c r="A551" s="10"/>
      <c r="B551" s="10"/>
      <c r="C551" s="10"/>
      <c r="D551" s="10"/>
    </row>
    <row r="552" spans="1:4" x14ac:dyDescent="0.25">
      <c r="A552" s="10"/>
      <c r="B552" s="10"/>
      <c r="C552" s="10"/>
      <c r="D552" s="10"/>
    </row>
    <row r="553" spans="1:4" x14ac:dyDescent="0.25">
      <c r="A553" s="10"/>
      <c r="B553" s="10"/>
      <c r="C553" s="10"/>
      <c r="D553" s="10"/>
    </row>
    <row r="554" spans="1:4" x14ac:dyDescent="0.25">
      <c r="A554" s="10"/>
      <c r="B554" s="10"/>
      <c r="C554" s="10"/>
      <c r="D554" s="10"/>
    </row>
    <row r="555" spans="1:4" x14ac:dyDescent="0.25">
      <c r="A555" s="10"/>
      <c r="B555" s="10"/>
      <c r="C555" s="10"/>
      <c r="D555" s="10"/>
    </row>
    <row r="556" spans="1:4" x14ac:dyDescent="0.25">
      <c r="A556" s="10"/>
      <c r="B556" s="10"/>
      <c r="C556" s="10"/>
      <c r="D556" s="10"/>
    </row>
    <row r="557" spans="1:4" x14ac:dyDescent="0.25">
      <c r="A557" s="10"/>
      <c r="B557" s="10"/>
      <c r="C557" s="10"/>
      <c r="D557" s="10"/>
    </row>
    <row r="558" spans="1:4" x14ac:dyDescent="0.25">
      <c r="A558" s="10"/>
      <c r="B558" s="10"/>
      <c r="C558" s="10"/>
      <c r="D558" s="10"/>
    </row>
    <row r="559" spans="1:4" x14ac:dyDescent="0.25">
      <c r="A559" s="10"/>
      <c r="B559" s="10"/>
      <c r="C559" s="10"/>
      <c r="D559" s="10"/>
    </row>
    <row r="560" spans="1:4" x14ac:dyDescent="0.25">
      <c r="A560" s="10"/>
      <c r="B560" s="10"/>
      <c r="C560" s="10"/>
      <c r="D560" s="10"/>
    </row>
    <row r="561" spans="1:4" x14ac:dyDescent="0.25">
      <c r="A561" s="10"/>
      <c r="B561" s="10"/>
      <c r="C561" s="10"/>
      <c r="D561" s="10"/>
    </row>
    <row r="562" spans="1:4" x14ac:dyDescent="0.25">
      <c r="A562" s="10"/>
      <c r="B562" s="10"/>
      <c r="C562" s="10"/>
      <c r="D562" s="10"/>
    </row>
    <row r="563" spans="1:4" x14ac:dyDescent="0.25">
      <c r="A563" s="10"/>
      <c r="B563" s="10"/>
      <c r="C563" s="10"/>
      <c r="D563" s="10"/>
    </row>
    <row r="564" spans="1:4" x14ac:dyDescent="0.25">
      <c r="A564" s="10"/>
      <c r="B564" s="10"/>
      <c r="C564" s="10"/>
      <c r="D564" s="10"/>
    </row>
    <row r="565" spans="1:4" x14ac:dyDescent="0.25">
      <c r="A565" s="10"/>
      <c r="B565" s="10"/>
      <c r="C565" s="10"/>
      <c r="D565" s="10"/>
    </row>
    <row r="566" spans="1:4" x14ac:dyDescent="0.25">
      <c r="A566" s="10"/>
      <c r="B566" s="10"/>
      <c r="C566" s="10"/>
      <c r="D566" s="10"/>
    </row>
    <row r="567" spans="1:4" x14ac:dyDescent="0.25">
      <c r="A567" s="10"/>
      <c r="B567" s="10"/>
      <c r="C567" s="10"/>
      <c r="D567" s="10"/>
    </row>
    <row r="568" spans="1:4" x14ac:dyDescent="0.25">
      <c r="A568" s="10"/>
      <c r="B568" s="10"/>
      <c r="C568" s="10"/>
      <c r="D568" s="10"/>
    </row>
    <row r="569" spans="1:4" x14ac:dyDescent="0.25">
      <c r="A569" s="10"/>
      <c r="B569" s="10"/>
      <c r="C569" s="10"/>
      <c r="D569" s="10"/>
    </row>
    <row r="570" spans="1:4" x14ac:dyDescent="0.25">
      <c r="A570" s="10"/>
      <c r="B570" s="10"/>
      <c r="C570" s="10"/>
      <c r="D570" s="10"/>
    </row>
    <row r="571" spans="1:4" x14ac:dyDescent="0.25">
      <c r="A571" s="10"/>
      <c r="B571" s="10"/>
      <c r="C571" s="10"/>
      <c r="D571" s="10"/>
    </row>
    <row r="572" spans="1:4" x14ac:dyDescent="0.25">
      <c r="A572" s="10"/>
      <c r="B572" s="10"/>
      <c r="C572" s="10"/>
      <c r="D572" s="10"/>
    </row>
    <row r="573" spans="1:4" x14ac:dyDescent="0.25">
      <c r="A573" s="10"/>
      <c r="B573" s="10"/>
      <c r="C573" s="10"/>
      <c r="D573" s="10"/>
    </row>
    <row r="574" spans="1:4" x14ac:dyDescent="0.25">
      <c r="A574" s="10"/>
      <c r="B574" s="10"/>
      <c r="C574" s="10"/>
      <c r="D574" s="10"/>
    </row>
    <row r="575" spans="1:4" x14ac:dyDescent="0.25">
      <c r="A575" s="10"/>
      <c r="B575" s="10"/>
      <c r="C575" s="10"/>
      <c r="D575" s="10"/>
    </row>
    <row r="576" spans="1:4" x14ac:dyDescent="0.25">
      <c r="A576" s="10"/>
      <c r="B576" s="10"/>
      <c r="C576" s="10"/>
      <c r="D576" s="10"/>
    </row>
    <row r="577" spans="1:4" x14ac:dyDescent="0.25">
      <c r="A577" s="10"/>
      <c r="B577" s="10"/>
      <c r="C577" s="10"/>
      <c r="D577" s="10"/>
    </row>
    <row r="578" spans="1:4" x14ac:dyDescent="0.25">
      <c r="A578" s="10"/>
      <c r="B578" s="10"/>
      <c r="C578" s="10"/>
      <c r="D578" s="10"/>
    </row>
    <row r="579" spans="1:4" x14ac:dyDescent="0.25">
      <c r="A579" s="10"/>
      <c r="B579" s="10"/>
      <c r="C579" s="10"/>
      <c r="D579" s="10"/>
    </row>
    <row r="580" spans="1:4" x14ac:dyDescent="0.25">
      <c r="A580" s="10"/>
      <c r="B580" s="10"/>
      <c r="C580" s="10"/>
      <c r="D580" s="10"/>
    </row>
    <row r="581" spans="1:4" x14ac:dyDescent="0.25">
      <c r="A581" s="10"/>
      <c r="B581" s="10"/>
      <c r="C581" s="10"/>
      <c r="D581" s="10"/>
    </row>
    <row r="582" spans="1:4" x14ac:dyDescent="0.25">
      <c r="A582" s="10"/>
      <c r="B582" s="10"/>
      <c r="C582" s="10"/>
      <c r="D582" s="10"/>
    </row>
    <row r="583" spans="1:4" x14ac:dyDescent="0.25">
      <c r="A583" s="10"/>
      <c r="B583" s="10"/>
      <c r="C583" s="10"/>
      <c r="D583" s="10"/>
    </row>
    <row r="584" spans="1:4" x14ac:dyDescent="0.25">
      <c r="A584" s="10"/>
      <c r="B584" s="10"/>
      <c r="C584" s="10"/>
      <c r="D584" s="10"/>
    </row>
    <row r="585" spans="1:4" x14ac:dyDescent="0.25">
      <c r="A585" s="10"/>
      <c r="B585" s="10"/>
      <c r="C585" s="10"/>
      <c r="D585" s="10"/>
    </row>
    <row r="586" spans="1:4" x14ac:dyDescent="0.25">
      <c r="A586" s="10"/>
      <c r="B586" s="10"/>
      <c r="C586" s="10"/>
      <c r="D586" s="10"/>
    </row>
    <row r="587" spans="1:4" x14ac:dyDescent="0.25">
      <c r="A587" s="10"/>
      <c r="B587" s="10"/>
      <c r="C587" s="10"/>
      <c r="D587" s="10"/>
    </row>
    <row r="588" spans="1:4" x14ac:dyDescent="0.25">
      <c r="A588" s="10"/>
      <c r="B588" s="10"/>
      <c r="C588" s="10"/>
      <c r="D588" s="10"/>
    </row>
    <row r="589" spans="1:4" x14ac:dyDescent="0.25">
      <c r="A589" s="10"/>
      <c r="B589" s="10"/>
      <c r="C589" s="10"/>
      <c r="D589" s="10"/>
    </row>
    <row r="590" spans="1:4" x14ac:dyDescent="0.25">
      <c r="A590" s="10"/>
      <c r="B590" s="10"/>
      <c r="C590" s="10"/>
      <c r="D590" s="10"/>
    </row>
    <row r="591" spans="1:4" x14ac:dyDescent="0.25">
      <c r="A591" s="10"/>
      <c r="B591" s="10"/>
      <c r="C591" s="10"/>
      <c r="D591" s="10"/>
    </row>
    <row r="592" spans="1:4" x14ac:dyDescent="0.25">
      <c r="A592" s="10"/>
      <c r="B592" s="10"/>
      <c r="C592" s="10"/>
      <c r="D592" s="10"/>
    </row>
    <row r="593" spans="1:4" x14ac:dyDescent="0.25">
      <c r="A593" s="10"/>
      <c r="B593" s="10"/>
      <c r="C593" s="10"/>
      <c r="D593" s="10"/>
    </row>
    <row r="594" spans="1:4" x14ac:dyDescent="0.25">
      <c r="A594" s="10"/>
      <c r="B594" s="10"/>
      <c r="C594" s="10"/>
      <c r="D594" s="10"/>
    </row>
    <row r="595" spans="1:4" x14ac:dyDescent="0.25">
      <c r="A595" s="10"/>
      <c r="B595" s="10"/>
      <c r="C595" s="10"/>
      <c r="D595" s="10"/>
    </row>
    <row r="596" spans="1:4" x14ac:dyDescent="0.25">
      <c r="A596" s="10"/>
      <c r="B596" s="10"/>
      <c r="C596" s="10"/>
      <c r="D596" s="10"/>
    </row>
    <row r="597" spans="1:4" x14ac:dyDescent="0.25">
      <c r="A597" s="10"/>
      <c r="B597" s="10"/>
      <c r="C597" s="10"/>
      <c r="D597" s="10"/>
    </row>
    <row r="598" spans="1:4" x14ac:dyDescent="0.25">
      <c r="A598" s="10"/>
      <c r="B598" s="10"/>
      <c r="C598" s="10"/>
      <c r="D598" s="10"/>
    </row>
    <row r="599" spans="1:4" x14ac:dyDescent="0.25">
      <c r="A599" s="10"/>
      <c r="B599" s="10"/>
      <c r="C599" s="10"/>
      <c r="D599" s="10"/>
    </row>
    <row r="600" spans="1:4" x14ac:dyDescent="0.25">
      <c r="A600" s="10"/>
      <c r="B600" s="10"/>
      <c r="C600" s="10"/>
      <c r="D600" s="10"/>
    </row>
    <row r="601" spans="1:4" x14ac:dyDescent="0.25">
      <c r="A601" s="10"/>
      <c r="B601" s="10"/>
      <c r="C601" s="10"/>
      <c r="D601" s="10"/>
    </row>
    <row r="602" spans="1:4" x14ac:dyDescent="0.25">
      <c r="A602" s="10"/>
      <c r="B602" s="10"/>
      <c r="C602" s="10"/>
      <c r="D602" s="10"/>
    </row>
    <row r="603" spans="1:4" x14ac:dyDescent="0.25">
      <c r="A603" s="10"/>
      <c r="B603" s="10"/>
      <c r="C603" s="10"/>
      <c r="D603" s="10"/>
    </row>
    <row r="604" spans="1:4" x14ac:dyDescent="0.25">
      <c r="A604" s="10"/>
      <c r="B604" s="10"/>
      <c r="C604" s="10"/>
      <c r="D604" s="10"/>
    </row>
    <row r="605" spans="1:4" x14ac:dyDescent="0.25">
      <c r="A605" s="10"/>
      <c r="B605" s="10"/>
      <c r="C605" s="10"/>
      <c r="D605" s="10"/>
    </row>
    <row r="606" spans="1:4" x14ac:dyDescent="0.25">
      <c r="A606" s="10"/>
      <c r="B606" s="10"/>
      <c r="C606" s="10"/>
      <c r="D606" s="10"/>
    </row>
    <row r="607" spans="1:4" x14ac:dyDescent="0.25">
      <c r="A607" s="10"/>
      <c r="B607" s="10"/>
      <c r="C607" s="10"/>
      <c r="D607" s="10"/>
    </row>
    <row r="608" spans="1:4" x14ac:dyDescent="0.25">
      <c r="A608" s="10"/>
      <c r="B608" s="10"/>
      <c r="C608" s="10"/>
      <c r="D608" s="10"/>
    </row>
    <row r="609" spans="1:4" x14ac:dyDescent="0.25">
      <c r="A609" s="10"/>
      <c r="B609" s="10"/>
      <c r="C609" s="10"/>
      <c r="D609" s="10"/>
    </row>
    <row r="610" spans="1:4" x14ac:dyDescent="0.25">
      <c r="A610" s="10"/>
      <c r="B610" s="10"/>
      <c r="C610" s="10"/>
      <c r="D610" s="10"/>
    </row>
    <row r="611" spans="1:4" x14ac:dyDescent="0.25">
      <c r="A611" s="10"/>
      <c r="B611" s="10"/>
      <c r="C611" s="10"/>
      <c r="D611" s="10"/>
    </row>
    <row r="612" spans="1:4" x14ac:dyDescent="0.25">
      <c r="A612" s="10"/>
      <c r="B612" s="10"/>
      <c r="C612" s="10"/>
      <c r="D612" s="10"/>
    </row>
    <row r="613" spans="1:4" x14ac:dyDescent="0.25">
      <c r="A613" s="10"/>
      <c r="B613" s="10"/>
      <c r="C613" s="10"/>
      <c r="D613" s="10"/>
    </row>
    <row r="614" spans="1:4" x14ac:dyDescent="0.25">
      <c r="A614" s="10"/>
      <c r="B614" s="10"/>
      <c r="C614" s="10"/>
      <c r="D614" s="10"/>
    </row>
    <row r="615" spans="1:4" x14ac:dyDescent="0.25">
      <c r="A615" s="10"/>
      <c r="B615" s="10"/>
      <c r="C615" s="10"/>
      <c r="D615" s="10"/>
    </row>
    <row r="616" spans="1:4" x14ac:dyDescent="0.25">
      <c r="A616" s="10"/>
      <c r="B616" s="10"/>
      <c r="C616" s="10"/>
      <c r="D616" s="10"/>
    </row>
    <row r="617" spans="1:4" x14ac:dyDescent="0.25">
      <c r="A617" s="10"/>
      <c r="B617" s="10"/>
      <c r="C617" s="10"/>
      <c r="D617" s="10"/>
    </row>
    <row r="618" spans="1:4" x14ac:dyDescent="0.25">
      <c r="A618" s="10"/>
      <c r="B618" s="10"/>
      <c r="C618" s="10"/>
      <c r="D618" s="10"/>
    </row>
    <row r="619" spans="1:4" x14ac:dyDescent="0.25">
      <c r="A619" s="10"/>
      <c r="B619" s="10"/>
      <c r="C619" s="10"/>
      <c r="D619" s="10"/>
    </row>
    <row r="620" spans="1:4" x14ac:dyDescent="0.25">
      <c r="A620" s="10"/>
      <c r="B620" s="10"/>
      <c r="C620" s="10"/>
      <c r="D620" s="10"/>
    </row>
    <row r="621" spans="1:4" x14ac:dyDescent="0.25">
      <c r="A621" s="10"/>
      <c r="B621" s="10"/>
      <c r="C621" s="10"/>
      <c r="D621" s="10"/>
    </row>
    <row r="622" spans="1:4" x14ac:dyDescent="0.25">
      <c r="A622" s="10"/>
      <c r="B622" s="10"/>
      <c r="C622" s="10"/>
      <c r="D622" s="10"/>
    </row>
    <row r="623" spans="1:4" x14ac:dyDescent="0.25">
      <c r="A623" s="10"/>
      <c r="B623" s="10"/>
      <c r="C623" s="10"/>
      <c r="D623" s="10"/>
    </row>
    <row r="624" spans="1:4" x14ac:dyDescent="0.25">
      <c r="A624" s="10"/>
      <c r="B624" s="10"/>
      <c r="C624" s="10"/>
      <c r="D624" s="10"/>
    </row>
    <row r="625" spans="1:4" x14ac:dyDescent="0.25">
      <c r="A625" s="10"/>
      <c r="B625" s="10"/>
      <c r="C625" s="10"/>
      <c r="D625" s="10"/>
    </row>
    <row r="626" spans="1:4" x14ac:dyDescent="0.25">
      <c r="A626" s="10"/>
      <c r="B626" s="10"/>
      <c r="C626" s="10"/>
      <c r="D626" s="10"/>
    </row>
    <row r="627" spans="1:4" x14ac:dyDescent="0.25">
      <c r="A627" s="10"/>
      <c r="B627" s="10"/>
      <c r="C627" s="10"/>
      <c r="D627" s="10"/>
    </row>
    <row r="628" spans="1:4" x14ac:dyDescent="0.25">
      <c r="A628" s="10"/>
      <c r="B628" s="10"/>
      <c r="C628" s="10"/>
      <c r="D628" s="10"/>
    </row>
    <row r="629" spans="1:4" x14ac:dyDescent="0.25">
      <c r="A629" s="10"/>
      <c r="B629" s="10"/>
      <c r="C629" s="10"/>
      <c r="D629" s="10"/>
    </row>
    <row r="630" spans="1:4" x14ac:dyDescent="0.25">
      <c r="A630" s="10"/>
      <c r="B630" s="10"/>
      <c r="C630" s="10"/>
      <c r="D630" s="10"/>
    </row>
    <row r="631" spans="1:4" x14ac:dyDescent="0.25">
      <c r="A631" s="10"/>
      <c r="B631" s="10"/>
      <c r="C631" s="10"/>
      <c r="D631" s="10"/>
    </row>
    <row r="632" spans="1:4" x14ac:dyDescent="0.25">
      <c r="A632" s="10"/>
      <c r="B632" s="10"/>
      <c r="C632" s="10"/>
      <c r="D632" s="10"/>
    </row>
    <row r="633" spans="1:4" x14ac:dyDescent="0.25">
      <c r="A633" s="10"/>
      <c r="B633" s="10"/>
      <c r="C633" s="10"/>
      <c r="D633" s="10"/>
    </row>
    <row r="634" spans="1:4" x14ac:dyDescent="0.25">
      <c r="A634" s="10"/>
      <c r="B634" s="10"/>
      <c r="C634" s="10"/>
      <c r="D634" s="10"/>
    </row>
    <row r="635" spans="1:4" x14ac:dyDescent="0.25">
      <c r="A635" s="10"/>
      <c r="B635" s="10"/>
      <c r="C635" s="10"/>
      <c r="D635" s="10"/>
    </row>
    <row r="636" spans="1:4" x14ac:dyDescent="0.25">
      <c r="A636" s="10"/>
      <c r="B636" s="10"/>
      <c r="C636" s="10"/>
      <c r="D636" s="10"/>
    </row>
    <row r="637" spans="1:4" x14ac:dyDescent="0.25">
      <c r="A637" s="10"/>
      <c r="B637" s="10"/>
      <c r="C637" s="10"/>
      <c r="D637" s="10"/>
    </row>
    <row r="638" spans="1:4" x14ac:dyDescent="0.25">
      <c r="A638" s="10"/>
      <c r="B638" s="10"/>
      <c r="C638" s="10"/>
      <c r="D638" s="10"/>
    </row>
    <row r="639" spans="1:4" x14ac:dyDescent="0.25">
      <c r="A639" s="10"/>
      <c r="B639" s="10"/>
      <c r="C639" s="10"/>
      <c r="D639" s="10"/>
    </row>
    <row r="640" spans="1:4" x14ac:dyDescent="0.25">
      <c r="A640" s="10"/>
      <c r="B640" s="10"/>
      <c r="C640" s="10"/>
      <c r="D640" s="10"/>
    </row>
    <row r="641" spans="1:4" x14ac:dyDescent="0.25">
      <c r="A641" s="10"/>
      <c r="B641" s="10"/>
      <c r="C641" s="10"/>
      <c r="D641" s="10"/>
    </row>
    <row r="642" spans="1:4" x14ac:dyDescent="0.25">
      <c r="A642" s="10"/>
      <c r="B642" s="10"/>
      <c r="C642" s="10"/>
      <c r="D642" s="10"/>
    </row>
    <row r="643" spans="1:4" x14ac:dyDescent="0.25">
      <c r="A643" s="10"/>
      <c r="B643" s="10"/>
      <c r="C643" s="10"/>
      <c r="D643" s="10"/>
    </row>
    <row r="644" spans="1:4" x14ac:dyDescent="0.25">
      <c r="A644" s="10"/>
      <c r="B644" s="10"/>
      <c r="C644" s="10"/>
      <c r="D644" s="10"/>
    </row>
    <row r="645" spans="1:4" x14ac:dyDescent="0.25">
      <c r="A645" s="10"/>
      <c r="B645" s="10"/>
      <c r="C645" s="10"/>
      <c r="D645" s="10"/>
    </row>
    <row r="646" spans="1:4" x14ac:dyDescent="0.25">
      <c r="A646" s="10"/>
      <c r="B646" s="10"/>
      <c r="C646" s="10"/>
      <c r="D646" s="10"/>
    </row>
    <row r="647" spans="1:4" x14ac:dyDescent="0.25">
      <c r="A647" s="10"/>
      <c r="B647" s="10"/>
      <c r="C647" s="10"/>
      <c r="D647" s="10"/>
    </row>
    <row r="648" spans="1:4" x14ac:dyDescent="0.25">
      <c r="A648" s="10"/>
      <c r="B648" s="10"/>
      <c r="C648" s="10"/>
      <c r="D648" s="10"/>
    </row>
    <row r="649" spans="1:4" x14ac:dyDescent="0.25">
      <c r="A649" s="10"/>
      <c r="B649" s="10"/>
      <c r="C649" s="10"/>
      <c r="D649" s="10"/>
    </row>
    <row r="650" spans="1:4" x14ac:dyDescent="0.25">
      <c r="A650" s="10"/>
      <c r="B650" s="10"/>
      <c r="C650" s="10"/>
      <c r="D650" s="10"/>
    </row>
    <row r="651" spans="1:4" x14ac:dyDescent="0.25">
      <c r="A651" s="10"/>
      <c r="B651" s="10"/>
      <c r="C651" s="10"/>
      <c r="D651" s="10"/>
    </row>
    <row r="652" spans="1:4" x14ac:dyDescent="0.25">
      <c r="A652" s="10"/>
      <c r="B652" s="10"/>
      <c r="C652" s="10"/>
      <c r="D652" s="10"/>
    </row>
    <row r="653" spans="1:4" x14ac:dyDescent="0.25">
      <c r="A653" s="10"/>
      <c r="B653" s="10"/>
      <c r="C653" s="10"/>
      <c r="D653" s="10"/>
    </row>
    <row r="654" spans="1:4" x14ac:dyDescent="0.25">
      <c r="A654" s="10"/>
      <c r="B654" s="10"/>
      <c r="C654" s="10"/>
      <c r="D654" s="10"/>
    </row>
    <row r="655" spans="1:4" x14ac:dyDescent="0.25">
      <c r="A655" s="10"/>
      <c r="B655" s="10"/>
      <c r="C655" s="10"/>
      <c r="D655" s="10"/>
    </row>
    <row r="656" spans="1:4" x14ac:dyDescent="0.25">
      <c r="A656" s="10"/>
      <c r="B656" s="10"/>
      <c r="C656" s="10"/>
      <c r="D656" s="10"/>
    </row>
    <row r="657" spans="1:4" x14ac:dyDescent="0.25">
      <c r="A657" s="10"/>
      <c r="B657" s="10"/>
      <c r="C657" s="10"/>
      <c r="D657" s="10"/>
    </row>
    <row r="658" spans="1:4" x14ac:dyDescent="0.25">
      <c r="A658" s="10"/>
      <c r="B658" s="10"/>
      <c r="C658" s="10"/>
      <c r="D658" s="10"/>
    </row>
    <row r="659" spans="1:4" x14ac:dyDescent="0.25">
      <c r="A659" s="10"/>
      <c r="B659" s="10"/>
      <c r="C659" s="10"/>
      <c r="D659" s="10"/>
    </row>
    <row r="660" spans="1:4" x14ac:dyDescent="0.25">
      <c r="A660" s="10"/>
      <c r="B660" s="10"/>
      <c r="C660" s="10"/>
      <c r="D660" s="10"/>
    </row>
    <row r="661" spans="1:4" x14ac:dyDescent="0.25">
      <c r="A661" s="10"/>
      <c r="B661" s="10"/>
      <c r="C661" s="10"/>
      <c r="D661" s="10"/>
    </row>
    <row r="662" spans="1:4" x14ac:dyDescent="0.25">
      <c r="A662" s="10"/>
      <c r="B662" s="10"/>
      <c r="C662" s="10"/>
      <c r="D662" s="10"/>
    </row>
    <row r="663" spans="1:4" x14ac:dyDescent="0.25">
      <c r="A663" s="10"/>
      <c r="B663" s="10"/>
      <c r="C663" s="10"/>
      <c r="D663" s="10"/>
    </row>
    <row r="664" spans="1:4" x14ac:dyDescent="0.25">
      <c r="A664" s="10"/>
      <c r="B664" s="10"/>
      <c r="C664" s="10"/>
      <c r="D664" s="10"/>
    </row>
    <row r="665" spans="1:4" x14ac:dyDescent="0.25">
      <c r="A665" s="10"/>
      <c r="B665" s="10"/>
      <c r="C665" s="10"/>
      <c r="D665" s="10"/>
    </row>
    <row r="666" spans="1:4" x14ac:dyDescent="0.25">
      <c r="A666" s="10"/>
      <c r="B666" s="10"/>
      <c r="C666" s="10"/>
      <c r="D666" s="10"/>
    </row>
    <row r="667" spans="1:4" x14ac:dyDescent="0.25">
      <c r="A667" s="10"/>
      <c r="B667" s="10"/>
      <c r="C667" s="10"/>
      <c r="D667" s="10"/>
    </row>
    <row r="668" spans="1:4" x14ac:dyDescent="0.25">
      <c r="A668" s="10"/>
      <c r="B668" s="10"/>
      <c r="C668" s="10"/>
      <c r="D668" s="10"/>
    </row>
    <row r="669" spans="1:4" x14ac:dyDescent="0.25">
      <c r="A669" s="10"/>
      <c r="B669" s="10"/>
      <c r="C669" s="10"/>
      <c r="D669" s="10"/>
    </row>
    <row r="670" spans="1:4" x14ac:dyDescent="0.25">
      <c r="A670" s="10"/>
      <c r="B670" s="10"/>
      <c r="C670" s="10"/>
      <c r="D670" s="10"/>
    </row>
    <row r="671" spans="1:4" x14ac:dyDescent="0.25">
      <c r="A671" s="10"/>
      <c r="B671" s="10"/>
      <c r="C671" s="10"/>
      <c r="D671" s="10"/>
    </row>
    <row r="672" spans="1:4" x14ac:dyDescent="0.25">
      <c r="A672" s="10"/>
      <c r="B672" s="10"/>
      <c r="C672" s="10"/>
      <c r="D672" s="10"/>
    </row>
    <row r="673" spans="1:4" x14ac:dyDescent="0.25">
      <c r="A673" s="10"/>
      <c r="B673" s="10"/>
      <c r="C673" s="10"/>
      <c r="D673" s="10"/>
    </row>
    <row r="674" spans="1:4" x14ac:dyDescent="0.25">
      <c r="A674" s="10"/>
      <c r="B674" s="10"/>
      <c r="C674" s="10"/>
      <c r="D674" s="10"/>
    </row>
    <row r="675" spans="1:4" x14ac:dyDescent="0.25">
      <c r="A675" s="10"/>
      <c r="B675" s="10"/>
      <c r="C675" s="10"/>
      <c r="D675" s="10"/>
    </row>
    <row r="676" spans="1:4" x14ac:dyDescent="0.25">
      <c r="A676" s="10"/>
      <c r="B676" s="10"/>
      <c r="C676" s="10"/>
      <c r="D676" s="10"/>
    </row>
    <row r="677" spans="1:4" x14ac:dyDescent="0.25">
      <c r="A677" s="10"/>
      <c r="B677" s="10"/>
      <c r="C677" s="10"/>
      <c r="D677" s="10"/>
    </row>
    <row r="678" spans="1:4" x14ac:dyDescent="0.25">
      <c r="A678" s="10"/>
      <c r="B678" s="10"/>
      <c r="C678" s="10"/>
      <c r="D678" s="10"/>
    </row>
    <row r="679" spans="1:4" x14ac:dyDescent="0.25">
      <c r="A679" s="10"/>
      <c r="B679" s="10"/>
      <c r="C679" s="10"/>
      <c r="D679" s="10"/>
    </row>
    <row r="680" spans="1:4" x14ac:dyDescent="0.25">
      <c r="A680" s="10"/>
      <c r="B680" s="10"/>
      <c r="C680" s="10"/>
      <c r="D680" s="10"/>
    </row>
    <row r="681" spans="1:4" x14ac:dyDescent="0.25">
      <c r="A681" s="10"/>
      <c r="B681" s="10"/>
      <c r="C681" s="10"/>
      <c r="D681" s="10"/>
    </row>
    <row r="682" spans="1:4" x14ac:dyDescent="0.25">
      <c r="A682" s="10"/>
      <c r="B682" s="10"/>
      <c r="C682" s="10"/>
      <c r="D682" s="10"/>
    </row>
    <row r="683" spans="1:4" x14ac:dyDescent="0.25">
      <c r="A683" s="10"/>
      <c r="B683" s="10"/>
      <c r="C683" s="10"/>
      <c r="D683" s="10"/>
    </row>
    <row r="684" spans="1:4" x14ac:dyDescent="0.25">
      <c r="A684" s="10"/>
      <c r="B684" s="10"/>
      <c r="C684" s="10"/>
      <c r="D684" s="10"/>
    </row>
    <row r="685" spans="1:4" x14ac:dyDescent="0.25">
      <c r="A685" s="10"/>
      <c r="B685" s="10"/>
      <c r="C685" s="10"/>
      <c r="D685" s="10"/>
    </row>
    <row r="686" spans="1:4" x14ac:dyDescent="0.25">
      <c r="A686" s="10"/>
      <c r="B686" s="10"/>
      <c r="C686" s="10"/>
      <c r="D686" s="10"/>
    </row>
    <row r="687" spans="1:4" x14ac:dyDescent="0.25">
      <c r="A687" s="10"/>
      <c r="B687" s="10"/>
      <c r="C687" s="10"/>
      <c r="D687" s="10"/>
    </row>
    <row r="688" spans="1:4" x14ac:dyDescent="0.25">
      <c r="A688" s="10"/>
      <c r="B688" s="10"/>
      <c r="C688" s="10"/>
      <c r="D688" s="10"/>
    </row>
    <row r="689" spans="1:4" x14ac:dyDescent="0.25">
      <c r="A689" s="10"/>
      <c r="B689" s="10"/>
      <c r="C689" s="10"/>
      <c r="D689" s="10"/>
    </row>
    <row r="690" spans="1:4" x14ac:dyDescent="0.25">
      <c r="A690" s="10"/>
      <c r="B690" s="10"/>
      <c r="C690" s="10"/>
      <c r="D690" s="10"/>
    </row>
    <row r="691" spans="1:4" x14ac:dyDescent="0.25">
      <c r="A691" s="10"/>
      <c r="B691" s="10"/>
      <c r="C691" s="10"/>
      <c r="D691" s="10"/>
    </row>
    <row r="692" spans="1:4" x14ac:dyDescent="0.25">
      <c r="A692" s="10"/>
      <c r="B692" s="10"/>
      <c r="C692" s="10"/>
      <c r="D692" s="10"/>
    </row>
    <row r="693" spans="1:4" x14ac:dyDescent="0.25">
      <c r="A693" s="10"/>
      <c r="B693" s="10"/>
      <c r="C693" s="10"/>
      <c r="D693" s="10"/>
    </row>
    <row r="694" spans="1:4" x14ac:dyDescent="0.25">
      <c r="A694" s="10"/>
      <c r="B694" s="10"/>
      <c r="C694" s="10"/>
      <c r="D694" s="10"/>
    </row>
    <row r="695" spans="1:4" x14ac:dyDescent="0.25">
      <c r="A695" s="10"/>
      <c r="B695" s="10"/>
      <c r="C695" s="10"/>
      <c r="D695" s="10"/>
    </row>
    <row r="696" spans="1:4" x14ac:dyDescent="0.25">
      <c r="A696" s="10"/>
      <c r="B696" s="10"/>
      <c r="C696" s="10"/>
      <c r="D696" s="10"/>
    </row>
    <row r="697" spans="1:4" x14ac:dyDescent="0.25">
      <c r="A697" s="10"/>
      <c r="B697" s="10"/>
      <c r="C697" s="10"/>
      <c r="D697" s="10"/>
    </row>
    <row r="698" spans="1:4" x14ac:dyDescent="0.25">
      <c r="A698" s="10"/>
      <c r="B698" s="10"/>
      <c r="C698" s="10"/>
      <c r="D698" s="10"/>
    </row>
    <row r="699" spans="1:4" x14ac:dyDescent="0.25">
      <c r="A699" s="10"/>
      <c r="B699" s="10"/>
      <c r="C699" s="10"/>
      <c r="D699" s="10"/>
    </row>
    <row r="700" spans="1:4" x14ac:dyDescent="0.25">
      <c r="A700" s="10"/>
      <c r="B700" s="10"/>
      <c r="C700" s="10"/>
      <c r="D700" s="10"/>
    </row>
    <row r="701" spans="1:4" x14ac:dyDescent="0.25">
      <c r="A701" s="10"/>
      <c r="B701" s="10"/>
      <c r="C701" s="10"/>
      <c r="D701" s="10"/>
    </row>
    <row r="702" spans="1:4" x14ac:dyDescent="0.25">
      <c r="A702" s="10"/>
      <c r="B702" s="10"/>
      <c r="C702" s="10"/>
      <c r="D702" s="10"/>
    </row>
    <row r="703" spans="1:4" x14ac:dyDescent="0.25">
      <c r="A703" s="10"/>
      <c r="B703" s="10"/>
      <c r="C703" s="10"/>
      <c r="D703" s="10"/>
    </row>
    <row r="704" spans="1:4" x14ac:dyDescent="0.25">
      <c r="A704" s="10"/>
      <c r="B704" s="10"/>
      <c r="C704" s="10"/>
      <c r="D704" s="10"/>
    </row>
    <row r="705" spans="1:4" x14ac:dyDescent="0.25">
      <c r="A705" s="10"/>
      <c r="B705" s="10"/>
      <c r="C705" s="10"/>
      <c r="D705" s="10"/>
    </row>
    <row r="706" spans="1:4" x14ac:dyDescent="0.25">
      <c r="A706" s="10"/>
      <c r="B706" s="10"/>
      <c r="C706" s="10"/>
      <c r="D706" s="10"/>
    </row>
    <row r="707" spans="1:4" x14ac:dyDescent="0.25">
      <c r="A707" s="10"/>
      <c r="B707" s="10"/>
      <c r="C707" s="10"/>
      <c r="D707" s="10"/>
    </row>
    <row r="708" spans="1:4" x14ac:dyDescent="0.25">
      <c r="A708" s="10"/>
      <c r="B708" s="10"/>
      <c r="C708" s="10"/>
      <c r="D708" s="10"/>
    </row>
    <row r="709" spans="1:4" x14ac:dyDescent="0.25">
      <c r="A709" s="10"/>
      <c r="B709" s="10"/>
      <c r="C709" s="10"/>
      <c r="D709" s="10"/>
    </row>
    <row r="710" spans="1:4" x14ac:dyDescent="0.25">
      <c r="A710" s="10"/>
      <c r="B710" s="10"/>
      <c r="C710" s="10"/>
      <c r="D710" s="10"/>
    </row>
    <row r="711" spans="1:4" x14ac:dyDescent="0.25">
      <c r="A711" s="10"/>
      <c r="B711" s="10"/>
      <c r="C711" s="10"/>
      <c r="D711" s="10"/>
    </row>
    <row r="712" spans="1:4" x14ac:dyDescent="0.25">
      <c r="A712" s="10"/>
      <c r="B712" s="10"/>
      <c r="C712" s="10"/>
      <c r="D712" s="10"/>
    </row>
    <row r="713" spans="1:4" x14ac:dyDescent="0.25">
      <c r="A713" s="10"/>
      <c r="B713" s="10"/>
      <c r="C713" s="10"/>
      <c r="D713" s="10"/>
    </row>
    <row r="714" spans="1:4" x14ac:dyDescent="0.25">
      <c r="A714" s="10"/>
      <c r="B714" s="10"/>
      <c r="C714" s="10"/>
      <c r="D714" s="10"/>
    </row>
    <row r="715" spans="1:4" x14ac:dyDescent="0.25">
      <c r="A715" s="10"/>
      <c r="B715" s="10"/>
      <c r="C715" s="10"/>
      <c r="D715" s="10"/>
    </row>
    <row r="716" spans="1:4" x14ac:dyDescent="0.25">
      <c r="A716" s="10"/>
      <c r="B716" s="10"/>
      <c r="C716" s="10"/>
      <c r="D716" s="10"/>
    </row>
    <row r="717" spans="1:4" x14ac:dyDescent="0.25">
      <c r="A717" s="10"/>
      <c r="B717" s="10"/>
      <c r="C717" s="10"/>
      <c r="D717" s="10"/>
    </row>
    <row r="718" spans="1:4" x14ac:dyDescent="0.25">
      <c r="A718" s="10"/>
      <c r="B718" s="10"/>
      <c r="C718" s="10"/>
      <c r="D718" s="10"/>
    </row>
    <row r="719" spans="1:4" x14ac:dyDescent="0.25">
      <c r="A719" s="10"/>
      <c r="B719" s="10"/>
      <c r="C719" s="10"/>
      <c r="D719" s="10"/>
    </row>
    <row r="720" spans="1:4" x14ac:dyDescent="0.25">
      <c r="A720" s="10"/>
      <c r="B720" s="10"/>
      <c r="C720" s="10"/>
      <c r="D720" s="10"/>
    </row>
    <row r="721" spans="1:4" x14ac:dyDescent="0.25">
      <c r="A721" s="10"/>
      <c r="B721" s="10"/>
      <c r="C721" s="10"/>
      <c r="D721" s="10"/>
    </row>
    <row r="722" spans="1:4" x14ac:dyDescent="0.25">
      <c r="A722" s="10"/>
      <c r="B722" s="10"/>
      <c r="C722" s="10"/>
      <c r="D722" s="10"/>
    </row>
    <row r="723" spans="1:4" x14ac:dyDescent="0.25">
      <c r="A723" s="10"/>
      <c r="B723" s="10"/>
      <c r="C723" s="10"/>
      <c r="D723" s="10"/>
    </row>
    <row r="724" spans="1:4" x14ac:dyDescent="0.25">
      <c r="A724" s="10"/>
      <c r="B724" s="10"/>
      <c r="C724" s="10"/>
      <c r="D724" s="10"/>
    </row>
    <row r="725" spans="1:4" x14ac:dyDescent="0.25">
      <c r="A725" s="10"/>
      <c r="B725" s="10"/>
      <c r="C725" s="10"/>
      <c r="D725" s="10"/>
    </row>
    <row r="726" spans="1:4" x14ac:dyDescent="0.25">
      <c r="A726" s="10"/>
      <c r="B726" s="10"/>
      <c r="C726" s="10"/>
      <c r="D726" s="10"/>
    </row>
    <row r="727" spans="1:4" x14ac:dyDescent="0.25">
      <c r="A727" s="10"/>
      <c r="B727" s="10"/>
      <c r="C727" s="10"/>
      <c r="D727" s="10"/>
    </row>
    <row r="728" spans="1:4" x14ac:dyDescent="0.25">
      <c r="A728" s="10"/>
      <c r="B728" s="10"/>
      <c r="C728" s="10"/>
      <c r="D728" s="10"/>
    </row>
    <row r="729" spans="1:4" x14ac:dyDescent="0.25">
      <c r="A729" s="10"/>
      <c r="B729" s="10"/>
      <c r="C729" s="10"/>
      <c r="D729" s="10"/>
    </row>
    <row r="730" spans="1:4" x14ac:dyDescent="0.25">
      <c r="A730" s="10"/>
      <c r="B730" s="10"/>
      <c r="C730" s="10"/>
      <c r="D730" s="10"/>
    </row>
    <row r="731" spans="1:4" x14ac:dyDescent="0.25">
      <c r="A731" s="10"/>
      <c r="B731" s="10"/>
      <c r="C731" s="10"/>
      <c r="D731" s="10"/>
    </row>
    <row r="732" spans="1:4" x14ac:dyDescent="0.25">
      <c r="A732" s="10"/>
      <c r="B732" s="10"/>
      <c r="C732" s="10"/>
      <c r="D732" s="10"/>
    </row>
    <row r="733" spans="1:4" x14ac:dyDescent="0.25">
      <c r="A733" s="10"/>
      <c r="B733" s="10"/>
      <c r="C733" s="10"/>
      <c r="D733" s="10"/>
    </row>
    <row r="734" spans="1:4" x14ac:dyDescent="0.25">
      <c r="A734" s="10"/>
      <c r="B734" s="10"/>
      <c r="C734" s="10"/>
      <c r="D734" s="10"/>
    </row>
    <row r="735" spans="1:4" x14ac:dyDescent="0.25">
      <c r="A735" s="10"/>
      <c r="B735" s="10"/>
      <c r="C735" s="10"/>
      <c r="D735" s="10"/>
    </row>
    <row r="736" spans="1:4" x14ac:dyDescent="0.25">
      <c r="A736" s="10"/>
      <c r="B736" s="10"/>
      <c r="C736" s="10"/>
      <c r="D736" s="10"/>
    </row>
    <row r="737" spans="1:4" x14ac:dyDescent="0.25">
      <c r="A737" s="10"/>
      <c r="B737" s="10"/>
      <c r="C737" s="10"/>
      <c r="D737" s="10"/>
    </row>
    <row r="738" spans="1:4" x14ac:dyDescent="0.25">
      <c r="A738" s="10"/>
      <c r="B738" s="10"/>
      <c r="C738" s="10"/>
      <c r="D738" s="10"/>
    </row>
    <row r="739" spans="1:4" x14ac:dyDescent="0.25">
      <c r="A739" s="10"/>
      <c r="B739" s="10"/>
      <c r="C739" s="10"/>
      <c r="D739" s="10"/>
    </row>
    <row r="740" spans="1:4" x14ac:dyDescent="0.25">
      <c r="A740" s="10"/>
      <c r="B740" s="10"/>
      <c r="C740" s="10"/>
      <c r="D740" s="10"/>
    </row>
    <row r="741" spans="1:4" x14ac:dyDescent="0.25">
      <c r="A741" s="10"/>
      <c r="B741" s="10"/>
      <c r="C741" s="10"/>
      <c r="D741" s="10"/>
    </row>
    <row r="742" spans="1:4" x14ac:dyDescent="0.25">
      <c r="A742" s="10"/>
      <c r="B742" s="10"/>
      <c r="C742" s="10"/>
      <c r="D742" s="10"/>
    </row>
    <row r="743" spans="1:4" x14ac:dyDescent="0.25">
      <c r="A743" s="10"/>
      <c r="B743" s="10"/>
      <c r="C743" s="10"/>
      <c r="D743" s="10"/>
    </row>
    <row r="744" spans="1:4" x14ac:dyDescent="0.25">
      <c r="A744" s="10"/>
      <c r="B744" s="10"/>
      <c r="C744" s="10"/>
      <c r="D744" s="10"/>
    </row>
    <row r="745" spans="1:4" x14ac:dyDescent="0.25">
      <c r="A745" s="10"/>
      <c r="B745" s="10"/>
      <c r="C745" s="10"/>
      <c r="D745" s="10"/>
    </row>
    <row r="746" spans="1:4" x14ac:dyDescent="0.25">
      <c r="A746" s="10"/>
      <c r="B746" s="10"/>
      <c r="C746" s="10"/>
      <c r="D746" s="10"/>
    </row>
    <row r="747" spans="1:4" x14ac:dyDescent="0.25">
      <c r="A747" s="10"/>
      <c r="B747" s="10"/>
      <c r="C747" s="10"/>
      <c r="D747" s="10"/>
    </row>
    <row r="748" spans="1:4" x14ac:dyDescent="0.25">
      <c r="A748" s="10"/>
      <c r="B748" s="10"/>
      <c r="C748" s="10"/>
      <c r="D748" s="10"/>
    </row>
    <row r="749" spans="1:4" x14ac:dyDescent="0.25">
      <c r="A749" s="10"/>
      <c r="B749" s="10"/>
      <c r="C749" s="10"/>
      <c r="D749" s="10"/>
    </row>
    <row r="750" spans="1:4" x14ac:dyDescent="0.25">
      <c r="A750" s="10"/>
      <c r="B750" s="10"/>
      <c r="C750" s="10"/>
      <c r="D750" s="10"/>
    </row>
    <row r="751" spans="1:4" x14ac:dyDescent="0.25">
      <c r="A751" s="10"/>
      <c r="B751" s="10"/>
      <c r="C751" s="10"/>
      <c r="D751" s="10"/>
    </row>
    <row r="752" spans="1:4" x14ac:dyDescent="0.25">
      <c r="A752" s="10"/>
      <c r="B752" s="10"/>
      <c r="C752" s="10"/>
      <c r="D752" s="10"/>
    </row>
    <row r="753" spans="1:4" x14ac:dyDescent="0.25">
      <c r="A753" s="10"/>
      <c r="B753" s="10"/>
      <c r="C753" s="10"/>
      <c r="D753" s="10"/>
    </row>
    <row r="754" spans="1:4" x14ac:dyDescent="0.25">
      <c r="A754" s="10"/>
      <c r="B754" s="10"/>
      <c r="C754" s="10"/>
      <c r="D754" s="10"/>
    </row>
    <row r="755" spans="1:4" x14ac:dyDescent="0.25">
      <c r="A755" s="10"/>
      <c r="B755" s="10"/>
      <c r="C755" s="10"/>
      <c r="D755" s="10"/>
    </row>
    <row r="756" spans="1:4" x14ac:dyDescent="0.25">
      <c r="A756" s="10"/>
      <c r="B756" s="10"/>
      <c r="C756" s="10"/>
      <c r="D756" s="10"/>
    </row>
    <row r="757" spans="1:4" x14ac:dyDescent="0.25">
      <c r="A757" s="10"/>
      <c r="B757" s="10"/>
      <c r="C757" s="10"/>
      <c r="D757" s="10"/>
    </row>
    <row r="758" spans="1:4" x14ac:dyDescent="0.25">
      <c r="A758" s="10"/>
      <c r="B758" s="10"/>
      <c r="C758" s="10"/>
      <c r="D758" s="10"/>
    </row>
    <row r="759" spans="1:4" x14ac:dyDescent="0.25">
      <c r="A759" s="10"/>
      <c r="B759" s="10"/>
      <c r="C759" s="10"/>
      <c r="D759" s="10"/>
    </row>
    <row r="760" spans="1:4" x14ac:dyDescent="0.25">
      <c r="A760" s="10"/>
      <c r="B760" s="10"/>
      <c r="C760" s="10"/>
      <c r="D760" s="10"/>
    </row>
    <row r="761" spans="1:4" x14ac:dyDescent="0.25">
      <c r="A761" s="10"/>
      <c r="B761" s="10"/>
      <c r="C761" s="10"/>
      <c r="D761" s="10"/>
    </row>
    <row r="762" spans="1:4" x14ac:dyDescent="0.25">
      <c r="A762" s="10"/>
      <c r="B762" s="10"/>
      <c r="C762" s="10"/>
      <c r="D762" s="10"/>
    </row>
    <row r="763" spans="1:4" x14ac:dyDescent="0.25">
      <c r="A763" s="10"/>
      <c r="B763" s="10"/>
      <c r="C763" s="10"/>
      <c r="D763" s="10"/>
    </row>
    <row r="764" spans="1:4" x14ac:dyDescent="0.25">
      <c r="A764" s="10"/>
      <c r="B764" s="10"/>
      <c r="C764" s="10"/>
      <c r="D764" s="10"/>
    </row>
    <row r="765" spans="1:4" x14ac:dyDescent="0.25">
      <c r="A765" s="10"/>
      <c r="B765" s="10"/>
      <c r="C765" s="10"/>
      <c r="D765" s="10"/>
    </row>
    <row r="766" spans="1:4" x14ac:dyDescent="0.25">
      <c r="A766" s="10"/>
      <c r="B766" s="10"/>
      <c r="C766" s="10"/>
      <c r="D766" s="10"/>
    </row>
    <row r="767" spans="1:4" x14ac:dyDescent="0.25">
      <c r="A767" s="10"/>
      <c r="B767" s="10"/>
      <c r="C767" s="10"/>
      <c r="D767" s="10"/>
    </row>
    <row r="768" spans="1:4" x14ac:dyDescent="0.25">
      <c r="A768" s="10"/>
      <c r="B768" s="10"/>
      <c r="C768" s="10"/>
      <c r="D768" s="10"/>
    </row>
    <row r="769" spans="1:4" x14ac:dyDescent="0.25">
      <c r="A769" s="10"/>
      <c r="B769" s="10"/>
      <c r="C769" s="10"/>
      <c r="D769" s="10"/>
    </row>
    <row r="770" spans="1:4" x14ac:dyDescent="0.25">
      <c r="A770" s="10"/>
      <c r="B770" s="10"/>
      <c r="C770" s="10"/>
      <c r="D770" s="10"/>
    </row>
    <row r="771" spans="1:4" x14ac:dyDescent="0.25">
      <c r="A771" s="10"/>
      <c r="B771" s="10"/>
      <c r="C771" s="10"/>
      <c r="D771" s="10"/>
    </row>
    <row r="772" spans="1:4" x14ac:dyDescent="0.25">
      <c r="A772" s="10"/>
      <c r="B772" s="10"/>
      <c r="C772" s="10"/>
      <c r="D772" s="10"/>
    </row>
    <row r="773" spans="1:4" x14ac:dyDescent="0.25">
      <c r="A773" s="10"/>
      <c r="B773" s="10"/>
      <c r="C773" s="10"/>
      <c r="D773" s="10"/>
    </row>
    <row r="774" spans="1:4" x14ac:dyDescent="0.25">
      <c r="A774" s="10"/>
      <c r="B774" s="10"/>
      <c r="C774" s="10"/>
      <c r="D774" s="10"/>
    </row>
    <row r="775" spans="1:4" x14ac:dyDescent="0.25">
      <c r="A775" s="10"/>
      <c r="B775" s="10"/>
      <c r="C775" s="10"/>
      <c r="D775" s="10"/>
    </row>
    <row r="776" spans="1:4" x14ac:dyDescent="0.25">
      <c r="A776" s="10"/>
      <c r="B776" s="10"/>
      <c r="C776" s="10"/>
      <c r="D776" s="10"/>
    </row>
    <row r="777" spans="1:4" x14ac:dyDescent="0.25">
      <c r="A777" s="10"/>
      <c r="B777" s="10"/>
      <c r="C777" s="10"/>
      <c r="D777" s="10"/>
    </row>
    <row r="778" spans="1:4" x14ac:dyDescent="0.25">
      <c r="A778" s="10"/>
      <c r="B778" s="10"/>
      <c r="C778" s="10"/>
      <c r="D778" s="10"/>
    </row>
    <row r="779" spans="1:4" x14ac:dyDescent="0.25">
      <c r="A779" s="10"/>
      <c r="B779" s="10"/>
      <c r="C779" s="10"/>
      <c r="D779" s="10"/>
    </row>
    <row r="780" spans="1:4" x14ac:dyDescent="0.25">
      <c r="A780" s="10"/>
      <c r="B780" s="10"/>
      <c r="C780" s="10"/>
      <c r="D780" s="10"/>
    </row>
    <row r="781" spans="1:4" x14ac:dyDescent="0.25">
      <c r="A781" s="10"/>
      <c r="B781" s="10"/>
      <c r="C781" s="10"/>
      <c r="D781" s="10"/>
    </row>
    <row r="782" spans="1:4" x14ac:dyDescent="0.25">
      <c r="A782" s="10"/>
      <c r="B782" s="10"/>
      <c r="C782" s="10"/>
      <c r="D782" s="10"/>
    </row>
    <row r="783" spans="1:4" x14ac:dyDescent="0.25">
      <c r="A783" s="10"/>
      <c r="B783" s="10"/>
      <c r="C783" s="10"/>
      <c r="D783" s="10"/>
    </row>
    <row r="784" spans="1:4" x14ac:dyDescent="0.25">
      <c r="A784" s="10"/>
      <c r="B784" s="10"/>
      <c r="C784" s="10"/>
      <c r="D784" s="10"/>
    </row>
    <row r="785" spans="1:4" x14ac:dyDescent="0.25">
      <c r="A785" s="10"/>
      <c r="B785" s="10"/>
      <c r="C785" s="10"/>
      <c r="D785" s="10"/>
    </row>
    <row r="786" spans="1:4" x14ac:dyDescent="0.25">
      <c r="A786" s="10"/>
      <c r="B786" s="10"/>
      <c r="C786" s="10"/>
      <c r="D786" s="10"/>
    </row>
    <row r="787" spans="1:4" x14ac:dyDescent="0.25">
      <c r="A787" s="10"/>
      <c r="B787" s="10"/>
      <c r="C787" s="10"/>
      <c r="D787" s="10"/>
    </row>
    <row r="788" spans="1:4" x14ac:dyDescent="0.25">
      <c r="A788" s="10"/>
      <c r="B788" s="10"/>
      <c r="C788" s="10"/>
      <c r="D788" s="10"/>
    </row>
    <row r="789" spans="1:4" x14ac:dyDescent="0.25">
      <c r="A789" s="10"/>
      <c r="B789" s="10"/>
      <c r="C789" s="10"/>
      <c r="D789" s="10"/>
    </row>
    <row r="790" spans="1:4" x14ac:dyDescent="0.25">
      <c r="A790" s="10"/>
      <c r="B790" s="10"/>
      <c r="C790" s="10"/>
      <c r="D790" s="10"/>
    </row>
    <row r="791" spans="1:4" x14ac:dyDescent="0.25">
      <c r="A791" s="10"/>
      <c r="B791" s="10"/>
      <c r="C791" s="10"/>
      <c r="D791" s="10"/>
    </row>
    <row r="792" spans="1:4" x14ac:dyDescent="0.25">
      <c r="A792" s="10"/>
      <c r="B792" s="10"/>
      <c r="C792" s="10"/>
      <c r="D792" s="10"/>
    </row>
    <row r="793" spans="1:4" x14ac:dyDescent="0.25">
      <c r="A793" s="10"/>
      <c r="B793" s="10"/>
      <c r="C793" s="10"/>
      <c r="D793" s="10"/>
    </row>
    <row r="794" spans="1:4" x14ac:dyDescent="0.25">
      <c r="A794" s="10"/>
      <c r="B794" s="10"/>
      <c r="C794" s="10"/>
      <c r="D794" s="10"/>
    </row>
    <row r="795" spans="1:4" x14ac:dyDescent="0.25">
      <c r="A795" s="10"/>
      <c r="B795" s="10"/>
      <c r="C795" s="10"/>
      <c r="D795" s="10"/>
    </row>
    <row r="796" spans="1:4" x14ac:dyDescent="0.25">
      <c r="A796" s="10"/>
      <c r="B796" s="10"/>
      <c r="C796" s="10"/>
      <c r="D796" s="10"/>
    </row>
    <row r="797" spans="1:4" x14ac:dyDescent="0.25">
      <c r="A797" s="10"/>
      <c r="B797" s="10"/>
      <c r="C797" s="10"/>
      <c r="D797" s="10"/>
    </row>
    <row r="798" spans="1:4" x14ac:dyDescent="0.25">
      <c r="A798" s="10"/>
      <c r="B798" s="10"/>
      <c r="C798" s="10"/>
      <c r="D798" s="10"/>
    </row>
    <row r="799" spans="1:4" x14ac:dyDescent="0.25">
      <c r="A799" s="10"/>
      <c r="B799" s="10"/>
      <c r="C799" s="10"/>
      <c r="D799" s="10"/>
    </row>
    <row r="800" spans="1:4" x14ac:dyDescent="0.25">
      <c r="A800" s="10"/>
      <c r="B800" s="10"/>
      <c r="C800" s="10"/>
      <c r="D800" s="10"/>
    </row>
    <row r="801" spans="1:4" x14ac:dyDescent="0.25">
      <c r="A801" s="10"/>
      <c r="B801" s="10"/>
      <c r="C801" s="10"/>
      <c r="D801" s="10"/>
    </row>
    <row r="802" spans="1:4" x14ac:dyDescent="0.25">
      <c r="A802" s="10"/>
      <c r="B802" s="10"/>
      <c r="C802" s="10"/>
      <c r="D802" s="10"/>
    </row>
    <row r="803" spans="1:4" x14ac:dyDescent="0.25">
      <c r="A803" s="10"/>
      <c r="B803" s="10"/>
      <c r="C803" s="10"/>
      <c r="D803" s="10"/>
    </row>
    <row r="804" spans="1:4" x14ac:dyDescent="0.25">
      <c r="A804" s="10"/>
      <c r="B804" s="10"/>
      <c r="C804" s="10"/>
      <c r="D804" s="10"/>
    </row>
    <row r="805" spans="1:4" x14ac:dyDescent="0.25">
      <c r="A805" s="10"/>
      <c r="B805" s="10"/>
      <c r="C805" s="10"/>
      <c r="D805" s="10"/>
    </row>
    <row r="806" spans="1:4" x14ac:dyDescent="0.25">
      <c r="A806" s="10"/>
      <c r="B806" s="10"/>
      <c r="C806" s="10"/>
      <c r="D806" s="10"/>
    </row>
    <row r="807" spans="1:4" x14ac:dyDescent="0.25">
      <c r="A807" s="10"/>
      <c r="B807" s="10"/>
      <c r="C807" s="10"/>
      <c r="D807" s="10"/>
    </row>
    <row r="808" spans="1:4" x14ac:dyDescent="0.25">
      <c r="A808" s="10"/>
      <c r="B808" s="10"/>
      <c r="C808" s="10"/>
      <c r="D808" s="10"/>
    </row>
    <row r="809" spans="1:4" x14ac:dyDescent="0.25">
      <c r="A809" s="10"/>
      <c r="B809" s="10"/>
      <c r="C809" s="10"/>
      <c r="D809" s="10"/>
    </row>
    <row r="810" spans="1:4" x14ac:dyDescent="0.25">
      <c r="A810" s="10"/>
      <c r="B810" s="10"/>
      <c r="C810" s="10"/>
      <c r="D810" s="10"/>
    </row>
    <row r="811" spans="1:4" x14ac:dyDescent="0.25">
      <c r="A811" s="10"/>
      <c r="B811" s="10"/>
      <c r="C811" s="10"/>
      <c r="D811" s="10"/>
    </row>
    <row r="812" spans="1:4" x14ac:dyDescent="0.25">
      <c r="A812" s="10"/>
      <c r="B812" s="10"/>
      <c r="C812" s="10"/>
      <c r="D812" s="10"/>
    </row>
    <row r="813" spans="1:4" x14ac:dyDescent="0.25">
      <c r="A813" s="10"/>
      <c r="B813" s="10"/>
      <c r="C813" s="10"/>
      <c r="D813" s="10"/>
    </row>
    <row r="814" spans="1:4" x14ac:dyDescent="0.25">
      <c r="A814" s="10"/>
      <c r="B814" s="10"/>
      <c r="C814" s="10"/>
      <c r="D814" s="10"/>
    </row>
    <row r="815" spans="1:4" x14ac:dyDescent="0.25">
      <c r="A815" s="10"/>
      <c r="B815" s="10"/>
      <c r="C815" s="10"/>
      <c r="D815" s="10"/>
    </row>
    <row r="816" spans="1:4" x14ac:dyDescent="0.25">
      <c r="A816" s="10"/>
      <c r="B816" s="10"/>
      <c r="C816" s="10"/>
      <c r="D816" s="10"/>
    </row>
    <row r="817" spans="1:4" x14ac:dyDescent="0.25">
      <c r="A817" s="10"/>
      <c r="B817" s="10"/>
      <c r="C817" s="10"/>
      <c r="D817" s="10"/>
    </row>
    <row r="818" spans="1:4" x14ac:dyDescent="0.25">
      <c r="A818" s="10"/>
      <c r="B818" s="10"/>
      <c r="C818" s="10"/>
      <c r="D818" s="10"/>
    </row>
    <row r="819" spans="1:4" x14ac:dyDescent="0.25">
      <c r="A819" s="10"/>
      <c r="B819" s="10"/>
      <c r="C819" s="10"/>
      <c r="D819" s="10"/>
    </row>
    <row r="820" spans="1:4" x14ac:dyDescent="0.25">
      <c r="A820" s="10"/>
      <c r="B820" s="10"/>
      <c r="C820" s="10"/>
      <c r="D820" s="10"/>
    </row>
    <row r="821" spans="1:4" x14ac:dyDescent="0.25">
      <c r="A821" s="10"/>
      <c r="B821" s="10"/>
      <c r="C821" s="10"/>
      <c r="D821" s="10"/>
    </row>
    <row r="822" spans="1:4" x14ac:dyDescent="0.25">
      <c r="A822" s="10"/>
      <c r="B822" s="10"/>
      <c r="C822" s="10"/>
      <c r="D822" s="10"/>
    </row>
    <row r="823" spans="1:4" x14ac:dyDescent="0.25">
      <c r="A823" s="10"/>
      <c r="B823" s="10"/>
      <c r="C823" s="10"/>
      <c r="D823" s="10"/>
    </row>
    <row r="824" spans="1:4" x14ac:dyDescent="0.25">
      <c r="A824" s="10"/>
      <c r="B824" s="10"/>
      <c r="C824" s="10"/>
      <c r="D824" s="10"/>
    </row>
    <row r="825" spans="1:4" x14ac:dyDescent="0.25">
      <c r="A825" s="10"/>
      <c r="B825" s="10"/>
      <c r="C825" s="10"/>
      <c r="D825" s="10"/>
    </row>
    <row r="826" spans="1:4" x14ac:dyDescent="0.25">
      <c r="A826" s="10"/>
      <c r="B826" s="10"/>
      <c r="C826" s="10"/>
      <c r="D826" s="10"/>
    </row>
    <row r="827" spans="1:4" x14ac:dyDescent="0.25">
      <c r="A827" s="10"/>
      <c r="B827" s="10"/>
      <c r="C827" s="10"/>
      <c r="D827" s="10"/>
    </row>
    <row r="828" spans="1:4" x14ac:dyDescent="0.25">
      <c r="A828" s="10"/>
      <c r="B828" s="10"/>
      <c r="C828" s="10"/>
      <c r="D828" s="10"/>
    </row>
    <row r="829" spans="1:4" x14ac:dyDescent="0.25">
      <c r="A829" s="10"/>
      <c r="B829" s="10"/>
      <c r="C829" s="10"/>
      <c r="D829" s="10"/>
    </row>
    <row r="830" spans="1:4" x14ac:dyDescent="0.25">
      <c r="A830" s="10"/>
      <c r="B830" s="10"/>
      <c r="C830" s="10"/>
      <c r="D830" s="10"/>
    </row>
    <row r="831" spans="1:4" x14ac:dyDescent="0.25">
      <c r="A831" s="10"/>
      <c r="B831" s="10"/>
      <c r="C831" s="10"/>
      <c r="D831" s="10"/>
    </row>
    <row r="832" spans="1:4" x14ac:dyDescent="0.25">
      <c r="A832" s="10"/>
      <c r="B832" s="10"/>
      <c r="C832" s="10"/>
      <c r="D832" s="10"/>
    </row>
    <row r="833" spans="1:4" x14ac:dyDescent="0.25">
      <c r="A833" s="10"/>
      <c r="B833" s="10"/>
      <c r="C833" s="10"/>
      <c r="D833" s="10"/>
    </row>
    <row r="834" spans="1:4" x14ac:dyDescent="0.25">
      <c r="A834" s="10"/>
      <c r="B834" s="10"/>
      <c r="C834" s="10"/>
      <c r="D834" s="10"/>
    </row>
    <row r="835" spans="1:4" x14ac:dyDescent="0.25">
      <c r="A835" s="10"/>
      <c r="B835" s="10"/>
      <c r="C835" s="10"/>
      <c r="D835" s="10"/>
    </row>
    <row r="836" spans="1:4" x14ac:dyDescent="0.25">
      <c r="A836" s="10"/>
      <c r="B836" s="10"/>
      <c r="C836" s="10"/>
      <c r="D836" s="10"/>
    </row>
    <row r="837" spans="1:4" x14ac:dyDescent="0.25">
      <c r="A837" s="10"/>
      <c r="B837" s="10"/>
      <c r="C837" s="10"/>
      <c r="D837" s="10"/>
    </row>
    <row r="838" spans="1:4" x14ac:dyDescent="0.25">
      <c r="A838" s="10"/>
      <c r="B838" s="10"/>
      <c r="C838" s="10"/>
      <c r="D838" s="10"/>
    </row>
    <row r="839" spans="1:4" x14ac:dyDescent="0.25">
      <c r="A839" s="10"/>
      <c r="B839" s="10"/>
      <c r="C839" s="10"/>
      <c r="D839" s="10"/>
    </row>
    <row r="840" spans="1:4" x14ac:dyDescent="0.25">
      <c r="A840" s="10"/>
      <c r="B840" s="10"/>
      <c r="C840" s="10"/>
      <c r="D840" s="10"/>
    </row>
    <row r="841" spans="1:4" x14ac:dyDescent="0.25">
      <c r="A841" s="10"/>
      <c r="B841" s="10"/>
      <c r="C841" s="10"/>
      <c r="D841" s="10"/>
    </row>
    <row r="842" spans="1:4" x14ac:dyDescent="0.25">
      <c r="A842" s="10"/>
      <c r="B842" s="10"/>
      <c r="C842" s="10"/>
      <c r="D842" s="10"/>
    </row>
    <row r="843" spans="1:4" x14ac:dyDescent="0.25">
      <c r="A843" s="10"/>
      <c r="B843" s="10"/>
      <c r="C843" s="10"/>
      <c r="D843" s="10"/>
    </row>
    <row r="844" spans="1:4" x14ac:dyDescent="0.25">
      <c r="A844" s="10"/>
      <c r="B844" s="10"/>
      <c r="C844" s="10"/>
      <c r="D844" s="10"/>
    </row>
    <row r="845" spans="1:4" x14ac:dyDescent="0.25">
      <c r="A845" s="10"/>
      <c r="B845" s="10"/>
      <c r="C845" s="10"/>
      <c r="D845" s="10"/>
    </row>
    <row r="846" spans="1:4" x14ac:dyDescent="0.25">
      <c r="A846" s="10"/>
      <c r="B846" s="10"/>
      <c r="C846" s="10"/>
      <c r="D846" s="10"/>
    </row>
    <row r="847" spans="1:4" x14ac:dyDescent="0.25">
      <c r="A847" s="10"/>
      <c r="B847" s="10"/>
      <c r="C847" s="10"/>
      <c r="D847" s="10"/>
    </row>
    <row r="848" spans="1:4" x14ac:dyDescent="0.25">
      <c r="A848" s="10"/>
      <c r="B848" s="10"/>
      <c r="C848" s="10"/>
      <c r="D848" s="10"/>
    </row>
    <row r="849" spans="1:4" x14ac:dyDescent="0.25">
      <c r="A849" s="10"/>
      <c r="B849" s="10"/>
      <c r="C849" s="10"/>
      <c r="D849" s="10"/>
    </row>
    <row r="850" spans="1:4" x14ac:dyDescent="0.25">
      <c r="A850" s="10"/>
      <c r="B850" s="10"/>
      <c r="C850" s="10"/>
      <c r="D850" s="10"/>
    </row>
    <row r="851" spans="1:4" x14ac:dyDescent="0.25">
      <c r="A851" s="10"/>
      <c r="B851" s="10"/>
      <c r="C851" s="10"/>
      <c r="D851" s="10"/>
    </row>
    <row r="852" spans="1:4" x14ac:dyDescent="0.25">
      <c r="A852" s="10"/>
      <c r="B852" s="10"/>
      <c r="C852" s="10"/>
      <c r="D852" s="10"/>
    </row>
    <row r="853" spans="1:4" x14ac:dyDescent="0.25">
      <c r="A853" s="10"/>
      <c r="B853" s="10"/>
      <c r="C853" s="10"/>
      <c r="D853" s="10"/>
    </row>
    <row r="854" spans="1:4" x14ac:dyDescent="0.25">
      <c r="A854" s="10"/>
      <c r="B854" s="10"/>
      <c r="C854" s="10"/>
      <c r="D854" s="10"/>
    </row>
    <row r="855" spans="1:4" x14ac:dyDescent="0.25">
      <c r="A855" s="10"/>
      <c r="B855" s="10"/>
      <c r="C855" s="10"/>
      <c r="D855" s="10"/>
    </row>
    <row r="856" spans="1:4" x14ac:dyDescent="0.25">
      <c r="A856" s="10"/>
      <c r="B856" s="10"/>
      <c r="C856" s="10"/>
      <c r="D856" s="10"/>
    </row>
    <row r="857" spans="1:4" x14ac:dyDescent="0.25">
      <c r="A857" s="10"/>
      <c r="B857" s="10"/>
      <c r="C857" s="10"/>
      <c r="D857" s="10"/>
    </row>
    <row r="858" spans="1:4" x14ac:dyDescent="0.25">
      <c r="A858" s="10"/>
      <c r="B858" s="10"/>
      <c r="C858" s="10"/>
      <c r="D858" s="10"/>
    </row>
    <row r="859" spans="1:4" x14ac:dyDescent="0.25">
      <c r="A859" s="10"/>
      <c r="B859" s="10"/>
      <c r="C859" s="10"/>
      <c r="D859" s="10"/>
    </row>
    <row r="860" spans="1:4" x14ac:dyDescent="0.25">
      <c r="A860" s="10"/>
      <c r="B860" s="10"/>
      <c r="C860" s="10"/>
      <c r="D860" s="10"/>
    </row>
    <row r="861" spans="1:4" x14ac:dyDescent="0.25">
      <c r="A861" s="10"/>
      <c r="B861" s="10"/>
      <c r="C861" s="10"/>
      <c r="D861" s="10"/>
    </row>
    <row r="862" spans="1:4" x14ac:dyDescent="0.25">
      <c r="A862" s="10"/>
      <c r="B862" s="10"/>
      <c r="C862" s="10"/>
      <c r="D862" s="10"/>
    </row>
    <row r="863" spans="1:4" x14ac:dyDescent="0.25">
      <c r="A863" s="10"/>
      <c r="B863" s="10"/>
      <c r="C863" s="10"/>
      <c r="D863" s="10"/>
    </row>
    <row r="864" spans="1:4" x14ac:dyDescent="0.25">
      <c r="A864" s="10"/>
      <c r="B864" s="10"/>
      <c r="C864" s="10"/>
      <c r="D864" s="10"/>
    </row>
    <row r="865" spans="1:4" x14ac:dyDescent="0.25">
      <c r="A865" s="10"/>
      <c r="B865" s="10"/>
      <c r="C865" s="10"/>
      <c r="D865" s="10"/>
    </row>
    <row r="866" spans="1:4" x14ac:dyDescent="0.25">
      <c r="A866" s="10"/>
      <c r="B866" s="10"/>
      <c r="C866" s="10"/>
      <c r="D866" s="10"/>
    </row>
    <row r="867" spans="1:4" x14ac:dyDescent="0.25">
      <c r="A867" s="10"/>
      <c r="B867" s="10"/>
      <c r="C867" s="10"/>
      <c r="D867" s="10"/>
    </row>
    <row r="868" spans="1:4" x14ac:dyDescent="0.25">
      <c r="A868" s="10"/>
      <c r="B868" s="10"/>
      <c r="C868" s="10"/>
      <c r="D868" s="10"/>
    </row>
    <row r="869" spans="1:4" x14ac:dyDescent="0.25">
      <c r="A869" s="10"/>
      <c r="B869" s="10"/>
      <c r="C869" s="10"/>
      <c r="D869" s="10"/>
    </row>
    <row r="870" spans="1:4" x14ac:dyDescent="0.25">
      <c r="A870" s="10"/>
      <c r="B870" s="10"/>
      <c r="C870" s="10"/>
      <c r="D870" s="10"/>
    </row>
    <row r="871" spans="1:4" x14ac:dyDescent="0.25">
      <c r="A871" s="10"/>
      <c r="B871" s="10"/>
      <c r="C871" s="10"/>
      <c r="D871" s="10"/>
    </row>
    <row r="872" spans="1:4" x14ac:dyDescent="0.25">
      <c r="A872" s="10"/>
      <c r="B872" s="10"/>
      <c r="C872" s="10"/>
      <c r="D872" s="10"/>
    </row>
    <row r="873" spans="1:4" x14ac:dyDescent="0.25">
      <c r="A873" s="10"/>
      <c r="B873" s="10"/>
      <c r="C873" s="10"/>
      <c r="D873" s="10"/>
    </row>
    <row r="874" spans="1:4" x14ac:dyDescent="0.25">
      <c r="A874" s="10"/>
      <c r="B874" s="10"/>
      <c r="C874" s="10"/>
      <c r="D874" s="10"/>
    </row>
    <row r="875" spans="1:4" x14ac:dyDescent="0.25">
      <c r="A875" s="10"/>
      <c r="B875" s="10"/>
      <c r="C875" s="10"/>
      <c r="D875" s="10"/>
    </row>
    <row r="876" spans="1:4" x14ac:dyDescent="0.25">
      <c r="A876" s="10"/>
      <c r="B876" s="10"/>
      <c r="C876" s="10"/>
      <c r="D876" s="10"/>
    </row>
    <row r="877" spans="1:4" x14ac:dyDescent="0.25">
      <c r="A877" s="10"/>
      <c r="B877" s="10"/>
      <c r="C877" s="10"/>
      <c r="D877" s="10"/>
    </row>
    <row r="878" spans="1:4" x14ac:dyDescent="0.25">
      <c r="A878" s="10"/>
      <c r="B878" s="10"/>
      <c r="C878" s="10"/>
      <c r="D878" s="10"/>
    </row>
    <row r="879" spans="1:4" x14ac:dyDescent="0.25">
      <c r="A879" s="10"/>
      <c r="B879" s="10"/>
      <c r="C879" s="10"/>
      <c r="D879" s="10"/>
    </row>
    <row r="880" spans="1:4" x14ac:dyDescent="0.25">
      <c r="A880" s="10"/>
      <c r="B880" s="10"/>
      <c r="C880" s="10"/>
      <c r="D880" s="10"/>
    </row>
    <row r="881" spans="1:4" x14ac:dyDescent="0.25">
      <c r="A881" s="10"/>
      <c r="B881" s="10"/>
      <c r="C881" s="10"/>
      <c r="D881" s="10"/>
    </row>
    <row r="882" spans="1:4" x14ac:dyDescent="0.25">
      <c r="A882" s="10"/>
      <c r="B882" s="10"/>
      <c r="C882" s="10"/>
      <c r="D882" s="10"/>
    </row>
    <row r="883" spans="1:4" x14ac:dyDescent="0.25">
      <c r="A883" s="10"/>
      <c r="B883" s="10"/>
      <c r="C883" s="10"/>
      <c r="D883" s="10"/>
    </row>
    <row r="884" spans="1:4" x14ac:dyDescent="0.25">
      <c r="A884" s="10"/>
      <c r="B884" s="10"/>
      <c r="C884" s="10"/>
      <c r="D884" s="10"/>
    </row>
    <row r="885" spans="1:4" x14ac:dyDescent="0.25">
      <c r="A885" s="10"/>
      <c r="B885" s="10"/>
      <c r="C885" s="10"/>
      <c r="D885" s="10"/>
    </row>
    <row r="886" spans="1:4" x14ac:dyDescent="0.25">
      <c r="A886" s="10"/>
      <c r="B886" s="10"/>
      <c r="C886" s="10"/>
      <c r="D886" s="10"/>
    </row>
    <row r="887" spans="1:4" x14ac:dyDescent="0.25">
      <c r="A887" s="10"/>
      <c r="B887" s="10"/>
      <c r="C887" s="10"/>
      <c r="D887" s="10"/>
    </row>
    <row r="888" spans="1:4" x14ac:dyDescent="0.25">
      <c r="A888" s="10"/>
      <c r="B888" s="10"/>
      <c r="C888" s="10"/>
      <c r="D888" s="10"/>
    </row>
    <row r="889" spans="1:4" x14ac:dyDescent="0.25">
      <c r="A889" s="10"/>
      <c r="B889" s="10"/>
      <c r="C889" s="10"/>
      <c r="D889" s="10"/>
    </row>
    <row r="890" spans="1:4" x14ac:dyDescent="0.25">
      <c r="A890" s="10"/>
      <c r="B890" s="10"/>
      <c r="C890" s="10"/>
      <c r="D890" s="10"/>
    </row>
    <row r="891" spans="1:4" x14ac:dyDescent="0.25">
      <c r="A891" s="10"/>
      <c r="B891" s="10"/>
      <c r="C891" s="10"/>
      <c r="D891" s="10"/>
    </row>
    <row r="892" spans="1:4" x14ac:dyDescent="0.25">
      <c r="A892" s="10"/>
      <c r="B892" s="10"/>
      <c r="C892" s="10"/>
      <c r="D892" s="10"/>
    </row>
    <row r="893" spans="1:4" x14ac:dyDescent="0.25">
      <c r="A893" s="10"/>
      <c r="B893" s="10"/>
      <c r="C893" s="10"/>
      <c r="D893" s="10"/>
    </row>
    <row r="894" spans="1:4" x14ac:dyDescent="0.25">
      <c r="A894" s="10"/>
      <c r="B894" s="10"/>
      <c r="C894" s="10"/>
      <c r="D894" s="10"/>
    </row>
    <row r="895" spans="1:4" x14ac:dyDescent="0.25">
      <c r="A895" s="10"/>
      <c r="B895" s="10"/>
      <c r="C895" s="10"/>
      <c r="D895" s="10"/>
    </row>
    <row r="896" spans="1:4" x14ac:dyDescent="0.25">
      <c r="A896" s="10"/>
      <c r="B896" s="10"/>
      <c r="C896" s="10"/>
      <c r="D896" s="10"/>
    </row>
    <row r="897" spans="1:4" x14ac:dyDescent="0.25">
      <c r="A897" s="10"/>
      <c r="B897" s="10"/>
      <c r="C897" s="10"/>
      <c r="D897" s="10"/>
    </row>
    <row r="898" spans="1:4" x14ac:dyDescent="0.25">
      <c r="A898" s="10"/>
      <c r="B898" s="10"/>
      <c r="C898" s="10"/>
      <c r="D898" s="10"/>
    </row>
    <row r="899" spans="1:4" x14ac:dyDescent="0.25">
      <c r="A899" s="10"/>
      <c r="B899" s="10"/>
      <c r="C899" s="10"/>
      <c r="D899" s="10"/>
    </row>
    <row r="900" spans="1:4" x14ac:dyDescent="0.25">
      <c r="A900" s="10"/>
      <c r="B900" s="10"/>
      <c r="C900" s="10"/>
      <c r="D900" s="10"/>
    </row>
    <row r="901" spans="1:4" x14ac:dyDescent="0.25">
      <c r="A901" s="10"/>
      <c r="B901" s="10"/>
      <c r="C901" s="10"/>
      <c r="D901" s="10"/>
    </row>
    <row r="902" spans="1:4" x14ac:dyDescent="0.25">
      <c r="A902" s="10"/>
      <c r="B902" s="10"/>
      <c r="C902" s="10"/>
      <c r="D902" s="10"/>
    </row>
    <row r="903" spans="1:4" x14ac:dyDescent="0.25">
      <c r="A903" s="10"/>
      <c r="B903" s="10"/>
      <c r="C903" s="10"/>
      <c r="D903" s="10"/>
    </row>
    <row r="904" spans="1:4" x14ac:dyDescent="0.25">
      <c r="A904" s="10"/>
      <c r="B904" s="10"/>
      <c r="C904" s="10"/>
      <c r="D904" s="10"/>
    </row>
    <row r="905" spans="1:4" x14ac:dyDescent="0.25">
      <c r="A905" s="10"/>
      <c r="B905" s="10"/>
      <c r="C905" s="10"/>
      <c r="D905" s="10"/>
    </row>
    <row r="906" spans="1:4" x14ac:dyDescent="0.25">
      <c r="A906" s="10"/>
      <c r="B906" s="10"/>
      <c r="C906" s="10"/>
      <c r="D906" s="10"/>
    </row>
    <row r="907" spans="1:4" x14ac:dyDescent="0.25">
      <c r="A907" s="10"/>
      <c r="B907" s="10"/>
      <c r="C907" s="10"/>
      <c r="D907" s="10"/>
    </row>
    <row r="908" spans="1:4" x14ac:dyDescent="0.25">
      <c r="A908" s="10"/>
      <c r="B908" s="10"/>
      <c r="C908" s="10"/>
      <c r="D908" s="10"/>
    </row>
    <row r="909" spans="1:4" x14ac:dyDescent="0.25">
      <c r="A909" s="10"/>
      <c r="B909" s="10"/>
      <c r="C909" s="10"/>
      <c r="D909" s="10"/>
    </row>
    <row r="910" spans="1:4" x14ac:dyDescent="0.25">
      <c r="A910" s="10"/>
      <c r="B910" s="10"/>
      <c r="C910" s="10"/>
      <c r="D910" s="10"/>
    </row>
    <row r="911" spans="1:4" x14ac:dyDescent="0.25">
      <c r="A911" s="10"/>
      <c r="B911" s="10"/>
      <c r="C911" s="10"/>
      <c r="D911" s="10"/>
    </row>
    <row r="912" spans="1:4" x14ac:dyDescent="0.25">
      <c r="A912" s="10"/>
      <c r="B912" s="10"/>
      <c r="C912" s="10"/>
      <c r="D912" s="10"/>
    </row>
    <row r="913" spans="1:4" x14ac:dyDescent="0.25">
      <c r="A913" s="10"/>
      <c r="B913" s="10"/>
      <c r="C913" s="10"/>
      <c r="D913" s="10"/>
    </row>
    <row r="914" spans="1:4" x14ac:dyDescent="0.25">
      <c r="A914" s="10"/>
      <c r="B914" s="10"/>
      <c r="C914" s="10"/>
      <c r="D914" s="10"/>
    </row>
    <row r="915" spans="1:4" x14ac:dyDescent="0.25">
      <c r="A915" s="10"/>
      <c r="B915" s="10"/>
      <c r="C915" s="10"/>
      <c r="D915" s="10"/>
    </row>
    <row r="916" spans="1:4" x14ac:dyDescent="0.25">
      <c r="A916" s="10"/>
      <c r="B916" s="10"/>
      <c r="C916" s="10"/>
      <c r="D916" s="10"/>
    </row>
    <row r="917" spans="1:4" x14ac:dyDescent="0.25">
      <c r="A917" s="10"/>
      <c r="B917" s="10"/>
      <c r="C917" s="10"/>
      <c r="D917" s="10"/>
    </row>
    <row r="918" spans="1:4" x14ac:dyDescent="0.25">
      <c r="A918" s="10"/>
      <c r="B918" s="10"/>
      <c r="C918" s="10"/>
      <c r="D918" s="10"/>
    </row>
    <row r="919" spans="1:4" x14ac:dyDescent="0.25">
      <c r="A919" s="10"/>
      <c r="B919" s="10"/>
      <c r="C919" s="10"/>
      <c r="D919" s="10"/>
    </row>
    <row r="920" spans="1:4" x14ac:dyDescent="0.25">
      <c r="A920" s="10"/>
      <c r="B920" s="10"/>
      <c r="C920" s="10"/>
      <c r="D920" s="10"/>
    </row>
    <row r="921" spans="1:4" x14ac:dyDescent="0.25">
      <c r="A921" s="10"/>
      <c r="B921" s="10"/>
      <c r="C921" s="10"/>
      <c r="D921" s="10"/>
    </row>
    <row r="922" spans="1:4" x14ac:dyDescent="0.25">
      <c r="A922" s="10"/>
      <c r="B922" s="10"/>
      <c r="C922" s="10"/>
      <c r="D922" s="10"/>
    </row>
    <row r="923" spans="1:4" x14ac:dyDescent="0.25">
      <c r="A923" s="10"/>
      <c r="B923" s="10"/>
      <c r="C923" s="10"/>
      <c r="D923" s="10"/>
    </row>
    <row r="924" spans="1:4" x14ac:dyDescent="0.25">
      <c r="A924" s="10"/>
      <c r="B924" s="10"/>
      <c r="C924" s="10"/>
      <c r="D924" s="10"/>
    </row>
    <row r="925" spans="1:4" x14ac:dyDescent="0.25">
      <c r="A925" s="10"/>
      <c r="B925" s="10"/>
      <c r="C925" s="10"/>
      <c r="D925" s="10"/>
    </row>
    <row r="926" spans="1:4" x14ac:dyDescent="0.25">
      <c r="A926" s="10"/>
      <c r="B926" s="10"/>
      <c r="C926" s="10"/>
      <c r="D926" s="10"/>
    </row>
    <row r="927" spans="1:4" x14ac:dyDescent="0.25">
      <c r="A927" s="10"/>
      <c r="B927" s="10"/>
      <c r="C927" s="10"/>
      <c r="D927" s="10"/>
    </row>
    <row r="928" spans="1:4" x14ac:dyDescent="0.25">
      <c r="A928" s="10"/>
      <c r="B928" s="10"/>
      <c r="C928" s="10"/>
      <c r="D928" s="10"/>
    </row>
    <row r="929" spans="1:4" x14ac:dyDescent="0.25">
      <c r="A929" s="10"/>
      <c r="B929" s="10"/>
      <c r="C929" s="10"/>
      <c r="D929" s="10"/>
    </row>
    <row r="930" spans="1:4" x14ac:dyDescent="0.25">
      <c r="A930" s="10"/>
      <c r="B930" s="10"/>
      <c r="C930" s="10"/>
      <c r="D930" s="10"/>
    </row>
    <row r="931" spans="1:4" x14ac:dyDescent="0.25">
      <c r="A931" s="10"/>
      <c r="B931" s="10"/>
      <c r="C931" s="10"/>
      <c r="D931" s="10"/>
    </row>
    <row r="932" spans="1:4" x14ac:dyDescent="0.25">
      <c r="A932" s="10"/>
      <c r="B932" s="10"/>
      <c r="C932" s="10"/>
      <c r="D932" s="10"/>
    </row>
    <row r="933" spans="1:4" x14ac:dyDescent="0.25">
      <c r="A933" s="10"/>
      <c r="B933" s="10"/>
      <c r="C933" s="10"/>
      <c r="D933" s="10"/>
    </row>
    <row r="934" spans="1:4" x14ac:dyDescent="0.25">
      <c r="A934" s="10"/>
      <c r="B934" s="10"/>
      <c r="C934" s="10"/>
      <c r="D934" s="10"/>
    </row>
    <row r="935" spans="1:4" x14ac:dyDescent="0.25">
      <c r="A935" s="10"/>
      <c r="B935" s="10"/>
      <c r="C935" s="10"/>
      <c r="D935" s="10"/>
    </row>
    <row r="936" spans="1:4" x14ac:dyDescent="0.25">
      <c r="A936" s="10"/>
      <c r="B936" s="10"/>
      <c r="C936" s="10"/>
      <c r="D936" s="10"/>
    </row>
    <row r="937" spans="1:4" x14ac:dyDescent="0.25">
      <c r="A937" s="10"/>
      <c r="B937" s="10"/>
      <c r="C937" s="10"/>
      <c r="D937" s="10"/>
    </row>
    <row r="938" spans="1:4" x14ac:dyDescent="0.25">
      <c r="A938" s="10"/>
      <c r="B938" s="10"/>
      <c r="C938" s="10"/>
      <c r="D938" s="10"/>
    </row>
    <row r="939" spans="1:4" x14ac:dyDescent="0.25">
      <c r="A939" s="10"/>
      <c r="B939" s="10"/>
      <c r="C939" s="10"/>
      <c r="D939" s="10"/>
    </row>
    <row r="940" spans="1:4" x14ac:dyDescent="0.25">
      <c r="A940" s="10"/>
      <c r="B940" s="10"/>
      <c r="C940" s="10"/>
      <c r="D940" s="10"/>
    </row>
    <row r="941" spans="1:4" x14ac:dyDescent="0.25">
      <c r="A941" s="10"/>
      <c r="B941" s="10"/>
      <c r="C941" s="10"/>
      <c r="D941" s="10"/>
    </row>
    <row r="942" spans="1:4" x14ac:dyDescent="0.25">
      <c r="A942" s="10"/>
      <c r="B942" s="10"/>
      <c r="C942" s="10"/>
      <c r="D942" s="10"/>
    </row>
    <row r="943" spans="1:4" x14ac:dyDescent="0.25">
      <c r="A943" s="10"/>
      <c r="B943" s="10"/>
      <c r="C943" s="10"/>
      <c r="D943" s="10"/>
    </row>
    <row r="944" spans="1:4" x14ac:dyDescent="0.25">
      <c r="A944" s="10"/>
      <c r="B944" s="10"/>
      <c r="C944" s="10"/>
      <c r="D944" s="10"/>
    </row>
    <row r="945" spans="1:4" x14ac:dyDescent="0.25">
      <c r="A945" s="10"/>
      <c r="B945" s="10"/>
      <c r="C945" s="10"/>
      <c r="D945" s="10"/>
    </row>
    <row r="946" spans="1:4" x14ac:dyDescent="0.25">
      <c r="A946" s="10"/>
      <c r="B946" s="10"/>
      <c r="C946" s="10"/>
      <c r="D946" s="10"/>
    </row>
    <row r="947" spans="1:4" x14ac:dyDescent="0.25">
      <c r="A947" s="10"/>
      <c r="B947" s="10"/>
      <c r="C947" s="10"/>
      <c r="D947" s="10"/>
    </row>
    <row r="948" spans="1:4" x14ac:dyDescent="0.25">
      <c r="A948" s="10"/>
      <c r="B948" s="10"/>
      <c r="C948" s="10"/>
      <c r="D948" s="10"/>
    </row>
    <row r="949" spans="1:4" x14ac:dyDescent="0.25">
      <c r="A949" s="10"/>
      <c r="B949" s="10"/>
      <c r="C949" s="10"/>
      <c r="D949" s="10"/>
    </row>
    <row r="950" spans="1:4" x14ac:dyDescent="0.25">
      <c r="A950" s="10"/>
      <c r="B950" s="10"/>
      <c r="C950" s="10"/>
      <c r="D950" s="10"/>
    </row>
    <row r="951" spans="1:4" x14ac:dyDescent="0.25">
      <c r="A951" s="10"/>
      <c r="B951" s="10"/>
      <c r="C951" s="10"/>
      <c r="D951" s="10"/>
    </row>
    <row r="952" spans="1:4" x14ac:dyDescent="0.25">
      <c r="A952" s="10"/>
      <c r="B952" s="10"/>
      <c r="C952" s="10"/>
      <c r="D952" s="10"/>
    </row>
    <row r="953" spans="1:4" x14ac:dyDescent="0.25">
      <c r="A953" s="10"/>
      <c r="B953" s="10"/>
      <c r="C953" s="10"/>
      <c r="D953" s="10"/>
    </row>
    <row r="954" spans="1:4" x14ac:dyDescent="0.25">
      <c r="A954" s="10"/>
      <c r="B954" s="10"/>
      <c r="C954" s="10"/>
      <c r="D954" s="10"/>
    </row>
    <row r="955" spans="1:4" x14ac:dyDescent="0.25">
      <c r="A955" s="10"/>
      <c r="B955" s="10"/>
      <c r="C955" s="10"/>
      <c r="D955" s="10"/>
    </row>
    <row r="956" spans="1:4" x14ac:dyDescent="0.25">
      <c r="A956" s="10"/>
      <c r="B956" s="10"/>
      <c r="C956" s="10"/>
      <c r="D956" s="10"/>
    </row>
    <row r="957" spans="1:4" x14ac:dyDescent="0.25">
      <c r="A957" s="10"/>
      <c r="B957" s="10"/>
      <c r="C957" s="10"/>
      <c r="D957" s="10"/>
    </row>
    <row r="958" spans="1:4" x14ac:dyDescent="0.25">
      <c r="A958" s="10"/>
      <c r="B958" s="10"/>
      <c r="C958" s="10"/>
      <c r="D958" s="10"/>
    </row>
    <row r="959" spans="1:4" x14ac:dyDescent="0.25">
      <c r="A959" s="10"/>
      <c r="B959" s="10"/>
      <c r="C959" s="10"/>
      <c r="D959" s="10"/>
    </row>
    <row r="960" spans="1:4" x14ac:dyDescent="0.25">
      <c r="A960" s="10"/>
      <c r="B960" s="10"/>
      <c r="C960" s="10"/>
      <c r="D960" s="10"/>
    </row>
    <row r="961" spans="1:4" x14ac:dyDescent="0.25">
      <c r="A961" s="10"/>
      <c r="B961" s="10"/>
      <c r="C961" s="10"/>
      <c r="D961" s="10"/>
    </row>
    <row r="962" spans="1:4" x14ac:dyDescent="0.25">
      <c r="A962" s="10"/>
      <c r="B962" s="10"/>
      <c r="C962" s="10"/>
      <c r="D962" s="10"/>
    </row>
    <row r="963" spans="1:4" x14ac:dyDescent="0.25">
      <c r="A963" s="10"/>
      <c r="B963" s="10"/>
      <c r="C963" s="10"/>
      <c r="D963" s="10"/>
    </row>
    <row r="964" spans="1:4" x14ac:dyDescent="0.25">
      <c r="A964" s="10"/>
      <c r="B964" s="10"/>
      <c r="C964" s="10"/>
      <c r="D964" s="10"/>
    </row>
    <row r="965" spans="1:4" x14ac:dyDescent="0.25">
      <c r="A965" s="10"/>
      <c r="B965" s="10"/>
      <c r="C965" s="10"/>
      <c r="D965" s="10"/>
    </row>
    <row r="966" spans="1:4" x14ac:dyDescent="0.25">
      <c r="A966" s="10"/>
      <c r="B966" s="10"/>
      <c r="C966" s="10"/>
      <c r="D966" s="10"/>
    </row>
    <row r="967" spans="1:4" x14ac:dyDescent="0.25">
      <c r="A967" s="10"/>
      <c r="B967" s="10"/>
      <c r="C967" s="10"/>
      <c r="D967" s="10"/>
    </row>
    <row r="968" spans="1:4" x14ac:dyDescent="0.25">
      <c r="A968" s="10"/>
      <c r="B968" s="10"/>
      <c r="C968" s="10"/>
      <c r="D968" s="10"/>
    </row>
    <row r="969" spans="1:4" x14ac:dyDescent="0.25">
      <c r="A969" s="10"/>
      <c r="B969" s="10"/>
      <c r="C969" s="10"/>
      <c r="D969" s="10"/>
    </row>
    <row r="970" spans="1:4" x14ac:dyDescent="0.25">
      <c r="A970" s="10"/>
      <c r="B970" s="10"/>
      <c r="C970" s="10"/>
      <c r="D970" s="10"/>
    </row>
    <row r="971" spans="1:4" x14ac:dyDescent="0.25">
      <c r="A971" s="10"/>
      <c r="B971" s="10"/>
      <c r="C971" s="10"/>
      <c r="D971" s="10"/>
    </row>
    <row r="972" spans="1:4" x14ac:dyDescent="0.25">
      <c r="A972" s="10"/>
      <c r="B972" s="10"/>
      <c r="C972" s="10"/>
      <c r="D972" s="10"/>
    </row>
    <row r="973" spans="1:4" x14ac:dyDescent="0.25">
      <c r="A973" s="10"/>
      <c r="B973" s="10"/>
      <c r="C973" s="10"/>
      <c r="D973" s="10"/>
    </row>
    <row r="974" spans="1:4" x14ac:dyDescent="0.25">
      <c r="A974" s="10"/>
      <c r="B974" s="10"/>
      <c r="C974" s="10"/>
      <c r="D974" s="10"/>
    </row>
    <row r="975" spans="1:4" x14ac:dyDescent="0.25">
      <c r="A975" s="10"/>
      <c r="B975" s="10"/>
      <c r="C975" s="10"/>
      <c r="D975" s="10"/>
    </row>
    <row r="976" spans="1:4" x14ac:dyDescent="0.25">
      <c r="A976" s="10"/>
      <c r="B976" s="10"/>
      <c r="C976" s="10"/>
      <c r="D976" s="10"/>
    </row>
    <row r="977" spans="1:4" x14ac:dyDescent="0.25">
      <c r="A977" s="10"/>
      <c r="B977" s="10"/>
      <c r="C977" s="10"/>
      <c r="D977" s="10"/>
    </row>
    <row r="978" spans="1:4" x14ac:dyDescent="0.25">
      <c r="A978" s="10"/>
      <c r="B978" s="10"/>
      <c r="C978" s="10"/>
      <c r="D978" s="10"/>
    </row>
    <row r="979" spans="1:4" x14ac:dyDescent="0.25">
      <c r="A979" s="10"/>
      <c r="B979" s="10"/>
      <c r="C979" s="10"/>
      <c r="D979" s="10"/>
    </row>
    <row r="980" spans="1:4" x14ac:dyDescent="0.25">
      <c r="A980" s="10"/>
      <c r="B980" s="10"/>
      <c r="C980" s="10"/>
      <c r="D980" s="10"/>
    </row>
    <row r="981" spans="1:4" x14ac:dyDescent="0.25">
      <c r="A981" s="10"/>
      <c r="B981" s="10"/>
      <c r="C981" s="10"/>
      <c r="D981" s="10"/>
    </row>
    <row r="982" spans="1:4" x14ac:dyDescent="0.25">
      <c r="A982" s="10"/>
      <c r="B982" s="10"/>
      <c r="C982" s="10"/>
      <c r="D982" s="10"/>
    </row>
    <row r="983" spans="1:4" x14ac:dyDescent="0.25">
      <c r="A983" s="10"/>
      <c r="B983" s="10"/>
      <c r="C983" s="10"/>
      <c r="D983" s="10"/>
    </row>
    <row r="984" spans="1:4" x14ac:dyDescent="0.25">
      <c r="A984" s="10"/>
      <c r="B984" s="10"/>
      <c r="C984" s="10"/>
      <c r="D984" s="10"/>
    </row>
    <row r="985" spans="1:4" x14ac:dyDescent="0.25">
      <c r="A985" s="10"/>
      <c r="B985" s="10"/>
      <c r="C985" s="10"/>
      <c r="D985" s="10"/>
    </row>
    <row r="986" spans="1:4" x14ac:dyDescent="0.25">
      <c r="A986" s="10"/>
      <c r="B986" s="10"/>
      <c r="C986" s="10"/>
      <c r="D986" s="10"/>
    </row>
    <row r="987" spans="1:4" x14ac:dyDescent="0.25">
      <c r="A987" s="10"/>
      <c r="B987" s="10"/>
      <c r="C987" s="10"/>
      <c r="D987" s="10"/>
    </row>
    <row r="988" spans="1:4" x14ac:dyDescent="0.25">
      <c r="A988" s="10"/>
      <c r="B988" s="10"/>
      <c r="C988" s="10"/>
      <c r="D988" s="10"/>
    </row>
    <row r="989" spans="1:4" x14ac:dyDescent="0.25">
      <c r="A989" s="10"/>
      <c r="B989" s="10"/>
      <c r="C989" s="10"/>
      <c r="D989" s="10"/>
    </row>
    <row r="990" spans="1:4" x14ac:dyDescent="0.25">
      <c r="A990" s="10"/>
      <c r="B990" s="10"/>
      <c r="C990" s="10"/>
      <c r="D990" s="10"/>
    </row>
    <row r="991" spans="1:4" x14ac:dyDescent="0.25">
      <c r="A991" s="10"/>
      <c r="B991" s="10"/>
      <c r="C991" s="10"/>
      <c r="D991" s="10"/>
    </row>
    <row r="992" spans="1:4" x14ac:dyDescent="0.25">
      <c r="A992" s="10"/>
      <c r="B992" s="10"/>
      <c r="C992" s="10"/>
      <c r="D992" s="10"/>
    </row>
    <row r="993" spans="1:4" x14ac:dyDescent="0.25">
      <c r="A993" s="10"/>
      <c r="B993" s="10"/>
      <c r="C993" s="10"/>
      <c r="D993" s="10"/>
    </row>
    <row r="994" spans="1:4" x14ac:dyDescent="0.25">
      <c r="A994" s="10"/>
      <c r="B994" s="10"/>
      <c r="C994" s="10"/>
      <c r="D994" s="10"/>
    </row>
    <row r="995" spans="1:4" x14ac:dyDescent="0.25">
      <c r="A995" s="10"/>
      <c r="B995" s="10"/>
      <c r="C995" s="10"/>
      <c r="D995" s="10"/>
    </row>
    <row r="996" spans="1:4" x14ac:dyDescent="0.25">
      <c r="A996" s="10"/>
      <c r="B996" s="10"/>
      <c r="C996" s="10"/>
      <c r="D996" s="10"/>
    </row>
    <row r="997" spans="1:4" x14ac:dyDescent="0.25">
      <c r="A997" s="10"/>
      <c r="B997" s="10"/>
      <c r="C997" s="10"/>
      <c r="D997" s="10"/>
    </row>
    <row r="998" spans="1:4" x14ac:dyDescent="0.25">
      <c r="A998" s="10"/>
      <c r="B998" s="10"/>
      <c r="C998" s="10"/>
      <c r="D998" s="10"/>
    </row>
    <row r="999" spans="1:4" x14ac:dyDescent="0.25">
      <c r="A999" s="10"/>
      <c r="B999" s="10"/>
      <c r="C999" s="10"/>
      <c r="D999" s="10"/>
    </row>
    <row r="1000" spans="1:4" x14ac:dyDescent="0.25">
      <c r="A1000" s="10"/>
      <c r="B1000" s="10"/>
      <c r="C1000" s="10"/>
      <c r="D1000" s="10"/>
    </row>
    <row r="1001" spans="1:4" x14ac:dyDescent="0.25">
      <c r="A1001" s="10"/>
      <c r="B1001" s="10"/>
      <c r="C1001" s="10"/>
      <c r="D1001" s="10"/>
    </row>
    <row r="1002" spans="1:4" x14ac:dyDescent="0.25">
      <c r="A1002" s="10"/>
      <c r="B1002" s="10"/>
      <c r="C1002" s="10"/>
      <c r="D1002" s="10"/>
    </row>
    <row r="1003" spans="1:4" x14ac:dyDescent="0.25">
      <c r="A1003" s="10"/>
      <c r="B1003" s="10"/>
      <c r="C1003" s="10"/>
      <c r="D1003" s="10"/>
    </row>
    <row r="1004" spans="1:4" x14ac:dyDescent="0.25">
      <c r="A1004" s="10"/>
      <c r="B1004" s="10"/>
      <c r="C1004" s="10"/>
      <c r="D1004" s="10"/>
    </row>
    <row r="1005" spans="1:4" x14ac:dyDescent="0.25">
      <c r="A1005" s="10"/>
      <c r="B1005" s="10"/>
      <c r="C1005" s="10"/>
      <c r="D1005" s="10"/>
    </row>
    <row r="1006" spans="1:4" x14ac:dyDescent="0.25">
      <c r="A1006" s="10"/>
      <c r="B1006" s="10"/>
      <c r="C1006" s="10"/>
      <c r="D1006" s="10"/>
    </row>
    <row r="1007" spans="1:4" x14ac:dyDescent="0.25">
      <c r="A1007" s="10"/>
      <c r="B1007" s="10"/>
      <c r="C1007" s="10"/>
      <c r="D1007" s="10"/>
    </row>
    <row r="1008" spans="1:4" x14ac:dyDescent="0.25">
      <c r="A1008" s="10"/>
      <c r="B1008" s="10"/>
      <c r="C1008" s="10"/>
      <c r="D1008" s="10"/>
    </row>
    <row r="1009" spans="1:4" x14ac:dyDescent="0.25">
      <c r="A1009" s="10"/>
      <c r="B1009" s="10"/>
      <c r="C1009" s="10"/>
      <c r="D1009" s="10"/>
    </row>
    <row r="1010" spans="1:4" x14ac:dyDescent="0.25">
      <c r="A1010" s="10"/>
      <c r="B1010" s="10"/>
      <c r="C1010" s="10"/>
      <c r="D1010" s="10"/>
    </row>
    <row r="1011" spans="1:4" x14ac:dyDescent="0.25">
      <c r="A1011" s="10"/>
      <c r="B1011" s="10"/>
      <c r="C1011" s="10"/>
      <c r="D1011" s="10"/>
    </row>
    <row r="1012" spans="1:4" x14ac:dyDescent="0.25">
      <c r="A1012" s="10"/>
      <c r="B1012" s="10"/>
      <c r="C1012" s="10"/>
      <c r="D1012" s="10"/>
    </row>
    <row r="1013" spans="1:4" x14ac:dyDescent="0.25">
      <c r="A1013" s="10"/>
      <c r="B1013" s="10"/>
      <c r="C1013" s="10"/>
      <c r="D1013" s="10"/>
    </row>
    <row r="1014" spans="1:4" x14ac:dyDescent="0.25">
      <c r="A1014" s="10"/>
      <c r="B1014" s="10"/>
      <c r="C1014" s="10"/>
      <c r="D1014" s="10"/>
    </row>
    <row r="1015" spans="1:4" x14ac:dyDescent="0.25">
      <c r="A1015" s="10"/>
      <c r="B1015" s="10"/>
      <c r="C1015" s="10"/>
      <c r="D1015" s="10"/>
    </row>
    <row r="1016" spans="1:4" x14ac:dyDescent="0.25">
      <c r="A1016" s="10"/>
      <c r="B1016" s="10"/>
      <c r="C1016" s="10"/>
      <c r="D1016" s="10"/>
    </row>
    <row r="1017" spans="1:4" x14ac:dyDescent="0.25">
      <c r="A1017" s="10"/>
      <c r="B1017" s="10"/>
      <c r="C1017" s="10"/>
      <c r="D1017" s="10"/>
    </row>
    <row r="1018" spans="1:4" x14ac:dyDescent="0.25">
      <c r="A1018" s="10"/>
      <c r="B1018" s="10"/>
      <c r="C1018" s="10"/>
      <c r="D1018" s="10"/>
    </row>
    <row r="1019" spans="1:4" x14ac:dyDescent="0.25">
      <c r="A1019" s="10"/>
      <c r="B1019" s="10"/>
      <c r="C1019" s="10"/>
      <c r="D1019" s="10"/>
    </row>
    <row r="1020" spans="1:4" x14ac:dyDescent="0.25">
      <c r="A1020" s="10"/>
      <c r="B1020" s="10"/>
      <c r="C1020" s="10"/>
      <c r="D1020" s="10"/>
    </row>
    <row r="1021" spans="1:4" x14ac:dyDescent="0.25">
      <c r="A1021" s="10"/>
      <c r="B1021" s="10"/>
      <c r="C1021" s="10"/>
      <c r="D1021" s="10"/>
    </row>
    <row r="1022" spans="1:4" x14ac:dyDescent="0.25">
      <c r="A1022" s="10"/>
      <c r="B1022" s="10"/>
      <c r="C1022" s="10"/>
      <c r="D1022" s="10"/>
    </row>
    <row r="1023" spans="1:4" x14ac:dyDescent="0.25">
      <c r="A1023" s="10"/>
      <c r="B1023" s="10"/>
      <c r="C1023" s="10"/>
      <c r="D1023" s="10"/>
    </row>
    <row r="1024" spans="1:4" x14ac:dyDescent="0.25">
      <c r="A1024" s="10"/>
      <c r="B1024" s="10"/>
      <c r="C1024" s="10"/>
      <c r="D1024" s="10"/>
    </row>
    <row r="1025" spans="1:4" x14ac:dyDescent="0.25">
      <c r="A1025" s="10"/>
      <c r="B1025" s="10"/>
      <c r="C1025" s="10"/>
      <c r="D1025" s="10"/>
    </row>
    <row r="1026" spans="1:4" x14ac:dyDescent="0.25">
      <c r="A1026" s="10"/>
      <c r="B1026" s="10"/>
      <c r="C1026" s="10"/>
      <c r="D1026" s="10"/>
    </row>
    <row r="1027" spans="1:4" x14ac:dyDescent="0.25">
      <c r="A1027" s="10"/>
      <c r="B1027" s="10"/>
      <c r="C1027" s="10"/>
      <c r="D1027" s="10"/>
    </row>
    <row r="1028" spans="1:4" x14ac:dyDescent="0.25">
      <c r="A1028" s="10"/>
      <c r="B1028" s="10"/>
      <c r="C1028" s="10"/>
      <c r="D1028" s="10"/>
    </row>
    <row r="1029" spans="1:4" x14ac:dyDescent="0.25">
      <c r="A1029" s="10"/>
      <c r="B1029" s="10"/>
      <c r="C1029" s="10"/>
      <c r="D1029" s="10"/>
    </row>
    <row r="1030" spans="1:4" x14ac:dyDescent="0.25">
      <c r="A1030" s="10"/>
      <c r="B1030" s="10"/>
      <c r="C1030" s="10"/>
      <c r="D1030" s="10"/>
    </row>
    <row r="1031" spans="1:4" x14ac:dyDescent="0.25">
      <c r="A1031" s="10"/>
      <c r="B1031" s="10"/>
      <c r="C1031" s="10"/>
      <c r="D1031" s="10"/>
    </row>
    <row r="1032" spans="1:4" x14ac:dyDescent="0.25">
      <c r="A1032" s="10"/>
      <c r="B1032" s="10"/>
      <c r="C1032" s="10"/>
      <c r="D1032" s="10"/>
    </row>
    <row r="1033" spans="1:4" x14ac:dyDescent="0.25">
      <c r="A1033" s="10"/>
      <c r="B1033" s="10"/>
      <c r="C1033" s="10"/>
      <c r="D1033" s="10"/>
    </row>
    <row r="1034" spans="1:4" x14ac:dyDescent="0.25">
      <c r="A1034" s="10"/>
      <c r="B1034" s="10"/>
      <c r="C1034" s="10"/>
      <c r="D1034" s="10"/>
    </row>
    <row r="1035" spans="1:4" x14ac:dyDescent="0.25">
      <c r="A1035" s="10"/>
      <c r="B1035" s="10"/>
      <c r="C1035" s="10"/>
      <c r="D1035" s="10"/>
    </row>
    <row r="1036" spans="1:4" x14ac:dyDescent="0.25">
      <c r="A1036" s="10"/>
      <c r="B1036" s="10"/>
      <c r="C1036" s="10"/>
      <c r="D1036" s="10"/>
    </row>
    <row r="1037" spans="1:4" x14ac:dyDescent="0.25">
      <c r="A1037" s="10"/>
      <c r="B1037" s="10"/>
      <c r="C1037" s="10"/>
      <c r="D1037" s="10"/>
    </row>
    <row r="1038" spans="1:4" x14ac:dyDescent="0.25">
      <c r="A1038" s="10"/>
      <c r="B1038" s="10"/>
      <c r="C1038" s="10"/>
      <c r="D1038" s="10"/>
    </row>
    <row r="1039" spans="1:4" x14ac:dyDescent="0.25">
      <c r="A1039" s="10"/>
      <c r="B1039" s="10"/>
      <c r="C1039" s="10"/>
      <c r="D1039" s="10"/>
    </row>
    <row r="1040" spans="1:4" x14ac:dyDescent="0.25">
      <c r="A1040" s="10"/>
      <c r="B1040" s="10"/>
      <c r="C1040" s="10"/>
      <c r="D1040" s="10"/>
    </row>
    <row r="1041" spans="1:4" x14ac:dyDescent="0.25">
      <c r="A1041" s="10"/>
      <c r="B1041" s="10"/>
      <c r="C1041" s="10"/>
      <c r="D1041" s="10"/>
    </row>
    <row r="1042" spans="1:4" x14ac:dyDescent="0.25">
      <c r="A1042" s="10"/>
      <c r="B1042" s="10"/>
      <c r="C1042" s="10"/>
      <c r="D1042" s="10"/>
    </row>
    <row r="1043" spans="1:4" x14ac:dyDescent="0.25">
      <c r="A1043" s="10"/>
      <c r="B1043" s="10"/>
      <c r="C1043" s="10"/>
      <c r="D1043" s="10"/>
    </row>
    <row r="1044" spans="1:4" x14ac:dyDescent="0.25">
      <c r="A1044" s="10"/>
      <c r="B1044" s="10"/>
      <c r="C1044" s="10"/>
      <c r="D1044" s="10"/>
    </row>
    <row r="1045" spans="1:4" x14ac:dyDescent="0.25">
      <c r="A1045" s="10"/>
      <c r="B1045" s="10"/>
      <c r="C1045" s="10"/>
      <c r="D1045" s="10"/>
    </row>
    <row r="1046" spans="1:4" x14ac:dyDescent="0.25">
      <c r="A1046" s="10"/>
      <c r="B1046" s="10"/>
      <c r="C1046" s="10"/>
      <c r="D1046" s="10"/>
    </row>
    <row r="1047" spans="1:4" x14ac:dyDescent="0.25">
      <c r="A1047" s="10"/>
      <c r="B1047" s="10"/>
      <c r="C1047" s="10"/>
      <c r="D1047" s="10"/>
    </row>
    <row r="1048" spans="1:4" x14ac:dyDescent="0.25">
      <c r="A1048" s="10"/>
      <c r="B1048" s="10"/>
      <c r="C1048" s="10"/>
      <c r="D1048" s="10"/>
    </row>
    <row r="1049" spans="1:4" x14ac:dyDescent="0.25">
      <c r="A1049" s="10"/>
      <c r="B1049" s="10"/>
      <c r="C1049" s="10"/>
      <c r="D1049" s="10"/>
    </row>
    <row r="1050" spans="1:4" x14ac:dyDescent="0.25">
      <c r="A1050" s="10"/>
      <c r="B1050" s="10"/>
      <c r="C1050" s="10"/>
      <c r="D1050" s="10"/>
    </row>
    <row r="1051" spans="1:4" x14ac:dyDescent="0.25">
      <c r="A1051" s="10"/>
      <c r="B1051" s="10"/>
      <c r="C1051" s="10"/>
      <c r="D1051" s="10"/>
    </row>
    <row r="1052" spans="1:4" x14ac:dyDescent="0.25">
      <c r="A1052" s="10"/>
      <c r="B1052" s="10"/>
      <c r="C1052" s="10"/>
      <c r="D1052" s="10"/>
    </row>
    <row r="1053" spans="1:4" x14ac:dyDescent="0.25">
      <c r="A1053" s="10"/>
      <c r="B1053" s="10"/>
      <c r="C1053" s="10"/>
      <c r="D1053" s="10"/>
    </row>
    <row r="1054" spans="1:4" x14ac:dyDescent="0.25">
      <c r="A1054" s="10"/>
      <c r="B1054" s="10"/>
      <c r="C1054" s="10"/>
      <c r="D1054" s="10"/>
    </row>
    <row r="1055" spans="1:4" x14ac:dyDescent="0.25">
      <c r="A1055" s="10"/>
      <c r="B1055" s="10"/>
      <c r="C1055" s="10"/>
      <c r="D1055" s="10"/>
    </row>
    <row r="1056" spans="1:4" x14ac:dyDescent="0.25">
      <c r="A1056" s="10"/>
      <c r="B1056" s="10"/>
      <c r="C1056" s="10"/>
      <c r="D1056" s="10"/>
    </row>
    <row r="1057" spans="1:4" x14ac:dyDescent="0.25">
      <c r="A1057" s="10"/>
      <c r="B1057" s="10"/>
      <c r="C1057" s="10"/>
      <c r="D1057" s="10"/>
    </row>
    <row r="1058" spans="1:4" x14ac:dyDescent="0.25">
      <c r="A1058" s="10"/>
      <c r="B1058" s="10"/>
      <c r="C1058" s="10"/>
      <c r="D1058" s="10"/>
    </row>
    <row r="1059" spans="1:4" x14ac:dyDescent="0.25">
      <c r="A1059" s="10"/>
      <c r="B1059" s="10"/>
      <c r="C1059" s="10"/>
      <c r="D1059" s="10"/>
    </row>
    <row r="1060" spans="1:4" x14ac:dyDescent="0.25">
      <c r="A1060" s="10"/>
      <c r="B1060" s="10"/>
      <c r="C1060" s="10"/>
      <c r="D1060" s="10"/>
    </row>
    <row r="1061" spans="1:4" x14ac:dyDescent="0.25">
      <c r="A1061" s="10"/>
      <c r="B1061" s="10"/>
      <c r="C1061" s="10"/>
      <c r="D1061" s="10"/>
    </row>
    <row r="1062" spans="1:4" x14ac:dyDescent="0.25">
      <c r="A1062" s="10"/>
      <c r="B1062" s="10"/>
      <c r="C1062" s="10"/>
      <c r="D1062" s="10"/>
    </row>
    <row r="1063" spans="1:4" x14ac:dyDescent="0.25">
      <c r="A1063" s="10"/>
      <c r="B1063" s="10"/>
      <c r="C1063" s="10"/>
      <c r="D1063" s="10"/>
    </row>
    <row r="1064" spans="1:4" x14ac:dyDescent="0.25">
      <c r="A1064" s="10"/>
      <c r="B1064" s="10"/>
      <c r="C1064" s="10"/>
      <c r="D1064" s="10"/>
    </row>
    <row r="1065" spans="1:4" x14ac:dyDescent="0.25">
      <c r="A1065" s="10"/>
      <c r="B1065" s="10"/>
      <c r="C1065" s="10"/>
      <c r="D1065" s="10"/>
    </row>
    <row r="1066" spans="1:4" x14ac:dyDescent="0.25">
      <c r="A1066" s="10"/>
      <c r="B1066" s="10"/>
      <c r="C1066" s="10"/>
      <c r="D1066" s="10"/>
    </row>
    <row r="1067" spans="1:4" x14ac:dyDescent="0.25">
      <c r="A1067" s="10"/>
      <c r="B1067" s="10"/>
      <c r="C1067" s="10"/>
      <c r="D1067" s="10"/>
    </row>
    <row r="1068" spans="1:4" x14ac:dyDescent="0.25">
      <c r="A1068" s="10"/>
      <c r="B1068" s="10"/>
      <c r="C1068" s="10"/>
      <c r="D1068" s="10"/>
    </row>
    <row r="1069" spans="1:4" x14ac:dyDescent="0.25">
      <c r="A1069" s="10"/>
      <c r="B1069" s="10"/>
      <c r="C1069" s="10"/>
      <c r="D1069" s="10"/>
    </row>
    <row r="1070" spans="1:4" x14ac:dyDescent="0.25">
      <c r="A1070" s="10"/>
      <c r="B1070" s="10"/>
      <c r="C1070" s="10"/>
      <c r="D1070" s="10"/>
    </row>
    <row r="1071" spans="1:4" x14ac:dyDescent="0.25">
      <c r="A1071" s="10"/>
      <c r="B1071" s="10"/>
      <c r="C1071" s="10"/>
      <c r="D1071" s="10"/>
    </row>
    <row r="1072" spans="1:4" x14ac:dyDescent="0.25">
      <c r="A1072" s="10"/>
      <c r="B1072" s="10"/>
      <c r="C1072" s="10"/>
      <c r="D1072" s="10"/>
    </row>
    <row r="1073" spans="1:4" x14ac:dyDescent="0.25">
      <c r="A1073" s="10"/>
      <c r="B1073" s="10"/>
      <c r="C1073" s="10"/>
      <c r="D1073" s="10"/>
    </row>
    <row r="1074" spans="1:4" x14ac:dyDescent="0.25">
      <c r="A1074" s="10"/>
      <c r="B1074" s="10"/>
      <c r="C1074" s="10"/>
      <c r="D1074" s="10"/>
    </row>
    <row r="1075" spans="1:4" x14ac:dyDescent="0.25">
      <c r="A1075" s="10"/>
      <c r="B1075" s="10"/>
      <c r="C1075" s="10"/>
      <c r="D1075" s="10"/>
    </row>
    <row r="1076" spans="1:4" x14ac:dyDescent="0.25">
      <c r="A1076" s="10"/>
      <c r="B1076" s="10"/>
      <c r="C1076" s="10"/>
      <c r="D1076" s="10"/>
    </row>
    <row r="1077" spans="1:4" x14ac:dyDescent="0.25">
      <c r="A1077" s="10"/>
      <c r="B1077" s="10"/>
      <c r="C1077" s="10"/>
      <c r="D1077" s="10"/>
    </row>
    <row r="1078" spans="1:4" x14ac:dyDescent="0.25">
      <c r="A1078" s="10"/>
      <c r="B1078" s="10"/>
      <c r="C1078" s="10"/>
      <c r="D1078" s="10"/>
    </row>
    <row r="1079" spans="1:4" x14ac:dyDescent="0.25">
      <c r="A1079" s="10"/>
      <c r="B1079" s="10"/>
      <c r="C1079" s="10"/>
      <c r="D1079" s="10"/>
    </row>
    <row r="1080" spans="1:4" x14ac:dyDescent="0.25">
      <c r="A1080" s="10"/>
      <c r="B1080" s="10"/>
      <c r="C1080" s="10"/>
      <c r="D1080" s="10"/>
    </row>
    <row r="1081" spans="1:4" x14ac:dyDescent="0.25">
      <c r="A1081" s="10"/>
      <c r="B1081" s="10"/>
      <c r="C1081" s="10"/>
      <c r="D1081" s="10"/>
    </row>
    <row r="1082" spans="1:4" x14ac:dyDescent="0.25">
      <c r="A1082" s="10"/>
      <c r="B1082" s="10"/>
      <c r="C1082" s="10"/>
      <c r="D1082" s="10"/>
    </row>
    <row r="1083" spans="1:4" x14ac:dyDescent="0.25">
      <c r="A1083" s="10"/>
      <c r="B1083" s="10"/>
      <c r="C1083" s="10"/>
      <c r="D1083" s="10"/>
    </row>
    <row r="1084" spans="1:4" x14ac:dyDescent="0.25">
      <c r="A1084" s="10"/>
      <c r="B1084" s="10"/>
      <c r="C1084" s="10"/>
      <c r="D1084" s="10"/>
    </row>
    <row r="1085" spans="1:4" x14ac:dyDescent="0.25">
      <c r="A1085" s="10"/>
      <c r="B1085" s="10"/>
      <c r="C1085" s="10"/>
      <c r="D1085" s="10"/>
    </row>
    <row r="1086" spans="1:4" x14ac:dyDescent="0.25">
      <c r="A1086" s="10"/>
      <c r="B1086" s="10"/>
      <c r="C1086" s="10"/>
      <c r="D1086" s="10"/>
    </row>
    <row r="1087" spans="1:4" x14ac:dyDescent="0.25">
      <c r="A1087" s="10"/>
      <c r="B1087" s="10"/>
      <c r="C1087" s="10"/>
      <c r="D1087" s="10"/>
    </row>
    <row r="1088" spans="1:4" x14ac:dyDescent="0.25">
      <c r="A1088" s="10"/>
      <c r="B1088" s="10"/>
      <c r="C1088" s="10"/>
      <c r="D1088" s="10"/>
    </row>
    <row r="1089" spans="1:4" x14ac:dyDescent="0.25">
      <c r="A1089" s="10"/>
      <c r="B1089" s="10"/>
      <c r="C1089" s="10"/>
      <c r="D1089" s="10"/>
    </row>
    <row r="1090" spans="1:4" x14ac:dyDescent="0.25">
      <c r="A1090" s="10"/>
      <c r="B1090" s="10"/>
      <c r="C1090" s="10"/>
      <c r="D1090" s="10"/>
    </row>
    <row r="1091" spans="1:4" x14ac:dyDescent="0.25">
      <c r="A1091" s="10"/>
      <c r="B1091" s="10"/>
      <c r="C1091" s="10"/>
      <c r="D1091" s="10"/>
    </row>
    <row r="1092" spans="1:4" x14ac:dyDescent="0.25">
      <c r="A1092" s="10"/>
      <c r="B1092" s="10"/>
      <c r="C1092" s="10"/>
      <c r="D1092" s="10"/>
    </row>
    <row r="1093" spans="1:4" x14ac:dyDescent="0.25">
      <c r="A1093" s="10"/>
      <c r="B1093" s="10"/>
      <c r="C1093" s="10"/>
      <c r="D1093" s="10"/>
    </row>
    <row r="1094" spans="1:4" x14ac:dyDescent="0.25">
      <c r="A1094" s="10"/>
      <c r="B1094" s="10"/>
      <c r="C1094" s="10"/>
      <c r="D1094" s="10"/>
    </row>
    <row r="1095" spans="1:4" x14ac:dyDescent="0.25">
      <c r="A1095" s="10"/>
      <c r="B1095" s="10"/>
      <c r="C1095" s="10"/>
      <c r="D1095" s="10"/>
    </row>
    <row r="1096" spans="1:4" x14ac:dyDescent="0.25">
      <c r="A1096" s="10"/>
      <c r="B1096" s="10"/>
      <c r="C1096" s="10"/>
      <c r="D1096" s="10"/>
    </row>
    <row r="1097" spans="1:4" x14ac:dyDescent="0.25">
      <c r="A1097" s="10"/>
      <c r="B1097" s="10"/>
      <c r="C1097" s="10"/>
      <c r="D1097" s="10"/>
    </row>
    <row r="1098" spans="1:4" x14ac:dyDescent="0.25">
      <c r="A1098" s="10"/>
      <c r="B1098" s="10"/>
      <c r="C1098" s="10"/>
      <c r="D1098" s="10"/>
    </row>
    <row r="1099" spans="1:4" x14ac:dyDescent="0.25">
      <c r="A1099" s="10"/>
      <c r="B1099" s="10"/>
      <c r="C1099" s="10"/>
      <c r="D1099" s="10"/>
    </row>
    <row r="1100" spans="1:4" x14ac:dyDescent="0.25">
      <c r="A1100" s="10"/>
      <c r="B1100" s="10"/>
      <c r="C1100" s="10"/>
      <c r="D1100" s="10"/>
    </row>
    <row r="1101" spans="1:4" x14ac:dyDescent="0.25">
      <c r="A1101" s="10"/>
      <c r="B1101" s="10"/>
      <c r="C1101" s="10"/>
      <c r="D1101" s="10"/>
    </row>
    <row r="1102" spans="1:4" x14ac:dyDescent="0.25">
      <c r="A1102" s="10"/>
      <c r="B1102" s="10"/>
      <c r="C1102" s="10"/>
      <c r="D1102" s="10"/>
    </row>
    <row r="1103" spans="1:4" x14ac:dyDescent="0.25">
      <c r="A1103" s="10"/>
      <c r="B1103" s="10"/>
      <c r="C1103" s="10"/>
      <c r="D1103" s="10"/>
    </row>
    <row r="1104" spans="1:4" x14ac:dyDescent="0.25">
      <c r="A1104" s="10"/>
      <c r="B1104" s="10"/>
      <c r="C1104" s="10"/>
      <c r="D1104" s="10"/>
    </row>
    <row r="1105" spans="1:4" x14ac:dyDescent="0.25">
      <c r="A1105" s="10"/>
      <c r="B1105" s="10"/>
      <c r="C1105" s="10"/>
      <c r="D1105" s="10"/>
    </row>
    <row r="1106" spans="1:4" x14ac:dyDescent="0.25">
      <c r="A1106" s="10"/>
      <c r="B1106" s="10"/>
      <c r="C1106" s="10"/>
      <c r="D1106" s="10"/>
    </row>
    <row r="1107" spans="1:4" x14ac:dyDescent="0.25">
      <c r="A1107" s="10"/>
      <c r="B1107" s="10"/>
      <c r="C1107" s="10"/>
      <c r="D1107" s="10"/>
    </row>
    <row r="1108" spans="1:4" x14ac:dyDescent="0.25">
      <c r="A1108" s="10"/>
      <c r="B1108" s="10"/>
      <c r="C1108" s="10"/>
      <c r="D1108" s="10"/>
    </row>
    <row r="1109" spans="1:4" x14ac:dyDescent="0.25">
      <c r="A1109" s="10"/>
      <c r="B1109" s="10"/>
      <c r="C1109" s="10"/>
      <c r="D1109" s="10"/>
    </row>
    <row r="1110" spans="1:4" x14ac:dyDescent="0.25">
      <c r="A1110" s="10"/>
      <c r="B1110" s="10"/>
      <c r="C1110" s="10"/>
      <c r="D1110" s="10"/>
    </row>
    <row r="1111" spans="1:4" x14ac:dyDescent="0.25">
      <c r="A1111" s="10"/>
      <c r="B1111" s="10"/>
      <c r="C1111" s="10"/>
      <c r="D1111" s="10"/>
    </row>
    <row r="1112" spans="1:4" x14ac:dyDescent="0.25">
      <c r="A1112" s="10"/>
      <c r="B1112" s="10"/>
      <c r="C1112" s="10"/>
      <c r="D1112" s="10"/>
    </row>
    <row r="1113" spans="1:4" x14ac:dyDescent="0.25">
      <c r="A1113" s="10"/>
      <c r="B1113" s="10"/>
      <c r="C1113" s="10"/>
      <c r="D1113" s="10"/>
    </row>
    <row r="1114" spans="1:4" x14ac:dyDescent="0.25">
      <c r="A1114" s="10"/>
      <c r="B1114" s="10"/>
      <c r="C1114" s="10"/>
      <c r="D1114" s="10"/>
    </row>
    <row r="1115" spans="1:4" x14ac:dyDescent="0.25">
      <c r="A1115" s="10"/>
      <c r="B1115" s="10"/>
      <c r="C1115" s="10"/>
      <c r="D1115" s="10"/>
    </row>
    <row r="1116" spans="1:4" x14ac:dyDescent="0.25">
      <c r="A1116" s="10"/>
      <c r="B1116" s="10"/>
      <c r="C1116" s="10"/>
      <c r="D1116" s="10"/>
    </row>
    <row r="1117" spans="1:4" x14ac:dyDescent="0.25">
      <c r="A1117" s="10"/>
      <c r="B1117" s="10"/>
      <c r="C1117" s="10"/>
      <c r="D1117" s="10"/>
    </row>
    <row r="1118" spans="1:4" x14ac:dyDescent="0.25">
      <c r="A1118" s="10"/>
      <c r="B1118" s="10"/>
      <c r="C1118" s="10"/>
      <c r="D1118" s="10"/>
    </row>
    <row r="1119" spans="1:4" x14ac:dyDescent="0.25">
      <c r="A1119" s="10"/>
      <c r="B1119" s="10"/>
      <c r="C1119" s="10"/>
      <c r="D1119" s="10"/>
    </row>
    <row r="1120" spans="1:4" x14ac:dyDescent="0.25">
      <c r="A1120" s="10"/>
      <c r="B1120" s="10"/>
      <c r="C1120" s="10"/>
      <c r="D1120" s="10"/>
    </row>
    <row r="1121" spans="1:4" x14ac:dyDescent="0.25">
      <c r="A1121" s="10"/>
      <c r="B1121" s="10"/>
      <c r="C1121" s="10"/>
      <c r="D1121" s="10"/>
    </row>
    <row r="1122" spans="1:4" x14ac:dyDescent="0.25">
      <c r="A1122" s="10"/>
      <c r="B1122" s="10"/>
      <c r="C1122" s="10"/>
      <c r="D1122" s="10"/>
    </row>
    <row r="1123" spans="1:4" x14ac:dyDescent="0.25">
      <c r="A1123" s="10"/>
      <c r="B1123" s="10"/>
      <c r="C1123" s="10"/>
      <c r="D1123" s="10"/>
    </row>
    <row r="1124" spans="1:4" x14ac:dyDescent="0.25">
      <c r="A1124" s="10"/>
      <c r="B1124" s="10"/>
      <c r="C1124" s="10"/>
      <c r="D1124" s="10"/>
    </row>
    <row r="1125" spans="1:4" x14ac:dyDescent="0.25">
      <c r="A1125" s="10"/>
      <c r="B1125" s="10"/>
      <c r="C1125" s="10"/>
      <c r="D1125" s="10"/>
    </row>
    <row r="1126" spans="1:4" x14ac:dyDescent="0.25">
      <c r="A1126" s="10"/>
      <c r="B1126" s="10"/>
      <c r="C1126" s="10"/>
      <c r="D1126" s="10"/>
    </row>
    <row r="1127" spans="1:4" x14ac:dyDescent="0.25">
      <c r="A1127" s="10"/>
      <c r="B1127" s="10"/>
      <c r="C1127" s="10"/>
      <c r="D1127" s="10"/>
    </row>
    <row r="1128" spans="1:4" x14ac:dyDescent="0.25">
      <c r="A1128" s="10"/>
      <c r="B1128" s="10"/>
      <c r="C1128" s="10"/>
      <c r="D1128" s="10"/>
    </row>
    <row r="1129" spans="1:4" x14ac:dyDescent="0.25">
      <c r="A1129" s="10"/>
      <c r="B1129" s="10"/>
      <c r="C1129" s="10"/>
      <c r="D1129" s="10"/>
    </row>
    <row r="1130" spans="1:4" x14ac:dyDescent="0.25">
      <c r="A1130" s="10"/>
      <c r="B1130" s="10"/>
      <c r="C1130" s="10"/>
      <c r="D1130" s="10"/>
    </row>
    <row r="1131" spans="1:4" x14ac:dyDescent="0.25">
      <c r="A1131" s="10"/>
      <c r="B1131" s="10"/>
      <c r="C1131" s="10"/>
      <c r="D1131" s="10"/>
    </row>
    <row r="1132" spans="1:4" x14ac:dyDescent="0.25">
      <c r="A1132" s="10"/>
      <c r="B1132" s="10"/>
      <c r="C1132" s="10"/>
      <c r="D1132" s="10"/>
    </row>
    <row r="1133" spans="1:4" x14ac:dyDescent="0.25">
      <c r="A1133" s="10"/>
      <c r="B1133" s="10"/>
      <c r="C1133" s="10"/>
      <c r="D1133" s="10"/>
    </row>
    <row r="1134" spans="1:4" x14ac:dyDescent="0.25">
      <c r="A1134" s="10"/>
      <c r="B1134" s="10"/>
      <c r="C1134" s="10"/>
      <c r="D1134" s="10"/>
    </row>
    <row r="1135" spans="1:4" x14ac:dyDescent="0.25">
      <c r="A1135" s="10"/>
      <c r="B1135" s="10"/>
      <c r="C1135" s="10"/>
      <c r="D1135" s="10"/>
    </row>
    <row r="1136" spans="1:4" x14ac:dyDescent="0.25">
      <c r="A1136" s="10"/>
      <c r="B1136" s="10"/>
      <c r="C1136" s="10"/>
      <c r="D1136" s="10"/>
    </row>
    <row r="1137" spans="1:4" x14ac:dyDescent="0.25">
      <c r="A1137" s="10"/>
      <c r="B1137" s="10"/>
      <c r="C1137" s="10"/>
      <c r="D1137" s="10"/>
    </row>
    <row r="1138" spans="1:4" x14ac:dyDescent="0.25">
      <c r="A1138" s="10"/>
      <c r="B1138" s="10"/>
      <c r="C1138" s="10"/>
      <c r="D1138" s="10"/>
    </row>
    <row r="1139" spans="1:4" x14ac:dyDescent="0.25">
      <c r="A1139" s="10"/>
      <c r="B1139" s="10"/>
      <c r="C1139" s="10"/>
      <c r="D1139" s="10"/>
    </row>
    <row r="1140" spans="1:4" x14ac:dyDescent="0.25">
      <c r="A1140" s="10"/>
      <c r="B1140" s="10"/>
      <c r="C1140" s="10"/>
      <c r="D1140" s="10"/>
    </row>
    <row r="1141" spans="1:4" x14ac:dyDescent="0.25">
      <c r="A1141" s="10"/>
      <c r="B1141" s="10"/>
      <c r="C1141" s="10"/>
      <c r="D1141" s="10"/>
    </row>
    <row r="1142" spans="1:4" x14ac:dyDescent="0.25">
      <c r="A1142" s="10"/>
      <c r="B1142" s="10"/>
      <c r="C1142" s="10"/>
      <c r="D1142" s="10"/>
    </row>
    <row r="1143" spans="1:4" x14ac:dyDescent="0.25">
      <c r="A1143" s="10"/>
      <c r="B1143" s="10"/>
      <c r="C1143" s="10"/>
      <c r="D1143" s="10"/>
    </row>
    <row r="1144" spans="1:4" x14ac:dyDescent="0.25">
      <c r="A1144" s="10"/>
      <c r="B1144" s="10"/>
      <c r="C1144" s="10"/>
      <c r="D1144" s="10"/>
    </row>
    <row r="1145" spans="1:4" x14ac:dyDescent="0.25">
      <c r="A1145" s="10"/>
      <c r="B1145" s="10"/>
      <c r="C1145" s="10"/>
      <c r="D1145" s="10"/>
    </row>
    <row r="1146" spans="1:4" x14ac:dyDescent="0.25">
      <c r="A1146" s="10"/>
      <c r="B1146" s="10"/>
      <c r="C1146" s="10"/>
      <c r="D1146" s="10"/>
    </row>
    <row r="1147" spans="1:4" x14ac:dyDescent="0.25">
      <c r="A1147" s="10"/>
      <c r="B1147" s="10"/>
      <c r="C1147" s="10"/>
      <c r="D1147" s="10"/>
    </row>
    <row r="1148" spans="1:4" x14ac:dyDescent="0.25">
      <c r="A1148" s="10"/>
      <c r="B1148" s="10"/>
      <c r="C1148" s="10"/>
      <c r="D1148" s="10"/>
    </row>
    <row r="1149" spans="1:4" x14ac:dyDescent="0.25">
      <c r="A1149" s="10"/>
      <c r="B1149" s="10"/>
      <c r="C1149" s="10"/>
      <c r="D1149" s="10"/>
    </row>
    <row r="1150" spans="1:4" x14ac:dyDescent="0.25">
      <c r="A1150" s="10"/>
      <c r="B1150" s="10"/>
      <c r="C1150" s="10"/>
      <c r="D1150" s="10"/>
    </row>
    <row r="1151" spans="1:4" x14ac:dyDescent="0.25">
      <c r="A1151" s="10"/>
      <c r="B1151" s="10"/>
      <c r="C1151" s="10"/>
      <c r="D1151" s="10"/>
    </row>
    <row r="1152" spans="1:4" x14ac:dyDescent="0.25">
      <c r="A1152" s="10"/>
      <c r="B1152" s="10"/>
      <c r="C1152" s="10"/>
      <c r="D1152" s="10"/>
    </row>
    <row r="1153" spans="1:4" x14ac:dyDescent="0.25">
      <c r="A1153" s="10"/>
      <c r="B1153" s="10"/>
      <c r="C1153" s="10"/>
      <c r="D1153" s="10"/>
    </row>
    <row r="1154" spans="1:4" x14ac:dyDescent="0.25">
      <c r="A1154" s="10"/>
      <c r="B1154" s="10"/>
      <c r="C1154" s="10"/>
      <c r="D1154" s="10"/>
    </row>
    <row r="1155" spans="1:4" x14ac:dyDescent="0.25">
      <c r="A1155" s="10"/>
      <c r="B1155" s="10"/>
      <c r="C1155" s="10"/>
      <c r="D1155" s="10"/>
    </row>
    <row r="1156" spans="1:4" x14ac:dyDescent="0.25">
      <c r="A1156" s="10"/>
      <c r="B1156" s="10"/>
      <c r="C1156" s="10"/>
      <c r="D1156" s="10"/>
    </row>
    <row r="1157" spans="1:4" x14ac:dyDescent="0.25">
      <c r="A1157" s="10"/>
      <c r="B1157" s="10"/>
      <c r="C1157" s="10"/>
      <c r="D1157" s="10"/>
    </row>
    <row r="1158" spans="1:4" x14ac:dyDescent="0.25">
      <c r="A1158" s="10"/>
      <c r="B1158" s="10"/>
      <c r="C1158" s="10"/>
      <c r="D1158" s="10"/>
    </row>
    <row r="1159" spans="1:4" x14ac:dyDescent="0.25">
      <c r="A1159" s="10"/>
      <c r="B1159" s="10"/>
      <c r="C1159" s="10"/>
      <c r="D1159" s="10"/>
    </row>
    <row r="1160" spans="1:4" x14ac:dyDescent="0.25">
      <c r="A1160" s="10"/>
      <c r="B1160" s="10"/>
      <c r="C1160" s="10"/>
      <c r="D1160" s="10"/>
    </row>
    <row r="1161" spans="1:4" x14ac:dyDescent="0.25">
      <c r="A1161" s="10"/>
      <c r="B1161" s="10"/>
      <c r="C1161" s="10"/>
      <c r="D1161" s="10"/>
    </row>
    <row r="1162" spans="1:4" x14ac:dyDescent="0.25">
      <c r="A1162" s="10"/>
      <c r="B1162" s="10"/>
      <c r="C1162" s="10"/>
      <c r="D1162" s="10"/>
    </row>
    <row r="1163" spans="1:4" x14ac:dyDescent="0.25">
      <c r="A1163" s="10"/>
      <c r="B1163" s="10"/>
      <c r="C1163" s="10"/>
      <c r="D1163" s="10"/>
    </row>
    <row r="1164" spans="1:4" x14ac:dyDescent="0.25">
      <c r="A1164" s="10"/>
      <c r="B1164" s="10"/>
      <c r="C1164" s="10"/>
      <c r="D1164" s="10"/>
    </row>
    <row r="1165" spans="1:4" x14ac:dyDescent="0.25">
      <c r="A1165" s="10"/>
      <c r="B1165" s="10"/>
      <c r="C1165" s="10"/>
      <c r="D1165" s="10"/>
    </row>
    <row r="1166" spans="1:4" x14ac:dyDescent="0.25">
      <c r="A1166" s="10"/>
      <c r="B1166" s="10"/>
      <c r="C1166" s="10"/>
      <c r="D1166" s="10"/>
    </row>
    <row r="1167" spans="1:4" x14ac:dyDescent="0.25">
      <c r="A1167" s="10"/>
      <c r="B1167" s="10"/>
      <c r="C1167" s="10"/>
      <c r="D1167" s="10"/>
    </row>
    <row r="1168" spans="1:4" x14ac:dyDescent="0.25">
      <c r="A1168" s="10"/>
      <c r="B1168" s="10"/>
      <c r="C1168" s="10"/>
      <c r="D1168" s="10"/>
    </row>
    <row r="1169" spans="1:4" x14ac:dyDescent="0.25">
      <c r="A1169" s="10"/>
      <c r="B1169" s="10"/>
      <c r="C1169" s="10"/>
      <c r="D1169" s="10"/>
    </row>
    <row r="1170" spans="1:4" x14ac:dyDescent="0.25">
      <c r="A1170" s="10"/>
      <c r="B1170" s="10"/>
      <c r="C1170" s="10"/>
      <c r="D1170" s="10"/>
    </row>
    <row r="1171" spans="1:4" x14ac:dyDescent="0.25">
      <c r="A1171" s="10"/>
      <c r="B1171" s="10"/>
      <c r="C1171" s="10"/>
      <c r="D1171" s="10"/>
    </row>
    <row r="1172" spans="1:4" x14ac:dyDescent="0.25">
      <c r="A1172" s="10"/>
      <c r="B1172" s="10"/>
      <c r="C1172" s="10"/>
      <c r="D1172" s="10"/>
    </row>
    <row r="1173" spans="1:4" x14ac:dyDescent="0.25">
      <c r="A1173" s="10"/>
      <c r="B1173" s="10"/>
      <c r="C1173" s="10"/>
      <c r="D1173" s="10"/>
    </row>
    <row r="1174" spans="1:4" x14ac:dyDescent="0.25">
      <c r="A1174" s="10"/>
      <c r="B1174" s="10"/>
      <c r="C1174" s="10"/>
      <c r="D1174" s="10"/>
    </row>
    <row r="1175" spans="1:4" x14ac:dyDescent="0.25">
      <c r="A1175" s="10"/>
      <c r="B1175" s="10"/>
      <c r="C1175" s="10"/>
      <c r="D1175" s="10"/>
    </row>
    <row r="1176" spans="1:4" x14ac:dyDescent="0.25">
      <c r="A1176" s="10"/>
      <c r="B1176" s="10"/>
      <c r="C1176" s="10"/>
      <c r="D1176" s="10"/>
    </row>
    <row r="1177" spans="1:4" x14ac:dyDescent="0.25">
      <c r="A1177" s="10"/>
      <c r="B1177" s="10"/>
      <c r="C1177" s="10"/>
      <c r="D1177" s="10"/>
    </row>
    <row r="1178" spans="1:4" x14ac:dyDescent="0.25">
      <c r="A1178" s="10"/>
      <c r="B1178" s="10"/>
      <c r="C1178" s="10"/>
      <c r="D1178" s="10"/>
    </row>
    <row r="1179" spans="1:4" x14ac:dyDescent="0.25">
      <c r="A1179" s="10"/>
      <c r="B1179" s="10"/>
      <c r="C1179" s="10"/>
      <c r="D1179" s="10"/>
    </row>
    <row r="1180" spans="1:4" x14ac:dyDescent="0.25">
      <c r="A1180" s="10"/>
      <c r="B1180" s="10"/>
      <c r="C1180" s="10"/>
      <c r="D1180" s="10"/>
    </row>
    <row r="1181" spans="1:4" x14ac:dyDescent="0.25">
      <c r="A1181" s="10"/>
      <c r="B1181" s="10"/>
      <c r="C1181" s="10"/>
      <c r="D1181" s="10"/>
    </row>
    <row r="1182" spans="1:4" x14ac:dyDescent="0.25">
      <c r="A1182" s="10"/>
      <c r="B1182" s="10"/>
      <c r="C1182" s="10"/>
      <c r="D1182" s="10"/>
    </row>
    <row r="1183" spans="1:4" x14ac:dyDescent="0.25">
      <c r="A1183" s="10"/>
      <c r="B1183" s="10"/>
      <c r="C1183" s="10"/>
      <c r="D1183" s="10"/>
    </row>
    <row r="1184" spans="1:4" x14ac:dyDescent="0.25">
      <c r="A1184" s="10"/>
      <c r="B1184" s="10"/>
      <c r="C1184" s="10"/>
      <c r="D1184" s="10"/>
    </row>
    <row r="1185" spans="1:4" x14ac:dyDescent="0.25">
      <c r="A1185" s="10"/>
      <c r="B1185" s="10"/>
      <c r="C1185" s="10"/>
      <c r="D1185" s="10"/>
    </row>
    <row r="1186" spans="1:4" x14ac:dyDescent="0.25">
      <c r="A1186" s="10"/>
      <c r="B1186" s="10"/>
      <c r="C1186" s="10"/>
      <c r="D1186" s="10"/>
    </row>
    <row r="1187" spans="1:4" x14ac:dyDescent="0.25">
      <c r="A1187" s="10"/>
      <c r="B1187" s="10"/>
      <c r="C1187" s="10"/>
      <c r="D1187" s="10"/>
    </row>
    <row r="1188" spans="1:4" x14ac:dyDescent="0.25">
      <c r="A1188" s="10"/>
      <c r="B1188" s="10"/>
      <c r="C1188" s="10"/>
      <c r="D1188" s="10"/>
    </row>
    <row r="1189" spans="1:4" x14ac:dyDescent="0.25">
      <c r="A1189" s="10"/>
      <c r="B1189" s="10"/>
      <c r="C1189" s="10"/>
      <c r="D1189" s="10"/>
    </row>
    <row r="1190" spans="1:4" x14ac:dyDescent="0.25">
      <c r="A1190" s="10"/>
      <c r="B1190" s="10"/>
      <c r="C1190" s="10"/>
      <c r="D1190" s="10"/>
    </row>
    <row r="1191" spans="1:4" x14ac:dyDescent="0.25">
      <c r="A1191" s="10"/>
      <c r="B1191" s="10"/>
      <c r="C1191" s="10"/>
      <c r="D1191" s="10"/>
    </row>
    <row r="1192" spans="1:4" x14ac:dyDescent="0.25">
      <c r="A1192" s="10"/>
      <c r="B1192" s="10"/>
      <c r="C1192" s="10"/>
      <c r="D1192" s="10"/>
    </row>
    <row r="1193" spans="1:4" x14ac:dyDescent="0.25">
      <c r="A1193" s="10"/>
      <c r="B1193" s="10"/>
      <c r="C1193" s="10"/>
      <c r="D1193" s="10"/>
    </row>
    <row r="1194" spans="1:4" x14ac:dyDescent="0.25">
      <c r="A1194" s="10"/>
      <c r="B1194" s="10"/>
      <c r="C1194" s="10"/>
      <c r="D1194" s="10"/>
    </row>
    <row r="1195" spans="1:4" x14ac:dyDescent="0.25">
      <c r="A1195" s="10"/>
      <c r="B1195" s="10"/>
      <c r="C1195" s="10"/>
      <c r="D1195" s="10"/>
    </row>
    <row r="1196" spans="1:4" x14ac:dyDescent="0.25">
      <c r="A1196" s="10"/>
      <c r="B1196" s="10"/>
      <c r="C1196" s="10"/>
      <c r="D1196" s="10"/>
    </row>
    <row r="1197" spans="1:4" x14ac:dyDescent="0.25">
      <c r="A1197" s="10"/>
      <c r="B1197" s="10"/>
      <c r="C1197" s="10"/>
      <c r="D1197" s="10"/>
    </row>
    <row r="1198" spans="1:4" x14ac:dyDescent="0.25">
      <c r="A1198" s="10"/>
      <c r="B1198" s="10"/>
      <c r="C1198" s="10"/>
      <c r="D1198" s="10"/>
    </row>
    <row r="1199" spans="1:4" x14ac:dyDescent="0.25">
      <c r="A1199" s="10"/>
      <c r="B1199" s="10"/>
      <c r="C1199" s="10"/>
      <c r="D1199" s="10"/>
    </row>
    <row r="1200" spans="1:4" x14ac:dyDescent="0.25">
      <c r="A1200" s="10"/>
      <c r="B1200" s="10"/>
      <c r="C1200" s="10"/>
      <c r="D1200" s="10"/>
    </row>
    <row r="1201" spans="1:4" x14ac:dyDescent="0.25">
      <c r="A1201" s="10"/>
      <c r="B1201" s="10"/>
      <c r="C1201" s="10"/>
      <c r="D1201" s="10"/>
    </row>
    <row r="1202" spans="1:4" x14ac:dyDescent="0.25">
      <c r="A1202" s="10"/>
      <c r="B1202" s="10"/>
      <c r="C1202" s="10"/>
      <c r="D1202" s="10"/>
    </row>
    <row r="1203" spans="1:4" x14ac:dyDescent="0.25">
      <c r="A1203" s="10"/>
      <c r="B1203" s="10"/>
      <c r="C1203" s="10"/>
      <c r="D1203" s="10"/>
    </row>
    <row r="1204" spans="1:4" x14ac:dyDescent="0.25">
      <c r="A1204" s="10"/>
      <c r="B1204" s="10"/>
      <c r="C1204" s="10"/>
      <c r="D1204" s="10"/>
    </row>
    <row r="1205" spans="1:4" x14ac:dyDescent="0.25">
      <c r="A1205" s="10"/>
      <c r="B1205" s="10"/>
      <c r="C1205" s="10"/>
      <c r="D1205" s="10"/>
    </row>
    <row r="1206" spans="1:4" x14ac:dyDescent="0.25">
      <c r="A1206" s="10"/>
      <c r="B1206" s="10"/>
      <c r="C1206" s="10"/>
      <c r="D1206" s="10"/>
    </row>
    <row r="1207" spans="1:4" x14ac:dyDescent="0.25">
      <c r="A1207" s="10"/>
      <c r="B1207" s="10"/>
      <c r="C1207" s="10"/>
      <c r="D1207" s="10"/>
    </row>
    <row r="1208" spans="1:4" x14ac:dyDescent="0.25">
      <c r="A1208" s="10"/>
      <c r="B1208" s="10"/>
      <c r="C1208" s="10"/>
      <c r="D1208" s="10"/>
    </row>
    <row r="1209" spans="1:4" x14ac:dyDescent="0.25">
      <c r="A1209" s="10"/>
      <c r="B1209" s="10"/>
      <c r="C1209" s="10"/>
      <c r="D1209" s="10"/>
    </row>
    <row r="1210" spans="1:4" x14ac:dyDescent="0.25">
      <c r="A1210" s="10"/>
      <c r="B1210" s="10"/>
      <c r="C1210" s="10"/>
      <c r="D1210" s="10"/>
    </row>
    <row r="1211" spans="1:4" x14ac:dyDescent="0.25">
      <c r="A1211" s="10"/>
      <c r="B1211" s="10"/>
      <c r="C1211" s="10"/>
      <c r="D1211" s="10"/>
    </row>
    <row r="1212" spans="1:4" x14ac:dyDescent="0.25">
      <c r="A1212" s="10"/>
      <c r="B1212" s="10"/>
      <c r="C1212" s="10"/>
      <c r="D1212" s="10"/>
    </row>
    <row r="1213" spans="1:4" x14ac:dyDescent="0.25">
      <c r="A1213" s="10"/>
      <c r="B1213" s="10"/>
      <c r="C1213" s="10"/>
      <c r="D1213" s="10"/>
    </row>
    <row r="1214" spans="1:4" x14ac:dyDescent="0.25">
      <c r="A1214" s="10"/>
      <c r="B1214" s="10"/>
      <c r="C1214" s="10"/>
      <c r="D1214" s="10"/>
    </row>
    <row r="1215" spans="1:4" x14ac:dyDescent="0.25">
      <c r="A1215" s="10"/>
      <c r="B1215" s="10"/>
      <c r="C1215" s="10"/>
      <c r="D1215" s="10"/>
    </row>
    <row r="1216" spans="1:4" x14ac:dyDescent="0.25">
      <c r="A1216" s="10"/>
      <c r="B1216" s="10"/>
      <c r="C1216" s="10"/>
      <c r="D1216" s="10"/>
    </row>
    <row r="1217" spans="1:4" x14ac:dyDescent="0.25">
      <c r="A1217" s="10"/>
      <c r="B1217" s="10"/>
      <c r="C1217" s="10"/>
      <c r="D1217" s="10"/>
    </row>
    <row r="1218" spans="1:4" x14ac:dyDescent="0.25">
      <c r="A1218" s="10"/>
      <c r="B1218" s="10"/>
      <c r="C1218" s="10"/>
      <c r="D1218" s="10"/>
    </row>
    <row r="1219" spans="1:4" x14ac:dyDescent="0.25">
      <c r="A1219" s="10"/>
      <c r="B1219" s="10"/>
      <c r="C1219" s="10"/>
      <c r="D1219" s="10"/>
    </row>
    <row r="1220" spans="1:4" x14ac:dyDescent="0.25">
      <c r="A1220" s="10"/>
      <c r="B1220" s="10"/>
      <c r="C1220" s="10"/>
      <c r="D1220" s="10"/>
    </row>
    <row r="1221" spans="1:4" x14ac:dyDescent="0.25">
      <c r="A1221" s="10"/>
      <c r="B1221" s="10"/>
      <c r="C1221" s="10"/>
      <c r="D1221" s="10"/>
    </row>
    <row r="1222" spans="1:4" x14ac:dyDescent="0.25">
      <c r="A1222" s="10"/>
      <c r="B1222" s="10"/>
      <c r="C1222" s="10"/>
      <c r="D1222" s="10"/>
    </row>
    <row r="1223" spans="1:4" x14ac:dyDescent="0.25">
      <c r="A1223" s="10"/>
      <c r="B1223" s="10"/>
      <c r="C1223" s="10"/>
      <c r="D1223" s="10"/>
    </row>
    <row r="1224" spans="1:4" x14ac:dyDescent="0.25">
      <c r="A1224" s="10"/>
      <c r="B1224" s="10"/>
      <c r="C1224" s="10"/>
      <c r="D1224" s="10"/>
    </row>
    <row r="1225" spans="1:4" x14ac:dyDescent="0.25">
      <c r="A1225" s="10"/>
      <c r="B1225" s="10"/>
      <c r="C1225" s="10"/>
      <c r="D1225" s="10"/>
    </row>
    <row r="1226" spans="1:4" x14ac:dyDescent="0.25">
      <c r="A1226" s="10"/>
      <c r="B1226" s="10"/>
      <c r="C1226" s="10"/>
      <c r="D1226" s="10"/>
    </row>
    <row r="1227" spans="1:4" x14ac:dyDescent="0.25">
      <c r="A1227" s="10"/>
      <c r="B1227" s="10"/>
      <c r="C1227" s="10"/>
      <c r="D1227" s="10"/>
    </row>
    <row r="1228" spans="1:4" x14ac:dyDescent="0.25">
      <c r="A1228" s="10"/>
      <c r="B1228" s="10"/>
      <c r="C1228" s="10"/>
      <c r="D1228" s="10"/>
    </row>
    <row r="1229" spans="1:4" x14ac:dyDescent="0.25">
      <c r="A1229" s="10"/>
      <c r="B1229" s="10"/>
      <c r="C1229" s="10"/>
      <c r="D1229" s="10"/>
    </row>
    <row r="1230" spans="1:4" x14ac:dyDescent="0.25">
      <c r="A1230" s="10"/>
      <c r="B1230" s="10"/>
      <c r="C1230" s="10"/>
      <c r="D1230" s="10"/>
    </row>
    <row r="1231" spans="1:4" x14ac:dyDescent="0.25">
      <c r="A1231" s="10"/>
      <c r="B1231" s="10"/>
      <c r="C1231" s="10"/>
      <c r="D1231" s="10"/>
    </row>
    <row r="1232" spans="1:4" x14ac:dyDescent="0.25">
      <c r="A1232" s="10"/>
      <c r="B1232" s="10"/>
      <c r="C1232" s="10"/>
      <c r="D1232" s="10"/>
    </row>
    <row r="1233" spans="1:4" x14ac:dyDescent="0.25">
      <c r="A1233" s="10"/>
      <c r="B1233" s="10"/>
      <c r="C1233" s="10"/>
      <c r="D1233" s="10"/>
    </row>
    <row r="1234" spans="1:4" x14ac:dyDescent="0.25">
      <c r="A1234" s="10"/>
      <c r="B1234" s="10"/>
      <c r="C1234" s="10"/>
      <c r="D1234" s="10"/>
    </row>
    <row r="1235" spans="1:4" x14ac:dyDescent="0.25">
      <c r="A1235" s="10"/>
      <c r="B1235" s="10"/>
      <c r="C1235" s="10"/>
      <c r="D1235" s="10"/>
    </row>
    <row r="1236" spans="1:4" x14ac:dyDescent="0.25">
      <c r="A1236" s="10"/>
      <c r="B1236" s="10"/>
      <c r="C1236" s="10"/>
      <c r="D1236" s="10"/>
    </row>
    <row r="1237" spans="1:4" x14ac:dyDescent="0.25">
      <c r="A1237" s="10"/>
      <c r="B1237" s="10"/>
      <c r="C1237" s="10"/>
      <c r="D1237" s="10"/>
    </row>
    <row r="1238" spans="1:4" x14ac:dyDescent="0.25">
      <c r="A1238" s="10"/>
      <c r="B1238" s="10"/>
      <c r="C1238" s="10"/>
      <c r="D1238" s="10"/>
    </row>
    <row r="1239" spans="1:4" x14ac:dyDescent="0.25">
      <c r="A1239" s="10"/>
      <c r="B1239" s="10"/>
      <c r="C1239" s="10"/>
      <c r="D1239" s="10"/>
    </row>
    <row r="1240" spans="1:4" x14ac:dyDescent="0.25">
      <c r="A1240" s="10"/>
      <c r="B1240" s="10"/>
      <c r="C1240" s="10"/>
      <c r="D1240" s="10"/>
    </row>
    <row r="1241" spans="1:4" x14ac:dyDescent="0.25">
      <c r="A1241" s="10"/>
      <c r="B1241" s="10"/>
      <c r="C1241" s="10"/>
      <c r="D1241" s="10"/>
    </row>
    <row r="1242" spans="1:4" x14ac:dyDescent="0.25">
      <c r="A1242" s="10"/>
      <c r="B1242" s="10"/>
      <c r="C1242" s="10"/>
      <c r="D1242" s="10"/>
    </row>
    <row r="1243" spans="1:4" x14ac:dyDescent="0.25">
      <c r="A1243" s="10"/>
      <c r="B1243" s="10"/>
      <c r="C1243" s="10"/>
      <c r="D1243" s="10"/>
    </row>
    <row r="1244" spans="1:4" x14ac:dyDescent="0.25">
      <c r="A1244" s="10"/>
      <c r="B1244" s="10"/>
      <c r="C1244" s="10"/>
      <c r="D1244" s="10"/>
    </row>
    <row r="1245" spans="1:4" x14ac:dyDescent="0.25">
      <c r="A1245" s="10"/>
      <c r="B1245" s="10"/>
      <c r="C1245" s="10"/>
      <c r="D1245" s="10"/>
    </row>
    <row r="1246" spans="1:4" x14ac:dyDescent="0.25">
      <c r="A1246" s="10"/>
      <c r="B1246" s="10"/>
      <c r="C1246" s="10"/>
      <c r="D1246" s="10"/>
    </row>
    <row r="1247" spans="1:4" x14ac:dyDescent="0.25">
      <c r="A1247" s="10"/>
      <c r="B1247" s="10"/>
      <c r="C1247" s="10"/>
      <c r="D1247" s="10"/>
    </row>
    <row r="1248" spans="1:4" x14ac:dyDescent="0.25">
      <c r="A1248" s="10"/>
      <c r="B1248" s="10"/>
      <c r="C1248" s="10"/>
      <c r="D1248" s="10"/>
    </row>
    <row r="1249" spans="1:4" x14ac:dyDescent="0.25">
      <c r="A1249" s="10"/>
      <c r="B1249" s="10"/>
      <c r="C1249" s="10"/>
      <c r="D1249" s="10"/>
    </row>
    <row r="1250" spans="1:4" x14ac:dyDescent="0.25">
      <c r="A1250" s="10"/>
      <c r="B1250" s="10"/>
      <c r="C1250" s="10"/>
      <c r="D1250" s="10"/>
    </row>
    <row r="1251" spans="1:4" x14ac:dyDescent="0.25">
      <c r="A1251" s="10"/>
      <c r="B1251" s="10"/>
      <c r="C1251" s="10"/>
      <c r="D1251" s="10"/>
    </row>
    <row r="1252" spans="1:4" x14ac:dyDescent="0.25">
      <c r="A1252" s="10"/>
      <c r="B1252" s="10"/>
      <c r="C1252" s="10"/>
      <c r="D1252" s="10"/>
    </row>
    <row r="1253" spans="1:4" x14ac:dyDescent="0.25">
      <c r="A1253" s="10"/>
      <c r="B1253" s="10"/>
      <c r="C1253" s="10"/>
      <c r="D1253" s="10"/>
    </row>
    <row r="1254" spans="1:4" x14ac:dyDescent="0.25">
      <c r="A1254" s="10"/>
      <c r="B1254" s="10"/>
      <c r="C1254" s="10"/>
      <c r="D1254" s="10"/>
    </row>
    <row r="1255" spans="1:4" x14ac:dyDescent="0.25">
      <c r="A1255" s="10"/>
      <c r="B1255" s="10"/>
      <c r="C1255" s="10"/>
      <c r="D1255" s="10"/>
    </row>
    <row r="1256" spans="1:4" x14ac:dyDescent="0.25">
      <c r="A1256" s="10"/>
      <c r="B1256" s="10"/>
      <c r="C1256" s="10"/>
      <c r="D1256" s="10"/>
    </row>
    <row r="1257" spans="1:4" x14ac:dyDescent="0.25">
      <c r="A1257" s="10"/>
      <c r="B1257" s="10"/>
      <c r="C1257" s="10"/>
      <c r="D1257" s="10"/>
    </row>
    <row r="1258" spans="1:4" x14ac:dyDescent="0.25">
      <c r="A1258" s="10"/>
      <c r="B1258" s="10"/>
      <c r="C1258" s="10"/>
      <c r="D1258" s="10"/>
    </row>
    <row r="1259" spans="1:4" x14ac:dyDescent="0.25">
      <c r="A1259" s="10"/>
      <c r="B1259" s="10"/>
      <c r="C1259" s="10"/>
      <c r="D1259" s="10"/>
    </row>
    <row r="1260" spans="1:4" x14ac:dyDescent="0.25">
      <c r="A1260" s="10"/>
      <c r="B1260" s="10"/>
      <c r="C1260" s="10"/>
      <c r="D1260" s="10"/>
    </row>
    <row r="1261" spans="1:4" x14ac:dyDescent="0.25">
      <c r="A1261" s="10"/>
      <c r="B1261" s="10"/>
      <c r="C1261" s="10"/>
      <c r="D1261" s="10"/>
    </row>
    <row r="1262" spans="1:4" x14ac:dyDescent="0.25">
      <c r="A1262" s="10"/>
      <c r="B1262" s="10"/>
      <c r="C1262" s="10"/>
      <c r="D1262" s="10"/>
    </row>
    <row r="1263" spans="1:4" x14ac:dyDescent="0.25">
      <c r="A1263" s="10"/>
      <c r="B1263" s="10"/>
      <c r="C1263" s="10"/>
      <c r="D1263" s="10"/>
    </row>
    <row r="1264" spans="1:4" x14ac:dyDescent="0.25">
      <c r="A1264" s="10"/>
      <c r="B1264" s="10"/>
      <c r="C1264" s="10"/>
      <c r="D1264" s="10"/>
    </row>
    <row r="1265" spans="1:4" x14ac:dyDescent="0.25">
      <c r="A1265" s="10"/>
      <c r="B1265" s="10"/>
      <c r="C1265" s="10"/>
      <c r="D1265" s="10"/>
    </row>
    <row r="1266" spans="1:4" x14ac:dyDescent="0.25">
      <c r="A1266" s="10"/>
      <c r="B1266" s="10"/>
      <c r="C1266" s="10"/>
      <c r="D1266" s="10"/>
    </row>
    <row r="1267" spans="1:4" x14ac:dyDescent="0.25">
      <c r="A1267" s="10"/>
      <c r="B1267" s="10"/>
      <c r="C1267" s="10"/>
      <c r="D1267" s="10"/>
    </row>
    <row r="1268" spans="1:4" x14ac:dyDescent="0.25">
      <c r="A1268" s="10"/>
      <c r="B1268" s="10"/>
      <c r="C1268" s="10"/>
      <c r="D1268" s="10"/>
    </row>
    <row r="1269" spans="1:4" x14ac:dyDescent="0.25">
      <c r="A1269" s="10"/>
      <c r="B1269" s="10"/>
      <c r="C1269" s="10"/>
      <c r="D1269" s="10"/>
    </row>
    <row r="1270" spans="1:4" x14ac:dyDescent="0.25">
      <c r="A1270" s="10"/>
      <c r="B1270" s="10"/>
      <c r="C1270" s="10"/>
      <c r="D1270" s="10"/>
    </row>
    <row r="1271" spans="1:4" x14ac:dyDescent="0.25">
      <c r="A1271" s="10"/>
      <c r="B1271" s="10"/>
      <c r="C1271" s="10"/>
      <c r="D1271" s="10"/>
    </row>
    <row r="1272" spans="1:4" x14ac:dyDescent="0.25">
      <c r="A1272" s="10"/>
      <c r="B1272" s="10"/>
      <c r="C1272" s="10"/>
      <c r="D1272" s="10"/>
    </row>
    <row r="1273" spans="1:4" x14ac:dyDescent="0.25">
      <c r="A1273" s="10"/>
      <c r="B1273" s="10"/>
      <c r="C1273" s="10"/>
      <c r="D1273" s="10"/>
    </row>
    <row r="1274" spans="1:4" x14ac:dyDescent="0.25">
      <c r="A1274" s="10"/>
      <c r="B1274" s="10"/>
      <c r="C1274" s="10"/>
      <c r="D1274" s="10"/>
    </row>
    <row r="1275" spans="1:4" x14ac:dyDescent="0.25">
      <c r="A1275" s="10"/>
      <c r="B1275" s="10"/>
      <c r="C1275" s="10"/>
      <c r="D1275" s="10"/>
    </row>
    <row r="1276" spans="1:4" x14ac:dyDescent="0.25">
      <c r="A1276" s="10"/>
      <c r="B1276" s="10"/>
      <c r="C1276" s="10"/>
      <c r="D1276" s="10"/>
    </row>
    <row r="1277" spans="1:4" x14ac:dyDescent="0.25">
      <c r="A1277" s="10"/>
      <c r="B1277" s="10"/>
      <c r="C1277" s="10"/>
      <c r="D1277" s="10"/>
    </row>
    <row r="1278" spans="1:4" x14ac:dyDescent="0.25">
      <c r="A1278" s="10"/>
      <c r="B1278" s="10"/>
      <c r="C1278" s="10"/>
      <c r="D1278" s="10"/>
    </row>
    <row r="1279" spans="1:4" x14ac:dyDescent="0.25">
      <c r="A1279" s="10"/>
      <c r="B1279" s="10"/>
      <c r="C1279" s="10"/>
      <c r="D1279" s="10"/>
    </row>
    <row r="1280" spans="1:4" x14ac:dyDescent="0.25">
      <c r="A1280" s="10"/>
      <c r="B1280" s="10"/>
      <c r="C1280" s="10"/>
      <c r="D1280" s="10"/>
    </row>
    <row r="1281" spans="1:4" x14ac:dyDescent="0.25">
      <c r="A1281" s="10"/>
      <c r="B1281" s="10"/>
      <c r="C1281" s="10"/>
      <c r="D1281" s="10"/>
    </row>
    <row r="1282" spans="1:4" x14ac:dyDescent="0.25">
      <c r="A1282" s="10"/>
      <c r="B1282" s="10"/>
      <c r="C1282" s="10"/>
      <c r="D1282" s="10"/>
    </row>
    <row r="1283" spans="1:4" x14ac:dyDescent="0.25">
      <c r="A1283" s="10"/>
      <c r="B1283" s="10"/>
      <c r="C1283" s="10"/>
      <c r="D1283" s="10"/>
    </row>
    <row r="1284" spans="1:4" x14ac:dyDescent="0.25">
      <c r="A1284" s="10"/>
      <c r="B1284" s="10"/>
      <c r="C1284" s="10"/>
      <c r="D1284" s="10"/>
    </row>
    <row r="1285" spans="1:4" x14ac:dyDescent="0.25">
      <c r="A1285" s="10"/>
      <c r="B1285" s="10"/>
      <c r="C1285" s="10"/>
      <c r="D1285" s="10"/>
    </row>
    <row r="1286" spans="1:4" x14ac:dyDescent="0.25">
      <c r="A1286" s="10"/>
      <c r="B1286" s="10"/>
      <c r="C1286" s="10"/>
      <c r="D1286" s="10"/>
    </row>
    <row r="1287" spans="1:4" x14ac:dyDescent="0.25">
      <c r="A1287" s="10"/>
      <c r="B1287" s="10"/>
      <c r="C1287" s="10"/>
      <c r="D1287" s="10"/>
    </row>
    <row r="1288" spans="1:4" x14ac:dyDescent="0.25">
      <c r="A1288" s="10"/>
      <c r="B1288" s="10"/>
      <c r="C1288" s="10"/>
      <c r="D1288" s="10"/>
    </row>
    <row r="1289" spans="1:4" x14ac:dyDescent="0.25">
      <c r="A1289" s="10"/>
      <c r="B1289" s="10"/>
      <c r="C1289" s="10"/>
      <c r="D1289" s="10"/>
    </row>
    <row r="1290" spans="1:4" x14ac:dyDescent="0.25">
      <c r="A1290" s="10"/>
      <c r="B1290" s="10"/>
      <c r="C1290" s="10"/>
      <c r="D1290" s="10"/>
    </row>
    <row r="1291" spans="1:4" x14ac:dyDescent="0.25">
      <c r="A1291" s="10"/>
      <c r="B1291" s="10"/>
      <c r="C1291" s="10"/>
      <c r="D1291" s="10"/>
    </row>
    <row r="1292" spans="1:4" x14ac:dyDescent="0.25">
      <c r="A1292" s="10"/>
      <c r="B1292" s="10"/>
      <c r="C1292" s="10"/>
      <c r="D1292" s="10"/>
    </row>
    <row r="1293" spans="1:4" x14ac:dyDescent="0.25">
      <c r="A1293" s="10"/>
      <c r="B1293" s="10"/>
      <c r="C1293" s="10"/>
      <c r="D1293" s="10"/>
    </row>
    <row r="1294" spans="1:4" x14ac:dyDescent="0.25">
      <c r="A1294" s="10"/>
      <c r="B1294" s="10"/>
      <c r="C1294" s="10"/>
      <c r="D1294" s="10"/>
    </row>
    <row r="1295" spans="1:4" x14ac:dyDescent="0.25">
      <c r="A1295" s="10"/>
      <c r="B1295" s="10"/>
      <c r="C1295" s="10"/>
      <c r="D1295" s="10"/>
    </row>
    <row r="1296" spans="1:4" x14ac:dyDescent="0.25">
      <c r="A1296" s="10"/>
      <c r="B1296" s="10"/>
      <c r="C1296" s="10"/>
      <c r="D1296" s="10"/>
    </row>
    <row r="1297" spans="1:4" x14ac:dyDescent="0.25">
      <c r="A1297" s="10"/>
      <c r="B1297" s="10"/>
      <c r="C1297" s="10"/>
      <c r="D1297" s="10"/>
    </row>
    <row r="1298" spans="1:4" x14ac:dyDescent="0.25">
      <c r="A1298" s="10"/>
      <c r="B1298" s="10"/>
      <c r="C1298" s="10"/>
      <c r="D1298" s="10"/>
    </row>
    <row r="1299" spans="1:4" x14ac:dyDescent="0.25">
      <c r="A1299" s="10"/>
      <c r="B1299" s="10"/>
      <c r="C1299" s="10"/>
      <c r="D1299" s="10"/>
    </row>
    <row r="1300" spans="1:4" x14ac:dyDescent="0.25">
      <c r="A1300" s="10"/>
      <c r="B1300" s="10"/>
      <c r="C1300" s="10"/>
      <c r="D1300" s="10"/>
    </row>
    <row r="1301" spans="1:4" x14ac:dyDescent="0.25">
      <c r="A1301" s="10"/>
      <c r="B1301" s="10"/>
      <c r="C1301" s="10"/>
      <c r="D1301" s="10"/>
    </row>
    <row r="1302" spans="1:4" x14ac:dyDescent="0.25">
      <c r="A1302" s="10"/>
      <c r="B1302" s="10"/>
      <c r="C1302" s="10"/>
      <c r="D1302" s="10"/>
    </row>
    <row r="1303" spans="1:4" x14ac:dyDescent="0.25">
      <c r="A1303" s="10"/>
      <c r="B1303" s="10"/>
      <c r="C1303" s="10"/>
      <c r="D1303" s="10"/>
    </row>
    <row r="1304" spans="1:4" x14ac:dyDescent="0.25">
      <c r="A1304" s="10"/>
      <c r="B1304" s="10"/>
      <c r="C1304" s="10"/>
      <c r="D1304" s="10"/>
    </row>
    <row r="1305" spans="1:4" x14ac:dyDescent="0.25">
      <c r="A1305" s="10"/>
      <c r="B1305" s="10"/>
      <c r="C1305" s="10"/>
      <c r="D1305" s="10"/>
    </row>
    <row r="1306" spans="1:4" x14ac:dyDescent="0.25">
      <c r="A1306" s="10"/>
      <c r="B1306" s="10"/>
      <c r="C1306" s="10"/>
      <c r="D1306" s="10"/>
    </row>
    <row r="1307" spans="1:4" x14ac:dyDescent="0.25">
      <c r="A1307" s="10"/>
      <c r="B1307" s="10"/>
      <c r="C1307" s="10"/>
      <c r="D1307" s="10"/>
    </row>
    <row r="1308" spans="1:4" x14ac:dyDescent="0.25">
      <c r="A1308" s="10"/>
      <c r="B1308" s="10"/>
      <c r="C1308" s="10"/>
      <c r="D1308" s="10"/>
    </row>
    <row r="1309" spans="1:4" x14ac:dyDescent="0.25">
      <c r="A1309" s="10"/>
      <c r="B1309" s="10"/>
      <c r="C1309" s="10"/>
      <c r="D1309" s="10"/>
    </row>
    <row r="1310" spans="1:4" x14ac:dyDescent="0.25">
      <c r="A1310" s="10"/>
      <c r="B1310" s="10"/>
      <c r="C1310" s="10"/>
      <c r="D1310" s="10"/>
    </row>
    <row r="1311" spans="1:4" x14ac:dyDescent="0.25">
      <c r="A1311" s="10"/>
      <c r="B1311" s="10"/>
      <c r="C1311" s="10"/>
      <c r="D1311" s="10"/>
    </row>
    <row r="1312" spans="1:4" x14ac:dyDescent="0.25">
      <c r="A1312" s="10"/>
      <c r="B1312" s="10"/>
      <c r="C1312" s="10"/>
      <c r="D1312" s="10"/>
    </row>
    <row r="1313" spans="1:4" x14ac:dyDescent="0.25">
      <c r="A1313" s="10"/>
      <c r="B1313" s="10"/>
      <c r="C1313" s="10"/>
      <c r="D1313" s="10"/>
    </row>
    <row r="1314" spans="1:4" x14ac:dyDescent="0.25">
      <c r="A1314" s="10"/>
      <c r="B1314" s="10"/>
      <c r="C1314" s="10"/>
      <c r="D1314" s="10"/>
    </row>
    <row r="1315" spans="1:4" x14ac:dyDescent="0.25">
      <c r="A1315" s="10"/>
      <c r="B1315" s="10"/>
      <c r="C1315" s="10"/>
      <c r="D1315" s="10"/>
    </row>
    <row r="1316" spans="1:4" x14ac:dyDescent="0.25">
      <c r="A1316" s="10"/>
      <c r="B1316" s="10"/>
      <c r="C1316" s="10"/>
      <c r="D1316" s="10"/>
    </row>
    <row r="1317" spans="1:4" x14ac:dyDescent="0.25">
      <c r="A1317" s="10"/>
      <c r="B1317" s="10"/>
      <c r="C1317" s="10"/>
      <c r="D1317" s="10"/>
    </row>
    <row r="1318" spans="1:4" x14ac:dyDescent="0.25">
      <c r="A1318" s="10"/>
      <c r="B1318" s="10"/>
      <c r="C1318" s="10"/>
      <c r="D1318" s="10"/>
    </row>
    <row r="1319" spans="1:4" x14ac:dyDescent="0.25">
      <c r="A1319" s="10"/>
      <c r="B1319" s="10"/>
      <c r="C1319" s="10"/>
      <c r="D1319" s="10"/>
    </row>
    <row r="1320" spans="1:4" x14ac:dyDescent="0.25">
      <c r="A1320" s="10"/>
      <c r="B1320" s="10"/>
      <c r="C1320" s="10"/>
      <c r="D1320" s="10"/>
    </row>
    <row r="1321" spans="1:4" x14ac:dyDescent="0.25">
      <c r="A1321" s="10"/>
      <c r="B1321" s="10"/>
      <c r="C1321" s="10"/>
      <c r="D1321" s="10"/>
    </row>
    <row r="1322" spans="1:4" x14ac:dyDescent="0.25">
      <c r="A1322" s="10"/>
      <c r="B1322" s="10"/>
      <c r="C1322" s="10"/>
      <c r="D1322" s="10"/>
    </row>
    <row r="1323" spans="1:4" x14ac:dyDescent="0.25">
      <c r="A1323" s="10"/>
      <c r="B1323" s="10"/>
      <c r="C1323" s="10"/>
      <c r="D1323" s="10"/>
    </row>
    <row r="1324" spans="1:4" x14ac:dyDescent="0.25">
      <c r="A1324" s="10"/>
      <c r="B1324" s="10"/>
      <c r="C1324" s="10"/>
      <c r="D1324" s="10"/>
    </row>
    <row r="1325" spans="1:4" x14ac:dyDescent="0.25">
      <c r="A1325" s="10"/>
      <c r="B1325" s="10"/>
      <c r="C1325" s="10"/>
      <c r="D1325" s="10"/>
    </row>
    <row r="1326" spans="1:4" x14ac:dyDescent="0.25">
      <c r="A1326" s="10"/>
      <c r="B1326" s="10"/>
      <c r="C1326" s="10"/>
      <c r="D1326" s="10"/>
    </row>
    <row r="1327" spans="1:4" x14ac:dyDescent="0.25">
      <c r="A1327" s="10"/>
      <c r="B1327" s="10"/>
      <c r="C1327" s="10"/>
      <c r="D1327" s="10"/>
    </row>
    <row r="1328" spans="1:4" x14ac:dyDescent="0.25">
      <c r="A1328" s="10"/>
      <c r="B1328" s="10"/>
      <c r="C1328" s="10"/>
      <c r="D1328" s="10"/>
    </row>
    <row r="1329" spans="1:4" x14ac:dyDescent="0.25">
      <c r="A1329" s="10"/>
      <c r="B1329" s="10"/>
      <c r="C1329" s="10"/>
      <c r="D1329" s="10"/>
    </row>
    <row r="1330" spans="1:4" x14ac:dyDescent="0.25">
      <c r="A1330" s="10"/>
      <c r="B1330" s="10"/>
      <c r="C1330" s="10"/>
      <c r="D1330" s="10"/>
    </row>
    <row r="1331" spans="1:4" x14ac:dyDescent="0.25">
      <c r="A1331" s="10"/>
      <c r="B1331" s="10"/>
      <c r="C1331" s="10"/>
      <c r="D1331" s="10"/>
    </row>
    <row r="1332" spans="1:4" x14ac:dyDescent="0.25">
      <c r="A1332" s="10"/>
      <c r="B1332" s="10"/>
      <c r="C1332" s="10"/>
      <c r="D1332" s="10"/>
    </row>
    <row r="1333" spans="1:4" x14ac:dyDescent="0.25">
      <c r="A1333" s="10"/>
      <c r="B1333" s="10"/>
      <c r="C1333" s="10"/>
      <c r="D1333" s="10"/>
    </row>
    <row r="1334" spans="1:4" x14ac:dyDescent="0.25">
      <c r="A1334" s="10"/>
      <c r="B1334" s="10"/>
      <c r="C1334" s="10"/>
      <c r="D1334" s="10"/>
    </row>
    <row r="1335" spans="1:4" x14ac:dyDescent="0.25">
      <c r="A1335" s="10"/>
      <c r="B1335" s="10"/>
      <c r="C1335" s="10"/>
      <c r="D1335" s="10"/>
    </row>
    <row r="1336" spans="1:4" x14ac:dyDescent="0.25">
      <c r="A1336" s="10"/>
      <c r="B1336" s="10"/>
      <c r="C1336" s="10"/>
      <c r="D1336" s="10"/>
    </row>
    <row r="1337" spans="1:4" x14ac:dyDescent="0.25">
      <c r="A1337" s="10"/>
      <c r="B1337" s="10"/>
      <c r="C1337" s="10"/>
      <c r="D1337" s="10"/>
    </row>
    <row r="1338" spans="1:4" x14ac:dyDescent="0.25">
      <c r="A1338" s="10"/>
      <c r="B1338" s="10"/>
      <c r="C1338" s="10"/>
      <c r="D1338" s="10"/>
    </row>
    <row r="1339" spans="1:4" x14ac:dyDescent="0.25">
      <c r="A1339" s="10"/>
      <c r="B1339" s="10"/>
      <c r="C1339" s="10"/>
      <c r="D1339" s="10"/>
    </row>
    <row r="1340" spans="1:4" x14ac:dyDescent="0.25">
      <c r="A1340" s="10"/>
      <c r="B1340" s="10"/>
      <c r="C1340" s="10"/>
      <c r="D1340" s="10"/>
    </row>
    <row r="1341" spans="1:4" x14ac:dyDescent="0.25">
      <c r="A1341" s="10"/>
      <c r="B1341" s="10"/>
      <c r="C1341" s="10"/>
      <c r="D1341" s="10"/>
    </row>
    <row r="1342" spans="1:4" x14ac:dyDescent="0.25">
      <c r="A1342" s="10"/>
      <c r="B1342" s="10"/>
      <c r="C1342" s="10"/>
      <c r="D1342" s="10"/>
    </row>
    <row r="1343" spans="1:4" x14ac:dyDescent="0.25">
      <c r="A1343" s="10"/>
      <c r="B1343" s="10"/>
      <c r="C1343" s="10"/>
      <c r="D1343" s="10"/>
    </row>
    <row r="1344" spans="1:4" x14ac:dyDescent="0.25">
      <c r="A1344" s="10"/>
      <c r="B1344" s="10"/>
      <c r="C1344" s="10"/>
      <c r="D1344" s="10"/>
    </row>
    <row r="1345" spans="1:4" x14ac:dyDescent="0.25">
      <c r="A1345" s="10"/>
      <c r="B1345" s="10"/>
      <c r="C1345" s="10"/>
      <c r="D1345" s="10"/>
    </row>
    <row r="1346" spans="1:4" x14ac:dyDescent="0.25">
      <c r="A1346" s="10"/>
      <c r="B1346" s="10"/>
      <c r="C1346" s="10"/>
      <c r="D1346" s="10"/>
    </row>
    <row r="1347" spans="1:4" x14ac:dyDescent="0.25">
      <c r="A1347" s="10"/>
      <c r="B1347" s="10"/>
      <c r="C1347" s="10"/>
      <c r="D1347" s="10"/>
    </row>
    <row r="1348" spans="1:4" x14ac:dyDescent="0.25">
      <c r="A1348" s="10"/>
      <c r="B1348" s="10"/>
      <c r="C1348" s="10"/>
      <c r="D1348" s="10"/>
    </row>
    <row r="1349" spans="1:4" x14ac:dyDescent="0.25">
      <c r="A1349" s="10"/>
      <c r="B1349" s="10"/>
      <c r="C1349" s="10"/>
      <c r="D1349" s="10"/>
    </row>
    <row r="1350" spans="1:4" x14ac:dyDescent="0.25">
      <c r="A1350" s="10"/>
      <c r="B1350" s="10"/>
      <c r="C1350" s="10"/>
      <c r="D1350" s="10"/>
    </row>
    <row r="1351" spans="1:4" x14ac:dyDescent="0.25">
      <c r="A1351" s="10"/>
      <c r="B1351" s="10"/>
      <c r="C1351" s="10"/>
      <c r="D1351" s="10"/>
    </row>
    <row r="1352" spans="1:4" x14ac:dyDescent="0.25">
      <c r="A1352" s="10"/>
      <c r="B1352" s="10"/>
      <c r="C1352" s="10"/>
      <c r="D1352" s="10"/>
    </row>
    <row r="1353" spans="1:4" x14ac:dyDescent="0.25">
      <c r="A1353" s="10"/>
      <c r="B1353" s="10"/>
      <c r="C1353" s="10"/>
      <c r="D1353" s="10"/>
    </row>
    <row r="1354" spans="1:4" x14ac:dyDescent="0.25">
      <c r="A1354" s="10"/>
      <c r="B1354" s="10"/>
      <c r="C1354" s="10"/>
      <c r="D1354" s="10"/>
    </row>
    <row r="1355" spans="1:4" x14ac:dyDescent="0.25">
      <c r="A1355" s="10"/>
      <c r="B1355" s="10"/>
      <c r="C1355" s="10"/>
      <c r="D1355" s="10"/>
    </row>
    <row r="1356" spans="1:4" x14ac:dyDescent="0.25">
      <c r="A1356" s="10"/>
      <c r="B1356" s="10"/>
      <c r="C1356" s="10"/>
      <c r="D1356" s="10"/>
    </row>
    <row r="1357" spans="1:4" x14ac:dyDescent="0.25">
      <c r="A1357" s="10"/>
      <c r="B1357" s="10"/>
      <c r="C1357" s="10"/>
      <c r="D1357" s="10"/>
    </row>
    <row r="1358" spans="1:4" x14ac:dyDescent="0.25">
      <c r="A1358" s="10"/>
      <c r="B1358" s="10"/>
      <c r="C1358" s="10"/>
      <c r="D1358" s="10"/>
    </row>
    <row r="1359" spans="1:4" x14ac:dyDescent="0.25">
      <c r="A1359" s="10"/>
      <c r="B1359" s="10"/>
      <c r="C1359" s="10"/>
      <c r="D1359" s="10"/>
    </row>
    <row r="1360" spans="1:4" x14ac:dyDescent="0.25">
      <c r="A1360" s="10"/>
      <c r="B1360" s="10"/>
      <c r="C1360" s="10"/>
      <c r="D1360" s="10"/>
    </row>
    <row r="1361" spans="1:4" x14ac:dyDescent="0.25">
      <c r="A1361" s="10"/>
      <c r="B1361" s="10"/>
      <c r="C1361" s="10"/>
      <c r="D1361" s="10"/>
    </row>
    <row r="1362" spans="1:4" x14ac:dyDescent="0.25">
      <c r="A1362" s="10"/>
      <c r="B1362" s="10"/>
      <c r="C1362" s="10"/>
      <c r="D1362" s="10"/>
    </row>
    <row r="1363" spans="1:4" x14ac:dyDescent="0.25">
      <c r="A1363" s="10"/>
      <c r="B1363" s="10"/>
      <c r="C1363" s="10"/>
      <c r="D1363" s="10"/>
    </row>
    <row r="1364" spans="1:4" x14ac:dyDescent="0.25">
      <c r="A1364" s="10"/>
      <c r="B1364" s="10"/>
      <c r="C1364" s="10"/>
      <c r="D1364" s="10"/>
    </row>
    <row r="1365" spans="1:4" x14ac:dyDescent="0.25">
      <c r="A1365" s="10"/>
      <c r="B1365" s="10"/>
      <c r="C1365" s="10"/>
      <c r="D1365" s="10"/>
    </row>
    <row r="1366" spans="1:4" x14ac:dyDescent="0.25">
      <c r="A1366" s="10"/>
      <c r="B1366" s="10"/>
      <c r="C1366" s="10"/>
      <c r="D1366" s="10"/>
    </row>
    <row r="1367" spans="1:4" x14ac:dyDescent="0.25">
      <c r="A1367" s="10"/>
      <c r="B1367" s="10"/>
      <c r="C1367" s="10"/>
      <c r="D1367" s="10"/>
    </row>
    <row r="1368" spans="1:4" x14ac:dyDescent="0.25">
      <c r="A1368" s="10"/>
      <c r="B1368" s="10"/>
      <c r="C1368" s="10"/>
      <c r="D1368" s="10"/>
    </row>
    <row r="1369" spans="1:4" x14ac:dyDescent="0.25">
      <c r="A1369" s="10"/>
      <c r="B1369" s="10"/>
      <c r="C1369" s="10"/>
      <c r="D1369" s="10"/>
    </row>
    <row r="1370" spans="1:4" x14ac:dyDescent="0.25">
      <c r="A1370" s="10"/>
      <c r="B1370" s="10"/>
      <c r="C1370" s="10"/>
      <c r="D1370" s="10"/>
    </row>
    <row r="1371" spans="1:4" x14ac:dyDescent="0.25">
      <c r="A1371" s="10"/>
      <c r="B1371" s="10"/>
      <c r="C1371" s="10"/>
      <c r="D1371" s="10"/>
    </row>
    <row r="1372" spans="1:4" x14ac:dyDescent="0.25">
      <c r="A1372" s="10"/>
      <c r="B1372" s="10"/>
      <c r="C1372" s="10"/>
      <c r="D1372" s="10"/>
    </row>
    <row r="1373" spans="1:4" x14ac:dyDescent="0.25">
      <c r="A1373" s="10"/>
      <c r="B1373" s="10"/>
      <c r="C1373" s="10"/>
      <c r="D1373" s="10"/>
    </row>
    <row r="1374" spans="1:4" x14ac:dyDescent="0.25">
      <c r="A1374" s="10"/>
      <c r="B1374" s="10"/>
      <c r="C1374" s="10"/>
      <c r="D1374" s="10"/>
    </row>
    <row r="1375" spans="1:4" x14ac:dyDescent="0.25">
      <c r="A1375" s="10"/>
      <c r="B1375" s="10"/>
      <c r="C1375" s="10"/>
      <c r="D1375" s="10"/>
    </row>
    <row r="1376" spans="1:4" x14ac:dyDescent="0.25">
      <c r="A1376" s="10"/>
      <c r="B1376" s="10"/>
      <c r="C1376" s="10"/>
      <c r="D1376" s="10"/>
    </row>
    <row r="1377" spans="1:4" x14ac:dyDescent="0.25">
      <c r="A1377" s="10"/>
      <c r="B1377" s="10"/>
      <c r="C1377" s="10"/>
      <c r="D1377" s="10"/>
    </row>
    <row r="1378" spans="1:4" x14ac:dyDescent="0.25">
      <c r="A1378" s="10"/>
      <c r="B1378" s="10"/>
      <c r="C1378" s="10"/>
      <c r="D1378" s="10"/>
    </row>
    <row r="1379" spans="1:4" x14ac:dyDescent="0.25">
      <c r="A1379" s="10"/>
      <c r="B1379" s="10"/>
      <c r="C1379" s="10"/>
      <c r="D1379" s="10"/>
    </row>
    <row r="1380" spans="1:4" x14ac:dyDescent="0.25">
      <c r="A1380" s="10"/>
      <c r="B1380" s="10"/>
      <c r="C1380" s="10"/>
      <c r="D1380" s="10"/>
    </row>
    <row r="1381" spans="1:4" x14ac:dyDescent="0.25">
      <c r="A1381" s="10"/>
      <c r="B1381" s="10"/>
      <c r="C1381" s="10"/>
      <c r="D1381" s="10"/>
    </row>
    <row r="1382" spans="1:4" x14ac:dyDescent="0.25">
      <c r="A1382" s="10"/>
      <c r="B1382" s="10"/>
      <c r="C1382" s="10"/>
      <c r="D1382" s="10"/>
    </row>
    <row r="1383" spans="1:4" x14ac:dyDescent="0.25">
      <c r="A1383" s="10"/>
      <c r="B1383" s="10"/>
      <c r="C1383" s="10"/>
      <c r="D1383" s="10"/>
    </row>
    <row r="1384" spans="1:4" x14ac:dyDescent="0.25">
      <c r="A1384" s="10"/>
      <c r="B1384" s="10"/>
      <c r="C1384" s="10"/>
      <c r="D1384" s="10"/>
    </row>
    <row r="1385" spans="1:4" x14ac:dyDescent="0.25">
      <c r="A1385" s="10"/>
      <c r="B1385" s="10"/>
      <c r="C1385" s="10"/>
      <c r="D1385" s="10"/>
    </row>
    <row r="1386" spans="1:4" x14ac:dyDescent="0.25">
      <c r="A1386" s="10"/>
      <c r="B1386" s="10"/>
      <c r="C1386" s="10"/>
      <c r="D1386" s="10"/>
    </row>
    <row r="1387" spans="1:4" x14ac:dyDescent="0.25">
      <c r="A1387" s="10"/>
      <c r="B1387" s="10"/>
      <c r="C1387" s="10"/>
      <c r="D1387" s="10"/>
    </row>
    <row r="1388" spans="1:4" x14ac:dyDescent="0.25">
      <c r="A1388" s="10"/>
      <c r="B1388" s="10"/>
      <c r="C1388" s="10"/>
      <c r="D1388" s="10"/>
    </row>
    <row r="1389" spans="1:4" x14ac:dyDescent="0.25">
      <c r="A1389" s="10"/>
      <c r="B1389" s="10"/>
      <c r="C1389" s="10"/>
      <c r="D1389" s="10"/>
    </row>
    <row r="1390" spans="1:4" x14ac:dyDescent="0.25">
      <c r="A1390" s="10"/>
      <c r="B1390" s="10"/>
      <c r="C1390" s="10"/>
      <c r="D1390" s="10"/>
    </row>
    <row r="1391" spans="1:4" x14ac:dyDescent="0.25">
      <c r="A1391" s="10"/>
      <c r="B1391" s="10"/>
      <c r="C1391" s="10"/>
      <c r="D1391" s="10"/>
    </row>
    <row r="1392" spans="1:4" x14ac:dyDescent="0.25">
      <c r="A1392" s="10"/>
      <c r="B1392" s="10"/>
      <c r="C1392" s="10"/>
      <c r="D1392" s="10"/>
    </row>
    <row r="1393" spans="1:4" x14ac:dyDescent="0.25">
      <c r="A1393" s="10"/>
      <c r="B1393" s="10"/>
      <c r="C1393" s="10"/>
      <c r="D1393" s="10"/>
    </row>
    <row r="1394" spans="1:4" x14ac:dyDescent="0.25">
      <c r="A1394" s="10"/>
      <c r="B1394" s="10"/>
      <c r="C1394" s="10"/>
      <c r="D1394" s="10"/>
    </row>
    <row r="1395" spans="1:4" x14ac:dyDescent="0.25">
      <c r="A1395" s="10"/>
      <c r="B1395" s="10"/>
      <c r="C1395" s="10"/>
      <c r="D1395" s="10"/>
    </row>
    <row r="1396" spans="1:4" x14ac:dyDescent="0.25">
      <c r="A1396" s="10"/>
      <c r="B1396" s="10"/>
      <c r="C1396" s="10"/>
      <c r="D1396" s="10"/>
    </row>
    <row r="1397" spans="1:4" x14ac:dyDescent="0.25">
      <c r="A1397" s="10"/>
      <c r="B1397" s="10"/>
      <c r="C1397" s="10"/>
      <c r="D1397" s="10"/>
    </row>
    <row r="1398" spans="1:4" x14ac:dyDescent="0.25">
      <c r="A1398" s="10"/>
      <c r="B1398" s="10"/>
      <c r="C1398" s="10"/>
      <c r="D1398" s="10"/>
    </row>
    <row r="1399" spans="1:4" x14ac:dyDescent="0.25">
      <c r="A1399" s="10"/>
      <c r="B1399" s="10"/>
      <c r="C1399" s="10"/>
      <c r="D1399" s="10"/>
    </row>
    <row r="1400" spans="1:4" x14ac:dyDescent="0.25">
      <c r="A1400" s="10"/>
      <c r="B1400" s="10"/>
      <c r="C1400" s="10"/>
      <c r="D1400" s="10"/>
    </row>
    <row r="1401" spans="1:4" x14ac:dyDescent="0.25">
      <c r="A1401" s="10"/>
      <c r="B1401" s="10"/>
      <c r="C1401" s="10"/>
      <c r="D1401" s="10"/>
    </row>
    <row r="1402" spans="1:4" x14ac:dyDescent="0.25">
      <c r="A1402" s="10"/>
      <c r="B1402" s="10"/>
      <c r="C1402" s="10"/>
      <c r="D1402" s="10"/>
    </row>
    <row r="1403" spans="1:4" x14ac:dyDescent="0.25">
      <c r="A1403" s="10"/>
      <c r="B1403" s="10"/>
      <c r="C1403" s="10"/>
      <c r="D1403" s="10"/>
    </row>
    <row r="1404" spans="1:4" x14ac:dyDescent="0.25">
      <c r="A1404" s="10"/>
      <c r="B1404" s="10"/>
      <c r="C1404" s="10"/>
      <c r="D1404" s="10"/>
    </row>
    <row r="1405" spans="1:4" x14ac:dyDescent="0.25">
      <c r="A1405" s="10"/>
      <c r="B1405" s="10"/>
      <c r="C1405" s="10"/>
      <c r="D1405" s="10"/>
    </row>
    <row r="1406" spans="1:4" x14ac:dyDescent="0.25">
      <c r="A1406" s="10"/>
      <c r="B1406" s="10"/>
      <c r="C1406" s="10"/>
      <c r="D1406" s="10"/>
    </row>
    <row r="1407" spans="1:4" x14ac:dyDescent="0.25">
      <c r="A1407" s="10"/>
      <c r="B1407" s="10"/>
      <c r="C1407" s="10"/>
      <c r="D1407" s="10"/>
    </row>
    <row r="1408" spans="1:4" x14ac:dyDescent="0.25">
      <c r="A1408" s="10"/>
      <c r="B1408" s="10"/>
      <c r="C1408" s="10"/>
      <c r="D1408" s="10"/>
    </row>
    <row r="1409" spans="1:4" x14ac:dyDescent="0.25">
      <c r="A1409" s="10"/>
      <c r="B1409" s="10"/>
      <c r="C1409" s="10"/>
      <c r="D1409" s="10"/>
    </row>
    <row r="1410" spans="1:4" x14ac:dyDescent="0.25">
      <c r="A1410" s="10"/>
      <c r="B1410" s="10"/>
      <c r="C1410" s="10"/>
      <c r="D1410" s="10"/>
    </row>
    <row r="1411" spans="1:4" x14ac:dyDescent="0.25">
      <c r="A1411" s="10"/>
      <c r="B1411" s="10"/>
      <c r="C1411" s="10"/>
      <c r="D1411" s="10"/>
    </row>
    <row r="1412" spans="1:4" x14ac:dyDescent="0.25">
      <c r="A1412" s="10"/>
      <c r="B1412" s="10"/>
      <c r="C1412" s="10"/>
      <c r="D1412" s="10"/>
    </row>
    <row r="1413" spans="1:4" x14ac:dyDescent="0.25">
      <c r="A1413" s="10"/>
      <c r="B1413" s="10"/>
      <c r="C1413" s="10"/>
      <c r="D1413" s="10"/>
    </row>
    <row r="1414" spans="1:4" x14ac:dyDescent="0.25">
      <c r="A1414" s="10"/>
      <c r="B1414" s="10"/>
      <c r="C1414" s="10"/>
      <c r="D1414" s="10"/>
    </row>
    <row r="1415" spans="1:4" x14ac:dyDescent="0.25">
      <c r="A1415" s="10"/>
      <c r="B1415" s="10"/>
      <c r="C1415" s="10"/>
      <c r="D1415" s="10"/>
    </row>
    <row r="1416" spans="1:4" x14ac:dyDescent="0.25">
      <c r="A1416" s="10"/>
      <c r="B1416" s="10"/>
      <c r="C1416" s="10"/>
      <c r="D1416" s="10"/>
    </row>
    <row r="1417" spans="1:4" x14ac:dyDescent="0.25">
      <c r="A1417" s="10"/>
      <c r="B1417" s="10"/>
      <c r="C1417" s="10"/>
      <c r="D1417" s="10"/>
    </row>
    <row r="1418" spans="1:4" x14ac:dyDescent="0.25">
      <c r="A1418" s="10"/>
      <c r="B1418" s="10"/>
      <c r="C1418" s="10"/>
      <c r="D1418" s="10"/>
    </row>
    <row r="1419" spans="1:4" x14ac:dyDescent="0.25">
      <c r="A1419" s="10"/>
      <c r="B1419" s="10"/>
      <c r="C1419" s="10"/>
      <c r="D1419" s="10"/>
    </row>
    <row r="1420" spans="1:4" x14ac:dyDescent="0.25">
      <c r="A1420" s="10"/>
      <c r="B1420" s="10"/>
      <c r="C1420" s="10"/>
      <c r="D1420" s="10"/>
    </row>
    <row r="1421" spans="1:4" x14ac:dyDescent="0.25">
      <c r="A1421" s="10"/>
      <c r="B1421" s="10"/>
      <c r="C1421" s="10"/>
      <c r="D1421" s="10"/>
    </row>
    <row r="1422" spans="1:4" x14ac:dyDescent="0.25">
      <c r="A1422" s="10"/>
      <c r="B1422" s="10"/>
      <c r="C1422" s="10"/>
      <c r="D1422" s="10"/>
    </row>
    <row r="1423" spans="1:4" x14ac:dyDescent="0.25">
      <c r="A1423" s="10"/>
      <c r="B1423" s="10"/>
      <c r="C1423" s="10"/>
      <c r="D1423" s="10"/>
    </row>
    <row r="1424" spans="1:4" x14ac:dyDescent="0.25">
      <c r="A1424" s="10"/>
      <c r="B1424" s="10"/>
      <c r="C1424" s="10"/>
      <c r="D1424" s="10"/>
    </row>
    <row r="1425" spans="1:4" x14ac:dyDescent="0.25">
      <c r="A1425" s="10"/>
      <c r="B1425" s="10"/>
      <c r="C1425" s="10"/>
      <c r="D1425" s="10"/>
    </row>
    <row r="1426" spans="1:4" x14ac:dyDescent="0.25">
      <c r="A1426" s="10"/>
      <c r="B1426" s="10"/>
      <c r="C1426" s="10"/>
      <c r="D1426" s="10"/>
    </row>
    <row r="1427" spans="1:4" x14ac:dyDescent="0.25">
      <c r="A1427" s="10"/>
      <c r="B1427" s="10"/>
      <c r="C1427" s="10"/>
      <c r="D1427" s="10"/>
    </row>
    <row r="1428" spans="1:4" x14ac:dyDescent="0.25">
      <c r="A1428" s="10"/>
      <c r="B1428" s="10"/>
      <c r="C1428" s="10"/>
      <c r="D1428" s="10"/>
    </row>
    <row r="1429" spans="1:4" x14ac:dyDescent="0.25">
      <c r="A1429" s="10"/>
      <c r="B1429" s="10"/>
      <c r="C1429" s="10"/>
      <c r="D1429" s="10"/>
    </row>
    <row r="1430" spans="1:4" x14ac:dyDescent="0.25">
      <c r="A1430" s="10"/>
      <c r="B1430" s="10"/>
      <c r="C1430" s="10"/>
      <c r="D1430" s="10"/>
    </row>
    <row r="1431" spans="1:4" x14ac:dyDescent="0.25">
      <c r="A1431" s="10"/>
      <c r="B1431" s="10"/>
      <c r="C1431" s="10"/>
      <c r="D1431" s="10"/>
    </row>
    <row r="1432" spans="1:4" x14ac:dyDescent="0.25">
      <c r="A1432" s="10"/>
      <c r="B1432" s="10"/>
      <c r="C1432" s="10"/>
      <c r="D1432" s="10"/>
    </row>
    <row r="1433" spans="1:4" x14ac:dyDescent="0.25">
      <c r="A1433" s="10"/>
      <c r="B1433" s="10"/>
      <c r="C1433" s="10"/>
      <c r="D1433" s="10"/>
    </row>
    <row r="1434" spans="1:4" x14ac:dyDescent="0.25">
      <c r="A1434" s="10"/>
      <c r="B1434" s="10"/>
      <c r="C1434" s="10"/>
      <c r="D1434" s="10"/>
    </row>
    <row r="1435" spans="1:4" x14ac:dyDescent="0.25">
      <c r="A1435" s="10"/>
      <c r="B1435" s="10"/>
      <c r="C1435" s="10"/>
      <c r="D1435" s="10"/>
    </row>
    <row r="1436" spans="1:4" x14ac:dyDescent="0.25">
      <c r="A1436" s="10"/>
      <c r="B1436" s="10"/>
      <c r="C1436" s="10"/>
      <c r="D1436" s="10"/>
    </row>
    <row r="1437" spans="1:4" x14ac:dyDescent="0.25">
      <c r="A1437" s="10"/>
      <c r="B1437" s="10"/>
      <c r="C1437" s="10"/>
      <c r="D1437" s="10"/>
    </row>
    <row r="1438" spans="1:4" x14ac:dyDescent="0.25">
      <c r="A1438" s="10"/>
      <c r="B1438" s="10"/>
      <c r="C1438" s="10"/>
      <c r="D1438" s="10"/>
    </row>
    <row r="1439" spans="1:4" x14ac:dyDescent="0.25">
      <c r="A1439" s="10"/>
      <c r="B1439" s="10"/>
      <c r="C1439" s="10"/>
      <c r="D1439" s="10"/>
    </row>
    <row r="1440" spans="1:4" x14ac:dyDescent="0.25">
      <c r="A1440" s="10"/>
      <c r="B1440" s="10"/>
      <c r="C1440" s="10"/>
      <c r="D1440" s="10"/>
    </row>
    <row r="1441" spans="1:4" x14ac:dyDescent="0.25">
      <c r="A1441" s="10"/>
      <c r="B1441" s="10"/>
      <c r="C1441" s="10"/>
      <c r="D1441" s="10"/>
    </row>
    <row r="1442" spans="1:4" x14ac:dyDescent="0.25">
      <c r="A1442" s="10"/>
      <c r="B1442" s="10"/>
      <c r="C1442" s="10"/>
      <c r="D1442" s="10"/>
    </row>
    <row r="1443" spans="1:4" x14ac:dyDescent="0.25">
      <c r="A1443" s="10"/>
      <c r="B1443" s="10"/>
      <c r="C1443" s="10"/>
      <c r="D1443" s="10"/>
    </row>
    <row r="1444" spans="1:4" x14ac:dyDescent="0.25">
      <c r="A1444" s="10"/>
      <c r="B1444" s="10"/>
      <c r="C1444" s="10"/>
      <c r="D1444" s="10"/>
    </row>
    <row r="1445" spans="1:4" x14ac:dyDescent="0.25">
      <c r="A1445" s="10"/>
      <c r="B1445" s="10"/>
      <c r="C1445" s="10"/>
      <c r="D1445" s="10"/>
    </row>
    <row r="1446" spans="1:4" x14ac:dyDescent="0.25">
      <c r="A1446" s="10"/>
      <c r="B1446" s="10"/>
      <c r="C1446" s="10"/>
      <c r="D1446" s="10"/>
    </row>
    <row r="1447" spans="1:4" x14ac:dyDescent="0.25">
      <c r="A1447" s="10"/>
      <c r="B1447" s="10"/>
      <c r="C1447" s="10"/>
      <c r="D1447" s="10"/>
    </row>
    <row r="1448" spans="1:4" x14ac:dyDescent="0.25">
      <c r="A1448" s="10"/>
      <c r="B1448" s="10"/>
      <c r="C1448" s="10"/>
      <c r="D1448" s="10"/>
    </row>
    <row r="1449" spans="1:4" x14ac:dyDescent="0.25">
      <c r="A1449" s="10"/>
      <c r="B1449" s="10"/>
      <c r="C1449" s="10"/>
      <c r="D1449" s="10"/>
    </row>
    <row r="1450" spans="1:4" x14ac:dyDescent="0.25">
      <c r="A1450" s="10"/>
      <c r="B1450" s="10"/>
      <c r="C1450" s="10"/>
      <c r="D1450" s="10"/>
    </row>
    <row r="1451" spans="1:4" x14ac:dyDescent="0.25">
      <c r="A1451" s="10"/>
      <c r="B1451" s="10"/>
      <c r="C1451" s="10"/>
      <c r="D1451" s="10"/>
    </row>
    <row r="1452" spans="1:4" x14ac:dyDescent="0.25">
      <c r="A1452" s="10"/>
      <c r="B1452" s="10"/>
      <c r="C1452" s="10"/>
      <c r="D1452" s="10"/>
    </row>
    <row r="1453" spans="1:4" x14ac:dyDescent="0.25">
      <c r="A1453" s="10"/>
      <c r="B1453" s="10"/>
      <c r="C1453" s="10"/>
      <c r="D1453" s="10"/>
    </row>
    <row r="1454" spans="1:4" x14ac:dyDescent="0.25">
      <c r="A1454" s="10"/>
      <c r="B1454" s="10"/>
      <c r="C1454" s="10"/>
      <c r="D1454" s="10"/>
    </row>
    <row r="1455" spans="1:4" x14ac:dyDescent="0.25">
      <c r="A1455" s="10"/>
      <c r="B1455" s="10"/>
      <c r="C1455" s="10"/>
      <c r="D1455" s="10"/>
    </row>
    <row r="1456" spans="1:4" x14ac:dyDescent="0.25">
      <c r="A1456" s="10"/>
      <c r="B1456" s="10"/>
      <c r="C1456" s="10"/>
      <c r="D1456" s="10"/>
    </row>
    <row r="1457" spans="1:4" x14ac:dyDescent="0.25">
      <c r="A1457" s="10"/>
      <c r="B1457" s="10"/>
      <c r="C1457" s="10"/>
      <c r="D1457" s="10"/>
    </row>
    <row r="1458" spans="1:4" x14ac:dyDescent="0.25">
      <c r="A1458" s="10"/>
      <c r="B1458" s="10"/>
      <c r="C1458" s="10"/>
      <c r="D1458" s="10"/>
    </row>
    <row r="1459" spans="1:4" x14ac:dyDescent="0.25">
      <c r="A1459" s="10"/>
      <c r="B1459" s="10"/>
      <c r="C1459" s="10"/>
      <c r="D1459" s="10"/>
    </row>
    <row r="1460" spans="1:4" x14ac:dyDescent="0.25">
      <c r="A1460" s="10"/>
      <c r="B1460" s="10"/>
      <c r="C1460" s="10"/>
      <c r="D1460" s="10"/>
    </row>
    <row r="1461" spans="1:4" x14ac:dyDescent="0.25">
      <c r="A1461" s="10"/>
      <c r="B1461" s="10"/>
      <c r="C1461" s="10"/>
      <c r="D1461" s="10"/>
    </row>
    <row r="1462" spans="1:4" x14ac:dyDescent="0.25">
      <c r="A1462" s="10"/>
      <c r="B1462" s="10"/>
      <c r="C1462" s="10"/>
      <c r="D1462" s="10"/>
    </row>
    <row r="1463" spans="1:4" x14ac:dyDescent="0.25">
      <c r="A1463" s="10"/>
      <c r="B1463" s="10"/>
      <c r="C1463" s="10"/>
      <c r="D1463" s="10"/>
    </row>
    <row r="1464" spans="1:4" x14ac:dyDescent="0.25">
      <c r="A1464" s="10"/>
      <c r="B1464" s="10"/>
      <c r="C1464" s="10"/>
      <c r="D1464" s="10"/>
    </row>
    <row r="1465" spans="1:4" x14ac:dyDescent="0.25">
      <c r="A1465" s="10"/>
      <c r="B1465" s="10"/>
      <c r="C1465" s="10"/>
      <c r="D1465" s="10"/>
    </row>
    <row r="1466" spans="1:4" x14ac:dyDescent="0.25">
      <c r="A1466" s="10"/>
      <c r="B1466" s="10"/>
      <c r="C1466" s="10"/>
      <c r="D1466" s="10"/>
    </row>
    <row r="1467" spans="1:4" x14ac:dyDescent="0.25">
      <c r="A1467" s="10"/>
      <c r="B1467" s="10"/>
      <c r="C1467" s="10"/>
      <c r="D1467" s="10"/>
    </row>
    <row r="1468" spans="1:4" x14ac:dyDescent="0.25">
      <c r="A1468" s="10"/>
      <c r="B1468" s="10"/>
      <c r="C1468" s="10"/>
      <c r="D1468" s="10"/>
    </row>
    <row r="1469" spans="1:4" x14ac:dyDescent="0.25">
      <c r="A1469" s="10"/>
      <c r="B1469" s="10"/>
      <c r="C1469" s="10"/>
      <c r="D1469" s="10"/>
    </row>
    <row r="1470" spans="1:4" x14ac:dyDescent="0.25">
      <c r="A1470" s="10"/>
      <c r="B1470" s="10"/>
      <c r="C1470" s="10"/>
      <c r="D1470" s="10"/>
    </row>
    <row r="1471" spans="1:4" x14ac:dyDescent="0.25">
      <c r="A1471" s="10"/>
      <c r="B1471" s="10"/>
      <c r="C1471" s="10"/>
      <c r="D1471" s="10"/>
    </row>
    <row r="1472" spans="1:4" x14ac:dyDescent="0.25">
      <c r="A1472" s="10"/>
      <c r="B1472" s="10"/>
      <c r="C1472" s="10"/>
      <c r="D1472" s="10"/>
    </row>
    <row r="1473" spans="1:4" x14ac:dyDescent="0.25">
      <c r="A1473" s="10"/>
      <c r="B1473" s="10"/>
      <c r="C1473" s="10"/>
      <c r="D1473" s="10"/>
    </row>
    <row r="1474" spans="1:4" x14ac:dyDescent="0.25">
      <c r="A1474" s="10"/>
      <c r="B1474" s="10"/>
      <c r="C1474" s="10"/>
      <c r="D1474" s="10"/>
    </row>
    <row r="1475" spans="1:4" x14ac:dyDescent="0.25">
      <c r="A1475" s="10"/>
      <c r="B1475" s="10"/>
      <c r="C1475" s="10"/>
      <c r="D1475" s="10"/>
    </row>
    <row r="1476" spans="1:4" x14ac:dyDescent="0.25">
      <c r="A1476" s="10"/>
      <c r="B1476" s="10"/>
      <c r="C1476" s="10"/>
      <c r="D1476" s="10"/>
    </row>
    <row r="1477" spans="1:4" x14ac:dyDescent="0.25">
      <c r="A1477" s="10"/>
      <c r="B1477" s="10"/>
      <c r="C1477" s="10"/>
      <c r="D1477" s="10"/>
    </row>
    <row r="1478" spans="1:4" x14ac:dyDescent="0.25">
      <c r="A1478" s="10"/>
      <c r="B1478" s="10"/>
      <c r="C1478" s="10"/>
      <c r="D1478" s="10"/>
    </row>
    <row r="1479" spans="1:4" x14ac:dyDescent="0.25">
      <c r="A1479" s="10"/>
      <c r="B1479" s="10"/>
      <c r="C1479" s="10"/>
      <c r="D1479" s="10"/>
    </row>
    <row r="1480" spans="1:4" x14ac:dyDescent="0.25">
      <c r="A1480" s="10"/>
      <c r="B1480" s="10"/>
      <c r="C1480" s="10"/>
      <c r="D1480" s="10"/>
    </row>
    <row r="1481" spans="1:4" x14ac:dyDescent="0.25">
      <c r="A1481" s="10"/>
      <c r="B1481" s="10"/>
      <c r="C1481" s="10"/>
      <c r="D1481" s="10"/>
    </row>
    <row r="1482" spans="1:4" x14ac:dyDescent="0.25">
      <c r="A1482" s="10"/>
      <c r="B1482" s="10"/>
      <c r="C1482" s="10"/>
      <c r="D1482" s="10"/>
    </row>
    <row r="1483" spans="1:4" x14ac:dyDescent="0.25">
      <c r="A1483" s="10"/>
      <c r="B1483" s="10"/>
      <c r="C1483" s="10"/>
      <c r="D1483" s="10"/>
    </row>
    <row r="1484" spans="1:4" x14ac:dyDescent="0.25">
      <c r="A1484" s="10"/>
      <c r="B1484" s="10"/>
      <c r="C1484" s="10"/>
      <c r="D1484" s="10"/>
    </row>
    <row r="1485" spans="1:4" x14ac:dyDescent="0.25">
      <c r="A1485" s="10"/>
      <c r="B1485" s="10"/>
      <c r="C1485" s="10"/>
      <c r="D1485" s="10"/>
    </row>
    <row r="1486" spans="1:4" x14ac:dyDescent="0.25">
      <c r="A1486" s="10"/>
      <c r="B1486" s="10"/>
      <c r="C1486" s="10"/>
      <c r="D1486" s="10"/>
    </row>
    <row r="1487" spans="1:4" x14ac:dyDescent="0.25">
      <c r="A1487" s="10"/>
      <c r="B1487" s="10"/>
      <c r="C1487" s="10"/>
      <c r="D1487" s="10"/>
    </row>
    <row r="1488" spans="1:4" x14ac:dyDescent="0.25">
      <c r="A1488" s="10"/>
      <c r="B1488" s="10"/>
      <c r="C1488" s="10"/>
      <c r="D1488" s="10"/>
    </row>
    <row r="1489" spans="1:4" x14ac:dyDescent="0.25">
      <c r="A1489" s="10"/>
      <c r="B1489" s="10"/>
      <c r="C1489" s="10"/>
      <c r="D1489" s="10"/>
    </row>
    <row r="1490" spans="1:4" x14ac:dyDescent="0.25">
      <c r="A1490" s="10"/>
      <c r="B1490" s="10"/>
      <c r="C1490" s="10"/>
      <c r="D1490" s="10"/>
    </row>
    <row r="1491" spans="1:4" x14ac:dyDescent="0.25">
      <c r="A1491" s="10"/>
      <c r="B1491" s="10"/>
      <c r="C1491" s="10"/>
      <c r="D1491" s="10"/>
    </row>
    <row r="1492" spans="1:4" x14ac:dyDescent="0.25">
      <c r="A1492" s="10"/>
      <c r="B1492" s="10"/>
      <c r="C1492" s="10"/>
      <c r="D1492" s="10"/>
    </row>
    <row r="1493" spans="1:4" x14ac:dyDescent="0.25">
      <c r="A1493" s="10"/>
      <c r="B1493" s="10"/>
      <c r="C1493" s="10"/>
      <c r="D1493" s="10"/>
    </row>
    <row r="1494" spans="1:4" x14ac:dyDescent="0.25">
      <c r="A1494" s="10"/>
      <c r="B1494" s="10"/>
      <c r="C1494" s="10"/>
      <c r="D1494" s="10"/>
    </row>
    <row r="1495" spans="1:4" x14ac:dyDescent="0.25">
      <c r="A1495" s="10"/>
      <c r="B1495" s="10"/>
      <c r="C1495" s="10"/>
      <c r="D1495" s="10"/>
    </row>
    <row r="1496" spans="1:4" x14ac:dyDescent="0.25">
      <c r="A1496" s="10"/>
      <c r="B1496" s="10"/>
      <c r="C1496" s="10"/>
      <c r="D1496" s="10"/>
    </row>
    <row r="1497" spans="1:4" x14ac:dyDescent="0.25">
      <c r="A1497" s="10"/>
      <c r="B1497" s="10"/>
      <c r="C1497" s="10"/>
      <c r="D1497" s="10"/>
    </row>
    <row r="1498" spans="1:4" x14ac:dyDescent="0.25">
      <c r="A1498" s="10"/>
      <c r="B1498" s="10"/>
      <c r="C1498" s="10"/>
      <c r="D1498" s="10"/>
    </row>
    <row r="1499" spans="1:4" x14ac:dyDescent="0.25">
      <c r="A1499" s="10"/>
      <c r="B1499" s="10"/>
      <c r="C1499" s="10"/>
      <c r="D1499" s="10"/>
    </row>
    <row r="1500" spans="1:4" x14ac:dyDescent="0.25">
      <c r="A1500" s="10"/>
      <c r="B1500" s="10"/>
      <c r="C1500" s="10"/>
      <c r="D1500" s="10"/>
    </row>
    <row r="1501" spans="1:4" x14ac:dyDescent="0.25">
      <c r="A1501" s="10"/>
      <c r="B1501" s="10"/>
      <c r="C1501" s="10"/>
      <c r="D1501" s="10"/>
    </row>
    <row r="1502" spans="1:4" x14ac:dyDescent="0.25">
      <c r="A1502" s="10"/>
      <c r="B1502" s="10"/>
      <c r="C1502" s="10"/>
      <c r="D1502" s="10"/>
    </row>
    <row r="1503" spans="1:4" x14ac:dyDescent="0.25">
      <c r="A1503" s="10"/>
      <c r="B1503" s="10"/>
      <c r="C1503" s="10"/>
      <c r="D1503" s="10"/>
    </row>
    <row r="1504" spans="1:4" x14ac:dyDescent="0.25">
      <c r="A1504" s="10"/>
      <c r="B1504" s="10"/>
      <c r="C1504" s="10"/>
      <c r="D1504" s="10"/>
    </row>
    <row r="1505" spans="1:4" x14ac:dyDescent="0.25">
      <c r="A1505" s="10"/>
      <c r="B1505" s="10"/>
      <c r="C1505" s="10"/>
      <c r="D1505" s="10"/>
    </row>
    <row r="1506" spans="1:4" x14ac:dyDescent="0.25">
      <c r="A1506" s="10"/>
      <c r="B1506" s="10"/>
      <c r="C1506" s="10"/>
      <c r="D1506" s="10"/>
    </row>
    <row r="1507" spans="1:4" x14ac:dyDescent="0.25">
      <c r="A1507" s="10"/>
      <c r="B1507" s="10"/>
      <c r="C1507" s="10"/>
      <c r="D1507" s="10"/>
    </row>
    <row r="1508" spans="1:4" x14ac:dyDescent="0.25">
      <c r="A1508" s="10"/>
      <c r="B1508" s="10"/>
      <c r="C1508" s="10"/>
      <c r="D1508" s="10"/>
    </row>
    <row r="1509" spans="1:4" x14ac:dyDescent="0.25">
      <c r="A1509" s="10"/>
      <c r="B1509" s="10"/>
      <c r="C1509" s="10"/>
      <c r="D1509" s="10"/>
    </row>
    <row r="1510" spans="1:4" x14ac:dyDescent="0.25">
      <c r="A1510" s="10"/>
      <c r="B1510" s="10"/>
      <c r="C1510" s="10"/>
      <c r="D1510" s="10"/>
    </row>
    <row r="1511" spans="1:4" x14ac:dyDescent="0.25">
      <c r="A1511" s="10"/>
      <c r="B1511" s="10"/>
      <c r="C1511" s="10"/>
      <c r="D1511" s="10"/>
    </row>
    <row r="1512" spans="1:4" x14ac:dyDescent="0.25">
      <c r="A1512" s="10"/>
      <c r="B1512" s="10"/>
      <c r="C1512" s="10"/>
      <c r="D1512" s="10"/>
    </row>
    <row r="1513" spans="1:4" x14ac:dyDescent="0.25">
      <c r="A1513" s="10"/>
      <c r="B1513" s="10"/>
      <c r="C1513" s="10"/>
      <c r="D1513" s="10"/>
    </row>
    <row r="1514" spans="1:4" x14ac:dyDescent="0.25">
      <c r="A1514" s="10"/>
      <c r="B1514" s="10"/>
      <c r="C1514" s="10"/>
      <c r="D1514" s="10"/>
    </row>
    <row r="1515" spans="1:4" x14ac:dyDescent="0.25">
      <c r="A1515" s="10"/>
      <c r="B1515" s="10"/>
      <c r="C1515" s="10"/>
      <c r="D1515" s="10"/>
    </row>
    <row r="1516" spans="1:4" x14ac:dyDescent="0.25">
      <c r="A1516" s="10"/>
      <c r="B1516" s="10"/>
      <c r="C1516" s="10"/>
      <c r="D1516" s="10"/>
    </row>
    <row r="1517" spans="1:4" x14ac:dyDescent="0.25">
      <c r="A1517" s="10"/>
      <c r="B1517" s="10"/>
      <c r="C1517" s="10"/>
      <c r="D1517" s="10"/>
    </row>
    <row r="1518" spans="1:4" x14ac:dyDescent="0.25">
      <c r="A1518" s="10"/>
      <c r="B1518" s="10"/>
      <c r="C1518" s="10"/>
      <c r="D1518" s="10"/>
    </row>
    <row r="1519" spans="1:4" x14ac:dyDescent="0.25">
      <c r="A1519" s="10"/>
      <c r="B1519" s="10"/>
      <c r="C1519" s="10"/>
      <c r="D1519" s="10"/>
    </row>
    <row r="1520" spans="1:4" x14ac:dyDescent="0.25">
      <c r="A1520" s="10"/>
      <c r="B1520" s="10"/>
      <c r="C1520" s="10"/>
      <c r="D1520" s="10"/>
    </row>
    <row r="1521" spans="1:4" x14ac:dyDescent="0.25">
      <c r="A1521" s="10"/>
      <c r="B1521" s="10"/>
      <c r="C1521" s="10"/>
      <c r="D1521" s="10"/>
    </row>
    <row r="1522" spans="1:4" x14ac:dyDescent="0.25">
      <c r="A1522" s="10"/>
      <c r="B1522" s="10"/>
      <c r="C1522" s="10"/>
      <c r="D1522" s="10"/>
    </row>
    <row r="1523" spans="1:4" x14ac:dyDescent="0.25">
      <c r="A1523" s="10"/>
      <c r="B1523" s="10"/>
      <c r="C1523" s="10"/>
      <c r="D1523" s="10"/>
    </row>
    <row r="1524" spans="1:4" x14ac:dyDescent="0.25">
      <c r="A1524" s="10"/>
      <c r="B1524" s="10"/>
      <c r="C1524" s="10"/>
      <c r="D1524" s="10"/>
    </row>
    <row r="1525" spans="1:4" x14ac:dyDescent="0.25">
      <c r="A1525" s="10"/>
      <c r="B1525" s="10"/>
      <c r="C1525" s="10"/>
      <c r="D1525" s="10"/>
    </row>
    <row r="1526" spans="1:4" x14ac:dyDescent="0.25">
      <c r="A1526" s="10"/>
      <c r="B1526" s="10"/>
      <c r="C1526" s="10"/>
      <c r="D1526" s="10"/>
    </row>
    <row r="1527" spans="1:4" x14ac:dyDescent="0.25">
      <c r="A1527" s="10"/>
      <c r="B1527" s="10"/>
      <c r="C1527" s="10"/>
      <c r="D1527" s="10"/>
    </row>
    <row r="1528" spans="1:4" x14ac:dyDescent="0.25">
      <c r="A1528" s="10"/>
      <c r="B1528" s="10"/>
      <c r="C1528" s="10"/>
      <c r="D1528" s="10"/>
    </row>
    <row r="1529" spans="1:4" x14ac:dyDescent="0.25">
      <c r="A1529" s="10"/>
      <c r="B1529" s="10"/>
      <c r="C1529" s="10"/>
      <c r="D1529" s="10"/>
    </row>
    <row r="1530" spans="1:4" x14ac:dyDescent="0.25">
      <c r="A1530" s="10"/>
      <c r="B1530" s="10"/>
      <c r="C1530" s="10"/>
      <c r="D1530" s="10"/>
    </row>
    <row r="1531" spans="1:4" x14ac:dyDescent="0.25">
      <c r="A1531" s="10"/>
      <c r="B1531" s="10"/>
      <c r="C1531" s="10"/>
      <c r="D1531" s="10"/>
    </row>
    <row r="1532" spans="1:4" x14ac:dyDescent="0.25">
      <c r="A1532" s="10"/>
      <c r="B1532" s="10"/>
      <c r="C1532" s="10"/>
      <c r="D1532" s="10"/>
    </row>
    <row r="1533" spans="1:4" x14ac:dyDescent="0.25">
      <c r="A1533" s="10"/>
      <c r="B1533" s="10"/>
      <c r="C1533" s="10"/>
      <c r="D1533" s="10"/>
    </row>
    <row r="1534" spans="1:4" x14ac:dyDescent="0.25">
      <c r="A1534" s="10"/>
      <c r="B1534" s="10"/>
      <c r="C1534" s="10"/>
      <c r="D1534" s="10"/>
    </row>
    <row r="1535" spans="1:4" x14ac:dyDescent="0.25">
      <c r="A1535" s="10"/>
      <c r="B1535" s="10"/>
      <c r="C1535" s="10"/>
      <c r="D1535" s="10"/>
    </row>
    <row r="1536" spans="1:4" x14ac:dyDescent="0.25">
      <c r="A1536" s="10"/>
      <c r="B1536" s="10"/>
      <c r="C1536" s="10"/>
      <c r="D1536" s="10"/>
    </row>
    <row r="1537" spans="1:4" x14ac:dyDescent="0.25">
      <c r="A1537" s="10"/>
      <c r="B1537" s="10"/>
      <c r="C1537" s="10"/>
      <c r="D1537" s="10"/>
    </row>
    <row r="1538" spans="1:4" x14ac:dyDescent="0.25">
      <c r="A1538" s="10"/>
      <c r="B1538" s="10"/>
      <c r="C1538" s="10"/>
      <c r="D1538" s="10"/>
    </row>
    <row r="1539" spans="1:4" x14ac:dyDescent="0.25">
      <c r="A1539" s="10"/>
      <c r="B1539" s="10"/>
      <c r="C1539" s="10"/>
      <c r="D1539" s="10"/>
    </row>
    <row r="1540" spans="1:4" x14ac:dyDescent="0.25">
      <c r="A1540" s="10"/>
      <c r="B1540" s="10"/>
      <c r="C1540" s="10"/>
      <c r="D1540" s="10"/>
    </row>
    <row r="1541" spans="1:4" x14ac:dyDescent="0.25">
      <c r="A1541" s="10"/>
      <c r="B1541" s="10"/>
      <c r="C1541" s="10"/>
      <c r="D1541" s="10"/>
    </row>
    <row r="1542" spans="1:4" x14ac:dyDescent="0.25">
      <c r="A1542" s="10"/>
      <c r="B1542" s="10"/>
      <c r="C1542" s="10"/>
      <c r="D1542" s="10"/>
    </row>
    <row r="1543" spans="1:4" x14ac:dyDescent="0.25">
      <c r="A1543" s="10"/>
      <c r="B1543" s="10"/>
      <c r="C1543" s="10"/>
      <c r="D1543" s="10"/>
    </row>
    <row r="1544" spans="1:4" x14ac:dyDescent="0.25">
      <c r="A1544" s="10"/>
      <c r="B1544" s="10"/>
      <c r="C1544" s="10"/>
      <c r="D1544" s="10"/>
    </row>
    <row r="1545" spans="1:4" x14ac:dyDescent="0.25">
      <c r="A1545" s="10"/>
      <c r="B1545" s="10"/>
      <c r="C1545" s="10"/>
      <c r="D1545" s="10"/>
    </row>
    <row r="1546" spans="1:4" x14ac:dyDescent="0.25">
      <c r="A1546" s="10"/>
      <c r="B1546" s="10"/>
      <c r="C1546" s="10"/>
      <c r="D1546" s="10"/>
    </row>
    <row r="1547" spans="1:4" x14ac:dyDescent="0.25">
      <c r="A1547" s="10"/>
      <c r="B1547" s="10"/>
      <c r="C1547" s="10"/>
      <c r="D1547" s="10"/>
    </row>
    <row r="1548" spans="1:4" x14ac:dyDescent="0.25">
      <c r="A1548" s="10"/>
      <c r="B1548" s="10"/>
      <c r="C1548" s="10"/>
      <c r="D1548" s="10"/>
    </row>
    <row r="1549" spans="1:4" x14ac:dyDescent="0.25">
      <c r="A1549" s="10"/>
      <c r="B1549" s="10"/>
      <c r="C1549" s="10"/>
      <c r="D1549" s="10"/>
    </row>
    <row r="1550" spans="1:4" x14ac:dyDescent="0.25">
      <c r="A1550" s="10"/>
      <c r="B1550" s="10"/>
      <c r="C1550" s="10"/>
      <c r="D1550" s="10"/>
    </row>
    <row r="1551" spans="1:4" x14ac:dyDescent="0.25">
      <c r="A1551" s="10"/>
      <c r="B1551" s="10"/>
      <c r="C1551" s="10"/>
      <c r="D1551" s="10"/>
    </row>
    <row r="1552" spans="1:4" x14ac:dyDescent="0.25">
      <c r="A1552" s="10"/>
      <c r="B1552" s="10"/>
      <c r="C1552" s="10"/>
      <c r="D1552" s="10"/>
    </row>
    <row r="1553" spans="1:4" x14ac:dyDescent="0.25">
      <c r="A1553" s="10"/>
      <c r="B1553" s="10"/>
      <c r="C1553" s="10"/>
      <c r="D1553" s="10"/>
    </row>
    <row r="1554" spans="1:4" x14ac:dyDescent="0.25">
      <c r="A1554" s="10"/>
      <c r="B1554" s="10"/>
      <c r="C1554" s="10"/>
      <c r="D1554" s="10"/>
    </row>
    <row r="1555" spans="1:4" x14ac:dyDescent="0.25">
      <c r="A1555" s="10"/>
      <c r="B1555" s="10"/>
      <c r="C1555" s="10"/>
      <c r="D1555" s="10"/>
    </row>
    <row r="1556" spans="1:4" x14ac:dyDescent="0.25">
      <c r="A1556" s="10"/>
      <c r="B1556" s="10"/>
      <c r="C1556" s="10"/>
      <c r="D1556" s="10"/>
    </row>
    <row r="1557" spans="1:4" x14ac:dyDescent="0.25">
      <c r="A1557" s="10"/>
      <c r="B1557" s="10"/>
      <c r="C1557" s="10"/>
      <c r="D1557" s="10"/>
    </row>
    <row r="1558" spans="1:4" x14ac:dyDescent="0.25">
      <c r="A1558" s="10"/>
      <c r="B1558" s="10"/>
      <c r="C1558" s="10"/>
      <c r="D1558" s="10"/>
    </row>
    <row r="1559" spans="1:4" x14ac:dyDescent="0.25">
      <c r="A1559" s="10"/>
      <c r="B1559" s="10"/>
      <c r="C1559" s="10"/>
      <c r="D1559" s="10"/>
    </row>
    <row r="1560" spans="1:4" x14ac:dyDescent="0.25">
      <c r="A1560" s="10"/>
      <c r="B1560" s="10"/>
      <c r="C1560" s="10"/>
      <c r="D1560" s="10"/>
    </row>
    <row r="1561" spans="1:4" x14ac:dyDescent="0.25">
      <c r="A1561" s="10"/>
      <c r="B1561" s="10"/>
      <c r="C1561" s="10"/>
      <c r="D1561" s="10"/>
    </row>
    <row r="1562" spans="1:4" x14ac:dyDescent="0.25">
      <c r="A1562" s="10"/>
      <c r="B1562" s="10"/>
      <c r="C1562" s="10"/>
      <c r="D1562" s="10"/>
    </row>
    <row r="1563" spans="1:4" x14ac:dyDescent="0.25">
      <c r="A1563" s="10"/>
      <c r="B1563" s="10"/>
      <c r="C1563" s="10"/>
      <c r="D1563" s="10"/>
    </row>
    <row r="1564" spans="1:4" x14ac:dyDescent="0.25">
      <c r="A1564" s="10"/>
      <c r="B1564" s="10"/>
      <c r="C1564" s="10"/>
      <c r="D1564" s="10"/>
    </row>
    <row r="1565" spans="1:4" x14ac:dyDescent="0.25">
      <c r="A1565" s="10"/>
      <c r="B1565" s="10"/>
      <c r="C1565" s="10"/>
      <c r="D1565" s="10"/>
    </row>
    <row r="1566" spans="1:4" x14ac:dyDescent="0.25">
      <c r="A1566" s="10"/>
      <c r="B1566" s="10"/>
      <c r="C1566" s="10"/>
      <c r="D1566" s="10"/>
    </row>
    <row r="1567" spans="1:4" x14ac:dyDescent="0.25">
      <c r="A1567" s="10"/>
      <c r="B1567" s="10"/>
      <c r="C1567" s="10"/>
      <c r="D1567" s="10"/>
    </row>
    <row r="1568" spans="1:4" x14ac:dyDescent="0.25">
      <c r="A1568" s="10"/>
      <c r="B1568" s="10"/>
      <c r="C1568" s="10"/>
      <c r="D1568" s="10"/>
    </row>
    <row r="1569" spans="1:4" x14ac:dyDescent="0.25">
      <c r="A1569" s="10"/>
      <c r="B1569" s="10"/>
      <c r="C1569" s="10"/>
      <c r="D1569" s="10"/>
    </row>
    <row r="1570" spans="1:4" x14ac:dyDescent="0.25">
      <c r="A1570" s="10"/>
      <c r="B1570" s="10"/>
      <c r="C1570" s="10"/>
      <c r="D1570" s="10"/>
    </row>
    <row r="1571" spans="1:4" x14ac:dyDescent="0.25">
      <c r="A1571" s="10"/>
      <c r="B1571" s="10"/>
      <c r="C1571" s="10"/>
      <c r="D1571" s="10"/>
    </row>
    <row r="1572" spans="1:4" x14ac:dyDescent="0.25">
      <c r="A1572" s="10"/>
      <c r="B1572" s="10"/>
      <c r="C1572" s="10"/>
      <c r="D1572" s="10"/>
    </row>
    <row r="1573" spans="1:4" x14ac:dyDescent="0.25">
      <c r="A1573" s="10"/>
      <c r="B1573" s="10"/>
      <c r="C1573" s="10"/>
      <c r="D1573" s="10"/>
    </row>
    <row r="1574" spans="1:4" x14ac:dyDescent="0.25">
      <c r="A1574" s="10"/>
      <c r="B1574" s="10"/>
      <c r="C1574" s="10"/>
      <c r="D1574" s="10"/>
    </row>
    <row r="1575" spans="1:4" x14ac:dyDescent="0.25">
      <c r="A1575" s="10"/>
      <c r="B1575" s="10"/>
      <c r="C1575" s="10"/>
      <c r="D1575" s="10"/>
    </row>
    <row r="1576" spans="1:4" x14ac:dyDescent="0.25">
      <c r="A1576" s="10"/>
      <c r="B1576" s="10"/>
      <c r="C1576" s="10"/>
      <c r="D1576" s="10"/>
    </row>
    <row r="1577" spans="1:4" x14ac:dyDescent="0.25">
      <c r="A1577" s="10"/>
      <c r="B1577" s="10"/>
      <c r="C1577" s="10"/>
      <c r="D1577" s="10"/>
    </row>
    <row r="1578" spans="1:4" x14ac:dyDescent="0.25">
      <c r="A1578" s="10"/>
      <c r="B1578" s="10"/>
      <c r="C1578" s="10"/>
      <c r="D1578" s="10"/>
    </row>
    <row r="1579" spans="1:4" x14ac:dyDescent="0.25">
      <c r="A1579" s="10"/>
      <c r="B1579" s="10"/>
      <c r="C1579" s="10"/>
      <c r="D1579" s="10"/>
    </row>
    <row r="1580" spans="1:4" x14ac:dyDescent="0.25">
      <c r="A1580" s="10"/>
      <c r="B1580" s="10"/>
      <c r="C1580" s="10"/>
      <c r="D1580" s="10"/>
    </row>
    <row r="1581" spans="1:4" x14ac:dyDescent="0.25">
      <c r="A1581" s="10"/>
      <c r="B1581" s="10"/>
      <c r="C1581" s="10"/>
      <c r="D1581" s="10"/>
    </row>
    <row r="1582" spans="1:4" x14ac:dyDescent="0.25">
      <c r="A1582" s="10"/>
      <c r="B1582" s="10"/>
      <c r="C1582" s="10"/>
      <c r="D1582" s="10"/>
    </row>
    <row r="1583" spans="1:4" x14ac:dyDescent="0.25">
      <c r="A1583" s="10"/>
      <c r="B1583" s="10"/>
      <c r="C1583" s="10"/>
      <c r="D1583" s="10"/>
    </row>
    <row r="1584" spans="1:4" x14ac:dyDescent="0.25">
      <c r="A1584" s="10"/>
      <c r="B1584" s="10"/>
      <c r="C1584" s="10"/>
      <c r="D1584" s="10"/>
    </row>
    <row r="1585" spans="1:4" x14ac:dyDescent="0.25">
      <c r="A1585" s="10"/>
      <c r="B1585" s="10"/>
      <c r="C1585" s="10"/>
      <c r="D1585" s="10"/>
    </row>
    <row r="1586" spans="1:4" x14ac:dyDescent="0.25">
      <c r="A1586" s="10"/>
      <c r="B1586" s="10"/>
      <c r="C1586" s="10"/>
      <c r="D1586" s="10"/>
    </row>
    <row r="1587" spans="1:4" x14ac:dyDescent="0.25">
      <c r="A1587" s="10"/>
      <c r="B1587" s="10"/>
      <c r="C1587" s="10"/>
      <c r="D1587" s="10"/>
    </row>
    <row r="1588" spans="1:4" x14ac:dyDescent="0.25">
      <c r="A1588" s="10"/>
      <c r="B1588" s="10"/>
      <c r="C1588" s="10"/>
      <c r="D1588" s="10"/>
    </row>
    <row r="1589" spans="1:4" x14ac:dyDescent="0.25">
      <c r="A1589" s="10"/>
      <c r="B1589" s="10"/>
      <c r="C1589" s="10"/>
      <c r="D1589" s="10"/>
    </row>
    <row r="1590" spans="1:4" x14ac:dyDescent="0.25">
      <c r="A1590" s="10"/>
      <c r="B1590" s="10"/>
      <c r="C1590" s="10"/>
      <c r="D1590" s="10"/>
    </row>
    <row r="1591" spans="1:4" x14ac:dyDescent="0.25">
      <c r="A1591" s="10"/>
      <c r="B1591" s="10"/>
      <c r="C1591" s="10"/>
      <c r="D1591" s="10"/>
    </row>
    <row r="1592" spans="1:4" x14ac:dyDescent="0.25">
      <c r="A1592" s="10"/>
      <c r="B1592" s="10"/>
      <c r="C1592" s="10"/>
      <c r="D1592" s="10"/>
    </row>
    <row r="1593" spans="1:4" x14ac:dyDescent="0.25">
      <c r="A1593" s="10"/>
      <c r="B1593" s="10"/>
      <c r="C1593" s="10"/>
      <c r="D1593" s="10"/>
    </row>
    <row r="1594" spans="1:4" x14ac:dyDescent="0.25">
      <c r="A1594" s="10"/>
      <c r="B1594" s="10"/>
      <c r="C1594" s="10"/>
      <c r="D1594" s="10"/>
    </row>
    <row r="1595" spans="1:4" x14ac:dyDescent="0.25">
      <c r="A1595" s="10"/>
      <c r="B1595" s="10"/>
      <c r="C1595" s="10"/>
      <c r="D1595" s="10"/>
    </row>
    <row r="1596" spans="1:4" x14ac:dyDescent="0.25">
      <c r="A1596" s="10"/>
      <c r="B1596" s="10"/>
      <c r="C1596" s="10"/>
      <c r="D1596" s="10"/>
    </row>
    <row r="1597" spans="1:4" x14ac:dyDescent="0.25">
      <c r="A1597" s="10"/>
      <c r="B1597" s="10"/>
      <c r="C1597" s="10"/>
      <c r="D1597" s="10"/>
    </row>
    <row r="1598" spans="1:4" x14ac:dyDescent="0.25">
      <c r="A1598" s="10"/>
      <c r="B1598" s="10"/>
      <c r="C1598" s="10"/>
      <c r="D1598" s="10"/>
    </row>
    <row r="1599" spans="1:4" x14ac:dyDescent="0.25">
      <c r="A1599" s="10"/>
      <c r="B1599" s="10"/>
      <c r="C1599" s="10"/>
      <c r="D1599" s="10"/>
    </row>
    <row r="1600" spans="1:4" x14ac:dyDescent="0.25">
      <c r="A1600" s="10"/>
      <c r="B1600" s="10"/>
      <c r="C1600" s="10"/>
      <c r="D1600" s="10"/>
    </row>
    <row r="1601" spans="1:4" x14ac:dyDescent="0.25">
      <c r="A1601" s="10"/>
      <c r="B1601" s="10"/>
      <c r="C1601" s="10"/>
      <c r="D1601" s="10"/>
    </row>
    <row r="1602" spans="1:4" x14ac:dyDescent="0.25">
      <c r="A1602" s="10"/>
      <c r="B1602" s="10"/>
      <c r="C1602" s="10"/>
      <c r="D1602" s="10"/>
    </row>
    <row r="1603" spans="1:4" x14ac:dyDescent="0.25">
      <c r="A1603" s="10"/>
      <c r="B1603" s="10"/>
      <c r="C1603" s="10"/>
      <c r="D1603" s="10"/>
    </row>
    <row r="1604" spans="1:4" x14ac:dyDescent="0.25">
      <c r="A1604" s="10"/>
      <c r="B1604" s="10"/>
      <c r="C1604" s="10"/>
      <c r="D1604" s="10"/>
    </row>
    <row r="1605" spans="1:4" x14ac:dyDescent="0.25">
      <c r="A1605" s="10"/>
      <c r="B1605" s="10"/>
      <c r="C1605" s="10"/>
      <c r="D1605" s="10"/>
    </row>
    <row r="1606" spans="1:4" x14ac:dyDescent="0.25">
      <c r="A1606" s="10"/>
      <c r="B1606" s="10"/>
      <c r="C1606" s="10"/>
      <c r="D1606" s="10"/>
    </row>
    <row r="1607" spans="1:4" x14ac:dyDescent="0.25">
      <c r="A1607" s="10"/>
      <c r="B1607" s="10"/>
      <c r="C1607" s="10"/>
      <c r="D1607" s="10"/>
    </row>
    <row r="1608" spans="1:4" x14ac:dyDescent="0.25">
      <c r="A1608" s="10"/>
      <c r="B1608" s="10"/>
      <c r="C1608" s="10"/>
      <c r="D1608" s="10"/>
    </row>
    <row r="1609" spans="1:4" x14ac:dyDescent="0.25">
      <c r="A1609" s="10"/>
      <c r="B1609" s="10"/>
      <c r="C1609" s="10"/>
      <c r="D1609" s="10"/>
    </row>
    <row r="1610" spans="1:4" x14ac:dyDescent="0.25">
      <c r="A1610" s="10"/>
      <c r="B1610" s="10"/>
      <c r="C1610" s="10"/>
      <c r="D1610" s="10"/>
    </row>
    <row r="1611" spans="1:4" x14ac:dyDescent="0.25">
      <c r="A1611" s="10"/>
      <c r="B1611" s="10"/>
      <c r="C1611" s="10"/>
      <c r="D1611" s="10"/>
    </row>
    <row r="1612" spans="1:4" x14ac:dyDescent="0.25">
      <c r="A1612" s="10"/>
      <c r="B1612" s="10"/>
      <c r="C1612" s="10"/>
      <c r="D1612" s="10"/>
    </row>
    <row r="1613" spans="1:4" x14ac:dyDescent="0.25">
      <c r="A1613" s="10"/>
      <c r="B1613" s="10"/>
      <c r="C1613" s="10"/>
      <c r="D1613" s="10"/>
    </row>
    <row r="1614" spans="1:4" x14ac:dyDescent="0.25">
      <c r="A1614" s="10"/>
      <c r="B1614" s="10"/>
      <c r="C1614" s="10"/>
      <c r="D1614" s="10"/>
    </row>
    <row r="1615" spans="1:4" x14ac:dyDescent="0.25">
      <c r="A1615" s="10"/>
      <c r="B1615" s="10"/>
      <c r="C1615" s="10"/>
      <c r="D1615" s="10"/>
    </row>
    <row r="1616" spans="1:4" x14ac:dyDescent="0.25">
      <c r="A1616" s="10"/>
      <c r="B1616" s="10"/>
      <c r="C1616" s="10"/>
      <c r="D1616" s="10"/>
    </row>
    <row r="1617" spans="1:4" x14ac:dyDescent="0.25">
      <c r="A1617" s="10"/>
      <c r="B1617" s="10"/>
      <c r="C1617" s="10"/>
      <c r="D1617" s="10"/>
    </row>
    <row r="1618" spans="1:4" x14ac:dyDescent="0.25">
      <c r="A1618" s="10"/>
      <c r="B1618" s="10"/>
      <c r="C1618" s="10"/>
      <c r="D1618" s="10"/>
    </row>
    <row r="1619" spans="1:4" x14ac:dyDescent="0.25">
      <c r="A1619" s="10"/>
      <c r="B1619" s="10"/>
      <c r="C1619" s="10"/>
      <c r="D1619" s="10"/>
    </row>
    <row r="1620" spans="1:4" x14ac:dyDescent="0.25">
      <c r="A1620" s="10"/>
      <c r="B1620" s="10"/>
      <c r="C1620" s="10"/>
      <c r="D1620" s="10"/>
    </row>
    <row r="1621" spans="1:4" x14ac:dyDescent="0.25">
      <c r="A1621" s="10"/>
      <c r="B1621" s="10"/>
      <c r="C1621" s="10"/>
      <c r="D1621" s="10"/>
    </row>
    <row r="1622" spans="1:4" x14ac:dyDescent="0.25">
      <c r="A1622" s="10"/>
      <c r="B1622" s="10"/>
      <c r="C1622" s="10"/>
      <c r="D1622" s="10"/>
    </row>
    <row r="1623" spans="1:4" x14ac:dyDescent="0.25">
      <c r="A1623" s="10"/>
      <c r="B1623" s="10"/>
      <c r="C1623" s="10"/>
      <c r="D1623" s="10"/>
    </row>
    <row r="1624" spans="1:4" x14ac:dyDescent="0.25">
      <c r="A1624" s="10"/>
      <c r="B1624" s="10"/>
      <c r="C1624" s="10"/>
      <c r="D1624" s="10"/>
    </row>
    <row r="1625" spans="1:4" x14ac:dyDescent="0.25">
      <c r="A1625" s="10"/>
      <c r="B1625" s="10"/>
      <c r="C1625" s="10"/>
      <c r="D1625" s="10"/>
    </row>
    <row r="1626" spans="1:4" x14ac:dyDescent="0.25">
      <c r="A1626" s="10"/>
      <c r="B1626" s="10"/>
      <c r="C1626" s="10"/>
      <c r="D1626" s="10"/>
    </row>
    <row r="1627" spans="1:4" x14ac:dyDescent="0.25">
      <c r="A1627" s="10"/>
      <c r="B1627" s="10"/>
      <c r="C1627" s="10"/>
      <c r="D1627" s="10"/>
    </row>
  </sheetData>
  <sheetProtection algorithmName="SHA-512" hashValue="bFx6eWHIDLZVAdWxq0s3i9P1hTrby3LgdWgYG/HqNOv5oTaesUW+VE1eirjSrHSeX8G7NWeX3M/z4pbz81/jrw==" saltValue="wwoj06cbYog2bfrzrngC6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P37:R37"/>
    <mergeCell ref="S37:U37"/>
    <mergeCell ref="AC37:AF37"/>
    <mergeCell ref="W37:AB37"/>
    <mergeCell ref="I34:AF36"/>
    <mergeCell ref="I138:AF140"/>
    <mergeCell ref="P141:R141"/>
    <mergeCell ref="S141:U141"/>
    <mergeCell ref="W141:AB141"/>
    <mergeCell ref="AC141:AF141"/>
    <mergeCell ref="I1:M3"/>
    <mergeCell ref="A1:E3"/>
    <mergeCell ref="A33:E35"/>
    <mergeCell ref="A64:E66"/>
    <mergeCell ref="A97:E99"/>
    <mergeCell ref="A200:F202"/>
    <mergeCell ref="A222:F224"/>
    <mergeCell ref="A163:E165"/>
    <mergeCell ref="A183:E185"/>
    <mergeCell ref="A127:E129"/>
    <mergeCell ref="A148:E150"/>
  </mergeCells>
  <conditionalFormatting sqref="P239:AF239 P40:AF135 P144:R238 S145:AF238">
    <cfRule type="containsText" dxfId="320" priority="14" operator="containsText" text="&quot;True&quot;">
      <formula>NOT(ISERROR(SEARCH("""True""",P40)))</formula>
    </cfRule>
  </conditionalFormatting>
  <conditionalFormatting sqref="P239:AF239 P40:AF135 P144:R238 S145:AF238">
    <cfRule type="containsText" dxfId="319" priority="13" operator="containsText" text="TRUE">
      <formula>NOT(ISERROR(SEARCH("TRUE",P40)))</formula>
    </cfRule>
  </conditionalFormatting>
  <conditionalFormatting sqref="S144:AF144">
    <cfRule type="containsText" dxfId="318" priority="2" operator="containsText" text="&quot;True&quot;">
      <formula>NOT(ISERROR(SEARCH("""True""",S144)))</formula>
    </cfRule>
  </conditionalFormatting>
  <conditionalFormatting sqref="S144:AF144">
    <cfRule type="containsText" dxfId="317" priority="1" operator="containsText" text="TRUE">
      <formula>NOT(ISERROR(SEARCH("TRUE",S144)))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Q89"/>
  <sheetViews>
    <sheetView workbookViewId="0">
      <selection activeCell="A5" sqref="A5"/>
    </sheetView>
  </sheetViews>
  <sheetFormatPr defaultRowHeight="13.2" x14ac:dyDescent="0.25"/>
  <cols>
    <col min="2" max="2" width="13.77734375" bestFit="1" customWidth="1"/>
    <col min="3" max="3" width="12.77734375" bestFit="1" customWidth="1"/>
    <col min="4" max="4" width="12.77734375" customWidth="1"/>
    <col min="5" max="5" width="18" bestFit="1" customWidth="1"/>
    <col min="6" max="6" width="15.44140625" bestFit="1" customWidth="1"/>
    <col min="7" max="7" width="39.44140625" bestFit="1" customWidth="1"/>
    <col min="8" max="8" width="30" bestFit="1" customWidth="1"/>
    <col min="9" max="9" width="27.77734375" bestFit="1" customWidth="1"/>
    <col min="10" max="10" width="23.44140625" bestFit="1" customWidth="1"/>
    <col min="11" max="11" width="13.21875" bestFit="1" customWidth="1"/>
    <col min="12" max="12" width="14.77734375" bestFit="1" customWidth="1"/>
    <col min="13" max="13" width="44.5546875" bestFit="1" customWidth="1"/>
    <col min="14" max="14" width="16.21875" bestFit="1" customWidth="1"/>
    <col min="15" max="15" width="27.44140625" bestFit="1" customWidth="1"/>
    <col min="16" max="16" width="31.77734375" bestFit="1" customWidth="1"/>
  </cols>
  <sheetData>
    <row r="1" spans="1:17" s="7" customFormat="1" x14ac:dyDescent="0.25">
      <c r="A1" s="15" t="s">
        <v>216</v>
      </c>
      <c r="B1" s="15" t="s">
        <v>115</v>
      </c>
      <c r="C1" s="15" t="s">
        <v>116</v>
      </c>
      <c r="D1" s="92" t="s">
        <v>677</v>
      </c>
      <c r="E1" s="15" t="s">
        <v>204</v>
      </c>
      <c r="F1" s="15" t="s">
        <v>209</v>
      </c>
      <c r="G1" s="15" t="s">
        <v>229</v>
      </c>
      <c r="H1" s="15" t="s">
        <v>254</v>
      </c>
      <c r="I1" s="15" t="s">
        <v>256</v>
      </c>
      <c r="J1" s="92" t="s">
        <v>566</v>
      </c>
      <c r="L1" s="92" t="s">
        <v>392</v>
      </c>
      <c r="M1" s="92" t="s">
        <v>398</v>
      </c>
      <c r="N1" s="92" t="s">
        <v>399</v>
      </c>
      <c r="O1" s="92" t="s">
        <v>574</v>
      </c>
      <c r="P1" s="92" t="s">
        <v>410</v>
      </c>
      <c r="Q1" s="92" t="s">
        <v>543</v>
      </c>
    </row>
    <row r="2" spans="1:17" x14ac:dyDescent="0.25">
      <c r="A2" s="12" t="s">
        <v>110</v>
      </c>
      <c r="B2" s="1">
        <v>1</v>
      </c>
      <c r="C2" s="14" t="s">
        <v>117</v>
      </c>
      <c r="D2" s="14" t="s">
        <v>678</v>
      </c>
      <c r="E2" s="12" t="s">
        <v>205</v>
      </c>
      <c r="F2" s="12" t="s">
        <v>210</v>
      </c>
      <c r="G2" s="12" t="s">
        <v>230</v>
      </c>
      <c r="H2" s="23">
        <v>0</v>
      </c>
      <c r="I2" s="12" t="s">
        <v>257</v>
      </c>
      <c r="J2" s="26" t="s">
        <v>389</v>
      </c>
      <c r="K2" s="26" t="s">
        <v>391</v>
      </c>
      <c r="L2" s="26" t="s">
        <v>393</v>
      </c>
      <c r="M2" s="26" t="s">
        <v>674</v>
      </c>
      <c r="N2" s="26" t="s">
        <v>400</v>
      </c>
      <c r="O2" s="26" t="s">
        <v>404</v>
      </c>
      <c r="P2" s="26" t="s">
        <v>411</v>
      </c>
      <c r="Q2" s="250">
        <v>0</v>
      </c>
    </row>
    <row r="3" spans="1:17" x14ac:dyDescent="0.25">
      <c r="A3" s="12" t="s">
        <v>111</v>
      </c>
      <c r="B3" s="1">
        <v>2</v>
      </c>
      <c r="C3" s="14" t="s">
        <v>118</v>
      </c>
      <c r="D3" s="14">
        <v>25</v>
      </c>
      <c r="E3" s="12" t="s">
        <v>206</v>
      </c>
      <c r="F3" s="12" t="s">
        <v>211</v>
      </c>
      <c r="G3" s="12" t="s">
        <v>233</v>
      </c>
      <c r="H3" s="23">
        <v>0.02</v>
      </c>
      <c r="I3" s="12" t="s">
        <v>258</v>
      </c>
      <c r="J3" s="26" t="s">
        <v>388</v>
      </c>
      <c r="K3" s="26" t="s">
        <v>390</v>
      </c>
      <c r="L3" s="26" t="s">
        <v>394</v>
      </c>
      <c r="M3" s="26" t="s">
        <v>675</v>
      </c>
      <c r="N3" s="26" t="s">
        <v>401</v>
      </c>
      <c r="O3" s="26" t="s">
        <v>403</v>
      </c>
      <c r="P3" s="26" t="s">
        <v>412</v>
      </c>
      <c r="Q3" s="250">
        <v>0.05</v>
      </c>
    </row>
    <row r="4" spans="1:17" x14ac:dyDescent="0.25">
      <c r="A4" s="26" t="s">
        <v>17</v>
      </c>
      <c r="B4" s="1">
        <v>3</v>
      </c>
      <c r="C4" s="14" t="s">
        <v>119</v>
      </c>
      <c r="D4" s="14">
        <v>30</v>
      </c>
      <c r="E4" s="12" t="s">
        <v>207</v>
      </c>
      <c r="F4" s="12" t="s">
        <v>212</v>
      </c>
      <c r="G4" s="12" t="s">
        <v>231</v>
      </c>
      <c r="H4" s="23">
        <v>0.04</v>
      </c>
      <c r="I4" s="12" t="s">
        <v>259</v>
      </c>
      <c r="J4" s="26" t="s">
        <v>387</v>
      </c>
      <c r="L4" s="26" t="s">
        <v>395</v>
      </c>
      <c r="M4" s="26" t="s">
        <v>676</v>
      </c>
      <c r="N4" s="26" t="s">
        <v>430</v>
      </c>
      <c r="O4" s="26" t="s">
        <v>402</v>
      </c>
      <c r="P4" s="26" t="s">
        <v>413</v>
      </c>
      <c r="Q4" s="250">
        <v>0.1</v>
      </c>
    </row>
    <row r="5" spans="1:17" x14ac:dyDescent="0.25">
      <c r="B5" s="1">
        <v>4</v>
      </c>
      <c r="C5" s="14" t="s">
        <v>120</v>
      </c>
      <c r="D5" s="14">
        <v>35</v>
      </c>
      <c r="E5" s="12" t="s">
        <v>208</v>
      </c>
      <c r="F5" s="12" t="s">
        <v>87</v>
      </c>
      <c r="G5" s="12" t="s">
        <v>232</v>
      </c>
      <c r="H5" s="22" t="s">
        <v>255</v>
      </c>
      <c r="I5" s="12" t="s">
        <v>260</v>
      </c>
      <c r="J5" s="26" t="s">
        <v>386</v>
      </c>
      <c r="N5" s="26" t="s">
        <v>429</v>
      </c>
      <c r="P5" s="26" t="s">
        <v>414</v>
      </c>
      <c r="Q5" s="250">
        <v>0.15</v>
      </c>
    </row>
    <row r="6" spans="1:17" x14ac:dyDescent="0.25">
      <c r="B6" s="1">
        <v>5</v>
      </c>
      <c r="C6" s="14" t="s">
        <v>121</v>
      </c>
      <c r="D6" s="14">
        <v>40</v>
      </c>
      <c r="E6" s="26" t="s">
        <v>17</v>
      </c>
      <c r="F6" s="12" t="s">
        <v>213</v>
      </c>
      <c r="G6" s="12" t="s">
        <v>235</v>
      </c>
      <c r="I6" s="12" t="s">
        <v>261</v>
      </c>
      <c r="P6" s="26" t="s">
        <v>415</v>
      </c>
      <c r="Q6" s="250">
        <v>0.2</v>
      </c>
    </row>
    <row r="7" spans="1:17" x14ac:dyDescent="0.25">
      <c r="B7" s="1">
        <v>6</v>
      </c>
      <c r="C7" s="14" t="s">
        <v>122</v>
      </c>
      <c r="D7" s="14">
        <v>45</v>
      </c>
      <c r="E7" s="12"/>
      <c r="F7" s="12" t="s">
        <v>214</v>
      </c>
      <c r="G7" s="12" t="s">
        <v>234</v>
      </c>
      <c r="I7" s="12" t="s">
        <v>262</v>
      </c>
      <c r="Q7" s="250">
        <v>0.25</v>
      </c>
    </row>
    <row r="8" spans="1:17" x14ac:dyDescent="0.25">
      <c r="B8" s="1">
        <v>7</v>
      </c>
      <c r="C8" s="14" t="s">
        <v>123</v>
      </c>
      <c r="D8" s="14">
        <v>50</v>
      </c>
      <c r="E8" s="12"/>
      <c r="F8" s="12" t="s">
        <v>215</v>
      </c>
      <c r="G8" s="12" t="s">
        <v>236</v>
      </c>
      <c r="I8" s="12" t="s">
        <v>263</v>
      </c>
      <c r="Q8" s="250">
        <v>0.3</v>
      </c>
    </row>
    <row r="9" spans="1:17" x14ac:dyDescent="0.25">
      <c r="B9" s="1">
        <v>8</v>
      </c>
      <c r="C9" s="14" t="s">
        <v>124</v>
      </c>
      <c r="D9" s="14">
        <v>55</v>
      </c>
      <c r="E9" s="12"/>
      <c r="Q9" s="250">
        <v>0.35</v>
      </c>
    </row>
    <row r="10" spans="1:17" x14ac:dyDescent="0.25">
      <c r="B10" s="1">
        <v>9</v>
      </c>
      <c r="C10" s="14" t="s">
        <v>125</v>
      </c>
      <c r="D10" s="14" t="s">
        <v>679</v>
      </c>
      <c r="Q10" s="250">
        <v>0.4</v>
      </c>
    </row>
    <row r="11" spans="1:17" x14ac:dyDescent="0.25">
      <c r="B11" s="1">
        <v>10</v>
      </c>
      <c r="C11" s="14" t="s">
        <v>126</v>
      </c>
      <c r="D11" s="14"/>
      <c r="Q11" s="250">
        <v>0.45</v>
      </c>
    </row>
    <row r="12" spans="1:17" x14ac:dyDescent="0.25">
      <c r="B12" s="1">
        <v>11</v>
      </c>
      <c r="C12" s="14" t="s">
        <v>127</v>
      </c>
      <c r="D12" s="14"/>
      <c r="Q12" s="250">
        <v>0.5</v>
      </c>
    </row>
    <row r="13" spans="1:17" x14ac:dyDescent="0.25">
      <c r="B13" s="1">
        <v>12</v>
      </c>
      <c r="C13" s="14" t="s">
        <v>128</v>
      </c>
      <c r="D13" s="14"/>
    </row>
    <row r="14" spans="1:17" x14ac:dyDescent="0.25">
      <c r="B14" s="1"/>
      <c r="C14" s="14" t="s">
        <v>129</v>
      </c>
      <c r="D14" s="14"/>
    </row>
    <row r="15" spans="1:17" x14ac:dyDescent="0.25">
      <c r="C15" s="14" t="s">
        <v>130</v>
      </c>
      <c r="D15" s="14"/>
    </row>
    <row r="16" spans="1:17" x14ac:dyDescent="0.25">
      <c r="C16" s="14" t="s">
        <v>131</v>
      </c>
      <c r="D16" s="14"/>
    </row>
    <row r="17" spans="3:4" x14ac:dyDescent="0.25">
      <c r="C17" s="14" t="s">
        <v>132</v>
      </c>
      <c r="D17" s="14"/>
    </row>
    <row r="18" spans="3:4" x14ac:dyDescent="0.25">
      <c r="C18" s="14" t="s">
        <v>133</v>
      </c>
      <c r="D18" s="14"/>
    </row>
    <row r="19" spans="3:4" x14ac:dyDescent="0.25">
      <c r="C19" s="14" t="s">
        <v>134</v>
      </c>
      <c r="D19" s="14"/>
    </row>
    <row r="20" spans="3:4" x14ac:dyDescent="0.25">
      <c r="C20" s="14" t="s">
        <v>135</v>
      </c>
      <c r="D20" s="14"/>
    </row>
    <row r="21" spans="3:4" x14ac:dyDescent="0.25">
      <c r="C21" s="14" t="s">
        <v>136</v>
      </c>
      <c r="D21" s="14"/>
    </row>
    <row r="22" spans="3:4" x14ac:dyDescent="0.25">
      <c r="C22" s="14" t="s">
        <v>137</v>
      </c>
      <c r="D22" s="14"/>
    </row>
    <row r="23" spans="3:4" x14ac:dyDescent="0.25">
      <c r="C23" s="14" t="s">
        <v>138</v>
      </c>
      <c r="D23" s="14"/>
    </row>
    <row r="24" spans="3:4" x14ac:dyDescent="0.25">
      <c r="C24" s="14" t="s">
        <v>139</v>
      </c>
      <c r="D24" s="14"/>
    </row>
    <row r="25" spans="3:4" x14ac:dyDescent="0.25">
      <c r="C25" s="14" t="s">
        <v>140</v>
      </c>
      <c r="D25" s="14"/>
    </row>
    <row r="26" spans="3:4" x14ac:dyDescent="0.25">
      <c r="C26" s="14" t="s">
        <v>141</v>
      </c>
      <c r="D26" s="14"/>
    </row>
    <row r="27" spans="3:4" x14ac:dyDescent="0.25">
      <c r="C27" s="14" t="s">
        <v>142</v>
      </c>
      <c r="D27" s="14"/>
    </row>
    <row r="28" spans="3:4" x14ac:dyDescent="0.25">
      <c r="C28" s="14" t="s">
        <v>143</v>
      </c>
      <c r="D28" s="14"/>
    </row>
    <row r="29" spans="3:4" x14ac:dyDescent="0.25">
      <c r="C29" s="14" t="s">
        <v>144</v>
      </c>
      <c r="D29" s="14"/>
    </row>
    <row r="30" spans="3:4" x14ac:dyDescent="0.25">
      <c r="C30" s="14" t="s">
        <v>145</v>
      </c>
      <c r="D30" s="14"/>
    </row>
    <row r="31" spans="3:4" x14ac:dyDescent="0.25">
      <c r="C31" s="14" t="s">
        <v>146</v>
      </c>
      <c r="D31" s="14"/>
    </row>
    <row r="32" spans="3:4" x14ac:dyDescent="0.25">
      <c r="C32" s="14" t="s">
        <v>147</v>
      </c>
      <c r="D32" s="14"/>
    </row>
    <row r="33" spans="3:4" x14ac:dyDescent="0.25">
      <c r="C33" s="14" t="s">
        <v>148</v>
      </c>
      <c r="D33" s="14"/>
    </row>
    <row r="34" spans="3:4" x14ac:dyDescent="0.25">
      <c r="C34" s="14" t="s">
        <v>149</v>
      </c>
      <c r="D34" s="14"/>
    </row>
    <row r="35" spans="3:4" x14ac:dyDescent="0.25">
      <c r="C35" s="14" t="s">
        <v>150</v>
      </c>
      <c r="D35" s="14"/>
    </row>
    <row r="36" spans="3:4" x14ac:dyDescent="0.25">
      <c r="C36" s="14" t="s">
        <v>151</v>
      </c>
      <c r="D36" s="14"/>
    </row>
    <row r="37" spans="3:4" x14ac:dyDescent="0.25">
      <c r="C37" s="14" t="s">
        <v>152</v>
      </c>
      <c r="D37" s="14"/>
    </row>
    <row r="38" spans="3:4" x14ac:dyDescent="0.25">
      <c r="C38" s="14" t="s">
        <v>153</v>
      </c>
      <c r="D38" s="14"/>
    </row>
    <row r="39" spans="3:4" x14ac:dyDescent="0.25">
      <c r="C39" s="14" t="s">
        <v>154</v>
      </c>
      <c r="D39" s="14"/>
    </row>
    <row r="40" spans="3:4" x14ac:dyDescent="0.25">
      <c r="C40" s="14" t="s">
        <v>155</v>
      </c>
      <c r="D40" s="14"/>
    </row>
    <row r="41" spans="3:4" x14ac:dyDescent="0.25">
      <c r="C41" s="14" t="s">
        <v>156</v>
      </c>
      <c r="D41" s="14"/>
    </row>
    <row r="42" spans="3:4" x14ac:dyDescent="0.25">
      <c r="C42" s="14" t="s">
        <v>157</v>
      </c>
      <c r="D42" s="14"/>
    </row>
    <row r="43" spans="3:4" x14ac:dyDescent="0.25">
      <c r="C43" s="14" t="s">
        <v>158</v>
      </c>
      <c r="D43" s="14"/>
    </row>
    <row r="44" spans="3:4" x14ac:dyDescent="0.25">
      <c r="C44" s="14" t="s">
        <v>159</v>
      </c>
      <c r="D44" s="14"/>
    </row>
    <row r="45" spans="3:4" x14ac:dyDescent="0.25">
      <c r="C45" s="14" t="s">
        <v>86</v>
      </c>
      <c r="D45" s="14"/>
    </row>
    <row r="46" spans="3:4" x14ac:dyDescent="0.25">
      <c r="C46" s="14" t="s">
        <v>160</v>
      </c>
      <c r="D46" s="14"/>
    </row>
    <row r="47" spans="3:4" x14ac:dyDescent="0.25">
      <c r="C47" s="14" t="s">
        <v>161</v>
      </c>
      <c r="D47" s="14"/>
    </row>
    <row r="48" spans="3:4" x14ac:dyDescent="0.25">
      <c r="C48" s="14" t="s">
        <v>162</v>
      </c>
      <c r="D48" s="14"/>
    </row>
    <row r="49" spans="3:4" x14ac:dyDescent="0.25">
      <c r="C49" s="14" t="s">
        <v>163</v>
      </c>
      <c r="D49" s="14"/>
    </row>
    <row r="50" spans="3:4" x14ac:dyDescent="0.25">
      <c r="C50" s="14" t="s">
        <v>164</v>
      </c>
      <c r="D50" s="14"/>
    </row>
    <row r="51" spans="3:4" x14ac:dyDescent="0.25">
      <c r="C51" s="14" t="s">
        <v>165</v>
      </c>
      <c r="D51" s="14"/>
    </row>
    <row r="52" spans="3:4" x14ac:dyDescent="0.25">
      <c r="C52" s="14" t="s">
        <v>166</v>
      </c>
      <c r="D52" s="14"/>
    </row>
    <row r="53" spans="3:4" x14ac:dyDescent="0.25">
      <c r="C53" s="14" t="s">
        <v>167</v>
      </c>
      <c r="D53" s="14"/>
    </row>
    <row r="54" spans="3:4" x14ac:dyDescent="0.25">
      <c r="C54" s="14" t="s">
        <v>168</v>
      </c>
      <c r="D54" s="14"/>
    </row>
    <row r="55" spans="3:4" x14ac:dyDescent="0.25">
      <c r="C55" s="14" t="s">
        <v>169</v>
      </c>
      <c r="D55" s="14"/>
    </row>
    <row r="56" spans="3:4" x14ac:dyDescent="0.25">
      <c r="C56" s="14" t="s">
        <v>170</v>
      </c>
      <c r="D56" s="14"/>
    </row>
    <row r="57" spans="3:4" x14ac:dyDescent="0.25">
      <c r="C57" s="14" t="s">
        <v>171</v>
      </c>
      <c r="D57" s="14"/>
    </row>
    <row r="58" spans="3:4" x14ac:dyDescent="0.25">
      <c r="C58" s="14" t="s">
        <v>172</v>
      </c>
      <c r="D58" s="14"/>
    </row>
    <row r="59" spans="3:4" x14ac:dyDescent="0.25">
      <c r="C59" s="14" t="s">
        <v>173</v>
      </c>
      <c r="D59" s="14"/>
    </row>
    <row r="60" spans="3:4" x14ac:dyDescent="0.25">
      <c r="C60" s="14" t="s">
        <v>174</v>
      </c>
      <c r="D60" s="14"/>
    </row>
    <row r="61" spans="3:4" x14ac:dyDescent="0.25">
      <c r="C61" s="14" t="s">
        <v>175</v>
      </c>
      <c r="D61" s="14"/>
    </row>
    <row r="62" spans="3:4" x14ac:dyDescent="0.25">
      <c r="C62" s="14" t="s">
        <v>176</v>
      </c>
      <c r="D62" s="14"/>
    </row>
    <row r="63" spans="3:4" x14ac:dyDescent="0.25">
      <c r="C63" s="14" t="s">
        <v>177</v>
      </c>
      <c r="D63" s="14"/>
    </row>
    <row r="64" spans="3:4" x14ac:dyDescent="0.25">
      <c r="C64" s="14" t="s">
        <v>178</v>
      </c>
      <c r="D64" s="14"/>
    </row>
    <row r="65" spans="3:4" x14ac:dyDescent="0.25">
      <c r="C65" s="14" t="s">
        <v>179</v>
      </c>
      <c r="D65" s="14"/>
    </row>
    <row r="66" spans="3:4" x14ac:dyDescent="0.25">
      <c r="C66" s="14" t="s">
        <v>180</v>
      </c>
      <c r="D66" s="14"/>
    </row>
    <row r="67" spans="3:4" x14ac:dyDescent="0.25">
      <c r="C67" s="14" t="s">
        <v>181</v>
      </c>
      <c r="D67" s="14"/>
    </row>
    <row r="68" spans="3:4" x14ac:dyDescent="0.25">
      <c r="C68" s="14" t="s">
        <v>182</v>
      </c>
      <c r="D68" s="14"/>
    </row>
    <row r="69" spans="3:4" x14ac:dyDescent="0.25">
      <c r="C69" s="14" t="s">
        <v>183</v>
      </c>
      <c r="D69" s="14"/>
    </row>
    <row r="70" spans="3:4" x14ac:dyDescent="0.25">
      <c r="C70" s="14" t="s">
        <v>184</v>
      </c>
      <c r="D70" s="14"/>
    </row>
    <row r="71" spans="3:4" x14ac:dyDescent="0.25">
      <c r="C71" s="14" t="s">
        <v>185</v>
      </c>
      <c r="D71" s="14"/>
    </row>
    <row r="72" spans="3:4" x14ac:dyDescent="0.25">
      <c r="C72" s="14" t="s">
        <v>186</v>
      </c>
      <c r="D72" s="14"/>
    </row>
    <row r="73" spans="3:4" x14ac:dyDescent="0.25">
      <c r="C73" s="14" t="s">
        <v>187</v>
      </c>
      <c r="D73" s="14"/>
    </row>
    <row r="74" spans="3:4" x14ac:dyDescent="0.25">
      <c r="C74" s="14" t="s">
        <v>188</v>
      </c>
      <c r="D74" s="14"/>
    </row>
    <row r="75" spans="3:4" x14ac:dyDescent="0.25">
      <c r="C75" s="14" t="s">
        <v>189</v>
      </c>
      <c r="D75" s="14"/>
    </row>
    <row r="76" spans="3:4" x14ac:dyDescent="0.25">
      <c r="C76" s="14" t="s">
        <v>190</v>
      </c>
      <c r="D76" s="14"/>
    </row>
    <row r="77" spans="3:4" x14ac:dyDescent="0.25">
      <c r="C77" s="14" t="s">
        <v>191</v>
      </c>
      <c r="D77" s="14"/>
    </row>
    <row r="78" spans="3:4" x14ac:dyDescent="0.25">
      <c r="C78" s="14" t="s">
        <v>192</v>
      </c>
      <c r="D78" s="14"/>
    </row>
    <row r="79" spans="3:4" x14ac:dyDescent="0.25">
      <c r="C79" s="14" t="s">
        <v>193</v>
      </c>
      <c r="D79" s="14"/>
    </row>
    <row r="80" spans="3:4" x14ac:dyDescent="0.25">
      <c r="C80" s="14" t="s">
        <v>194</v>
      </c>
      <c r="D80" s="14"/>
    </row>
    <row r="81" spans="3:4" x14ac:dyDescent="0.25">
      <c r="C81" s="14" t="s">
        <v>195</v>
      </c>
      <c r="D81" s="14"/>
    </row>
    <row r="82" spans="3:4" x14ac:dyDescent="0.25">
      <c r="C82" s="14" t="s">
        <v>196</v>
      </c>
      <c r="D82" s="14"/>
    </row>
    <row r="83" spans="3:4" x14ac:dyDescent="0.25">
      <c r="C83" s="14" t="s">
        <v>197</v>
      </c>
      <c r="D83" s="14"/>
    </row>
    <row r="84" spans="3:4" x14ac:dyDescent="0.25">
      <c r="C84" s="14" t="s">
        <v>198</v>
      </c>
      <c r="D84" s="14"/>
    </row>
    <row r="85" spans="3:4" x14ac:dyDescent="0.25">
      <c r="C85" s="14" t="s">
        <v>199</v>
      </c>
      <c r="D85" s="14"/>
    </row>
    <row r="86" spans="3:4" x14ac:dyDescent="0.25">
      <c r="C86" s="14" t="s">
        <v>200</v>
      </c>
      <c r="D86" s="14"/>
    </row>
    <row r="87" spans="3:4" x14ac:dyDescent="0.25">
      <c r="C87" s="14" t="s">
        <v>201</v>
      </c>
      <c r="D87" s="14"/>
    </row>
    <row r="88" spans="3:4" x14ac:dyDescent="0.25">
      <c r="C88" s="14" t="s">
        <v>202</v>
      </c>
      <c r="D88" s="14"/>
    </row>
    <row r="89" spans="3:4" x14ac:dyDescent="0.25">
      <c r="C89" s="14" t="s">
        <v>203</v>
      </c>
      <c r="D89" s="14"/>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topLeftCell="A4" zoomScaleNormal="100" workbookViewId="0">
      <selection activeCell="A3" sqref="A3:J3"/>
    </sheetView>
  </sheetViews>
  <sheetFormatPr defaultRowHeight="13.2" x14ac:dyDescent="0.25"/>
  <sheetData>
    <row r="2" spans="1:11" ht="18" customHeight="1" x14ac:dyDescent="0.25">
      <c r="A2" s="466" t="s">
        <v>439</v>
      </c>
      <c r="B2" s="467"/>
      <c r="C2" s="467"/>
      <c r="D2" s="467"/>
      <c r="E2" s="467"/>
      <c r="F2" s="467"/>
      <c r="G2" s="467"/>
      <c r="H2" s="467"/>
      <c r="I2" s="467"/>
      <c r="J2" s="468"/>
      <c r="K2" s="223"/>
    </row>
    <row r="3" spans="1:11" ht="81" customHeight="1" x14ac:dyDescent="0.25">
      <c r="A3" s="471" t="s">
        <v>723</v>
      </c>
      <c r="B3" s="471"/>
      <c r="C3" s="471"/>
      <c r="D3" s="471"/>
      <c r="E3" s="471"/>
      <c r="F3" s="471"/>
      <c r="G3" s="471"/>
      <c r="H3" s="471"/>
      <c r="I3" s="471"/>
      <c r="J3" s="471"/>
      <c r="K3" s="180"/>
    </row>
    <row r="4" spans="1:11" ht="12.75" customHeight="1" x14ac:dyDescent="0.25">
      <c r="A4" s="180"/>
      <c r="B4" s="180"/>
      <c r="C4" s="180"/>
      <c r="D4" s="180"/>
      <c r="E4" s="180"/>
      <c r="F4" s="180"/>
      <c r="G4" s="180"/>
      <c r="H4" s="180"/>
      <c r="I4" s="180"/>
      <c r="J4" s="180"/>
      <c r="K4" s="180"/>
    </row>
    <row r="5" spans="1:11" ht="25.5" customHeight="1" x14ac:dyDescent="0.25">
      <c r="A5" s="470" t="s">
        <v>724</v>
      </c>
      <c r="B5" s="470"/>
      <c r="C5" s="470"/>
      <c r="D5" s="470"/>
      <c r="E5" s="470"/>
      <c r="F5" s="470"/>
      <c r="G5" s="470"/>
      <c r="H5" s="470"/>
      <c r="I5" s="470"/>
      <c r="J5" s="470"/>
      <c r="K5" s="180"/>
    </row>
    <row r="6" spans="1:11" x14ac:dyDescent="0.25">
      <c r="A6" s="180"/>
      <c r="B6" s="180"/>
      <c r="C6" s="180"/>
      <c r="D6" s="180"/>
      <c r="E6" s="180"/>
      <c r="F6" s="180"/>
      <c r="G6" s="180"/>
      <c r="H6" s="180"/>
      <c r="I6" s="180"/>
      <c r="J6" s="180"/>
      <c r="K6" s="180"/>
    </row>
    <row r="7" spans="1:11" ht="18" customHeight="1" x14ac:dyDescent="0.25">
      <c r="A7" s="466" t="s">
        <v>440</v>
      </c>
      <c r="B7" s="467"/>
      <c r="C7" s="467"/>
      <c r="D7" s="467"/>
      <c r="E7" s="467"/>
      <c r="F7" s="467"/>
      <c r="G7" s="467"/>
      <c r="H7" s="467"/>
      <c r="I7" s="467"/>
      <c r="J7" s="468"/>
      <c r="K7" s="223"/>
    </row>
    <row r="8" spans="1:11" x14ac:dyDescent="0.25">
      <c r="A8" s="179"/>
      <c r="B8" s="179"/>
      <c r="C8" s="179"/>
      <c r="D8" s="179"/>
      <c r="E8" s="179"/>
      <c r="F8" s="179"/>
      <c r="G8" s="179"/>
      <c r="H8" s="179"/>
      <c r="I8" s="179"/>
      <c r="J8" s="179"/>
      <c r="K8" s="179"/>
    </row>
    <row r="9" spans="1:11" ht="12.75" customHeight="1" x14ac:dyDescent="0.25">
      <c r="A9" s="469" t="s">
        <v>525</v>
      </c>
      <c r="B9" s="469"/>
      <c r="C9" s="469"/>
      <c r="D9" s="469"/>
      <c r="E9" s="469"/>
      <c r="F9" s="469"/>
      <c r="G9" s="469"/>
      <c r="H9" s="469"/>
      <c r="I9" s="469"/>
      <c r="J9" s="469"/>
    </row>
    <row r="10" spans="1:11" x14ac:dyDescent="0.25">
      <c r="A10" s="469" t="s">
        <v>526</v>
      </c>
      <c r="B10" s="469"/>
      <c r="C10" s="469"/>
      <c r="D10" s="469"/>
      <c r="E10" s="469"/>
      <c r="F10" s="469"/>
      <c r="G10" s="469"/>
      <c r="H10" s="469"/>
      <c r="I10" s="469"/>
      <c r="J10" s="469"/>
    </row>
    <row r="11" spans="1:11" x14ac:dyDescent="0.25">
      <c r="A11" s="469"/>
      <c r="B11" s="469"/>
      <c r="C11" s="469"/>
      <c r="D11" s="469"/>
      <c r="E11" s="469"/>
      <c r="F11" s="469"/>
      <c r="G11" s="469"/>
      <c r="H11" s="469"/>
      <c r="I11" s="469"/>
      <c r="J11" s="469"/>
    </row>
    <row r="12" spans="1:11" x14ac:dyDescent="0.25">
      <c r="A12" s="469" t="s">
        <v>527</v>
      </c>
      <c r="B12" s="469"/>
      <c r="C12" s="469"/>
      <c r="D12" s="469"/>
      <c r="E12" s="469"/>
      <c r="F12" s="469"/>
      <c r="G12" s="469"/>
      <c r="H12" s="469"/>
      <c r="I12" s="469"/>
      <c r="J12" s="469"/>
    </row>
    <row r="13" spans="1:11" x14ac:dyDescent="0.25">
      <c r="A13" s="469"/>
      <c r="B13" s="469"/>
      <c r="C13" s="469"/>
      <c r="D13" s="469"/>
      <c r="E13" s="469"/>
      <c r="F13" s="469"/>
      <c r="G13" s="469"/>
      <c r="H13" s="469"/>
      <c r="I13" s="469"/>
      <c r="J13" s="469"/>
    </row>
    <row r="14" spans="1:11" x14ac:dyDescent="0.25">
      <c r="A14" s="469" t="s">
        <v>528</v>
      </c>
      <c r="B14" s="469"/>
      <c r="C14" s="469"/>
      <c r="D14" s="469"/>
      <c r="E14" s="469"/>
      <c r="F14" s="469"/>
      <c r="G14" s="469"/>
      <c r="H14" s="469"/>
      <c r="I14" s="469"/>
      <c r="J14" s="469"/>
    </row>
    <row r="15" spans="1:11" x14ac:dyDescent="0.25">
      <c r="A15" s="469"/>
      <c r="B15" s="469"/>
      <c r="C15" s="469"/>
      <c r="D15" s="469"/>
      <c r="E15" s="469"/>
      <c r="F15" s="469"/>
      <c r="G15" s="469"/>
      <c r="H15" s="469"/>
      <c r="I15" s="469"/>
      <c r="J15" s="469"/>
    </row>
    <row r="16" spans="1:11" x14ac:dyDescent="0.25">
      <c r="A16" s="469" t="s">
        <v>529</v>
      </c>
      <c r="B16" s="469"/>
      <c r="C16" s="469"/>
      <c r="D16" s="469"/>
      <c r="E16" s="469"/>
      <c r="F16" s="469"/>
      <c r="G16" s="469"/>
      <c r="H16" s="469"/>
      <c r="I16" s="469"/>
      <c r="J16" s="469"/>
    </row>
    <row r="17" spans="1:11" x14ac:dyDescent="0.25">
      <c r="A17" s="469"/>
      <c r="B17" s="469"/>
      <c r="C17" s="469"/>
      <c r="D17" s="469"/>
      <c r="E17" s="469"/>
      <c r="F17" s="469"/>
      <c r="G17" s="469"/>
      <c r="H17" s="469"/>
      <c r="I17" s="469"/>
      <c r="J17" s="469"/>
    </row>
    <row r="19" spans="1:11" ht="18" customHeight="1" x14ac:dyDescent="0.25">
      <c r="A19" s="466" t="s">
        <v>441</v>
      </c>
      <c r="B19" s="467"/>
      <c r="C19" s="467"/>
      <c r="D19" s="467"/>
      <c r="E19" s="467"/>
      <c r="F19" s="467"/>
      <c r="G19" s="467"/>
      <c r="H19" s="467"/>
      <c r="I19" s="467"/>
      <c r="J19" s="468"/>
      <c r="K19" s="223"/>
    </row>
    <row r="21" spans="1:11" x14ac:dyDescent="0.25">
      <c r="A21" s="469" t="s">
        <v>530</v>
      </c>
      <c r="B21" s="469"/>
      <c r="C21" s="469"/>
      <c r="D21" s="469"/>
      <c r="E21" s="469"/>
      <c r="F21" s="469"/>
      <c r="G21" s="469"/>
      <c r="H21" s="469"/>
      <c r="I21" s="469"/>
      <c r="J21" s="469"/>
    </row>
    <row r="22" spans="1:11" ht="12.75" customHeight="1" x14ac:dyDescent="0.25">
      <c r="A22" s="469" t="s">
        <v>576</v>
      </c>
      <c r="B22" s="469"/>
      <c r="C22" s="469"/>
      <c r="D22" s="469"/>
      <c r="E22" s="469"/>
      <c r="F22" s="469"/>
      <c r="G22" s="469"/>
      <c r="H22" s="469"/>
      <c r="I22" s="469"/>
      <c r="J22" s="469"/>
    </row>
    <row r="23" spans="1:11" x14ac:dyDescent="0.25">
      <c r="A23" s="469"/>
      <c r="B23" s="469"/>
      <c r="C23" s="469"/>
      <c r="D23" s="469"/>
      <c r="E23" s="469"/>
      <c r="F23" s="469"/>
      <c r="G23" s="469"/>
      <c r="H23" s="469"/>
      <c r="I23" s="469"/>
      <c r="J23" s="469"/>
    </row>
    <row r="24" spans="1:11" x14ac:dyDescent="0.25">
      <c r="A24" s="469"/>
      <c r="B24" s="469"/>
      <c r="C24" s="469"/>
      <c r="D24" s="469"/>
      <c r="E24" s="469"/>
      <c r="F24" s="469"/>
      <c r="G24" s="469"/>
      <c r="H24" s="469"/>
      <c r="I24" s="469"/>
      <c r="J24" s="469"/>
    </row>
    <row r="25" spans="1:11" x14ac:dyDescent="0.25">
      <c r="A25" s="469"/>
      <c r="B25" s="469"/>
      <c r="C25" s="469"/>
      <c r="D25" s="469"/>
      <c r="E25" s="469"/>
      <c r="F25" s="469"/>
      <c r="G25" s="469"/>
      <c r="H25" s="469"/>
      <c r="I25" s="469"/>
      <c r="J25" s="469"/>
    </row>
    <row r="26" spans="1:11" x14ac:dyDescent="0.25">
      <c r="A26" s="469"/>
      <c r="B26" s="469"/>
      <c r="C26" s="469"/>
      <c r="D26" s="469"/>
      <c r="E26" s="469"/>
      <c r="F26" s="469"/>
      <c r="G26" s="469"/>
      <c r="H26" s="469"/>
      <c r="I26" s="469"/>
      <c r="J26" s="469"/>
    </row>
    <row r="27" spans="1:11" ht="12.75" customHeight="1" x14ac:dyDescent="0.25">
      <c r="A27" s="469" t="s">
        <v>531</v>
      </c>
      <c r="B27" s="469"/>
      <c r="C27" s="469"/>
      <c r="D27" s="469"/>
      <c r="E27" s="469"/>
      <c r="F27" s="469"/>
      <c r="G27" s="469"/>
      <c r="H27" s="469"/>
      <c r="I27" s="469"/>
      <c r="J27" s="469"/>
    </row>
    <row r="28" spans="1:11" x14ac:dyDescent="0.25">
      <c r="A28" s="469"/>
      <c r="B28" s="469"/>
      <c r="C28" s="469"/>
      <c r="D28" s="469"/>
      <c r="E28" s="469"/>
      <c r="F28" s="469"/>
      <c r="G28" s="469"/>
      <c r="H28" s="469"/>
      <c r="I28" s="469"/>
      <c r="J28" s="469"/>
    </row>
    <row r="29" spans="1:11" ht="12.75" customHeight="1" x14ac:dyDescent="0.25">
      <c r="A29" s="469" t="s">
        <v>671</v>
      </c>
      <c r="B29" s="469"/>
      <c r="C29" s="469"/>
      <c r="D29" s="469"/>
      <c r="E29" s="469"/>
      <c r="F29" s="469"/>
      <c r="G29" s="469"/>
      <c r="H29" s="469"/>
      <c r="I29" s="469"/>
      <c r="J29" s="469"/>
    </row>
    <row r="30" spans="1:11" x14ac:dyDescent="0.25">
      <c r="A30" s="469"/>
      <c r="B30" s="469"/>
      <c r="C30" s="469"/>
      <c r="D30" s="469"/>
      <c r="E30" s="469"/>
      <c r="F30" s="469"/>
      <c r="G30" s="469"/>
      <c r="H30" s="469"/>
      <c r="I30" s="469"/>
      <c r="J30" s="469"/>
    </row>
    <row r="31" spans="1:11" x14ac:dyDescent="0.25">
      <c r="A31" s="469"/>
      <c r="B31" s="469"/>
      <c r="C31" s="469"/>
      <c r="D31" s="469"/>
      <c r="E31" s="469"/>
      <c r="F31" s="469"/>
      <c r="G31" s="469"/>
      <c r="H31" s="469"/>
      <c r="I31" s="469"/>
      <c r="J31" s="469"/>
    </row>
    <row r="32" spans="1:11" x14ac:dyDescent="0.25">
      <c r="A32" s="469"/>
      <c r="B32" s="469"/>
      <c r="C32" s="469"/>
      <c r="D32" s="469"/>
      <c r="E32" s="469"/>
      <c r="F32" s="469"/>
      <c r="G32" s="469"/>
      <c r="H32" s="469"/>
      <c r="I32" s="469"/>
      <c r="J32" s="469"/>
    </row>
    <row r="33" spans="1:10" x14ac:dyDescent="0.25">
      <c r="A33" s="469"/>
      <c r="B33" s="469"/>
      <c r="C33" s="469"/>
      <c r="D33" s="469"/>
      <c r="E33" s="469"/>
      <c r="F33" s="469"/>
      <c r="G33" s="469"/>
      <c r="H33" s="469"/>
      <c r="I33" s="469"/>
      <c r="J33" s="469"/>
    </row>
    <row r="34" spans="1:10" x14ac:dyDescent="0.25">
      <c r="A34" s="469"/>
      <c r="B34" s="469"/>
      <c r="C34" s="469"/>
      <c r="D34" s="469"/>
      <c r="E34" s="469"/>
      <c r="F34" s="469"/>
      <c r="G34" s="469"/>
      <c r="H34" s="469"/>
      <c r="I34" s="469"/>
      <c r="J34" s="469"/>
    </row>
    <row r="35" spans="1:10" x14ac:dyDescent="0.25">
      <c r="A35" s="469"/>
      <c r="B35" s="469"/>
      <c r="C35" s="469"/>
      <c r="D35" s="469"/>
      <c r="E35" s="469"/>
      <c r="F35" s="469"/>
      <c r="G35" s="469"/>
      <c r="H35" s="469"/>
      <c r="I35" s="469"/>
      <c r="J35" s="469"/>
    </row>
    <row r="36" spans="1:10" x14ac:dyDescent="0.25">
      <c r="A36" s="469"/>
      <c r="B36" s="469"/>
      <c r="C36" s="469"/>
      <c r="D36" s="469"/>
      <c r="E36" s="469"/>
      <c r="F36" s="469"/>
      <c r="G36" s="469"/>
      <c r="H36" s="469"/>
      <c r="I36" s="469"/>
      <c r="J36" s="469"/>
    </row>
    <row r="37" spans="1:10" x14ac:dyDescent="0.25">
      <c r="A37" s="469"/>
      <c r="B37" s="469"/>
      <c r="C37" s="469"/>
      <c r="D37" s="469"/>
      <c r="E37" s="469"/>
      <c r="F37" s="469"/>
      <c r="G37" s="469"/>
      <c r="H37" s="469"/>
      <c r="I37" s="469"/>
      <c r="J37" s="469"/>
    </row>
    <row r="38" spans="1:10" ht="12.75" customHeight="1" x14ac:dyDescent="0.25">
      <c r="A38" s="469"/>
      <c r="B38" s="469"/>
      <c r="C38" s="469"/>
      <c r="D38" s="469"/>
      <c r="E38" s="469"/>
      <c r="F38" s="469"/>
      <c r="G38" s="469"/>
      <c r="H38" s="469"/>
      <c r="I38" s="469"/>
      <c r="J38" s="469"/>
    </row>
    <row r="39" spans="1:10" x14ac:dyDescent="0.25">
      <c r="A39" s="469"/>
      <c r="B39" s="469"/>
      <c r="C39" s="469"/>
      <c r="D39" s="469"/>
      <c r="E39" s="469"/>
      <c r="F39" s="469"/>
      <c r="G39" s="469"/>
      <c r="H39" s="469"/>
      <c r="I39" s="469"/>
      <c r="J39" s="469"/>
    </row>
    <row r="40" spans="1:10" x14ac:dyDescent="0.25">
      <c r="A40" s="469" t="s">
        <v>575</v>
      </c>
      <c r="B40" s="469"/>
      <c r="C40" s="469"/>
      <c r="D40" s="469"/>
      <c r="E40" s="469"/>
      <c r="F40" s="469"/>
      <c r="G40" s="469"/>
      <c r="H40" s="469"/>
      <c r="I40" s="469"/>
      <c r="J40" s="469"/>
    </row>
    <row r="41" spans="1:10" x14ac:dyDescent="0.25">
      <c r="A41" s="469"/>
      <c r="B41" s="469"/>
      <c r="C41" s="469"/>
      <c r="D41" s="469"/>
      <c r="E41" s="469"/>
      <c r="F41" s="469"/>
      <c r="G41" s="469"/>
      <c r="H41" s="469"/>
      <c r="I41" s="469"/>
      <c r="J41" s="469"/>
    </row>
    <row r="42" spans="1:10" x14ac:dyDescent="0.25">
      <c r="A42" s="469"/>
      <c r="B42" s="469"/>
      <c r="C42" s="469"/>
      <c r="D42" s="469"/>
      <c r="E42" s="469"/>
      <c r="F42" s="469"/>
      <c r="G42" s="469"/>
      <c r="H42" s="469"/>
      <c r="I42" s="469"/>
      <c r="J42" s="469"/>
    </row>
    <row r="43" spans="1:10" x14ac:dyDescent="0.25">
      <c r="A43" s="465" t="s">
        <v>692</v>
      </c>
      <c r="B43" s="465"/>
      <c r="C43" s="465"/>
      <c r="D43" s="465"/>
      <c r="E43" s="465"/>
      <c r="F43" s="465"/>
      <c r="G43" s="465"/>
      <c r="H43" s="465"/>
      <c r="I43" s="465"/>
      <c r="J43" s="465"/>
    </row>
    <row r="44" spans="1:10" x14ac:dyDescent="0.25">
      <c r="A44" s="465"/>
      <c r="B44" s="465"/>
      <c r="C44" s="465"/>
      <c r="D44" s="465"/>
      <c r="E44" s="465"/>
      <c r="F44" s="465"/>
      <c r="G44" s="465"/>
      <c r="H44" s="465"/>
      <c r="I44" s="465"/>
      <c r="J44" s="465"/>
    </row>
  </sheetData>
  <sheetProtection algorithmName="SHA-512" hashValue="QkFonDPGDlWfzKZmewYJGUNl+xwwY4hBWzMpZJysWOXeCddnOr5s28o1aTA8UhKNpwI6uReKb2Ygf2USe1l5Ig==" saltValue="2G6bdL3tHXybEBfgBA0t4Q=="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T81"/>
  <sheetViews>
    <sheetView showGridLines="0" tabSelected="1" topLeftCell="A26" zoomScaleNormal="100" zoomScalePageLayoutView="90" workbookViewId="0">
      <selection activeCell="N50" sqref="N50:Q50"/>
    </sheetView>
  </sheetViews>
  <sheetFormatPr defaultRowHeight="13.2" x14ac:dyDescent="0.25"/>
  <cols>
    <col min="4" max="4" width="8.44140625" customWidth="1"/>
    <col min="5" max="5" width="8.77734375" customWidth="1"/>
    <col min="6" max="6" width="11" customWidth="1"/>
    <col min="9" max="9" width="17.21875" customWidth="1"/>
    <col min="14" max="14" width="9.77734375" customWidth="1"/>
    <col min="15" max="15" width="9.44140625" customWidth="1"/>
    <col min="18" max="19" width="9.21875" customWidth="1"/>
  </cols>
  <sheetData>
    <row r="1" spans="1:20" ht="21" x14ac:dyDescent="0.4">
      <c r="A1" s="536" t="s">
        <v>112</v>
      </c>
      <c r="B1" s="536"/>
      <c r="C1" s="536"/>
      <c r="D1" s="536"/>
      <c r="E1" s="536"/>
      <c r="F1" s="536"/>
      <c r="G1" s="536"/>
      <c r="H1" s="536"/>
      <c r="I1" s="536"/>
      <c r="J1" s="531" t="s">
        <v>108</v>
      </c>
      <c r="K1" s="531"/>
      <c r="L1" s="531"/>
      <c r="M1" s="531"/>
      <c r="N1" s="531"/>
      <c r="O1" s="531"/>
      <c r="P1" s="531"/>
      <c r="Q1" s="531"/>
      <c r="R1" s="531"/>
      <c r="S1" s="531"/>
    </row>
    <row r="2" spans="1:20" ht="12.75" customHeight="1" x14ac:dyDescent="0.25">
      <c r="K2" s="12"/>
      <c r="N2" s="534" t="s">
        <v>432</v>
      </c>
    </row>
    <row r="3" spans="1:20" ht="12.75" customHeight="1" x14ac:dyDescent="0.25">
      <c r="A3" s="513" t="s">
        <v>43</v>
      </c>
      <c r="B3" s="513"/>
      <c r="C3" s="521" t="s">
        <v>735</v>
      </c>
      <c r="D3" s="521"/>
      <c r="E3" s="513" t="s">
        <v>534</v>
      </c>
      <c r="F3" s="513"/>
      <c r="G3" s="513"/>
      <c r="H3" s="521" t="s">
        <v>737</v>
      </c>
      <c r="I3" s="521"/>
      <c r="M3" s="213" t="s">
        <v>227</v>
      </c>
      <c r="N3" s="535"/>
      <c r="O3" s="532" t="s">
        <v>417</v>
      </c>
      <c r="P3" s="532"/>
      <c r="Q3" s="532"/>
      <c r="R3" s="532"/>
      <c r="S3" s="532"/>
    </row>
    <row r="4" spans="1:20" ht="15.75" customHeight="1" x14ac:dyDescent="0.25">
      <c r="A4" s="222"/>
      <c r="B4" s="222"/>
      <c r="C4" s="521"/>
      <c r="D4" s="521"/>
      <c r="H4" s="521"/>
      <c r="I4" s="521"/>
      <c r="J4" s="504" t="s">
        <v>38</v>
      </c>
      <c r="K4" s="504"/>
      <c r="L4" s="494"/>
      <c r="M4" s="533" t="s">
        <v>110</v>
      </c>
      <c r="N4" s="477" t="str">
        <f>IF(M4="No","",'Warrant 1'!B121)</f>
        <v>Yes</v>
      </c>
      <c r="O4" s="502" t="str">
        <f>'Warrant 1'!B122</f>
        <v>Condition B was met. Condition B (70%) was met. Combination of A/B (56%) was met.*</v>
      </c>
      <c r="P4" s="502"/>
      <c r="Q4" s="502"/>
      <c r="R4" s="502"/>
      <c r="S4" s="502"/>
    </row>
    <row r="5" spans="1:20" x14ac:dyDescent="0.25">
      <c r="C5" s="521"/>
      <c r="D5" s="521"/>
      <c r="H5" s="521"/>
      <c r="I5" s="521"/>
      <c r="J5" s="504"/>
      <c r="K5" s="504"/>
      <c r="L5" s="494"/>
      <c r="M5" s="533"/>
      <c r="N5" s="477"/>
      <c r="O5" s="502"/>
      <c r="P5" s="502"/>
      <c r="Q5" s="502"/>
      <c r="R5" s="502"/>
      <c r="S5" s="502"/>
    </row>
    <row r="6" spans="1:20" ht="12.75" customHeight="1" x14ac:dyDescent="0.25">
      <c r="A6" s="513" t="s">
        <v>44</v>
      </c>
      <c r="B6" s="513"/>
      <c r="C6" s="522" t="s">
        <v>125</v>
      </c>
      <c r="D6" s="522"/>
      <c r="E6" s="513" t="s">
        <v>113</v>
      </c>
      <c r="F6" s="513"/>
      <c r="G6" s="513"/>
      <c r="H6" s="514">
        <v>44741</v>
      </c>
      <c r="I6" s="514"/>
      <c r="J6" s="504"/>
      <c r="K6" s="504"/>
      <c r="L6" s="494"/>
      <c r="M6" s="533"/>
      <c r="N6" s="477"/>
      <c r="O6" s="502"/>
      <c r="P6" s="502"/>
      <c r="Q6" s="502"/>
      <c r="R6" s="502"/>
      <c r="S6" s="502"/>
    </row>
    <row r="7" spans="1:20" ht="13.5" customHeight="1" x14ac:dyDescent="0.25">
      <c r="A7" s="481" t="s">
        <v>100</v>
      </c>
      <c r="B7" s="481"/>
      <c r="C7" s="475">
        <v>8</v>
      </c>
      <c r="D7" s="475"/>
      <c r="E7" s="537" t="s">
        <v>535</v>
      </c>
      <c r="F7" s="485"/>
      <c r="G7" s="538"/>
      <c r="H7" s="539" t="s">
        <v>736</v>
      </c>
      <c r="I7" s="540"/>
      <c r="J7" s="506" t="s">
        <v>31</v>
      </c>
      <c r="K7" s="506"/>
      <c r="L7" s="506"/>
      <c r="M7" s="507" t="s">
        <v>110</v>
      </c>
      <c r="N7" s="497" t="str">
        <f>IF(M7="No","",'Warrant 2'!$BM$92)</f>
        <v>Yes</v>
      </c>
      <c r="O7" s="511" t="str">
        <f>IF(AND('Warrant 2'!K4&gt;3,I17="No"),"Figure 4C-1 (100%)",IF(AND('Warrant 2'!K6&gt;3,'Warrant 2'!K9="Yes"),"Figure 4C-2 (70% Factor)",""))</f>
        <v>Figure 4C-1 (100%)</v>
      </c>
      <c r="P7" s="512"/>
      <c r="Q7" s="512"/>
      <c r="R7" s="512"/>
      <c r="S7" s="512"/>
    </row>
    <row r="8" spans="1:20" ht="12.75" customHeight="1" x14ac:dyDescent="0.25">
      <c r="A8" s="481"/>
      <c r="B8" s="481"/>
      <c r="C8" s="475"/>
      <c r="D8" s="475"/>
      <c r="E8" s="537"/>
      <c r="F8" s="485"/>
      <c r="G8" s="538"/>
      <c r="H8" s="540"/>
      <c r="I8" s="540"/>
      <c r="J8" s="506"/>
      <c r="K8" s="506"/>
      <c r="L8" s="506"/>
      <c r="M8" s="508"/>
      <c r="N8" s="510"/>
      <c r="O8" s="511"/>
      <c r="P8" s="512"/>
      <c r="Q8" s="512"/>
      <c r="R8" s="512"/>
      <c r="S8" s="512"/>
    </row>
    <row r="9" spans="1:20" ht="12.75" customHeight="1" x14ac:dyDescent="0.25">
      <c r="A9" s="528" t="s">
        <v>705</v>
      </c>
      <c r="B9" s="528"/>
      <c r="C9" s="529" t="s">
        <v>739</v>
      </c>
      <c r="D9" s="530"/>
      <c r="E9" s="398"/>
      <c r="F9" s="398"/>
      <c r="G9" s="398"/>
      <c r="H9" s="399"/>
      <c r="I9" s="399"/>
      <c r="J9" s="506"/>
      <c r="K9" s="506"/>
      <c r="L9" s="506"/>
      <c r="M9" s="509"/>
      <c r="N9" s="498"/>
      <c r="O9" s="511"/>
      <c r="P9" s="512"/>
      <c r="Q9" s="512"/>
      <c r="R9" s="512"/>
      <c r="S9" s="512"/>
    </row>
    <row r="10" spans="1:20" ht="12.75" customHeight="1" x14ac:dyDescent="0.25">
      <c r="J10" s="493" t="s">
        <v>109</v>
      </c>
      <c r="K10" s="493"/>
      <c r="L10" s="493"/>
      <c r="M10" s="475" t="s">
        <v>111</v>
      </c>
      <c r="N10" s="526" t="str">
        <f>IF(M10="No","",'Warrant 3'!$F$53)</f>
        <v/>
      </c>
      <c r="O10" s="505" t="s">
        <v>697</v>
      </c>
      <c r="P10" s="505"/>
      <c r="Q10" s="505"/>
      <c r="R10" s="505"/>
      <c r="S10" s="225" t="s">
        <v>459</v>
      </c>
    </row>
    <row r="11" spans="1:20" ht="15.75" customHeight="1" x14ac:dyDescent="0.25">
      <c r="A11" s="520" t="s">
        <v>101</v>
      </c>
      <c r="B11" s="520"/>
      <c r="C11" s="520"/>
      <c r="D11" s="520"/>
      <c r="E11" s="520"/>
      <c r="F11" s="520"/>
      <c r="G11" s="520"/>
      <c r="H11" s="520"/>
      <c r="I11" s="520"/>
      <c r="J11" s="493"/>
      <c r="K11" s="493"/>
      <c r="L11" s="493"/>
      <c r="M11" s="475"/>
      <c r="N11" s="526"/>
      <c r="O11" s="505"/>
      <c r="P11" s="505"/>
      <c r="Q11" s="505"/>
      <c r="R11" s="505"/>
      <c r="S11" s="189">
        <f>'Warrant 3'!F3</f>
        <v>0.29166666666666702</v>
      </c>
      <c r="T11" s="2"/>
    </row>
    <row r="12" spans="1:20" x14ac:dyDescent="0.25">
      <c r="J12" s="493"/>
      <c r="K12" s="493"/>
      <c r="L12" s="493"/>
      <c r="M12" s="475"/>
      <c r="N12" s="526"/>
      <c r="O12" s="505"/>
      <c r="P12" s="505"/>
      <c r="Q12" s="505"/>
      <c r="R12" s="505"/>
      <c r="S12" s="380">
        <f>'Warrant 3'!F5</f>
        <v>0.33333333336666704</v>
      </c>
    </row>
    <row r="13" spans="1:20" ht="15.75" customHeight="1" x14ac:dyDescent="0.25">
      <c r="E13" s="100" t="s">
        <v>102</v>
      </c>
      <c r="F13" s="264">
        <v>44728</v>
      </c>
      <c r="J13" s="527" t="s">
        <v>698</v>
      </c>
      <c r="K13" s="527"/>
      <c r="L13" s="527"/>
      <c r="M13" s="527"/>
      <c r="N13" s="527"/>
      <c r="O13" s="527"/>
      <c r="P13" s="527"/>
      <c r="Q13" s="527"/>
      <c r="R13" s="527"/>
      <c r="S13" s="527"/>
      <c r="T13" s="2"/>
    </row>
    <row r="14" spans="1:20" ht="15.75" customHeight="1" x14ac:dyDescent="0.25">
      <c r="E14" s="100" t="s">
        <v>103</v>
      </c>
      <c r="F14" s="391" t="s">
        <v>87</v>
      </c>
      <c r="J14" s="504" t="s">
        <v>32</v>
      </c>
      <c r="K14" s="504"/>
      <c r="L14" s="494"/>
      <c r="M14" s="519" t="s">
        <v>111</v>
      </c>
      <c r="N14" s="477" t="str">
        <f>IF(M14="No","",'Warrant 4'!BL55)</f>
        <v/>
      </c>
      <c r="O14" s="492" t="s">
        <v>699</v>
      </c>
      <c r="P14" s="492"/>
      <c r="Q14" s="492"/>
      <c r="R14" s="492"/>
      <c r="S14" s="225" t="s">
        <v>459</v>
      </c>
    </row>
    <row r="15" spans="1:20" ht="12.75" customHeight="1" x14ac:dyDescent="0.25">
      <c r="J15" s="504"/>
      <c r="K15" s="504"/>
      <c r="L15" s="494"/>
      <c r="M15" s="475"/>
      <c r="N15" s="477"/>
      <c r="O15" s="492"/>
      <c r="P15" s="492"/>
      <c r="Q15" s="492"/>
      <c r="R15" s="492"/>
      <c r="S15" s="189">
        <f>'Warrant 4'!BI78</f>
        <v>0.63541666666666696</v>
      </c>
    </row>
    <row r="16" spans="1:20" ht="12.75" customHeight="1" x14ac:dyDescent="0.25">
      <c r="J16" s="504"/>
      <c r="K16" s="504"/>
      <c r="L16" s="494"/>
      <c r="M16" s="475"/>
      <c r="N16" s="477"/>
      <c r="O16" s="492"/>
      <c r="P16" s="492"/>
      <c r="Q16" s="492"/>
      <c r="R16" s="492"/>
      <c r="S16" s="189">
        <f>'Warrant 4'!BJ78</f>
        <v>0.67708333366666695</v>
      </c>
    </row>
    <row r="17" spans="1:19" ht="12.75" customHeight="1" x14ac:dyDescent="0.25">
      <c r="B17" s="481" t="s">
        <v>552</v>
      </c>
      <c r="C17" s="481"/>
      <c r="D17" s="481"/>
      <c r="E17" s="481"/>
      <c r="F17" s="481"/>
      <c r="G17" s="481"/>
      <c r="H17" s="481"/>
      <c r="I17" s="519" t="s">
        <v>111</v>
      </c>
      <c r="J17" s="474" t="s">
        <v>33</v>
      </c>
      <c r="K17" s="474"/>
      <c r="L17" s="499"/>
      <c r="M17" s="495" t="s">
        <v>111</v>
      </c>
      <c r="N17" s="497" t="str">
        <f>IF(M17="No","",'Warrant 5 &amp; 6'!G40)</f>
        <v/>
      </c>
      <c r="O17" s="500"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501"/>
      <c r="Q17" s="501"/>
      <c r="R17" s="501"/>
      <c r="S17" s="501"/>
    </row>
    <row r="18" spans="1:19" x14ac:dyDescent="0.25">
      <c r="B18" s="481"/>
      <c r="C18" s="481"/>
      <c r="D18" s="481"/>
      <c r="E18" s="481"/>
      <c r="F18" s="481"/>
      <c r="G18" s="481"/>
      <c r="H18" s="481"/>
      <c r="I18" s="519"/>
      <c r="J18" s="474"/>
      <c r="K18" s="474"/>
      <c r="L18" s="499"/>
      <c r="M18" s="496"/>
      <c r="N18" s="498"/>
      <c r="O18" s="500"/>
      <c r="P18" s="501"/>
      <c r="Q18" s="501"/>
      <c r="R18" s="501"/>
      <c r="S18" s="501"/>
    </row>
    <row r="19" spans="1:19" ht="15.75" customHeight="1" x14ac:dyDescent="0.25">
      <c r="B19" s="93"/>
      <c r="C19" s="93"/>
      <c r="D19" s="93"/>
      <c r="E19" s="93"/>
      <c r="F19" s="93"/>
      <c r="G19" s="93"/>
      <c r="H19" s="93"/>
      <c r="I19" s="94"/>
      <c r="J19" s="493" t="s">
        <v>34</v>
      </c>
      <c r="K19" s="493"/>
      <c r="L19" s="493"/>
      <c r="M19" s="475" t="s">
        <v>111</v>
      </c>
      <c r="N19" s="477" t="str">
        <f>IF(M19="No","",'Warrant 5 &amp; 6'!G54)</f>
        <v/>
      </c>
      <c r="O19" s="502" t="s">
        <v>299</v>
      </c>
      <c r="P19" s="502"/>
      <c r="Q19" s="502"/>
      <c r="R19" s="502"/>
      <c r="S19" s="502"/>
    </row>
    <row r="20" spans="1:19" ht="12.75" customHeight="1" x14ac:dyDescent="0.25">
      <c r="B20" s="93"/>
      <c r="C20" s="93"/>
      <c r="D20" s="93"/>
      <c r="E20" s="100" t="s">
        <v>405</v>
      </c>
      <c r="F20" s="266" t="s">
        <v>110</v>
      </c>
      <c r="G20" s="93"/>
      <c r="H20" s="93"/>
      <c r="I20" s="94"/>
      <c r="J20" s="493"/>
      <c r="K20" s="493"/>
      <c r="L20" s="493"/>
      <c r="M20" s="475"/>
      <c r="N20" s="477"/>
      <c r="O20" s="502"/>
      <c r="P20" s="502"/>
      <c r="Q20" s="502"/>
      <c r="R20" s="502"/>
      <c r="S20" s="502"/>
    </row>
    <row r="21" spans="1:19" ht="15.75" customHeight="1" x14ac:dyDescent="0.25">
      <c r="B21" s="31"/>
      <c r="C21" s="31"/>
      <c r="D21" s="31"/>
      <c r="E21" s="31"/>
      <c r="F21" s="31"/>
      <c r="G21" s="31"/>
      <c r="H21" s="31"/>
      <c r="I21" s="49"/>
      <c r="J21" s="474" t="s">
        <v>35</v>
      </c>
      <c r="K21" s="474"/>
      <c r="L21" s="474"/>
      <c r="M21" s="475" t="s">
        <v>110</v>
      </c>
      <c r="N21" s="477" t="str">
        <f>IF(M21="No","",'Warrant 7 &amp; 8'!J30)</f>
        <v>Yes</v>
      </c>
      <c r="O21" s="476" t="s">
        <v>567</v>
      </c>
      <c r="P21" s="476"/>
      <c r="Q21" s="476"/>
      <c r="R21" s="476"/>
      <c r="S21" s="476"/>
    </row>
    <row r="22" spans="1:19" x14ac:dyDescent="0.25">
      <c r="B22" s="31"/>
      <c r="C22" s="31"/>
      <c r="D22" s="31"/>
      <c r="E22" s="100" t="s">
        <v>350</v>
      </c>
      <c r="F22" s="267">
        <v>4</v>
      </c>
      <c r="G22" s="31"/>
      <c r="H22" s="31"/>
      <c r="I22" s="49"/>
      <c r="J22" s="474"/>
      <c r="K22" s="474"/>
      <c r="L22" s="474"/>
      <c r="M22" s="475"/>
      <c r="N22" s="477"/>
      <c r="O22" s="476"/>
      <c r="P22" s="476"/>
      <c r="Q22" s="476"/>
      <c r="R22" s="476"/>
      <c r="S22" s="476"/>
    </row>
    <row r="23" spans="1:19" ht="15.75" customHeight="1" x14ac:dyDescent="0.25">
      <c r="B23" s="93"/>
      <c r="C23" s="93"/>
      <c r="D23" s="93"/>
      <c r="E23" s="229"/>
      <c r="F23" s="232"/>
      <c r="G23" s="93"/>
      <c r="H23" s="93"/>
      <c r="I23" s="49"/>
      <c r="J23" s="474"/>
      <c r="K23" s="474"/>
      <c r="L23" s="474"/>
      <c r="M23" s="475"/>
      <c r="N23" s="477"/>
      <c r="O23" s="476"/>
      <c r="P23" s="476"/>
      <c r="Q23" s="476"/>
      <c r="R23" s="476"/>
      <c r="S23" s="476"/>
    </row>
    <row r="24" spans="1:19" ht="15.75" customHeight="1" x14ac:dyDescent="0.25">
      <c r="A24" s="516" t="s">
        <v>104</v>
      </c>
      <c r="B24" s="517"/>
      <c r="C24" s="517"/>
      <c r="D24" s="517"/>
      <c r="E24" s="517"/>
      <c r="F24" s="517"/>
      <c r="G24" s="517"/>
      <c r="H24" s="517"/>
      <c r="I24" s="518"/>
      <c r="J24" s="493" t="s">
        <v>36</v>
      </c>
      <c r="K24" s="493"/>
      <c r="L24" s="494"/>
      <c r="M24" s="495" t="s">
        <v>111</v>
      </c>
      <c r="N24" s="497" t="str">
        <f>IF(M24="No","",'Warrant 7 &amp; 8'!J55)</f>
        <v/>
      </c>
      <c r="O24" s="478" t="s">
        <v>299</v>
      </c>
      <c r="P24" s="479"/>
      <c r="Q24" s="479"/>
      <c r="R24" s="479"/>
      <c r="S24" s="479"/>
    </row>
    <row r="25" spans="1:19" ht="12.75" customHeight="1" x14ac:dyDescent="0.25">
      <c r="J25" s="493"/>
      <c r="K25" s="493"/>
      <c r="L25" s="494"/>
      <c r="M25" s="496"/>
      <c r="N25" s="498"/>
      <c r="O25" s="478"/>
      <c r="P25" s="479"/>
      <c r="Q25" s="479"/>
      <c r="R25" s="479"/>
      <c r="S25" s="479"/>
    </row>
    <row r="26" spans="1:19" ht="15.75" customHeight="1" x14ac:dyDescent="0.25">
      <c r="B26" s="513" t="s">
        <v>105</v>
      </c>
      <c r="C26" s="513"/>
      <c r="D26" s="513"/>
      <c r="E26" s="513"/>
      <c r="F26" s="268" t="s">
        <v>738</v>
      </c>
      <c r="G26" s="269"/>
      <c r="H26" s="269"/>
      <c r="I26" s="270"/>
      <c r="J26" s="474" t="s">
        <v>37</v>
      </c>
      <c r="K26" s="474"/>
      <c r="L26" s="474"/>
      <c r="M26" s="475" t="s">
        <v>111</v>
      </c>
      <c r="N26" s="497" t="str">
        <f>IF(M26="No","",IF('Warrant 9'!J44="","No",'Warrant 9'!J44))</f>
        <v/>
      </c>
      <c r="O26" s="500" t="str">
        <f>'Warrant 9'!J41</f>
        <v/>
      </c>
      <c r="P26" s="501"/>
      <c r="Q26" s="501"/>
      <c r="R26" s="501"/>
      <c r="S26" s="501"/>
    </row>
    <row r="27" spans="1:19" ht="15.75" customHeight="1" x14ac:dyDescent="0.25">
      <c r="B27" s="229"/>
      <c r="C27" s="229"/>
      <c r="D27" s="229"/>
      <c r="E27" s="230"/>
      <c r="F27" s="241"/>
      <c r="G27" s="125"/>
      <c r="H27" s="125"/>
      <c r="I27" s="238"/>
      <c r="J27" s="474"/>
      <c r="K27" s="474"/>
      <c r="L27" s="474"/>
      <c r="M27" s="475"/>
      <c r="N27" s="498"/>
      <c r="O27" s="500"/>
      <c r="P27" s="501"/>
      <c r="Q27" s="501"/>
      <c r="R27" s="501"/>
      <c r="S27" s="501"/>
    </row>
    <row r="28" spans="1:19" ht="15.75" customHeight="1" x14ac:dyDescent="0.25">
      <c r="C28" s="484" t="s">
        <v>539</v>
      </c>
      <c r="D28" s="484"/>
      <c r="E28" s="484"/>
      <c r="F28" s="483"/>
      <c r="G28" s="267" t="s">
        <v>205</v>
      </c>
      <c r="I28" s="2"/>
      <c r="J28" s="493" t="s">
        <v>475</v>
      </c>
      <c r="K28" s="493"/>
      <c r="L28" s="494"/>
      <c r="M28" s="495" t="s">
        <v>111</v>
      </c>
      <c r="N28" s="497" t="str">
        <f>IF(M28="No","",'Multi-Way Stop'!G46)</f>
        <v/>
      </c>
      <c r="O28" s="478" t="s">
        <v>533</v>
      </c>
      <c r="P28" s="479"/>
      <c r="Q28" s="479"/>
      <c r="R28" s="479"/>
      <c r="S28" s="479"/>
    </row>
    <row r="29" spans="1:19" x14ac:dyDescent="0.25">
      <c r="C29" s="484"/>
      <c r="D29" s="484"/>
      <c r="E29" s="484"/>
      <c r="F29" s="483"/>
      <c r="G29" s="246" t="str">
        <f>IF(G28="N-Bound","S-Bound",IF(G28="E-Bound","W-Bound"))</f>
        <v>S-Bound</v>
      </c>
      <c r="J29" s="493"/>
      <c r="K29" s="493"/>
      <c r="L29" s="494"/>
      <c r="M29" s="496"/>
      <c r="N29" s="498"/>
      <c r="O29" s="478"/>
      <c r="P29" s="479"/>
      <c r="Q29" s="479"/>
      <c r="R29" s="479"/>
      <c r="S29" s="479"/>
    </row>
    <row r="30" spans="1:19" ht="12.75" customHeight="1" x14ac:dyDescent="0.25">
      <c r="J30" s="472" t="s">
        <v>406</v>
      </c>
      <c r="K30" s="472"/>
      <c r="L30" s="472"/>
      <c r="M30" s="472"/>
      <c r="N30" s="472"/>
      <c r="O30" s="472"/>
      <c r="P30" s="472"/>
      <c r="Q30" s="472"/>
      <c r="R30" s="472"/>
      <c r="S30" s="472"/>
    </row>
    <row r="31" spans="1:19" ht="12.75" customHeight="1" x14ac:dyDescent="0.25">
      <c r="A31" s="481" t="s">
        <v>536</v>
      </c>
      <c r="B31" s="481"/>
      <c r="C31" s="481"/>
      <c r="D31" s="481"/>
      <c r="E31" s="481"/>
      <c r="F31" s="481"/>
      <c r="G31" s="265">
        <v>2</v>
      </c>
      <c r="H31" s="101" t="s">
        <v>114</v>
      </c>
      <c r="J31" s="472"/>
      <c r="K31" s="472"/>
      <c r="L31" s="472"/>
      <c r="M31" s="472"/>
      <c r="N31" s="472"/>
      <c r="O31" s="472"/>
      <c r="P31" s="472"/>
      <c r="Q31" s="472"/>
      <c r="R31" s="472"/>
      <c r="S31" s="472"/>
    </row>
    <row r="32" spans="1:19" x14ac:dyDescent="0.25">
      <c r="G32" s="239"/>
      <c r="H32" s="101"/>
    </row>
    <row r="33" spans="1:19" ht="12.75" customHeight="1" x14ac:dyDescent="0.25">
      <c r="A33" s="485" t="s">
        <v>689</v>
      </c>
      <c r="B33" s="485"/>
      <c r="C33" s="485"/>
      <c r="D33" s="485"/>
      <c r="E33" s="485"/>
      <c r="F33" s="485"/>
      <c r="G33" s="265">
        <v>55</v>
      </c>
      <c r="H33" s="101" t="s">
        <v>217</v>
      </c>
      <c r="J33" s="473" t="s">
        <v>551</v>
      </c>
      <c r="K33" s="473"/>
      <c r="L33" s="473"/>
      <c r="M33" s="473"/>
      <c r="N33" s="473"/>
      <c r="O33" s="473"/>
      <c r="P33" s="473"/>
      <c r="Q33" s="473"/>
      <c r="R33" s="473"/>
      <c r="S33" s="473"/>
    </row>
    <row r="34" spans="1:19" ht="12.75" customHeight="1" x14ac:dyDescent="0.25">
      <c r="A34" s="240"/>
      <c r="B34" s="240"/>
      <c r="C34" s="240"/>
      <c r="D34" s="240"/>
      <c r="E34" s="240"/>
      <c r="F34" s="25" t="s">
        <v>690</v>
      </c>
      <c r="J34" s="525" t="s">
        <v>407</v>
      </c>
      <c r="K34" s="525"/>
      <c r="L34" s="525"/>
      <c r="M34" s="525"/>
      <c r="N34" s="525"/>
      <c r="O34" s="525"/>
      <c r="P34" s="525"/>
      <c r="Q34" s="525"/>
      <c r="R34" s="525"/>
      <c r="S34" s="525"/>
    </row>
    <row r="35" spans="1:19" x14ac:dyDescent="0.25">
      <c r="J35" s="525"/>
      <c r="K35" s="525"/>
      <c r="L35" s="525"/>
      <c r="M35" s="525"/>
      <c r="N35" s="525"/>
      <c r="O35" s="525"/>
      <c r="P35" s="525"/>
      <c r="Q35" s="525"/>
      <c r="R35" s="525"/>
      <c r="S35" s="525"/>
    </row>
    <row r="36" spans="1:19" x14ac:dyDescent="0.25">
      <c r="A36" s="516" t="s">
        <v>106</v>
      </c>
      <c r="B36" s="517"/>
      <c r="C36" s="517"/>
      <c r="D36" s="517"/>
      <c r="E36" s="517"/>
      <c r="F36" s="517"/>
      <c r="G36" s="517"/>
      <c r="H36" s="517"/>
      <c r="I36" s="518"/>
      <c r="J36" s="525"/>
      <c r="K36" s="525"/>
      <c r="L36" s="525"/>
      <c r="M36" s="525"/>
      <c r="N36" s="525"/>
      <c r="O36" s="525"/>
      <c r="P36" s="525"/>
      <c r="Q36" s="525"/>
      <c r="R36" s="525"/>
      <c r="S36" s="525"/>
    </row>
    <row r="37" spans="1:19" x14ac:dyDescent="0.25">
      <c r="J37" s="525"/>
      <c r="K37" s="525"/>
      <c r="L37" s="525"/>
      <c r="M37" s="525"/>
      <c r="N37" s="525"/>
      <c r="O37" s="525"/>
      <c r="P37" s="525"/>
      <c r="Q37" s="525"/>
      <c r="R37" s="525"/>
      <c r="S37" s="525"/>
    </row>
    <row r="38" spans="1:19" ht="12.75" customHeight="1" x14ac:dyDescent="0.25">
      <c r="B38" s="513" t="s">
        <v>107</v>
      </c>
      <c r="C38" s="513"/>
      <c r="D38" s="513"/>
      <c r="E38" s="515"/>
      <c r="F38" s="268" t="s">
        <v>740</v>
      </c>
      <c r="G38" s="269"/>
      <c r="H38" s="269"/>
      <c r="I38" s="270"/>
      <c r="J38" s="523" t="s">
        <v>553</v>
      </c>
      <c r="K38" s="523"/>
      <c r="L38" s="523"/>
      <c r="M38" s="523"/>
      <c r="N38" s="523"/>
      <c r="O38" s="523"/>
      <c r="P38" s="523"/>
      <c r="Q38" s="523"/>
      <c r="R38" s="523"/>
      <c r="S38" s="523"/>
    </row>
    <row r="39" spans="1:19" x14ac:dyDescent="0.25">
      <c r="B39" s="482" t="s">
        <v>538</v>
      </c>
      <c r="C39" s="482"/>
      <c r="D39" s="482"/>
      <c r="E39" s="483"/>
      <c r="F39" s="271">
        <v>2</v>
      </c>
      <c r="G39" s="247" t="str">
        <f>IF(G28="N-Bound","E-Bound",IF(G28="E-Bound","N-Bound"))</f>
        <v>E-Bound</v>
      </c>
      <c r="J39" s="523"/>
      <c r="K39" s="523"/>
      <c r="L39" s="523"/>
      <c r="M39" s="523"/>
      <c r="N39" s="523"/>
      <c r="O39" s="523"/>
      <c r="P39" s="523"/>
      <c r="Q39" s="523"/>
      <c r="R39" s="523"/>
      <c r="S39" s="523"/>
    </row>
    <row r="40" spans="1:19" x14ac:dyDescent="0.25">
      <c r="B40" s="482"/>
      <c r="C40" s="482"/>
      <c r="D40" s="482"/>
      <c r="E40" s="483"/>
      <c r="F40" s="271"/>
      <c r="G40" s="246" t="str">
        <f>IF(G28="N-Bound","W-Bound",IF(G28="E-Bound","S-Bound"))</f>
        <v>W-Bound</v>
      </c>
      <c r="J40" s="523"/>
      <c r="K40" s="523"/>
      <c r="L40" s="523"/>
      <c r="M40" s="523"/>
      <c r="N40" s="523"/>
      <c r="O40" s="523"/>
      <c r="P40" s="523"/>
      <c r="Q40" s="523"/>
      <c r="R40" s="523"/>
      <c r="S40" s="523"/>
    </row>
    <row r="41" spans="1:19" ht="12.75" customHeight="1" x14ac:dyDescent="0.25">
      <c r="J41" s="523" t="s">
        <v>408</v>
      </c>
      <c r="K41" s="523"/>
      <c r="L41" s="523"/>
      <c r="M41" s="523"/>
      <c r="N41" s="523"/>
      <c r="O41" s="523"/>
      <c r="P41" s="523"/>
      <c r="Q41" s="523"/>
      <c r="R41" s="523"/>
      <c r="S41" s="523"/>
    </row>
    <row r="42" spans="1:19" x14ac:dyDescent="0.25">
      <c r="J42" s="523"/>
      <c r="K42" s="523"/>
      <c r="L42" s="523"/>
      <c r="M42" s="523"/>
      <c r="N42" s="523"/>
      <c r="O42" s="523"/>
      <c r="P42" s="523"/>
      <c r="Q42" s="523"/>
      <c r="R42" s="523"/>
      <c r="S42" s="523"/>
    </row>
    <row r="43" spans="1:19" x14ac:dyDescent="0.25">
      <c r="J43" s="523"/>
      <c r="K43" s="523"/>
      <c r="L43" s="523"/>
      <c r="M43" s="523"/>
      <c r="N43" s="523"/>
      <c r="O43" s="523"/>
      <c r="P43" s="523"/>
      <c r="Q43" s="523"/>
      <c r="R43" s="523"/>
      <c r="S43" s="523"/>
    </row>
    <row r="44" spans="1:19" x14ac:dyDescent="0.25">
      <c r="J44" s="523"/>
      <c r="K44" s="523"/>
      <c r="L44" s="523"/>
      <c r="M44" s="523"/>
      <c r="N44" s="523"/>
      <c r="O44" s="523"/>
      <c r="P44" s="523"/>
      <c r="Q44" s="523"/>
      <c r="R44" s="523"/>
      <c r="S44" s="523"/>
    </row>
    <row r="45" spans="1:19" ht="6" customHeight="1" x14ac:dyDescent="0.25">
      <c r="J45" s="95"/>
      <c r="K45" s="95"/>
      <c r="L45" s="95"/>
      <c r="M45" s="95"/>
      <c r="N45" s="95"/>
      <c r="O45" s="95"/>
      <c r="P45" s="95"/>
      <c r="Q45" s="95"/>
      <c r="R45" s="95"/>
    </row>
    <row r="46" spans="1:19" ht="12.75" customHeight="1" x14ac:dyDescent="0.25">
      <c r="D46" s="245">
        <v>1</v>
      </c>
      <c r="E46" s="245">
        <v>2</v>
      </c>
      <c r="F46" s="245">
        <v>3</v>
      </c>
      <c r="G46" s="245">
        <v>4</v>
      </c>
      <c r="H46" s="245">
        <v>5</v>
      </c>
      <c r="J46" s="524" t="s">
        <v>524</v>
      </c>
      <c r="K46" s="524"/>
      <c r="L46" s="524"/>
      <c r="M46" s="524"/>
      <c r="N46" s="524"/>
      <c r="O46" s="524"/>
      <c r="P46" s="524"/>
      <c r="Q46" s="524"/>
      <c r="R46" s="524"/>
      <c r="S46" s="524"/>
    </row>
    <row r="47" spans="1:19" ht="12.75" customHeight="1" x14ac:dyDescent="0.25">
      <c r="B47" s="481" t="s">
        <v>537</v>
      </c>
      <c r="C47" s="481"/>
      <c r="D47" s="481"/>
      <c r="E47" s="481"/>
      <c r="F47" s="481"/>
      <c r="G47" s="265">
        <v>0</v>
      </c>
      <c r="H47" s="101" t="s">
        <v>114</v>
      </c>
      <c r="J47" s="524"/>
      <c r="K47" s="524"/>
      <c r="L47" s="524"/>
      <c r="M47" s="524"/>
      <c r="N47" s="524"/>
      <c r="O47" s="524"/>
      <c r="P47" s="524"/>
      <c r="Q47" s="524"/>
      <c r="R47" s="524"/>
      <c r="S47" s="524"/>
    </row>
    <row r="48" spans="1:19" ht="12.75" customHeight="1" x14ac:dyDescent="0.25">
      <c r="B48" s="481" t="s">
        <v>667</v>
      </c>
      <c r="C48" s="481"/>
      <c r="D48" s="481"/>
      <c r="E48" s="481"/>
      <c r="F48" s="481"/>
      <c r="G48" s="365" t="s">
        <v>110</v>
      </c>
      <c r="J48" s="524"/>
      <c r="K48" s="524"/>
      <c r="L48" s="524"/>
      <c r="M48" s="524"/>
      <c r="N48" s="524"/>
      <c r="O48" s="524"/>
      <c r="P48" s="524"/>
      <c r="Q48" s="524"/>
      <c r="R48" s="524"/>
      <c r="S48" s="524"/>
    </row>
    <row r="49" spans="1:19" ht="6" customHeight="1" x14ac:dyDescent="0.25">
      <c r="A49" s="480" t="s">
        <v>672</v>
      </c>
      <c r="B49" s="480"/>
      <c r="C49" s="480"/>
      <c r="D49" s="480"/>
      <c r="E49" s="480"/>
      <c r="F49" s="480"/>
    </row>
    <row r="50" spans="1:19" ht="12.75" customHeight="1" x14ac:dyDescent="0.25">
      <c r="A50" s="480"/>
      <c r="B50" s="480"/>
      <c r="C50" s="480"/>
      <c r="D50" s="480"/>
      <c r="E50" s="480"/>
      <c r="F50" s="480"/>
      <c r="M50" s="25" t="s">
        <v>409</v>
      </c>
      <c r="N50" s="503" t="s">
        <v>414</v>
      </c>
      <c r="O50" s="503"/>
      <c r="P50" s="503"/>
      <c r="Q50" s="503"/>
    </row>
    <row r="51" spans="1:19" ht="13.05" customHeight="1" x14ac:dyDescent="0.25">
      <c r="A51" s="480"/>
      <c r="B51" s="480"/>
      <c r="C51" s="480"/>
      <c r="D51" s="480"/>
      <c r="E51" s="480"/>
      <c r="F51" s="480"/>
      <c r="J51" s="224" t="s">
        <v>416</v>
      </c>
      <c r="K51" s="486"/>
      <c r="L51" s="487"/>
      <c r="M51" s="487"/>
      <c r="N51" s="487"/>
      <c r="O51" s="487"/>
      <c r="P51" s="487"/>
      <c r="Q51" s="487"/>
      <c r="R51" s="488"/>
    </row>
    <row r="52" spans="1:19" ht="13.05" customHeight="1" x14ac:dyDescent="0.25">
      <c r="A52" s="480"/>
      <c r="B52" s="480"/>
      <c r="C52" s="480"/>
      <c r="D52" s="480"/>
      <c r="E52" s="480"/>
      <c r="F52" s="480"/>
      <c r="J52" s="103"/>
      <c r="K52" s="489"/>
      <c r="L52" s="490"/>
      <c r="M52" s="490"/>
      <c r="N52" s="490"/>
      <c r="O52" s="490"/>
      <c r="P52" s="490"/>
      <c r="Q52" s="490"/>
      <c r="R52" s="491"/>
    </row>
    <row r="53" spans="1:19" ht="13.05" customHeight="1" x14ac:dyDescent="0.25">
      <c r="J53" s="28"/>
      <c r="K53" s="180"/>
      <c r="L53" s="180"/>
      <c r="M53" s="180"/>
      <c r="N53" s="180"/>
      <c r="O53" s="180"/>
      <c r="P53" s="180"/>
      <c r="Q53" s="180"/>
      <c r="R53" s="180"/>
      <c r="S53" s="2"/>
    </row>
    <row r="54" spans="1:19" ht="13.05" customHeight="1" x14ac:dyDescent="0.25">
      <c r="J54" s="28"/>
      <c r="K54" s="180"/>
      <c r="L54" s="180"/>
      <c r="M54" s="180"/>
      <c r="N54" s="180"/>
      <c r="O54" s="180"/>
      <c r="P54" s="180"/>
      <c r="Q54" s="180"/>
      <c r="R54" s="180"/>
      <c r="S54" s="2"/>
    </row>
    <row r="55" spans="1:19" ht="38.85" customHeight="1" x14ac:dyDescent="0.25">
      <c r="J55" s="28"/>
      <c r="K55" s="2"/>
      <c r="L55" s="2"/>
      <c r="M55" s="2"/>
      <c r="N55" s="2"/>
      <c r="O55" s="2"/>
      <c r="P55" s="2"/>
      <c r="Q55" s="2"/>
      <c r="R55" s="2"/>
      <c r="S55" s="2"/>
    </row>
    <row r="56" spans="1:19" ht="38.85" customHeight="1" x14ac:dyDescent="0.25">
      <c r="J56" s="103"/>
    </row>
    <row r="57" spans="1:19" ht="38.85" customHeight="1" x14ac:dyDescent="0.25">
      <c r="J57" s="103"/>
    </row>
    <row r="58" spans="1:19" ht="38.85" customHeight="1" x14ac:dyDescent="0.25">
      <c r="J58" s="103"/>
    </row>
    <row r="59" spans="1:19" ht="38.85" customHeight="1" x14ac:dyDescent="0.25">
      <c r="J59" s="103"/>
    </row>
    <row r="60" spans="1:19" x14ac:dyDescent="0.25">
      <c r="J60" s="103"/>
    </row>
    <row r="61" spans="1:19" x14ac:dyDescent="0.25">
      <c r="J61" s="103"/>
    </row>
    <row r="62" spans="1:19" x14ac:dyDescent="0.25">
      <c r="J62" s="103"/>
    </row>
    <row r="74" ht="12.75" customHeight="1" x14ac:dyDescent="0.25"/>
    <row r="78" ht="12.75" customHeight="1" x14ac:dyDescent="0.25"/>
    <row r="81" ht="12.75" customHeight="1" x14ac:dyDescent="0.25"/>
  </sheetData>
  <sheetProtection algorithmName="SHA-512" hashValue="Q53vfkcLgcRFqwn3VwUdwSGscg+9jwnEBs3TpZB4OZ8yElfa0lnT0nEwbf/r9CgInYoJM/oBa9tD6NoSEh0QAw==" saltValue="dUEaoOHb4avPegq8ql8IJQ=="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A9:B9"/>
    <mergeCell ref="C9:D9"/>
    <mergeCell ref="J1:S1"/>
    <mergeCell ref="O3:S3"/>
    <mergeCell ref="J4:L6"/>
    <mergeCell ref="M4:M6"/>
    <mergeCell ref="N4:N6"/>
    <mergeCell ref="O4:S6"/>
    <mergeCell ref="N2:N3"/>
    <mergeCell ref="A1:I1"/>
    <mergeCell ref="H3:I5"/>
    <mergeCell ref="E7:G8"/>
    <mergeCell ref="H7:I8"/>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14:L16"/>
    <mergeCell ref="O10:R12"/>
    <mergeCell ref="J7:L9"/>
    <mergeCell ref="M7:M9"/>
    <mergeCell ref="N7:N9"/>
    <mergeCell ref="O7:S9"/>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A49:F52"/>
    <mergeCell ref="B47:F47"/>
    <mergeCell ref="B48:F48"/>
    <mergeCell ref="B39:E40"/>
    <mergeCell ref="C28:F29"/>
    <mergeCell ref="A31:F31"/>
    <mergeCell ref="A33:F33"/>
    <mergeCell ref="J30:S31"/>
    <mergeCell ref="J33:S33"/>
    <mergeCell ref="J26:L27"/>
    <mergeCell ref="M26:M27"/>
    <mergeCell ref="O21:S23"/>
    <mergeCell ref="N21:N23"/>
    <mergeCell ref="O28:S29"/>
  </mergeCells>
  <dataValidations count="1">
    <dataValidation type="list" allowBlank="1" showInputMessage="1" showErrorMessage="1" sqref="F22:F23" xr:uid="{00000000-0002-0000-0100-000000000000}">
      <formula1>"3,4,5,6,7,8"</formula1>
    </dataValidation>
  </dataValidations>
  <hyperlinks>
    <hyperlink ref="C9:D9" r:id="rId2" display="SR-747/SR-129 EB"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Lists'!$P$2:$P$6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sheetPr>
  <dimension ref="A1:AB123"/>
  <sheetViews>
    <sheetView zoomScale="85" zoomScaleNormal="85" workbookViewId="0">
      <pane ySplit="3" topLeftCell="A34" activePane="bottomLeft" state="frozen"/>
      <selection activeCell="B171" sqref="B171"/>
      <selection pane="bottomLeft" activeCell="S41" sqref="S41"/>
    </sheetView>
  </sheetViews>
  <sheetFormatPr defaultColWidth="9.21875" defaultRowHeight="13.2" x14ac:dyDescent="0.25"/>
  <cols>
    <col min="1" max="1" width="14.77734375" style="96" bestFit="1" customWidth="1"/>
    <col min="2" max="2" width="8.5546875" style="51" bestFit="1" customWidth="1"/>
    <col min="3" max="5" width="9.21875" style="51" bestFit="1" customWidth="1"/>
    <col min="6" max="6" width="8.21875" style="51" bestFit="1" customWidth="1"/>
    <col min="7" max="10" width="9.21875" style="51" bestFit="1" customWidth="1"/>
    <col min="11" max="12" width="8.21875" style="51" bestFit="1" customWidth="1"/>
    <col min="13" max="19" width="9.21875" style="51" bestFit="1" customWidth="1"/>
    <col min="20" max="20" width="8.21875" style="51" bestFit="1" customWidth="1"/>
    <col min="21" max="22" width="9.21875" style="51" bestFit="1" customWidth="1"/>
    <col min="23" max="23" width="8.21875" style="51" bestFit="1" customWidth="1"/>
    <col min="24" max="25" width="9.21875" style="51" bestFit="1" customWidth="1"/>
    <col min="26" max="279" width="9.21875" style="51"/>
    <col min="280" max="280" width="9.21875" style="51" customWidth="1"/>
    <col min="281" max="16384" width="9.21875" style="51"/>
  </cols>
  <sheetData>
    <row r="1" spans="1:28" s="97" customFormat="1" ht="15" x14ac:dyDescent="0.25">
      <c r="A1" s="552" t="s">
        <v>99</v>
      </c>
      <c r="B1" s="553" t="s">
        <v>95</v>
      </c>
      <c r="C1" s="554"/>
      <c r="D1" s="554"/>
      <c r="E1" s="554"/>
      <c r="F1" s="554"/>
      <c r="G1" s="554"/>
      <c r="H1" s="553" t="s">
        <v>94</v>
      </c>
      <c r="I1" s="554"/>
      <c r="J1" s="554"/>
      <c r="K1" s="554"/>
      <c r="L1" s="554"/>
      <c r="M1" s="554"/>
      <c r="N1" s="553" t="s">
        <v>96</v>
      </c>
      <c r="O1" s="554"/>
      <c r="P1" s="554"/>
      <c r="Q1" s="554"/>
      <c r="R1" s="554"/>
      <c r="S1" s="554"/>
      <c r="T1" s="553" t="s">
        <v>98</v>
      </c>
      <c r="U1" s="554"/>
      <c r="V1" s="554"/>
      <c r="W1" s="554"/>
      <c r="X1" s="554"/>
      <c r="Y1" s="554"/>
      <c r="Z1" s="541" t="s">
        <v>669</v>
      </c>
      <c r="AA1" s="542"/>
      <c r="AB1" s="542"/>
    </row>
    <row r="2" spans="1:28" s="97" customFormat="1" ht="13.8" x14ac:dyDescent="0.25">
      <c r="A2" s="552"/>
      <c r="B2" s="555" t="s">
        <v>93</v>
      </c>
      <c r="C2" s="555"/>
      <c r="D2" s="555"/>
      <c r="E2" s="555"/>
      <c r="F2" s="555"/>
      <c r="G2" s="555"/>
      <c r="H2" s="555" t="s">
        <v>40</v>
      </c>
      <c r="I2" s="555"/>
      <c r="J2" s="555"/>
      <c r="K2" s="555"/>
      <c r="L2" s="555"/>
      <c r="M2" s="555"/>
      <c r="N2" s="555" t="s">
        <v>97</v>
      </c>
      <c r="O2" s="555"/>
      <c r="P2" s="555"/>
      <c r="Q2" s="555"/>
      <c r="R2" s="555"/>
      <c r="S2" s="555"/>
      <c r="T2" s="555" t="s">
        <v>39</v>
      </c>
      <c r="U2" s="555"/>
      <c r="V2" s="555"/>
      <c r="W2" s="555"/>
      <c r="X2" s="555"/>
      <c r="Y2" s="555"/>
      <c r="Z2" s="541"/>
      <c r="AA2" s="542"/>
      <c r="AB2" s="542"/>
    </row>
    <row r="3" spans="1:28" s="97" customFormat="1" ht="26.4" x14ac:dyDescent="0.25">
      <c r="A3" s="552"/>
      <c r="B3" s="272" t="s">
        <v>88</v>
      </c>
      <c r="C3" s="272" t="s">
        <v>89</v>
      </c>
      <c r="D3" s="272" t="s">
        <v>25</v>
      </c>
      <c r="E3" s="272" t="s">
        <v>90</v>
      </c>
      <c r="F3" s="272" t="s">
        <v>91</v>
      </c>
      <c r="G3" s="273" t="s">
        <v>92</v>
      </c>
      <c r="H3" s="272" t="s">
        <v>88</v>
      </c>
      <c r="I3" s="272" t="s">
        <v>89</v>
      </c>
      <c r="J3" s="272" t="s">
        <v>25</v>
      </c>
      <c r="K3" s="272" t="s">
        <v>90</v>
      </c>
      <c r="L3" s="272" t="s">
        <v>91</v>
      </c>
      <c r="M3" s="273" t="s">
        <v>92</v>
      </c>
      <c r="N3" s="272" t="s">
        <v>88</v>
      </c>
      <c r="O3" s="272" t="s">
        <v>89</v>
      </c>
      <c r="P3" s="272" t="s">
        <v>25</v>
      </c>
      <c r="Q3" s="272" t="s">
        <v>90</v>
      </c>
      <c r="R3" s="272" t="s">
        <v>91</v>
      </c>
      <c r="S3" s="273" t="s">
        <v>92</v>
      </c>
      <c r="T3" s="272" t="s">
        <v>88</v>
      </c>
      <c r="U3" s="272" t="s">
        <v>89</v>
      </c>
      <c r="V3" s="272" t="s">
        <v>25</v>
      </c>
      <c r="W3" s="272" t="s">
        <v>90</v>
      </c>
      <c r="X3" s="272" t="s">
        <v>91</v>
      </c>
      <c r="Y3" s="273" t="s">
        <v>92</v>
      </c>
      <c r="Z3" s="541"/>
      <c r="AA3" s="542"/>
      <c r="AB3" s="542"/>
    </row>
    <row r="4" spans="1:28" ht="12.75" customHeight="1" x14ac:dyDescent="0.25">
      <c r="A4" s="274">
        <v>0</v>
      </c>
      <c r="B4" s="381"/>
      <c r="C4" s="382"/>
      <c r="D4" s="382"/>
      <c r="E4" s="382"/>
      <c r="F4" s="383"/>
      <c r="G4" s="384">
        <f>SUM(B4:E4)</f>
        <v>0</v>
      </c>
      <c r="H4" s="382"/>
      <c r="I4" s="382"/>
      <c r="J4" s="382"/>
      <c r="K4" s="382"/>
      <c r="L4" s="382"/>
      <c r="M4" s="384">
        <f>SUM(H4:K4)</f>
        <v>0</v>
      </c>
      <c r="N4" s="382"/>
      <c r="O4" s="382"/>
      <c r="P4" s="382"/>
      <c r="Q4" s="382"/>
      <c r="R4" s="383"/>
      <c r="S4" s="384">
        <f>SUM(N4:Q4)</f>
        <v>0</v>
      </c>
      <c r="T4" s="382"/>
      <c r="U4" s="382"/>
      <c r="V4" s="382"/>
      <c r="W4" s="382"/>
      <c r="X4" s="383"/>
      <c r="Y4" s="383">
        <f>SUM(T4:W4)</f>
        <v>0</v>
      </c>
      <c r="Z4" s="543" t="s">
        <v>670</v>
      </c>
      <c r="AA4" s="544"/>
      <c r="AB4" s="545"/>
    </row>
    <row r="5" spans="1:28" x14ac:dyDescent="0.25">
      <c r="A5" s="274">
        <v>1.0416666666666666E-2</v>
      </c>
      <c r="B5" s="385"/>
      <c r="C5" s="386"/>
      <c r="D5" s="386"/>
      <c r="E5" s="386"/>
      <c r="F5" s="387"/>
      <c r="G5" s="384">
        <f t="shared" ref="G5:G32" si="0">SUM(B5:E5)</f>
        <v>0</v>
      </c>
      <c r="H5" s="386"/>
      <c r="I5" s="386"/>
      <c r="J5" s="386"/>
      <c r="K5" s="386"/>
      <c r="L5" s="386"/>
      <c r="M5" s="384">
        <f t="shared" ref="M5:M32" si="1">SUM(H5:K5)</f>
        <v>0</v>
      </c>
      <c r="N5" s="386"/>
      <c r="O5" s="386"/>
      <c r="P5" s="386"/>
      <c r="Q5" s="386"/>
      <c r="R5" s="387"/>
      <c r="S5" s="384">
        <f t="shared" ref="S5:S32" si="2">SUM(N5:Q5)</f>
        <v>0</v>
      </c>
      <c r="T5" s="386"/>
      <c r="U5" s="386"/>
      <c r="V5" s="386"/>
      <c r="W5" s="386"/>
      <c r="X5" s="387"/>
      <c r="Y5" s="383">
        <f t="shared" ref="Y5:Y67" si="3">SUM(T5:W5)</f>
        <v>0</v>
      </c>
      <c r="Z5" s="546"/>
      <c r="AA5" s="547"/>
      <c r="AB5" s="548"/>
    </row>
    <row r="6" spans="1:28" x14ac:dyDescent="0.25">
      <c r="A6" s="274">
        <v>2.0833333333333332E-2</v>
      </c>
      <c r="B6" s="385"/>
      <c r="C6" s="386"/>
      <c r="D6" s="386"/>
      <c r="E6" s="386"/>
      <c r="F6" s="387"/>
      <c r="G6" s="384">
        <f t="shared" si="0"/>
        <v>0</v>
      </c>
      <c r="H6" s="386"/>
      <c r="I6" s="386"/>
      <c r="J6" s="386"/>
      <c r="K6" s="386"/>
      <c r="L6" s="386"/>
      <c r="M6" s="384">
        <f t="shared" si="1"/>
        <v>0</v>
      </c>
      <c r="N6" s="386"/>
      <c r="O6" s="386"/>
      <c r="P6" s="386"/>
      <c r="Q6" s="386"/>
      <c r="R6" s="387"/>
      <c r="S6" s="384">
        <f t="shared" si="2"/>
        <v>0</v>
      </c>
      <c r="T6" s="386"/>
      <c r="U6" s="386"/>
      <c r="V6" s="386"/>
      <c r="W6" s="386"/>
      <c r="X6" s="387"/>
      <c r="Y6" s="383">
        <f t="shared" si="3"/>
        <v>0</v>
      </c>
      <c r="Z6" s="546"/>
      <c r="AA6" s="547"/>
      <c r="AB6" s="548"/>
    </row>
    <row r="7" spans="1:28" x14ac:dyDescent="0.25">
      <c r="A7" s="274">
        <v>3.125E-2</v>
      </c>
      <c r="B7" s="388"/>
      <c r="C7" s="387"/>
      <c r="D7" s="387"/>
      <c r="E7" s="387"/>
      <c r="F7" s="387"/>
      <c r="G7" s="384">
        <f t="shared" si="0"/>
        <v>0</v>
      </c>
      <c r="H7" s="387"/>
      <c r="I7" s="387"/>
      <c r="J7" s="387"/>
      <c r="K7" s="387"/>
      <c r="L7" s="387"/>
      <c r="M7" s="384">
        <f t="shared" si="1"/>
        <v>0</v>
      </c>
      <c r="N7" s="387"/>
      <c r="O7" s="387"/>
      <c r="P7" s="387"/>
      <c r="Q7" s="387"/>
      <c r="R7" s="387"/>
      <c r="S7" s="384">
        <f t="shared" si="2"/>
        <v>0</v>
      </c>
      <c r="T7" s="387"/>
      <c r="U7" s="387"/>
      <c r="V7" s="387"/>
      <c r="W7" s="387"/>
      <c r="X7" s="387"/>
      <c r="Y7" s="383">
        <f t="shared" si="3"/>
        <v>0</v>
      </c>
      <c r="Z7" s="546"/>
      <c r="AA7" s="547"/>
      <c r="AB7" s="548"/>
    </row>
    <row r="8" spans="1:28" x14ac:dyDescent="0.25">
      <c r="A8" s="275" t="s">
        <v>312</v>
      </c>
      <c r="B8" s="386">
        <f t="shared" ref="B8:Y8" si="4">SUM(B4:B7)</f>
        <v>0</v>
      </c>
      <c r="C8" s="386">
        <f t="shared" si="4"/>
        <v>0</v>
      </c>
      <c r="D8" s="386">
        <f t="shared" si="4"/>
        <v>0</v>
      </c>
      <c r="E8" s="386">
        <f t="shared" si="4"/>
        <v>0</v>
      </c>
      <c r="F8" s="386">
        <f t="shared" si="4"/>
        <v>0</v>
      </c>
      <c r="G8" s="386">
        <f t="shared" si="4"/>
        <v>0</v>
      </c>
      <c r="H8" s="386">
        <f t="shared" si="4"/>
        <v>0</v>
      </c>
      <c r="I8" s="386">
        <f t="shared" si="4"/>
        <v>0</v>
      </c>
      <c r="J8" s="386">
        <f t="shared" si="4"/>
        <v>0</v>
      </c>
      <c r="K8" s="386">
        <f t="shared" si="4"/>
        <v>0</v>
      </c>
      <c r="L8" s="386">
        <f t="shared" si="4"/>
        <v>0</v>
      </c>
      <c r="M8" s="386">
        <f t="shared" si="4"/>
        <v>0</v>
      </c>
      <c r="N8" s="386">
        <f t="shared" si="4"/>
        <v>0</v>
      </c>
      <c r="O8" s="386">
        <f t="shared" si="4"/>
        <v>0</v>
      </c>
      <c r="P8" s="386">
        <f t="shared" si="4"/>
        <v>0</v>
      </c>
      <c r="Q8" s="386">
        <f t="shared" si="4"/>
        <v>0</v>
      </c>
      <c r="R8" s="386">
        <f t="shared" si="4"/>
        <v>0</v>
      </c>
      <c r="S8" s="386">
        <f t="shared" si="4"/>
        <v>0</v>
      </c>
      <c r="T8" s="386">
        <f t="shared" si="4"/>
        <v>0</v>
      </c>
      <c r="U8" s="386">
        <f t="shared" si="4"/>
        <v>0</v>
      </c>
      <c r="V8" s="386">
        <f t="shared" si="4"/>
        <v>0</v>
      </c>
      <c r="W8" s="386">
        <f t="shared" si="4"/>
        <v>0</v>
      </c>
      <c r="X8" s="386">
        <f t="shared" si="4"/>
        <v>0</v>
      </c>
      <c r="Y8" s="386">
        <f t="shared" si="4"/>
        <v>0</v>
      </c>
      <c r="Z8" s="546"/>
      <c r="AA8" s="547"/>
      <c r="AB8" s="548"/>
    </row>
    <row r="9" spans="1:28" x14ac:dyDescent="0.25">
      <c r="A9" s="274">
        <v>4.1666666666666664E-2</v>
      </c>
      <c r="B9" s="385"/>
      <c r="C9" s="386"/>
      <c r="D9" s="386"/>
      <c r="E9" s="386"/>
      <c r="F9" s="387"/>
      <c r="G9" s="384">
        <f t="shared" si="0"/>
        <v>0</v>
      </c>
      <c r="H9" s="386"/>
      <c r="I9" s="386"/>
      <c r="J9" s="386"/>
      <c r="K9" s="386"/>
      <c r="L9" s="386"/>
      <c r="M9" s="384">
        <f t="shared" si="1"/>
        <v>0</v>
      </c>
      <c r="N9" s="386"/>
      <c r="O9" s="386"/>
      <c r="P9" s="386"/>
      <c r="Q9" s="386"/>
      <c r="R9" s="387"/>
      <c r="S9" s="384">
        <f t="shared" si="2"/>
        <v>0</v>
      </c>
      <c r="T9" s="386"/>
      <c r="U9" s="386"/>
      <c r="V9" s="386"/>
      <c r="W9" s="386"/>
      <c r="X9" s="387"/>
      <c r="Y9" s="383">
        <f t="shared" si="3"/>
        <v>0</v>
      </c>
      <c r="Z9" s="546"/>
      <c r="AA9" s="547"/>
      <c r="AB9" s="548"/>
    </row>
    <row r="10" spans="1:28" x14ac:dyDescent="0.25">
      <c r="A10" s="274">
        <v>5.2083333333333336E-2</v>
      </c>
      <c r="B10" s="385"/>
      <c r="C10" s="386"/>
      <c r="D10" s="386"/>
      <c r="E10" s="386"/>
      <c r="F10" s="387"/>
      <c r="G10" s="384">
        <f t="shared" si="0"/>
        <v>0</v>
      </c>
      <c r="H10" s="386"/>
      <c r="I10" s="386"/>
      <c r="J10" s="386"/>
      <c r="K10" s="386"/>
      <c r="L10" s="386"/>
      <c r="M10" s="384">
        <f t="shared" si="1"/>
        <v>0</v>
      </c>
      <c r="N10" s="386"/>
      <c r="O10" s="386"/>
      <c r="P10" s="386"/>
      <c r="Q10" s="386"/>
      <c r="R10" s="387"/>
      <c r="S10" s="384">
        <f t="shared" si="2"/>
        <v>0</v>
      </c>
      <c r="T10" s="386"/>
      <c r="U10" s="386"/>
      <c r="V10" s="386"/>
      <c r="W10" s="386"/>
      <c r="X10" s="387"/>
      <c r="Y10" s="383">
        <f t="shared" si="3"/>
        <v>0</v>
      </c>
      <c r="Z10" s="546"/>
      <c r="AA10" s="547"/>
      <c r="AB10" s="548"/>
    </row>
    <row r="11" spans="1:28" x14ac:dyDescent="0.25">
      <c r="A11" s="274">
        <v>6.25E-2</v>
      </c>
      <c r="B11" s="385"/>
      <c r="C11" s="386"/>
      <c r="D11" s="386"/>
      <c r="E11" s="386"/>
      <c r="F11" s="387"/>
      <c r="G11" s="384">
        <f t="shared" si="0"/>
        <v>0</v>
      </c>
      <c r="H11" s="386"/>
      <c r="I11" s="386"/>
      <c r="J11" s="386"/>
      <c r="K11" s="386"/>
      <c r="L11" s="386"/>
      <c r="M11" s="384">
        <f t="shared" si="1"/>
        <v>0</v>
      </c>
      <c r="N11" s="386"/>
      <c r="O11" s="386"/>
      <c r="P11" s="386"/>
      <c r="Q11" s="386"/>
      <c r="R11" s="387"/>
      <c r="S11" s="384">
        <f t="shared" si="2"/>
        <v>0</v>
      </c>
      <c r="T11" s="386"/>
      <c r="U11" s="386"/>
      <c r="V11" s="386"/>
      <c r="W11" s="386"/>
      <c r="X11" s="387"/>
      <c r="Y11" s="383">
        <f t="shared" si="3"/>
        <v>0</v>
      </c>
      <c r="Z11" s="546"/>
      <c r="AA11" s="547"/>
      <c r="AB11" s="548"/>
    </row>
    <row r="12" spans="1:28" x14ac:dyDescent="0.25">
      <c r="A12" s="274">
        <v>7.2916666666666671E-2</v>
      </c>
      <c r="B12" s="388"/>
      <c r="C12" s="387"/>
      <c r="D12" s="387"/>
      <c r="E12" s="387"/>
      <c r="F12" s="387"/>
      <c r="G12" s="384">
        <f t="shared" si="0"/>
        <v>0</v>
      </c>
      <c r="H12" s="387"/>
      <c r="I12" s="387"/>
      <c r="J12" s="387"/>
      <c r="K12" s="387"/>
      <c r="L12" s="387"/>
      <c r="M12" s="384">
        <f t="shared" si="1"/>
        <v>0</v>
      </c>
      <c r="N12" s="387"/>
      <c r="O12" s="387"/>
      <c r="P12" s="387"/>
      <c r="Q12" s="387"/>
      <c r="R12" s="387"/>
      <c r="S12" s="384">
        <f t="shared" si="2"/>
        <v>0</v>
      </c>
      <c r="T12" s="387"/>
      <c r="U12" s="387"/>
      <c r="V12" s="387"/>
      <c r="W12" s="387"/>
      <c r="X12" s="387"/>
      <c r="Y12" s="383">
        <f t="shared" si="3"/>
        <v>0</v>
      </c>
      <c r="Z12" s="546"/>
      <c r="AA12" s="547"/>
      <c r="AB12" s="548"/>
    </row>
    <row r="13" spans="1:28" x14ac:dyDescent="0.25">
      <c r="A13" s="275" t="s">
        <v>312</v>
      </c>
      <c r="B13" s="386">
        <f>SUM(B9:B12)</f>
        <v>0</v>
      </c>
      <c r="C13" s="386">
        <f t="shared" ref="C13:Y13" si="5">SUM(C9:C12)</f>
        <v>0</v>
      </c>
      <c r="D13" s="386">
        <f t="shared" si="5"/>
        <v>0</v>
      </c>
      <c r="E13" s="386">
        <f t="shared" si="5"/>
        <v>0</v>
      </c>
      <c r="F13" s="386">
        <f t="shared" si="5"/>
        <v>0</v>
      </c>
      <c r="G13" s="386">
        <f t="shared" si="5"/>
        <v>0</v>
      </c>
      <c r="H13" s="386">
        <f t="shared" si="5"/>
        <v>0</v>
      </c>
      <c r="I13" s="386">
        <f t="shared" si="5"/>
        <v>0</v>
      </c>
      <c r="J13" s="386">
        <f t="shared" si="5"/>
        <v>0</v>
      </c>
      <c r="K13" s="386">
        <f t="shared" si="5"/>
        <v>0</v>
      </c>
      <c r="L13" s="386">
        <f t="shared" si="5"/>
        <v>0</v>
      </c>
      <c r="M13" s="386">
        <f t="shared" si="5"/>
        <v>0</v>
      </c>
      <c r="N13" s="386">
        <f t="shared" si="5"/>
        <v>0</v>
      </c>
      <c r="O13" s="386">
        <f t="shared" si="5"/>
        <v>0</v>
      </c>
      <c r="P13" s="386">
        <f t="shared" si="5"/>
        <v>0</v>
      </c>
      <c r="Q13" s="386">
        <f t="shared" si="5"/>
        <v>0</v>
      </c>
      <c r="R13" s="386">
        <f t="shared" si="5"/>
        <v>0</v>
      </c>
      <c r="S13" s="386">
        <f t="shared" si="5"/>
        <v>0</v>
      </c>
      <c r="T13" s="386">
        <f t="shared" si="5"/>
        <v>0</v>
      </c>
      <c r="U13" s="386">
        <f t="shared" si="5"/>
        <v>0</v>
      </c>
      <c r="V13" s="386">
        <f t="shared" si="5"/>
        <v>0</v>
      </c>
      <c r="W13" s="386">
        <f t="shared" si="5"/>
        <v>0</v>
      </c>
      <c r="X13" s="386">
        <f t="shared" si="5"/>
        <v>0</v>
      </c>
      <c r="Y13" s="386">
        <f t="shared" si="5"/>
        <v>0</v>
      </c>
      <c r="Z13" s="549"/>
      <c r="AA13" s="550"/>
      <c r="AB13" s="551"/>
    </row>
    <row r="14" spans="1:28" x14ac:dyDescent="0.25">
      <c r="A14" s="274">
        <v>8.3333333333333301E-2</v>
      </c>
      <c r="B14" s="385"/>
      <c r="C14" s="386"/>
      <c r="D14" s="386"/>
      <c r="E14" s="386"/>
      <c r="F14" s="387"/>
      <c r="G14" s="384">
        <f t="shared" si="0"/>
        <v>0</v>
      </c>
      <c r="H14" s="386"/>
      <c r="I14" s="386"/>
      <c r="J14" s="386"/>
      <c r="K14" s="386"/>
      <c r="L14" s="386"/>
      <c r="M14" s="384">
        <f t="shared" si="1"/>
        <v>0</v>
      </c>
      <c r="N14" s="386"/>
      <c r="O14" s="386"/>
      <c r="P14" s="386"/>
      <c r="Q14" s="386"/>
      <c r="R14" s="387"/>
      <c r="S14" s="384">
        <f t="shared" si="2"/>
        <v>0</v>
      </c>
      <c r="T14" s="386"/>
      <c r="U14" s="386"/>
      <c r="V14" s="386"/>
      <c r="W14" s="386"/>
      <c r="X14" s="387"/>
      <c r="Y14" s="384">
        <f t="shared" si="3"/>
        <v>0</v>
      </c>
      <c r="Z14" s="367"/>
      <c r="AA14" s="367"/>
      <c r="AB14" s="367"/>
    </row>
    <row r="15" spans="1:28" x14ac:dyDescent="0.25">
      <c r="A15" s="274">
        <v>9.375E-2</v>
      </c>
      <c r="B15" s="385"/>
      <c r="C15" s="386"/>
      <c r="D15" s="386"/>
      <c r="E15" s="386"/>
      <c r="F15" s="387"/>
      <c r="G15" s="384">
        <f t="shared" si="0"/>
        <v>0</v>
      </c>
      <c r="H15" s="386"/>
      <c r="I15" s="386"/>
      <c r="J15" s="386"/>
      <c r="K15" s="386"/>
      <c r="L15" s="386"/>
      <c r="M15" s="384">
        <f t="shared" si="1"/>
        <v>0</v>
      </c>
      <c r="N15" s="386"/>
      <c r="O15" s="386"/>
      <c r="P15" s="386"/>
      <c r="Q15" s="386"/>
      <c r="R15" s="387"/>
      <c r="S15" s="384">
        <f t="shared" si="2"/>
        <v>0</v>
      </c>
      <c r="T15" s="386"/>
      <c r="U15" s="386"/>
      <c r="V15" s="386"/>
      <c r="W15" s="386"/>
      <c r="X15" s="387"/>
      <c r="Y15" s="384">
        <f t="shared" si="3"/>
        <v>0</v>
      </c>
      <c r="Z15" s="367"/>
      <c r="AA15" s="367"/>
      <c r="AB15" s="367"/>
    </row>
    <row r="16" spans="1:28" x14ac:dyDescent="0.25">
      <c r="A16" s="274">
        <v>0.104166666666667</v>
      </c>
      <c r="B16" s="385"/>
      <c r="C16" s="386"/>
      <c r="D16" s="386"/>
      <c r="E16" s="386"/>
      <c r="F16" s="387"/>
      <c r="G16" s="384">
        <f t="shared" si="0"/>
        <v>0</v>
      </c>
      <c r="H16" s="386"/>
      <c r="I16" s="386"/>
      <c r="J16" s="386"/>
      <c r="K16" s="386"/>
      <c r="L16" s="386"/>
      <c r="M16" s="384">
        <f t="shared" si="1"/>
        <v>0</v>
      </c>
      <c r="N16" s="386"/>
      <c r="O16" s="386"/>
      <c r="P16" s="386"/>
      <c r="Q16" s="386"/>
      <c r="R16" s="387"/>
      <c r="S16" s="384">
        <f t="shared" si="2"/>
        <v>0</v>
      </c>
      <c r="T16" s="386"/>
      <c r="U16" s="386"/>
      <c r="V16" s="386"/>
      <c r="W16" s="386"/>
      <c r="X16" s="387"/>
      <c r="Y16" s="384">
        <f t="shared" si="3"/>
        <v>0</v>
      </c>
      <c r="Z16" s="367"/>
      <c r="AA16" s="367"/>
      <c r="AB16" s="367"/>
    </row>
    <row r="17" spans="1:28" x14ac:dyDescent="0.25">
      <c r="A17" s="274">
        <v>0.114583333333333</v>
      </c>
      <c r="B17" s="388"/>
      <c r="C17" s="387"/>
      <c r="D17" s="387"/>
      <c r="E17" s="387"/>
      <c r="F17" s="387"/>
      <c r="G17" s="384">
        <f t="shared" si="0"/>
        <v>0</v>
      </c>
      <c r="H17" s="387"/>
      <c r="I17" s="387"/>
      <c r="J17" s="387"/>
      <c r="K17" s="387"/>
      <c r="L17" s="387"/>
      <c r="M17" s="384">
        <f t="shared" si="1"/>
        <v>0</v>
      </c>
      <c r="N17" s="387"/>
      <c r="O17" s="387"/>
      <c r="P17" s="387"/>
      <c r="Q17" s="387"/>
      <c r="R17" s="387"/>
      <c r="S17" s="384">
        <f t="shared" si="2"/>
        <v>0</v>
      </c>
      <c r="T17" s="387"/>
      <c r="U17" s="387"/>
      <c r="V17" s="387"/>
      <c r="W17" s="387"/>
      <c r="X17" s="387"/>
      <c r="Y17" s="384">
        <f t="shared" si="3"/>
        <v>0</v>
      </c>
      <c r="Z17" s="367"/>
      <c r="AA17" s="367"/>
      <c r="AB17" s="367"/>
    </row>
    <row r="18" spans="1:28" x14ac:dyDescent="0.25">
      <c r="A18" s="275" t="s">
        <v>312</v>
      </c>
      <c r="B18" s="386">
        <f>SUM(B14:B17)</f>
        <v>0</v>
      </c>
      <c r="C18" s="386">
        <f t="shared" ref="C18:Y18" si="6">SUM(C14:C17)</f>
        <v>0</v>
      </c>
      <c r="D18" s="386">
        <f t="shared" si="6"/>
        <v>0</v>
      </c>
      <c r="E18" s="386">
        <f t="shared" si="6"/>
        <v>0</v>
      </c>
      <c r="F18" s="386">
        <f t="shared" si="6"/>
        <v>0</v>
      </c>
      <c r="G18" s="386">
        <f t="shared" si="6"/>
        <v>0</v>
      </c>
      <c r="H18" s="386">
        <f t="shared" si="6"/>
        <v>0</v>
      </c>
      <c r="I18" s="386">
        <f t="shared" si="6"/>
        <v>0</v>
      </c>
      <c r="J18" s="386">
        <f t="shared" si="6"/>
        <v>0</v>
      </c>
      <c r="K18" s="386">
        <f t="shared" si="6"/>
        <v>0</v>
      </c>
      <c r="L18" s="386">
        <f t="shared" si="6"/>
        <v>0</v>
      </c>
      <c r="M18" s="386">
        <f t="shared" si="6"/>
        <v>0</v>
      </c>
      <c r="N18" s="386">
        <f t="shared" si="6"/>
        <v>0</v>
      </c>
      <c r="O18" s="386">
        <f t="shared" si="6"/>
        <v>0</v>
      </c>
      <c r="P18" s="386">
        <f t="shared" si="6"/>
        <v>0</v>
      </c>
      <c r="Q18" s="386">
        <f t="shared" si="6"/>
        <v>0</v>
      </c>
      <c r="R18" s="386">
        <f t="shared" si="6"/>
        <v>0</v>
      </c>
      <c r="S18" s="386">
        <f t="shared" si="6"/>
        <v>0</v>
      </c>
      <c r="T18" s="386">
        <f t="shared" si="6"/>
        <v>0</v>
      </c>
      <c r="U18" s="386">
        <f t="shared" si="6"/>
        <v>0</v>
      </c>
      <c r="V18" s="386">
        <f t="shared" si="6"/>
        <v>0</v>
      </c>
      <c r="W18" s="386">
        <f t="shared" si="6"/>
        <v>0</v>
      </c>
      <c r="X18" s="386">
        <f t="shared" si="6"/>
        <v>0</v>
      </c>
      <c r="Y18" s="386">
        <f t="shared" si="6"/>
        <v>0</v>
      </c>
      <c r="Z18" s="367"/>
      <c r="AA18" s="367"/>
      <c r="AB18" s="367"/>
    </row>
    <row r="19" spans="1:28" x14ac:dyDescent="0.25">
      <c r="A19" s="274">
        <v>0.125</v>
      </c>
      <c r="B19" s="385"/>
      <c r="C19" s="386"/>
      <c r="D19" s="386"/>
      <c r="E19" s="386"/>
      <c r="F19" s="387"/>
      <c r="G19" s="384">
        <f t="shared" si="0"/>
        <v>0</v>
      </c>
      <c r="H19" s="386"/>
      <c r="I19" s="386"/>
      <c r="J19" s="386"/>
      <c r="K19" s="386"/>
      <c r="L19" s="386"/>
      <c r="M19" s="384">
        <f t="shared" si="1"/>
        <v>0</v>
      </c>
      <c r="N19" s="386"/>
      <c r="O19" s="386"/>
      <c r="P19" s="386"/>
      <c r="Q19" s="386"/>
      <c r="R19" s="387"/>
      <c r="S19" s="384">
        <f t="shared" si="2"/>
        <v>0</v>
      </c>
      <c r="T19" s="386"/>
      <c r="U19" s="386"/>
      <c r="V19" s="386"/>
      <c r="W19" s="386"/>
      <c r="X19" s="387"/>
      <c r="Y19" s="384">
        <f t="shared" si="3"/>
        <v>0</v>
      </c>
    </row>
    <row r="20" spans="1:28" x14ac:dyDescent="0.25">
      <c r="A20" s="274">
        <v>0.13541666666666666</v>
      </c>
      <c r="B20" s="385"/>
      <c r="C20" s="386"/>
      <c r="D20" s="386"/>
      <c r="E20" s="386"/>
      <c r="F20" s="387"/>
      <c r="G20" s="384">
        <f t="shared" si="0"/>
        <v>0</v>
      </c>
      <c r="H20" s="386"/>
      <c r="I20" s="386"/>
      <c r="J20" s="386"/>
      <c r="K20" s="386"/>
      <c r="L20" s="386"/>
      <c r="M20" s="384">
        <f t="shared" si="1"/>
        <v>0</v>
      </c>
      <c r="N20" s="386"/>
      <c r="O20" s="386"/>
      <c r="P20" s="386"/>
      <c r="Q20" s="386"/>
      <c r="R20" s="387"/>
      <c r="S20" s="384">
        <f t="shared" si="2"/>
        <v>0</v>
      </c>
      <c r="T20" s="386"/>
      <c r="U20" s="386"/>
      <c r="V20" s="386"/>
      <c r="W20" s="386"/>
      <c r="X20" s="387"/>
      <c r="Y20" s="384">
        <f t="shared" si="3"/>
        <v>0</v>
      </c>
    </row>
    <row r="21" spans="1:28" x14ac:dyDescent="0.25">
      <c r="A21" s="274">
        <v>0.14583333333333301</v>
      </c>
      <c r="B21" s="385"/>
      <c r="C21" s="386"/>
      <c r="D21" s="386"/>
      <c r="E21" s="386"/>
      <c r="F21" s="387"/>
      <c r="G21" s="384">
        <f t="shared" si="0"/>
        <v>0</v>
      </c>
      <c r="H21" s="386"/>
      <c r="I21" s="386"/>
      <c r="J21" s="386"/>
      <c r="K21" s="386"/>
      <c r="L21" s="386"/>
      <c r="M21" s="384">
        <f t="shared" si="1"/>
        <v>0</v>
      </c>
      <c r="N21" s="386"/>
      <c r="O21" s="386"/>
      <c r="P21" s="386"/>
      <c r="Q21" s="386"/>
      <c r="R21" s="387"/>
      <c r="S21" s="384">
        <f t="shared" si="2"/>
        <v>0</v>
      </c>
      <c r="T21" s="386"/>
      <c r="U21" s="386"/>
      <c r="V21" s="386"/>
      <c r="W21" s="386"/>
      <c r="X21" s="387"/>
      <c r="Y21" s="384">
        <f t="shared" si="3"/>
        <v>0</v>
      </c>
    </row>
    <row r="22" spans="1:28" x14ac:dyDescent="0.25">
      <c r="A22" s="274">
        <v>0.15625</v>
      </c>
      <c r="B22" s="388"/>
      <c r="C22" s="387"/>
      <c r="D22" s="387"/>
      <c r="E22" s="387"/>
      <c r="F22" s="387"/>
      <c r="G22" s="384">
        <f t="shared" si="0"/>
        <v>0</v>
      </c>
      <c r="H22" s="387"/>
      <c r="I22" s="387"/>
      <c r="J22" s="387"/>
      <c r="K22" s="387"/>
      <c r="L22" s="387"/>
      <c r="M22" s="384">
        <f t="shared" si="1"/>
        <v>0</v>
      </c>
      <c r="N22" s="387"/>
      <c r="O22" s="387"/>
      <c r="P22" s="387"/>
      <c r="Q22" s="387"/>
      <c r="R22" s="387"/>
      <c r="S22" s="384">
        <f t="shared" si="2"/>
        <v>0</v>
      </c>
      <c r="T22" s="387"/>
      <c r="U22" s="387"/>
      <c r="V22" s="387"/>
      <c r="W22" s="387"/>
      <c r="X22" s="387"/>
      <c r="Y22" s="384">
        <f t="shared" si="3"/>
        <v>0</v>
      </c>
    </row>
    <row r="23" spans="1:28" x14ac:dyDescent="0.25">
      <c r="A23" s="275" t="s">
        <v>312</v>
      </c>
      <c r="B23" s="386">
        <f>SUM(B19:B22)</f>
        <v>0</v>
      </c>
      <c r="C23" s="386">
        <f t="shared" ref="C23:Y23" si="7">SUM(C19:C22)</f>
        <v>0</v>
      </c>
      <c r="D23" s="386">
        <f t="shared" si="7"/>
        <v>0</v>
      </c>
      <c r="E23" s="386">
        <f t="shared" si="7"/>
        <v>0</v>
      </c>
      <c r="F23" s="386">
        <f t="shared" si="7"/>
        <v>0</v>
      </c>
      <c r="G23" s="386">
        <f t="shared" si="7"/>
        <v>0</v>
      </c>
      <c r="H23" s="386">
        <f t="shared" si="7"/>
        <v>0</v>
      </c>
      <c r="I23" s="386">
        <f t="shared" si="7"/>
        <v>0</v>
      </c>
      <c r="J23" s="386">
        <f t="shared" si="7"/>
        <v>0</v>
      </c>
      <c r="K23" s="386">
        <f t="shared" si="7"/>
        <v>0</v>
      </c>
      <c r="L23" s="386">
        <f t="shared" si="7"/>
        <v>0</v>
      </c>
      <c r="M23" s="386">
        <f t="shared" si="7"/>
        <v>0</v>
      </c>
      <c r="N23" s="386">
        <f t="shared" si="7"/>
        <v>0</v>
      </c>
      <c r="O23" s="386">
        <f t="shared" si="7"/>
        <v>0</v>
      </c>
      <c r="P23" s="386">
        <f t="shared" si="7"/>
        <v>0</v>
      </c>
      <c r="Q23" s="386">
        <f t="shared" si="7"/>
        <v>0</v>
      </c>
      <c r="R23" s="386">
        <f t="shared" si="7"/>
        <v>0</v>
      </c>
      <c r="S23" s="386">
        <f t="shared" si="7"/>
        <v>0</v>
      </c>
      <c r="T23" s="386">
        <f t="shared" si="7"/>
        <v>0</v>
      </c>
      <c r="U23" s="386">
        <f t="shared" si="7"/>
        <v>0</v>
      </c>
      <c r="V23" s="386">
        <f t="shared" si="7"/>
        <v>0</v>
      </c>
      <c r="W23" s="386">
        <f t="shared" si="7"/>
        <v>0</v>
      </c>
      <c r="X23" s="386">
        <f t="shared" si="7"/>
        <v>0</v>
      </c>
      <c r="Y23" s="386">
        <f t="shared" si="7"/>
        <v>0</v>
      </c>
    </row>
    <row r="24" spans="1:28" x14ac:dyDescent="0.25">
      <c r="A24" s="274">
        <v>0.16666666666666699</v>
      </c>
      <c r="B24" s="385"/>
      <c r="C24" s="386"/>
      <c r="D24" s="386"/>
      <c r="E24" s="386"/>
      <c r="F24" s="387"/>
      <c r="G24" s="384">
        <f t="shared" si="0"/>
        <v>0</v>
      </c>
      <c r="H24" s="386"/>
      <c r="I24" s="386"/>
      <c r="J24" s="386"/>
      <c r="K24" s="386"/>
      <c r="L24" s="386"/>
      <c r="M24" s="384">
        <f t="shared" si="1"/>
        <v>0</v>
      </c>
      <c r="N24" s="386"/>
      <c r="O24" s="386"/>
      <c r="P24" s="386"/>
      <c r="Q24" s="386"/>
      <c r="R24" s="387"/>
      <c r="S24" s="384">
        <f t="shared" si="2"/>
        <v>0</v>
      </c>
      <c r="T24" s="386"/>
      <c r="U24" s="386"/>
      <c r="V24" s="386"/>
      <c r="W24" s="386"/>
      <c r="X24" s="387"/>
      <c r="Y24" s="384">
        <f t="shared" si="3"/>
        <v>0</v>
      </c>
    </row>
    <row r="25" spans="1:28" x14ac:dyDescent="0.25">
      <c r="A25" s="274">
        <v>0.17708333333333334</v>
      </c>
      <c r="B25" s="385"/>
      <c r="C25" s="386"/>
      <c r="D25" s="386"/>
      <c r="E25" s="386"/>
      <c r="F25" s="387"/>
      <c r="G25" s="384">
        <f t="shared" si="0"/>
        <v>0</v>
      </c>
      <c r="H25" s="386"/>
      <c r="I25" s="386"/>
      <c r="J25" s="386"/>
      <c r="K25" s="386"/>
      <c r="L25" s="386"/>
      <c r="M25" s="384">
        <f t="shared" si="1"/>
        <v>0</v>
      </c>
      <c r="N25" s="386"/>
      <c r="O25" s="386"/>
      <c r="P25" s="386"/>
      <c r="Q25" s="386"/>
      <c r="R25" s="387"/>
      <c r="S25" s="384">
        <f t="shared" si="2"/>
        <v>0</v>
      </c>
      <c r="T25" s="386"/>
      <c r="U25" s="386"/>
      <c r="V25" s="386"/>
      <c r="W25" s="386"/>
      <c r="X25" s="387"/>
      <c r="Y25" s="384">
        <f t="shared" si="3"/>
        <v>0</v>
      </c>
    </row>
    <row r="26" spans="1:28" x14ac:dyDescent="0.25">
      <c r="A26" s="274">
        <v>0.1875</v>
      </c>
      <c r="B26" s="385"/>
      <c r="C26" s="386"/>
      <c r="D26" s="386"/>
      <c r="E26" s="386"/>
      <c r="F26" s="387"/>
      <c r="G26" s="384">
        <f t="shared" si="0"/>
        <v>0</v>
      </c>
      <c r="H26" s="386"/>
      <c r="I26" s="386"/>
      <c r="J26" s="386"/>
      <c r="K26" s="386"/>
      <c r="L26" s="386"/>
      <c r="M26" s="384">
        <f t="shared" si="1"/>
        <v>0</v>
      </c>
      <c r="N26" s="386"/>
      <c r="O26" s="386"/>
      <c r="P26" s="386"/>
      <c r="Q26" s="386"/>
      <c r="R26" s="387"/>
      <c r="S26" s="384">
        <f t="shared" si="2"/>
        <v>0</v>
      </c>
      <c r="T26" s="386"/>
      <c r="U26" s="386"/>
      <c r="V26" s="386"/>
      <c r="W26" s="386"/>
      <c r="X26" s="387"/>
      <c r="Y26" s="384">
        <f t="shared" si="3"/>
        <v>0</v>
      </c>
    </row>
    <row r="27" spans="1:28" x14ac:dyDescent="0.25">
      <c r="A27" s="274">
        <v>0.19791666666666699</v>
      </c>
      <c r="B27" s="388"/>
      <c r="C27" s="387"/>
      <c r="D27" s="387"/>
      <c r="E27" s="387"/>
      <c r="F27" s="387"/>
      <c r="G27" s="384">
        <f t="shared" si="0"/>
        <v>0</v>
      </c>
      <c r="H27" s="387"/>
      <c r="I27" s="387"/>
      <c r="J27" s="387"/>
      <c r="K27" s="387"/>
      <c r="L27" s="387"/>
      <c r="M27" s="384">
        <f t="shared" si="1"/>
        <v>0</v>
      </c>
      <c r="N27" s="387"/>
      <c r="O27" s="387"/>
      <c r="P27" s="387"/>
      <c r="Q27" s="387"/>
      <c r="R27" s="387"/>
      <c r="S27" s="384">
        <f t="shared" si="2"/>
        <v>0</v>
      </c>
      <c r="T27" s="387"/>
      <c r="U27" s="387"/>
      <c r="V27" s="387"/>
      <c r="W27" s="387"/>
      <c r="X27" s="387"/>
      <c r="Y27" s="384">
        <f t="shared" si="3"/>
        <v>0</v>
      </c>
    </row>
    <row r="28" spans="1:28" x14ac:dyDescent="0.25">
      <c r="A28" s="275" t="s">
        <v>312</v>
      </c>
      <c r="B28" s="386">
        <f>SUM(B24:B27)</f>
        <v>0</v>
      </c>
      <c r="C28" s="386">
        <f t="shared" ref="C28:Y28" si="8">SUM(C24:C27)</f>
        <v>0</v>
      </c>
      <c r="D28" s="386">
        <f t="shared" si="8"/>
        <v>0</v>
      </c>
      <c r="E28" s="386">
        <f t="shared" si="8"/>
        <v>0</v>
      </c>
      <c r="F28" s="386">
        <f t="shared" si="8"/>
        <v>0</v>
      </c>
      <c r="G28" s="386">
        <f t="shared" si="8"/>
        <v>0</v>
      </c>
      <c r="H28" s="386">
        <f t="shared" si="8"/>
        <v>0</v>
      </c>
      <c r="I28" s="386">
        <f t="shared" si="8"/>
        <v>0</v>
      </c>
      <c r="J28" s="386">
        <f t="shared" si="8"/>
        <v>0</v>
      </c>
      <c r="K28" s="386">
        <f t="shared" si="8"/>
        <v>0</v>
      </c>
      <c r="L28" s="386">
        <f t="shared" si="8"/>
        <v>0</v>
      </c>
      <c r="M28" s="386">
        <f t="shared" si="8"/>
        <v>0</v>
      </c>
      <c r="N28" s="386">
        <f t="shared" si="8"/>
        <v>0</v>
      </c>
      <c r="O28" s="386">
        <f t="shared" si="8"/>
        <v>0</v>
      </c>
      <c r="P28" s="386">
        <f t="shared" si="8"/>
        <v>0</v>
      </c>
      <c r="Q28" s="386">
        <f t="shared" si="8"/>
        <v>0</v>
      </c>
      <c r="R28" s="386">
        <f t="shared" si="8"/>
        <v>0</v>
      </c>
      <c r="S28" s="386">
        <f t="shared" si="8"/>
        <v>0</v>
      </c>
      <c r="T28" s="386">
        <f t="shared" si="8"/>
        <v>0</v>
      </c>
      <c r="U28" s="386">
        <f t="shared" si="8"/>
        <v>0</v>
      </c>
      <c r="V28" s="386">
        <f t="shared" si="8"/>
        <v>0</v>
      </c>
      <c r="W28" s="386">
        <f t="shared" si="8"/>
        <v>0</v>
      </c>
      <c r="X28" s="386">
        <f t="shared" si="8"/>
        <v>0</v>
      </c>
      <c r="Y28" s="386">
        <f t="shared" si="8"/>
        <v>0</v>
      </c>
    </row>
    <row r="29" spans="1:28" x14ac:dyDescent="0.25">
      <c r="A29" s="274">
        <v>0.20833333333333301</v>
      </c>
      <c r="B29" s="385"/>
      <c r="C29" s="386"/>
      <c r="D29" s="386"/>
      <c r="E29" s="386"/>
      <c r="F29" s="387"/>
      <c r="G29" s="384">
        <f t="shared" si="0"/>
        <v>0</v>
      </c>
      <c r="H29" s="386"/>
      <c r="I29" s="386"/>
      <c r="J29" s="386"/>
      <c r="K29" s="386"/>
      <c r="L29" s="386"/>
      <c r="M29" s="384">
        <f t="shared" si="1"/>
        <v>0</v>
      </c>
      <c r="N29" s="386"/>
      <c r="O29" s="386"/>
      <c r="P29" s="386"/>
      <c r="Q29" s="386"/>
      <c r="R29" s="387"/>
      <c r="S29" s="384">
        <f t="shared" si="2"/>
        <v>0</v>
      </c>
      <c r="T29" s="386"/>
      <c r="U29" s="386"/>
      <c r="V29" s="386"/>
      <c r="W29" s="386"/>
      <c r="X29" s="387"/>
      <c r="Y29" s="384">
        <f t="shared" si="3"/>
        <v>0</v>
      </c>
    </row>
    <row r="30" spans="1:28" x14ac:dyDescent="0.25">
      <c r="A30" s="274">
        <v>0.21875</v>
      </c>
      <c r="B30" s="385"/>
      <c r="C30" s="386"/>
      <c r="D30" s="386"/>
      <c r="E30" s="386"/>
      <c r="F30" s="387"/>
      <c r="G30" s="384">
        <f t="shared" si="0"/>
        <v>0</v>
      </c>
      <c r="H30" s="386"/>
      <c r="I30" s="386"/>
      <c r="J30" s="386"/>
      <c r="K30" s="386"/>
      <c r="L30" s="386"/>
      <c r="M30" s="384">
        <f t="shared" si="1"/>
        <v>0</v>
      </c>
      <c r="N30" s="386"/>
      <c r="O30" s="386"/>
      <c r="P30" s="386"/>
      <c r="Q30" s="386"/>
      <c r="R30" s="387"/>
      <c r="S30" s="384">
        <f t="shared" si="2"/>
        <v>0</v>
      </c>
      <c r="T30" s="386"/>
      <c r="U30" s="386"/>
      <c r="V30" s="386"/>
      <c r="W30" s="386"/>
      <c r="X30" s="387"/>
      <c r="Y30" s="384">
        <f t="shared" si="3"/>
        <v>0</v>
      </c>
    </row>
    <row r="31" spans="1:28" x14ac:dyDescent="0.25">
      <c r="A31" s="274">
        <v>0.22916666666666699</v>
      </c>
      <c r="B31" s="385"/>
      <c r="C31" s="386"/>
      <c r="D31" s="386"/>
      <c r="E31" s="386"/>
      <c r="F31" s="387"/>
      <c r="G31" s="384">
        <f t="shared" si="0"/>
        <v>0</v>
      </c>
      <c r="H31" s="386"/>
      <c r="I31" s="386"/>
      <c r="J31" s="386"/>
      <c r="K31" s="386"/>
      <c r="L31" s="386"/>
      <c r="M31" s="384">
        <f t="shared" si="1"/>
        <v>0</v>
      </c>
      <c r="N31" s="386"/>
      <c r="O31" s="386"/>
      <c r="P31" s="386"/>
      <c r="Q31" s="386"/>
      <c r="R31" s="387"/>
      <c r="S31" s="384">
        <f t="shared" si="2"/>
        <v>0</v>
      </c>
      <c r="T31" s="386"/>
      <c r="U31" s="386"/>
      <c r="V31" s="386"/>
      <c r="W31" s="386"/>
      <c r="X31" s="387"/>
      <c r="Y31" s="384">
        <f t="shared" si="3"/>
        <v>0</v>
      </c>
    </row>
    <row r="32" spans="1:28" x14ac:dyDescent="0.25">
      <c r="A32" s="274">
        <v>0.23958333333333301</v>
      </c>
      <c r="B32" s="388"/>
      <c r="C32" s="387"/>
      <c r="D32" s="387"/>
      <c r="E32" s="387"/>
      <c r="F32" s="387"/>
      <c r="G32" s="384">
        <f t="shared" si="0"/>
        <v>0</v>
      </c>
      <c r="H32" s="387"/>
      <c r="I32" s="387"/>
      <c r="J32" s="387"/>
      <c r="K32" s="387"/>
      <c r="L32" s="387"/>
      <c r="M32" s="384">
        <f t="shared" si="1"/>
        <v>0</v>
      </c>
      <c r="N32" s="387"/>
      <c r="O32" s="387"/>
      <c r="P32" s="387"/>
      <c r="Q32" s="387"/>
      <c r="R32" s="387"/>
      <c r="S32" s="384">
        <f t="shared" si="2"/>
        <v>0</v>
      </c>
      <c r="T32" s="387"/>
      <c r="U32" s="387"/>
      <c r="V32" s="387"/>
      <c r="W32" s="387"/>
      <c r="X32" s="387"/>
      <c r="Y32" s="384">
        <f t="shared" si="3"/>
        <v>0</v>
      </c>
    </row>
    <row r="33" spans="1:25" x14ac:dyDescent="0.25">
      <c r="A33" s="275" t="s">
        <v>312</v>
      </c>
      <c r="B33" s="386">
        <f>SUM(B29:B32)</f>
        <v>0</v>
      </c>
      <c r="C33" s="386">
        <f t="shared" ref="C33:Y33" si="9">SUM(C29:C32)</f>
        <v>0</v>
      </c>
      <c r="D33" s="386">
        <f t="shared" si="9"/>
        <v>0</v>
      </c>
      <c r="E33" s="386">
        <f t="shared" si="9"/>
        <v>0</v>
      </c>
      <c r="F33" s="386">
        <f t="shared" si="9"/>
        <v>0</v>
      </c>
      <c r="G33" s="386">
        <f t="shared" si="9"/>
        <v>0</v>
      </c>
      <c r="H33" s="386">
        <f t="shared" si="9"/>
        <v>0</v>
      </c>
      <c r="I33" s="386">
        <f t="shared" si="9"/>
        <v>0</v>
      </c>
      <c r="J33" s="386">
        <f t="shared" si="9"/>
        <v>0</v>
      </c>
      <c r="K33" s="386">
        <f t="shared" si="9"/>
        <v>0</v>
      </c>
      <c r="L33" s="386">
        <f t="shared" si="9"/>
        <v>0</v>
      </c>
      <c r="M33" s="386">
        <f t="shared" si="9"/>
        <v>0</v>
      </c>
      <c r="N33" s="386">
        <f t="shared" si="9"/>
        <v>0</v>
      </c>
      <c r="O33" s="386">
        <f t="shared" si="9"/>
        <v>0</v>
      </c>
      <c r="P33" s="386">
        <f t="shared" si="9"/>
        <v>0</v>
      </c>
      <c r="Q33" s="386">
        <f t="shared" si="9"/>
        <v>0</v>
      </c>
      <c r="R33" s="386">
        <f t="shared" si="9"/>
        <v>0</v>
      </c>
      <c r="S33" s="386">
        <f t="shared" si="9"/>
        <v>0</v>
      </c>
      <c r="T33" s="386">
        <f t="shared" si="9"/>
        <v>0</v>
      </c>
      <c r="U33" s="386">
        <f t="shared" si="9"/>
        <v>0</v>
      </c>
      <c r="V33" s="386">
        <f t="shared" si="9"/>
        <v>0</v>
      </c>
      <c r="W33" s="386">
        <f t="shared" si="9"/>
        <v>0</v>
      </c>
      <c r="X33" s="386">
        <f t="shared" si="9"/>
        <v>0</v>
      </c>
      <c r="Y33" s="386">
        <f t="shared" si="9"/>
        <v>0</v>
      </c>
    </row>
    <row r="34" spans="1:25" x14ac:dyDescent="0.25">
      <c r="A34" s="274">
        <v>0.25</v>
      </c>
      <c r="B34" s="385"/>
      <c r="C34" s="386"/>
      <c r="D34" s="386"/>
      <c r="E34" s="386"/>
      <c r="F34" s="387"/>
      <c r="G34" s="384">
        <f t="shared" ref="G34:G37" si="10">SUM(B34:E34)</f>
        <v>0</v>
      </c>
      <c r="H34" s="386"/>
      <c r="I34" s="386"/>
      <c r="J34" s="386"/>
      <c r="K34" s="386"/>
      <c r="L34" s="386"/>
      <c r="M34" s="384">
        <f t="shared" ref="M34:M37" si="11">SUM(H34:K34)</f>
        <v>0</v>
      </c>
      <c r="N34" s="386"/>
      <c r="O34" s="386"/>
      <c r="P34" s="386"/>
      <c r="Q34" s="386"/>
      <c r="R34" s="387"/>
      <c r="S34" s="384">
        <f t="shared" ref="S34:S37" si="12">SUM(N34:Q34)</f>
        <v>0</v>
      </c>
      <c r="T34" s="386"/>
      <c r="U34" s="386"/>
      <c r="V34" s="386"/>
      <c r="W34" s="386"/>
      <c r="X34" s="387"/>
      <c r="Y34" s="384">
        <f t="shared" si="3"/>
        <v>0</v>
      </c>
    </row>
    <row r="35" spans="1:25" x14ac:dyDescent="0.25">
      <c r="A35" s="274">
        <v>0.26041666666666669</v>
      </c>
      <c r="B35" s="385"/>
      <c r="C35" s="386"/>
      <c r="D35" s="386"/>
      <c r="E35" s="386"/>
      <c r="F35" s="387"/>
      <c r="G35" s="384">
        <f t="shared" si="10"/>
        <v>0</v>
      </c>
      <c r="H35" s="386"/>
      <c r="I35" s="386"/>
      <c r="J35" s="386"/>
      <c r="K35" s="386"/>
      <c r="L35" s="386"/>
      <c r="M35" s="384">
        <f t="shared" si="11"/>
        <v>0</v>
      </c>
      <c r="N35" s="386"/>
      <c r="O35" s="386"/>
      <c r="P35" s="386"/>
      <c r="Q35" s="386"/>
      <c r="R35" s="387"/>
      <c r="S35" s="384">
        <f t="shared" si="12"/>
        <v>0</v>
      </c>
      <c r="T35" s="386"/>
      <c r="U35" s="386"/>
      <c r="V35" s="386"/>
      <c r="W35" s="386"/>
      <c r="X35" s="387"/>
      <c r="Y35" s="384">
        <f t="shared" si="3"/>
        <v>0</v>
      </c>
    </row>
    <row r="36" spans="1:25" x14ac:dyDescent="0.25">
      <c r="A36" s="274">
        <v>0.27083333333333298</v>
      </c>
      <c r="B36" s="385"/>
      <c r="C36" s="386"/>
      <c r="D36" s="386"/>
      <c r="E36" s="386"/>
      <c r="F36" s="387"/>
      <c r="G36" s="384">
        <f t="shared" si="10"/>
        <v>0</v>
      </c>
      <c r="H36" s="386"/>
      <c r="I36" s="386"/>
      <c r="J36" s="386"/>
      <c r="K36" s="386"/>
      <c r="L36" s="386"/>
      <c r="M36" s="384">
        <f t="shared" si="11"/>
        <v>0</v>
      </c>
      <c r="N36" s="386"/>
      <c r="O36" s="386"/>
      <c r="P36" s="386"/>
      <c r="Q36" s="386"/>
      <c r="R36" s="387"/>
      <c r="S36" s="384">
        <f t="shared" si="12"/>
        <v>0</v>
      </c>
      <c r="T36" s="386"/>
      <c r="U36" s="386"/>
      <c r="V36" s="386"/>
      <c r="W36" s="386"/>
      <c r="X36" s="387"/>
      <c r="Y36" s="384">
        <f t="shared" si="3"/>
        <v>0</v>
      </c>
    </row>
    <row r="37" spans="1:25" x14ac:dyDescent="0.25">
      <c r="A37" s="274">
        <v>0.28125</v>
      </c>
      <c r="B37" s="388"/>
      <c r="C37" s="387"/>
      <c r="D37" s="387"/>
      <c r="E37" s="387"/>
      <c r="F37" s="387"/>
      <c r="G37" s="384">
        <f t="shared" si="10"/>
        <v>0</v>
      </c>
      <c r="H37" s="387"/>
      <c r="I37" s="387"/>
      <c r="J37" s="387"/>
      <c r="K37" s="387"/>
      <c r="L37" s="387"/>
      <c r="M37" s="384">
        <f t="shared" si="11"/>
        <v>0</v>
      </c>
      <c r="N37" s="387"/>
      <c r="O37" s="387"/>
      <c r="P37" s="387"/>
      <c r="Q37" s="387"/>
      <c r="R37" s="387"/>
      <c r="S37" s="384">
        <f t="shared" si="12"/>
        <v>0</v>
      </c>
      <c r="T37" s="387"/>
      <c r="U37" s="387"/>
      <c r="V37" s="387"/>
      <c r="W37" s="387"/>
      <c r="X37" s="387"/>
      <c r="Y37" s="384">
        <f t="shared" si="3"/>
        <v>0</v>
      </c>
    </row>
    <row r="38" spans="1:25" x14ac:dyDescent="0.25">
      <c r="A38" s="275" t="s">
        <v>312</v>
      </c>
      <c r="B38" s="386">
        <f>SUM(B34:B37)</f>
        <v>0</v>
      </c>
      <c r="C38" s="386">
        <f t="shared" ref="C38:Y38" si="13">SUM(C34:C37)</f>
        <v>0</v>
      </c>
      <c r="D38" s="386">
        <f t="shared" si="13"/>
        <v>0</v>
      </c>
      <c r="E38" s="386">
        <f t="shared" si="13"/>
        <v>0</v>
      </c>
      <c r="F38" s="386">
        <f t="shared" si="13"/>
        <v>0</v>
      </c>
      <c r="G38" s="386">
        <f t="shared" si="13"/>
        <v>0</v>
      </c>
      <c r="H38" s="386">
        <f t="shared" si="13"/>
        <v>0</v>
      </c>
      <c r="I38" s="386">
        <f t="shared" si="13"/>
        <v>0</v>
      </c>
      <c r="J38" s="386">
        <f t="shared" si="13"/>
        <v>0</v>
      </c>
      <c r="K38" s="386">
        <f t="shared" si="13"/>
        <v>0</v>
      </c>
      <c r="L38" s="386">
        <f t="shared" si="13"/>
        <v>0</v>
      </c>
      <c r="M38" s="386">
        <f t="shared" si="13"/>
        <v>0</v>
      </c>
      <c r="N38" s="386">
        <f t="shared" si="13"/>
        <v>0</v>
      </c>
      <c r="O38" s="386">
        <f t="shared" si="13"/>
        <v>0</v>
      </c>
      <c r="P38" s="386">
        <f t="shared" si="13"/>
        <v>0</v>
      </c>
      <c r="Q38" s="386">
        <f t="shared" si="13"/>
        <v>0</v>
      </c>
      <c r="R38" s="386">
        <f t="shared" si="13"/>
        <v>0</v>
      </c>
      <c r="S38" s="386">
        <f t="shared" si="13"/>
        <v>0</v>
      </c>
      <c r="T38" s="386">
        <f t="shared" si="13"/>
        <v>0</v>
      </c>
      <c r="U38" s="386">
        <f t="shared" si="13"/>
        <v>0</v>
      </c>
      <c r="V38" s="386">
        <f t="shared" si="13"/>
        <v>0</v>
      </c>
      <c r="W38" s="386">
        <f t="shared" si="13"/>
        <v>0</v>
      </c>
      <c r="X38" s="386">
        <f t="shared" si="13"/>
        <v>0</v>
      </c>
      <c r="Y38" s="386">
        <f t="shared" si="13"/>
        <v>0</v>
      </c>
    </row>
    <row r="39" spans="1:25" x14ac:dyDescent="0.25">
      <c r="A39" s="274">
        <v>0.29166666666666702</v>
      </c>
      <c r="B39" s="385">
        <v>0</v>
      </c>
      <c r="C39" s="386">
        <v>175</v>
      </c>
      <c r="D39" s="386">
        <v>157</v>
      </c>
      <c r="E39" s="386">
        <v>0</v>
      </c>
      <c r="F39" s="387">
        <v>0</v>
      </c>
      <c r="G39" s="384">
        <f t="shared" ref="G39:G42" si="14">SUM(B39:E39)</f>
        <v>332</v>
      </c>
      <c r="H39" s="386">
        <v>0</v>
      </c>
      <c r="I39" s="386">
        <v>0</v>
      </c>
      <c r="J39" s="386">
        <v>0</v>
      </c>
      <c r="K39" s="386">
        <v>0</v>
      </c>
      <c r="L39" s="387">
        <v>0</v>
      </c>
      <c r="M39" s="384">
        <f t="shared" ref="M39:M42" si="15">SUM(H39:K39)</f>
        <v>0</v>
      </c>
      <c r="N39" s="386">
        <v>67</v>
      </c>
      <c r="O39" s="386">
        <v>56</v>
      </c>
      <c r="P39" s="386">
        <v>0</v>
      </c>
      <c r="Q39" s="386">
        <v>0</v>
      </c>
      <c r="R39" s="387">
        <v>0</v>
      </c>
      <c r="S39" s="384">
        <f t="shared" ref="S39:S42" si="16">SUM(N39:Q39)</f>
        <v>123</v>
      </c>
      <c r="T39" s="386">
        <v>56</v>
      </c>
      <c r="U39" s="386">
        <v>0</v>
      </c>
      <c r="V39" s="386">
        <v>8</v>
      </c>
      <c r="W39" s="386">
        <v>0</v>
      </c>
      <c r="X39" s="387">
        <v>0</v>
      </c>
      <c r="Y39" s="384">
        <f t="shared" si="3"/>
        <v>64</v>
      </c>
    </row>
    <row r="40" spans="1:25" x14ac:dyDescent="0.25">
      <c r="A40" s="274">
        <v>0.30208333333333331</v>
      </c>
      <c r="B40" s="385">
        <v>0</v>
      </c>
      <c r="C40" s="386">
        <v>239</v>
      </c>
      <c r="D40" s="386">
        <v>151</v>
      </c>
      <c r="E40" s="386">
        <v>0</v>
      </c>
      <c r="F40" s="387">
        <v>0</v>
      </c>
      <c r="G40" s="384">
        <f t="shared" si="14"/>
        <v>390</v>
      </c>
      <c r="H40" s="386">
        <v>0</v>
      </c>
      <c r="I40" s="386">
        <v>0</v>
      </c>
      <c r="J40" s="386">
        <v>0</v>
      </c>
      <c r="K40" s="386">
        <v>0</v>
      </c>
      <c r="L40" s="387">
        <v>0</v>
      </c>
      <c r="M40" s="384">
        <f t="shared" si="15"/>
        <v>0</v>
      </c>
      <c r="N40" s="386">
        <v>79</v>
      </c>
      <c r="O40" s="386">
        <v>92</v>
      </c>
      <c r="P40" s="386">
        <v>0</v>
      </c>
      <c r="Q40" s="386">
        <v>0</v>
      </c>
      <c r="R40" s="387">
        <v>0</v>
      </c>
      <c r="S40" s="384">
        <f t="shared" si="16"/>
        <v>171</v>
      </c>
      <c r="T40" s="386">
        <v>58</v>
      </c>
      <c r="U40" s="386">
        <v>0</v>
      </c>
      <c r="V40" s="386">
        <v>8</v>
      </c>
      <c r="W40" s="386">
        <v>0</v>
      </c>
      <c r="X40" s="387">
        <v>0</v>
      </c>
      <c r="Y40" s="384">
        <f t="shared" si="3"/>
        <v>66</v>
      </c>
    </row>
    <row r="41" spans="1:25" x14ac:dyDescent="0.25">
      <c r="A41" s="274">
        <v>0.3125</v>
      </c>
      <c r="B41" s="385">
        <v>0</v>
      </c>
      <c r="C41" s="386">
        <v>235</v>
      </c>
      <c r="D41" s="386">
        <v>162</v>
      </c>
      <c r="E41" s="386">
        <v>0</v>
      </c>
      <c r="F41" s="387">
        <v>0</v>
      </c>
      <c r="G41" s="384">
        <f t="shared" si="14"/>
        <v>397</v>
      </c>
      <c r="H41" s="386">
        <v>0</v>
      </c>
      <c r="I41" s="386">
        <v>0</v>
      </c>
      <c r="J41" s="386">
        <v>0</v>
      </c>
      <c r="K41" s="386">
        <v>0</v>
      </c>
      <c r="L41" s="387">
        <v>0</v>
      </c>
      <c r="M41" s="384">
        <f t="shared" si="15"/>
        <v>0</v>
      </c>
      <c r="N41" s="386">
        <v>72</v>
      </c>
      <c r="O41" s="386">
        <v>89</v>
      </c>
      <c r="P41" s="386">
        <v>0</v>
      </c>
      <c r="Q41" s="386">
        <v>0</v>
      </c>
      <c r="R41" s="387">
        <v>0</v>
      </c>
      <c r="S41" s="384">
        <f t="shared" si="16"/>
        <v>161</v>
      </c>
      <c r="T41" s="386">
        <v>72</v>
      </c>
      <c r="U41" s="386">
        <v>0</v>
      </c>
      <c r="V41" s="386">
        <v>10</v>
      </c>
      <c r="W41" s="386">
        <v>0</v>
      </c>
      <c r="X41" s="387">
        <v>0</v>
      </c>
      <c r="Y41" s="384">
        <f t="shared" si="3"/>
        <v>82</v>
      </c>
    </row>
    <row r="42" spans="1:25" x14ac:dyDescent="0.25">
      <c r="A42" s="274">
        <v>0.32291666666666702</v>
      </c>
      <c r="B42" s="388">
        <v>0</v>
      </c>
      <c r="C42" s="387">
        <v>228</v>
      </c>
      <c r="D42" s="387">
        <v>143</v>
      </c>
      <c r="E42" s="387">
        <v>0</v>
      </c>
      <c r="F42" s="387">
        <v>0</v>
      </c>
      <c r="G42" s="384">
        <f t="shared" si="14"/>
        <v>371</v>
      </c>
      <c r="H42" s="387">
        <v>0</v>
      </c>
      <c r="I42" s="387">
        <v>0</v>
      </c>
      <c r="J42" s="387">
        <v>0</v>
      </c>
      <c r="K42" s="387">
        <v>0</v>
      </c>
      <c r="L42" s="387">
        <v>0</v>
      </c>
      <c r="M42" s="384">
        <f t="shared" si="15"/>
        <v>0</v>
      </c>
      <c r="N42" s="387">
        <v>64</v>
      </c>
      <c r="O42" s="387">
        <v>118</v>
      </c>
      <c r="P42" s="387">
        <v>0</v>
      </c>
      <c r="Q42" s="387">
        <v>0</v>
      </c>
      <c r="R42" s="387">
        <v>0</v>
      </c>
      <c r="S42" s="384">
        <f t="shared" si="16"/>
        <v>182</v>
      </c>
      <c r="T42" s="387">
        <v>47</v>
      </c>
      <c r="U42" s="387">
        <v>0</v>
      </c>
      <c r="V42" s="387">
        <v>9</v>
      </c>
      <c r="W42" s="387">
        <v>0</v>
      </c>
      <c r="X42" s="387">
        <v>0</v>
      </c>
      <c r="Y42" s="384">
        <f t="shared" si="3"/>
        <v>56</v>
      </c>
    </row>
    <row r="43" spans="1:25" x14ac:dyDescent="0.25">
      <c r="A43" s="275" t="s">
        <v>312</v>
      </c>
      <c r="B43" s="386">
        <f>SUM(B39:B42)</f>
        <v>0</v>
      </c>
      <c r="C43" s="386">
        <f t="shared" ref="C43:Y43" si="17">SUM(C39:C42)</f>
        <v>877</v>
      </c>
      <c r="D43" s="386">
        <f t="shared" si="17"/>
        <v>613</v>
      </c>
      <c r="E43" s="386">
        <f t="shared" si="17"/>
        <v>0</v>
      </c>
      <c r="F43" s="386">
        <f t="shared" si="17"/>
        <v>0</v>
      </c>
      <c r="G43" s="386">
        <f t="shared" si="17"/>
        <v>1490</v>
      </c>
      <c r="H43" s="386">
        <f t="shared" si="17"/>
        <v>0</v>
      </c>
      <c r="I43" s="386">
        <f t="shared" si="17"/>
        <v>0</v>
      </c>
      <c r="J43" s="386">
        <f t="shared" si="17"/>
        <v>0</v>
      </c>
      <c r="K43" s="386">
        <f t="shared" si="17"/>
        <v>0</v>
      </c>
      <c r="L43" s="386">
        <f t="shared" si="17"/>
        <v>0</v>
      </c>
      <c r="M43" s="386">
        <f t="shared" si="17"/>
        <v>0</v>
      </c>
      <c r="N43" s="386">
        <f t="shared" si="17"/>
        <v>282</v>
      </c>
      <c r="O43" s="386">
        <f t="shared" si="17"/>
        <v>355</v>
      </c>
      <c r="P43" s="386">
        <f t="shared" si="17"/>
        <v>0</v>
      </c>
      <c r="Q43" s="386">
        <f t="shared" si="17"/>
        <v>0</v>
      </c>
      <c r="R43" s="386">
        <f t="shared" si="17"/>
        <v>0</v>
      </c>
      <c r="S43" s="386">
        <f t="shared" si="17"/>
        <v>637</v>
      </c>
      <c r="T43" s="386">
        <f t="shared" si="17"/>
        <v>233</v>
      </c>
      <c r="U43" s="386">
        <f t="shared" si="17"/>
        <v>0</v>
      </c>
      <c r="V43" s="386">
        <f t="shared" si="17"/>
        <v>35</v>
      </c>
      <c r="W43" s="386">
        <f t="shared" si="17"/>
        <v>0</v>
      </c>
      <c r="X43" s="386">
        <f t="shared" si="17"/>
        <v>0</v>
      </c>
      <c r="Y43" s="386">
        <f t="shared" si="17"/>
        <v>268</v>
      </c>
    </row>
    <row r="44" spans="1:25" x14ac:dyDescent="0.25">
      <c r="A44" s="274">
        <v>0.33333333333333298</v>
      </c>
      <c r="B44" s="385">
        <v>0</v>
      </c>
      <c r="C44" s="386">
        <v>208</v>
      </c>
      <c r="D44" s="386">
        <v>140</v>
      </c>
      <c r="E44" s="386">
        <v>0</v>
      </c>
      <c r="F44" s="387">
        <v>0</v>
      </c>
      <c r="G44" s="384">
        <f t="shared" ref="G44:G47" si="18">SUM(B44:E44)</f>
        <v>348</v>
      </c>
      <c r="H44" s="386">
        <v>0</v>
      </c>
      <c r="I44" s="386">
        <v>0</v>
      </c>
      <c r="J44" s="386">
        <v>0</v>
      </c>
      <c r="K44" s="386">
        <v>0</v>
      </c>
      <c r="L44" s="387">
        <v>0</v>
      </c>
      <c r="M44" s="384">
        <f t="shared" ref="M44:M47" si="19">SUM(H44:K44)</f>
        <v>0</v>
      </c>
      <c r="N44" s="386">
        <v>60</v>
      </c>
      <c r="O44" s="386">
        <v>93</v>
      </c>
      <c r="P44" s="386">
        <v>0</v>
      </c>
      <c r="Q44" s="386">
        <v>0</v>
      </c>
      <c r="R44" s="387">
        <v>0</v>
      </c>
      <c r="S44" s="384">
        <f t="shared" ref="S44:S47" si="20">SUM(N44:Q44)</f>
        <v>153</v>
      </c>
      <c r="T44" s="386">
        <v>42</v>
      </c>
      <c r="U44" s="386">
        <v>0</v>
      </c>
      <c r="V44" s="386">
        <v>12</v>
      </c>
      <c r="W44" s="386">
        <v>0</v>
      </c>
      <c r="X44" s="387">
        <v>0</v>
      </c>
      <c r="Y44" s="384">
        <f t="shared" si="3"/>
        <v>54</v>
      </c>
    </row>
    <row r="45" spans="1:25" x14ac:dyDescent="0.25">
      <c r="A45" s="274">
        <v>0.34375</v>
      </c>
      <c r="B45" s="385">
        <v>0</v>
      </c>
      <c r="C45" s="386">
        <v>181</v>
      </c>
      <c r="D45" s="386">
        <v>162</v>
      </c>
      <c r="E45" s="386">
        <v>1</v>
      </c>
      <c r="F45" s="387">
        <v>0</v>
      </c>
      <c r="G45" s="384">
        <f t="shared" si="18"/>
        <v>344</v>
      </c>
      <c r="H45" s="386">
        <v>0</v>
      </c>
      <c r="I45" s="386">
        <v>0</v>
      </c>
      <c r="J45" s="386">
        <v>0</v>
      </c>
      <c r="K45" s="386">
        <v>0</v>
      </c>
      <c r="L45" s="387">
        <v>0</v>
      </c>
      <c r="M45" s="384">
        <f t="shared" si="19"/>
        <v>0</v>
      </c>
      <c r="N45" s="386">
        <v>66</v>
      </c>
      <c r="O45" s="386">
        <v>124</v>
      </c>
      <c r="P45" s="386">
        <v>0</v>
      </c>
      <c r="Q45" s="386">
        <v>0</v>
      </c>
      <c r="R45" s="387">
        <v>0</v>
      </c>
      <c r="S45" s="384">
        <f t="shared" si="20"/>
        <v>190</v>
      </c>
      <c r="T45" s="386">
        <v>38</v>
      </c>
      <c r="U45" s="386">
        <v>0</v>
      </c>
      <c r="V45" s="386">
        <v>7</v>
      </c>
      <c r="W45" s="386">
        <v>0</v>
      </c>
      <c r="X45" s="387">
        <v>0</v>
      </c>
      <c r="Y45" s="384">
        <f t="shared" si="3"/>
        <v>45</v>
      </c>
    </row>
    <row r="46" spans="1:25" x14ac:dyDescent="0.25">
      <c r="A46" s="274">
        <v>0.35416666666666702</v>
      </c>
      <c r="B46" s="385">
        <v>0</v>
      </c>
      <c r="C46" s="386">
        <v>180</v>
      </c>
      <c r="D46" s="386">
        <v>140</v>
      </c>
      <c r="E46" s="386">
        <v>0</v>
      </c>
      <c r="F46" s="387">
        <v>0</v>
      </c>
      <c r="G46" s="384">
        <f t="shared" si="18"/>
        <v>320</v>
      </c>
      <c r="H46" s="386">
        <v>0</v>
      </c>
      <c r="I46" s="386">
        <v>0</v>
      </c>
      <c r="J46" s="386">
        <v>0</v>
      </c>
      <c r="K46" s="386">
        <v>0</v>
      </c>
      <c r="L46" s="387">
        <v>0</v>
      </c>
      <c r="M46" s="384">
        <f t="shared" si="19"/>
        <v>0</v>
      </c>
      <c r="N46" s="386">
        <v>86</v>
      </c>
      <c r="O46" s="386">
        <v>105</v>
      </c>
      <c r="P46" s="386">
        <v>0</v>
      </c>
      <c r="Q46" s="386">
        <v>0</v>
      </c>
      <c r="R46" s="387">
        <v>0</v>
      </c>
      <c r="S46" s="384">
        <f t="shared" si="20"/>
        <v>191</v>
      </c>
      <c r="T46" s="386">
        <v>35</v>
      </c>
      <c r="U46" s="386">
        <v>0</v>
      </c>
      <c r="V46" s="386">
        <v>14</v>
      </c>
      <c r="W46" s="386">
        <v>0</v>
      </c>
      <c r="X46" s="387">
        <v>0</v>
      </c>
      <c r="Y46" s="384">
        <f t="shared" si="3"/>
        <v>49</v>
      </c>
    </row>
    <row r="47" spans="1:25" x14ac:dyDescent="0.25">
      <c r="A47" s="274">
        <v>0.36458333333333298</v>
      </c>
      <c r="B47" s="388">
        <v>0</v>
      </c>
      <c r="C47" s="387">
        <v>201</v>
      </c>
      <c r="D47" s="387">
        <v>144</v>
      </c>
      <c r="E47" s="387">
        <v>0</v>
      </c>
      <c r="F47" s="387">
        <v>0</v>
      </c>
      <c r="G47" s="384">
        <f t="shared" si="18"/>
        <v>345</v>
      </c>
      <c r="H47" s="387">
        <v>0</v>
      </c>
      <c r="I47" s="387">
        <v>0</v>
      </c>
      <c r="J47" s="387">
        <v>0</v>
      </c>
      <c r="K47" s="387">
        <v>0</v>
      </c>
      <c r="L47" s="387">
        <v>0</v>
      </c>
      <c r="M47" s="384">
        <f t="shared" si="19"/>
        <v>0</v>
      </c>
      <c r="N47" s="387">
        <v>70</v>
      </c>
      <c r="O47" s="387">
        <v>122</v>
      </c>
      <c r="P47" s="387">
        <v>0</v>
      </c>
      <c r="Q47" s="387">
        <v>0</v>
      </c>
      <c r="R47" s="387">
        <v>0</v>
      </c>
      <c r="S47" s="384">
        <f t="shared" si="20"/>
        <v>192</v>
      </c>
      <c r="T47" s="387">
        <v>59</v>
      </c>
      <c r="U47" s="387">
        <v>0</v>
      </c>
      <c r="V47" s="387">
        <v>14</v>
      </c>
      <c r="W47" s="387">
        <v>0</v>
      </c>
      <c r="X47" s="387">
        <v>0</v>
      </c>
      <c r="Y47" s="384">
        <f t="shared" si="3"/>
        <v>73</v>
      </c>
    </row>
    <row r="48" spans="1:25" x14ac:dyDescent="0.25">
      <c r="A48" s="275" t="s">
        <v>312</v>
      </c>
      <c r="B48" s="386">
        <f>SUM(B44:B47)</f>
        <v>0</v>
      </c>
      <c r="C48" s="386">
        <f t="shared" ref="C48:Y48" si="21">SUM(C44:C47)</f>
        <v>770</v>
      </c>
      <c r="D48" s="386">
        <f t="shared" si="21"/>
        <v>586</v>
      </c>
      <c r="E48" s="386">
        <f t="shared" si="21"/>
        <v>1</v>
      </c>
      <c r="F48" s="386">
        <f t="shared" si="21"/>
        <v>0</v>
      </c>
      <c r="G48" s="386">
        <f t="shared" si="21"/>
        <v>1357</v>
      </c>
      <c r="H48" s="386">
        <f t="shared" si="21"/>
        <v>0</v>
      </c>
      <c r="I48" s="386">
        <f t="shared" si="21"/>
        <v>0</v>
      </c>
      <c r="J48" s="386">
        <f t="shared" si="21"/>
        <v>0</v>
      </c>
      <c r="K48" s="386">
        <f t="shared" si="21"/>
        <v>0</v>
      </c>
      <c r="L48" s="386">
        <f t="shared" si="21"/>
        <v>0</v>
      </c>
      <c r="M48" s="386">
        <f t="shared" si="21"/>
        <v>0</v>
      </c>
      <c r="N48" s="386">
        <f t="shared" si="21"/>
        <v>282</v>
      </c>
      <c r="O48" s="386">
        <f t="shared" si="21"/>
        <v>444</v>
      </c>
      <c r="P48" s="386">
        <f t="shared" si="21"/>
        <v>0</v>
      </c>
      <c r="Q48" s="386">
        <f t="shared" si="21"/>
        <v>0</v>
      </c>
      <c r="R48" s="386">
        <f t="shared" si="21"/>
        <v>0</v>
      </c>
      <c r="S48" s="386">
        <f t="shared" si="21"/>
        <v>726</v>
      </c>
      <c r="T48" s="386">
        <f t="shared" si="21"/>
        <v>174</v>
      </c>
      <c r="U48" s="386">
        <f t="shared" si="21"/>
        <v>0</v>
      </c>
      <c r="V48" s="386">
        <f t="shared" si="21"/>
        <v>47</v>
      </c>
      <c r="W48" s="386">
        <f t="shared" si="21"/>
        <v>0</v>
      </c>
      <c r="X48" s="386">
        <f t="shared" si="21"/>
        <v>0</v>
      </c>
      <c r="Y48" s="386">
        <f t="shared" si="21"/>
        <v>221</v>
      </c>
    </row>
    <row r="49" spans="1:25" x14ac:dyDescent="0.25">
      <c r="A49" s="274">
        <v>0.375</v>
      </c>
      <c r="B49" s="385">
        <v>0</v>
      </c>
      <c r="C49" s="386">
        <v>142</v>
      </c>
      <c r="D49" s="386">
        <v>78</v>
      </c>
      <c r="E49" s="386">
        <v>0</v>
      </c>
      <c r="F49" s="387">
        <v>0</v>
      </c>
      <c r="G49" s="384">
        <f t="shared" ref="G49:G52" si="22">SUM(B49:E49)</f>
        <v>220</v>
      </c>
      <c r="H49" s="386">
        <v>0</v>
      </c>
      <c r="I49" s="386">
        <v>0</v>
      </c>
      <c r="J49" s="386">
        <v>0</v>
      </c>
      <c r="K49" s="386">
        <v>0</v>
      </c>
      <c r="L49" s="387">
        <v>0</v>
      </c>
      <c r="M49" s="384">
        <f t="shared" ref="M49:M52" si="23">SUM(H49:K49)</f>
        <v>0</v>
      </c>
      <c r="N49" s="386">
        <v>49</v>
      </c>
      <c r="O49" s="386">
        <v>104</v>
      </c>
      <c r="P49" s="386">
        <v>0</v>
      </c>
      <c r="Q49" s="386">
        <v>0</v>
      </c>
      <c r="R49" s="387">
        <v>0</v>
      </c>
      <c r="S49" s="384">
        <f t="shared" ref="S49:S52" si="24">SUM(N49:Q49)</f>
        <v>153</v>
      </c>
      <c r="T49" s="386">
        <v>35</v>
      </c>
      <c r="U49" s="386">
        <v>0</v>
      </c>
      <c r="V49" s="386">
        <v>12</v>
      </c>
      <c r="W49" s="386">
        <v>0</v>
      </c>
      <c r="X49" s="387">
        <v>0</v>
      </c>
      <c r="Y49" s="384">
        <f t="shared" si="3"/>
        <v>47</v>
      </c>
    </row>
    <row r="50" spans="1:25" x14ac:dyDescent="0.25">
      <c r="A50" s="274">
        <v>0.38541666666666669</v>
      </c>
      <c r="B50" s="385">
        <v>0</v>
      </c>
      <c r="C50" s="386">
        <v>139</v>
      </c>
      <c r="D50" s="386">
        <v>89</v>
      </c>
      <c r="E50" s="386">
        <v>0</v>
      </c>
      <c r="F50" s="387">
        <v>0</v>
      </c>
      <c r="G50" s="384">
        <f t="shared" si="22"/>
        <v>228</v>
      </c>
      <c r="H50" s="386">
        <v>0</v>
      </c>
      <c r="I50" s="386">
        <v>0</v>
      </c>
      <c r="J50" s="386">
        <v>0</v>
      </c>
      <c r="K50" s="386">
        <v>0</v>
      </c>
      <c r="L50" s="387">
        <v>0</v>
      </c>
      <c r="M50" s="384">
        <f t="shared" si="23"/>
        <v>0</v>
      </c>
      <c r="N50" s="386">
        <v>55</v>
      </c>
      <c r="O50" s="386">
        <v>118</v>
      </c>
      <c r="P50" s="386">
        <v>0</v>
      </c>
      <c r="Q50" s="386">
        <v>0</v>
      </c>
      <c r="R50" s="387">
        <v>0</v>
      </c>
      <c r="S50" s="384">
        <f t="shared" si="24"/>
        <v>173</v>
      </c>
      <c r="T50" s="386">
        <v>42</v>
      </c>
      <c r="U50" s="386">
        <v>0</v>
      </c>
      <c r="V50" s="386">
        <v>13</v>
      </c>
      <c r="W50" s="386">
        <v>0</v>
      </c>
      <c r="X50" s="387">
        <v>0</v>
      </c>
      <c r="Y50" s="384">
        <f t="shared" si="3"/>
        <v>55</v>
      </c>
    </row>
    <row r="51" spans="1:25" x14ac:dyDescent="0.25">
      <c r="A51" s="274">
        <v>0.39583333333333298</v>
      </c>
      <c r="B51" s="385">
        <v>0</v>
      </c>
      <c r="C51" s="386">
        <v>141</v>
      </c>
      <c r="D51" s="386">
        <v>90</v>
      </c>
      <c r="E51" s="386">
        <v>0</v>
      </c>
      <c r="F51" s="387">
        <v>0</v>
      </c>
      <c r="G51" s="384">
        <f t="shared" si="22"/>
        <v>231</v>
      </c>
      <c r="H51" s="386">
        <v>0</v>
      </c>
      <c r="I51" s="386">
        <v>0</v>
      </c>
      <c r="J51" s="386">
        <v>0</v>
      </c>
      <c r="K51" s="386">
        <v>0</v>
      </c>
      <c r="L51" s="387">
        <v>0</v>
      </c>
      <c r="M51" s="384">
        <f t="shared" si="23"/>
        <v>0</v>
      </c>
      <c r="N51" s="386">
        <v>61</v>
      </c>
      <c r="O51" s="386">
        <v>121</v>
      </c>
      <c r="P51" s="386">
        <v>0</v>
      </c>
      <c r="Q51" s="386">
        <v>0</v>
      </c>
      <c r="R51" s="387">
        <v>0</v>
      </c>
      <c r="S51" s="384">
        <f t="shared" si="24"/>
        <v>182</v>
      </c>
      <c r="T51" s="386">
        <v>51</v>
      </c>
      <c r="U51" s="386">
        <v>0</v>
      </c>
      <c r="V51" s="386">
        <v>8</v>
      </c>
      <c r="W51" s="386">
        <v>0</v>
      </c>
      <c r="X51" s="387">
        <v>0</v>
      </c>
      <c r="Y51" s="384">
        <f t="shared" si="3"/>
        <v>59</v>
      </c>
    </row>
    <row r="52" spans="1:25" x14ac:dyDescent="0.25">
      <c r="A52" s="274">
        <v>0.40625</v>
      </c>
      <c r="B52" s="388">
        <v>0</v>
      </c>
      <c r="C52" s="387">
        <v>137</v>
      </c>
      <c r="D52" s="387">
        <v>96</v>
      </c>
      <c r="E52" s="387">
        <v>0</v>
      </c>
      <c r="F52" s="387">
        <v>0</v>
      </c>
      <c r="G52" s="384">
        <f t="shared" si="22"/>
        <v>233</v>
      </c>
      <c r="H52" s="387">
        <v>0</v>
      </c>
      <c r="I52" s="387">
        <v>0</v>
      </c>
      <c r="J52" s="387">
        <v>0</v>
      </c>
      <c r="K52" s="387">
        <v>0</v>
      </c>
      <c r="L52" s="387">
        <v>0</v>
      </c>
      <c r="M52" s="384">
        <f t="shared" si="23"/>
        <v>0</v>
      </c>
      <c r="N52" s="387">
        <v>57</v>
      </c>
      <c r="O52" s="387">
        <v>98</v>
      </c>
      <c r="P52" s="387">
        <v>0</v>
      </c>
      <c r="Q52" s="387">
        <v>0</v>
      </c>
      <c r="R52" s="387">
        <v>0</v>
      </c>
      <c r="S52" s="384">
        <f t="shared" si="24"/>
        <v>155</v>
      </c>
      <c r="T52" s="387">
        <v>43</v>
      </c>
      <c r="U52" s="387">
        <v>0</v>
      </c>
      <c r="V52" s="387">
        <v>12</v>
      </c>
      <c r="W52" s="387">
        <v>0</v>
      </c>
      <c r="X52" s="387">
        <v>0</v>
      </c>
      <c r="Y52" s="384">
        <f t="shared" si="3"/>
        <v>55</v>
      </c>
    </row>
    <row r="53" spans="1:25" x14ac:dyDescent="0.25">
      <c r="A53" s="275" t="s">
        <v>312</v>
      </c>
      <c r="B53" s="386">
        <f>SUM(B49:B52)</f>
        <v>0</v>
      </c>
      <c r="C53" s="386">
        <f t="shared" ref="C53:Y53" si="25">SUM(C49:C52)</f>
        <v>559</v>
      </c>
      <c r="D53" s="386">
        <f t="shared" si="25"/>
        <v>353</v>
      </c>
      <c r="E53" s="386">
        <f t="shared" si="25"/>
        <v>0</v>
      </c>
      <c r="F53" s="386">
        <f t="shared" si="25"/>
        <v>0</v>
      </c>
      <c r="G53" s="386">
        <f t="shared" si="25"/>
        <v>912</v>
      </c>
      <c r="H53" s="386">
        <f t="shared" si="25"/>
        <v>0</v>
      </c>
      <c r="I53" s="386">
        <f t="shared" si="25"/>
        <v>0</v>
      </c>
      <c r="J53" s="386">
        <f t="shared" si="25"/>
        <v>0</v>
      </c>
      <c r="K53" s="386">
        <f t="shared" si="25"/>
        <v>0</v>
      </c>
      <c r="L53" s="386">
        <f t="shared" si="25"/>
        <v>0</v>
      </c>
      <c r="M53" s="386">
        <f t="shared" si="25"/>
        <v>0</v>
      </c>
      <c r="N53" s="386">
        <f t="shared" si="25"/>
        <v>222</v>
      </c>
      <c r="O53" s="386">
        <f t="shared" si="25"/>
        <v>441</v>
      </c>
      <c r="P53" s="386">
        <f t="shared" si="25"/>
        <v>0</v>
      </c>
      <c r="Q53" s="386">
        <f t="shared" si="25"/>
        <v>0</v>
      </c>
      <c r="R53" s="386">
        <f t="shared" si="25"/>
        <v>0</v>
      </c>
      <c r="S53" s="386">
        <f t="shared" si="25"/>
        <v>663</v>
      </c>
      <c r="T53" s="386">
        <f t="shared" si="25"/>
        <v>171</v>
      </c>
      <c r="U53" s="386">
        <f t="shared" si="25"/>
        <v>0</v>
      </c>
      <c r="V53" s="386">
        <f t="shared" si="25"/>
        <v>45</v>
      </c>
      <c r="W53" s="386">
        <f t="shared" si="25"/>
        <v>0</v>
      </c>
      <c r="X53" s="386">
        <f t="shared" si="25"/>
        <v>0</v>
      </c>
      <c r="Y53" s="386">
        <f t="shared" si="25"/>
        <v>216</v>
      </c>
    </row>
    <row r="54" spans="1:25" ht="13.5" customHeight="1" x14ac:dyDescent="0.25">
      <c r="A54" s="274">
        <v>0.41666666666666669</v>
      </c>
      <c r="B54" s="385">
        <v>0</v>
      </c>
      <c r="C54" s="386">
        <v>119</v>
      </c>
      <c r="D54" s="386">
        <v>101</v>
      </c>
      <c r="E54" s="386">
        <v>0</v>
      </c>
      <c r="F54" s="387">
        <v>0</v>
      </c>
      <c r="G54" s="384">
        <f t="shared" ref="G54:G57" si="26">SUM(B54:E54)</f>
        <v>220</v>
      </c>
      <c r="H54" s="386">
        <v>0</v>
      </c>
      <c r="I54" s="386">
        <v>0</v>
      </c>
      <c r="J54" s="386">
        <v>0</v>
      </c>
      <c r="K54" s="386">
        <v>0</v>
      </c>
      <c r="L54" s="387">
        <v>0</v>
      </c>
      <c r="M54" s="384">
        <f t="shared" ref="M54:M57" si="27">SUM(H54:K54)</f>
        <v>0</v>
      </c>
      <c r="N54" s="386">
        <v>49</v>
      </c>
      <c r="O54" s="386">
        <v>132</v>
      </c>
      <c r="P54" s="386">
        <v>0</v>
      </c>
      <c r="Q54" s="386">
        <v>0</v>
      </c>
      <c r="R54" s="387">
        <v>0</v>
      </c>
      <c r="S54" s="384">
        <f t="shared" ref="S54:S57" si="28">SUM(N54:Q54)</f>
        <v>181</v>
      </c>
      <c r="T54" s="386">
        <v>43</v>
      </c>
      <c r="U54" s="386">
        <v>0</v>
      </c>
      <c r="V54" s="386">
        <v>8</v>
      </c>
      <c r="W54" s="386">
        <v>0</v>
      </c>
      <c r="X54" s="387">
        <v>0</v>
      </c>
      <c r="Y54" s="384">
        <f t="shared" si="3"/>
        <v>51</v>
      </c>
    </row>
    <row r="55" spans="1:25" x14ac:dyDescent="0.25">
      <c r="A55" s="274">
        <v>0.42708333333333331</v>
      </c>
      <c r="B55" s="385">
        <v>0</v>
      </c>
      <c r="C55" s="386">
        <v>121</v>
      </c>
      <c r="D55" s="386">
        <v>83</v>
      </c>
      <c r="E55" s="386">
        <v>0</v>
      </c>
      <c r="F55" s="387">
        <v>0</v>
      </c>
      <c r="G55" s="384">
        <f t="shared" si="26"/>
        <v>204</v>
      </c>
      <c r="H55" s="386">
        <v>0</v>
      </c>
      <c r="I55" s="386">
        <v>0</v>
      </c>
      <c r="J55" s="386">
        <v>0</v>
      </c>
      <c r="K55" s="386">
        <v>0</v>
      </c>
      <c r="L55" s="387">
        <v>0</v>
      </c>
      <c r="M55" s="384">
        <f t="shared" si="27"/>
        <v>0</v>
      </c>
      <c r="N55" s="386">
        <v>44</v>
      </c>
      <c r="O55" s="386">
        <v>123</v>
      </c>
      <c r="P55" s="386">
        <v>0</v>
      </c>
      <c r="Q55" s="386">
        <v>0</v>
      </c>
      <c r="R55" s="387">
        <v>0</v>
      </c>
      <c r="S55" s="384">
        <f t="shared" si="28"/>
        <v>167</v>
      </c>
      <c r="T55" s="386">
        <v>40</v>
      </c>
      <c r="U55" s="386">
        <v>0</v>
      </c>
      <c r="V55" s="386">
        <v>10</v>
      </c>
      <c r="W55" s="386">
        <v>0</v>
      </c>
      <c r="X55" s="387">
        <v>0</v>
      </c>
      <c r="Y55" s="384">
        <f t="shared" si="3"/>
        <v>50</v>
      </c>
    </row>
    <row r="56" spans="1:25" x14ac:dyDescent="0.25">
      <c r="A56" s="274">
        <v>0.4375</v>
      </c>
      <c r="B56" s="385">
        <v>0</v>
      </c>
      <c r="C56" s="386">
        <v>120</v>
      </c>
      <c r="D56" s="386">
        <v>93</v>
      </c>
      <c r="E56" s="386">
        <v>0</v>
      </c>
      <c r="F56" s="387">
        <v>0</v>
      </c>
      <c r="G56" s="384">
        <f t="shared" si="26"/>
        <v>213</v>
      </c>
      <c r="H56" s="386">
        <v>0</v>
      </c>
      <c r="I56" s="386">
        <v>0</v>
      </c>
      <c r="J56" s="386">
        <v>0</v>
      </c>
      <c r="K56" s="386">
        <v>0</v>
      </c>
      <c r="L56" s="387">
        <v>0</v>
      </c>
      <c r="M56" s="384">
        <f t="shared" si="27"/>
        <v>0</v>
      </c>
      <c r="N56" s="386">
        <v>56</v>
      </c>
      <c r="O56" s="386">
        <v>104</v>
      </c>
      <c r="P56" s="386">
        <v>0</v>
      </c>
      <c r="Q56" s="386">
        <v>0</v>
      </c>
      <c r="R56" s="387">
        <v>0</v>
      </c>
      <c r="S56" s="384">
        <f t="shared" si="28"/>
        <v>160</v>
      </c>
      <c r="T56" s="386">
        <v>29</v>
      </c>
      <c r="U56" s="386">
        <v>0</v>
      </c>
      <c r="V56" s="386">
        <v>11</v>
      </c>
      <c r="W56" s="386">
        <v>0</v>
      </c>
      <c r="X56" s="387">
        <v>0</v>
      </c>
      <c r="Y56" s="384">
        <f t="shared" si="3"/>
        <v>40</v>
      </c>
    </row>
    <row r="57" spans="1:25" x14ac:dyDescent="0.25">
      <c r="A57" s="274">
        <v>0.44791666666666669</v>
      </c>
      <c r="B57" s="388">
        <v>0</v>
      </c>
      <c r="C57" s="387">
        <v>137</v>
      </c>
      <c r="D57" s="387">
        <v>79</v>
      </c>
      <c r="E57" s="387">
        <v>0</v>
      </c>
      <c r="F57" s="387">
        <v>0</v>
      </c>
      <c r="G57" s="384">
        <f t="shared" si="26"/>
        <v>216</v>
      </c>
      <c r="H57" s="387">
        <v>0</v>
      </c>
      <c r="I57" s="387">
        <v>0</v>
      </c>
      <c r="J57" s="387">
        <v>0</v>
      </c>
      <c r="K57" s="387">
        <v>0</v>
      </c>
      <c r="L57" s="387">
        <v>0</v>
      </c>
      <c r="M57" s="384">
        <f t="shared" si="27"/>
        <v>0</v>
      </c>
      <c r="N57" s="387">
        <v>52</v>
      </c>
      <c r="O57" s="387">
        <v>116</v>
      </c>
      <c r="P57" s="387">
        <v>0</v>
      </c>
      <c r="Q57" s="387">
        <v>0</v>
      </c>
      <c r="R57" s="387">
        <v>0</v>
      </c>
      <c r="S57" s="384">
        <f t="shared" si="28"/>
        <v>168</v>
      </c>
      <c r="T57" s="387">
        <v>29</v>
      </c>
      <c r="U57" s="387">
        <v>0</v>
      </c>
      <c r="V57" s="387">
        <v>17</v>
      </c>
      <c r="W57" s="387">
        <v>0</v>
      </c>
      <c r="X57" s="387">
        <v>0</v>
      </c>
      <c r="Y57" s="384">
        <f t="shared" si="3"/>
        <v>46</v>
      </c>
    </row>
    <row r="58" spans="1:25" x14ac:dyDescent="0.25">
      <c r="A58" s="275" t="s">
        <v>312</v>
      </c>
      <c r="B58" s="386">
        <f>SUM(B54:B57)</f>
        <v>0</v>
      </c>
      <c r="C58" s="386">
        <f t="shared" ref="C58:Y58" si="29">SUM(C54:C57)</f>
        <v>497</v>
      </c>
      <c r="D58" s="386">
        <f t="shared" si="29"/>
        <v>356</v>
      </c>
      <c r="E58" s="386">
        <f t="shared" si="29"/>
        <v>0</v>
      </c>
      <c r="F58" s="386">
        <f t="shared" si="29"/>
        <v>0</v>
      </c>
      <c r="G58" s="386">
        <f t="shared" si="29"/>
        <v>853</v>
      </c>
      <c r="H58" s="386">
        <f t="shared" si="29"/>
        <v>0</v>
      </c>
      <c r="I58" s="386">
        <f t="shared" si="29"/>
        <v>0</v>
      </c>
      <c r="J58" s="386">
        <f t="shared" si="29"/>
        <v>0</v>
      </c>
      <c r="K58" s="386">
        <f t="shared" si="29"/>
        <v>0</v>
      </c>
      <c r="L58" s="386">
        <f t="shared" si="29"/>
        <v>0</v>
      </c>
      <c r="M58" s="386">
        <f t="shared" si="29"/>
        <v>0</v>
      </c>
      <c r="N58" s="386">
        <f t="shared" si="29"/>
        <v>201</v>
      </c>
      <c r="O58" s="386">
        <f t="shared" si="29"/>
        <v>475</v>
      </c>
      <c r="P58" s="386">
        <f t="shared" si="29"/>
        <v>0</v>
      </c>
      <c r="Q58" s="386">
        <f t="shared" si="29"/>
        <v>0</v>
      </c>
      <c r="R58" s="386">
        <f t="shared" si="29"/>
        <v>0</v>
      </c>
      <c r="S58" s="386">
        <f t="shared" si="29"/>
        <v>676</v>
      </c>
      <c r="T58" s="386">
        <f t="shared" si="29"/>
        <v>141</v>
      </c>
      <c r="U58" s="386">
        <f t="shared" si="29"/>
        <v>0</v>
      </c>
      <c r="V58" s="386">
        <f t="shared" si="29"/>
        <v>46</v>
      </c>
      <c r="W58" s="386">
        <f t="shared" si="29"/>
        <v>0</v>
      </c>
      <c r="X58" s="386">
        <f t="shared" si="29"/>
        <v>0</v>
      </c>
      <c r="Y58" s="386">
        <f t="shared" si="29"/>
        <v>187</v>
      </c>
    </row>
    <row r="59" spans="1:25" x14ac:dyDescent="0.25">
      <c r="A59" s="274">
        <v>0.45833333333333331</v>
      </c>
      <c r="B59" s="385">
        <v>0</v>
      </c>
      <c r="C59" s="386">
        <v>150</v>
      </c>
      <c r="D59" s="386">
        <v>82</v>
      </c>
      <c r="E59" s="386">
        <v>0</v>
      </c>
      <c r="F59" s="387">
        <v>0</v>
      </c>
      <c r="G59" s="384">
        <f t="shared" ref="G59:G62" si="30">SUM(B59:E59)</f>
        <v>232</v>
      </c>
      <c r="H59" s="386">
        <v>0</v>
      </c>
      <c r="I59" s="386">
        <v>0</v>
      </c>
      <c r="J59" s="386">
        <v>0</v>
      </c>
      <c r="K59" s="386">
        <v>0</v>
      </c>
      <c r="L59" s="387">
        <v>0</v>
      </c>
      <c r="M59" s="384">
        <f t="shared" ref="M59:M62" si="31">SUM(H59:K59)</f>
        <v>0</v>
      </c>
      <c r="N59" s="386">
        <v>27</v>
      </c>
      <c r="O59" s="386">
        <v>122</v>
      </c>
      <c r="P59" s="386">
        <v>0</v>
      </c>
      <c r="Q59" s="386">
        <v>0</v>
      </c>
      <c r="R59" s="387">
        <v>0</v>
      </c>
      <c r="S59" s="384">
        <f t="shared" ref="S59:S62" si="32">SUM(N59:Q59)</f>
        <v>149</v>
      </c>
      <c r="T59" s="386">
        <v>46</v>
      </c>
      <c r="U59" s="386">
        <v>0</v>
      </c>
      <c r="V59" s="386">
        <v>7</v>
      </c>
      <c r="W59" s="386">
        <v>0</v>
      </c>
      <c r="X59" s="387">
        <v>0</v>
      </c>
      <c r="Y59" s="384">
        <f t="shared" si="3"/>
        <v>53</v>
      </c>
    </row>
    <row r="60" spans="1:25" x14ac:dyDescent="0.25">
      <c r="A60" s="274">
        <v>0.46875</v>
      </c>
      <c r="B60" s="385">
        <v>0</v>
      </c>
      <c r="C60" s="386">
        <v>126</v>
      </c>
      <c r="D60" s="386">
        <v>85</v>
      </c>
      <c r="E60" s="386">
        <v>0</v>
      </c>
      <c r="F60" s="387">
        <v>0</v>
      </c>
      <c r="G60" s="384">
        <f t="shared" si="30"/>
        <v>211</v>
      </c>
      <c r="H60" s="386">
        <v>0</v>
      </c>
      <c r="I60" s="386">
        <v>0</v>
      </c>
      <c r="J60" s="386">
        <v>0</v>
      </c>
      <c r="K60" s="386">
        <v>0</v>
      </c>
      <c r="L60" s="387">
        <v>0</v>
      </c>
      <c r="M60" s="384">
        <f t="shared" si="31"/>
        <v>0</v>
      </c>
      <c r="N60" s="386">
        <v>50</v>
      </c>
      <c r="O60" s="386">
        <v>133</v>
      </c>
      <c r="P60" s="386">
        <v>0</v>
      </c>
      <c r="Q60" s="386">
        <v>0</v>
      </c>
      <c r="R60" s="387">
        <v>0</v>
      </c>
      <c r="S60" s="384">
        <f t="shared" si="32"/>
        <v>183</v>
      </c>
      <c r="T60" s="386">
        <v>37</v>
      </c>
      <c r="U60" s="386">
        <v>0</v>
      </c>
      <c r="V60" s="386">
        <v>20</v>
      </c>
      <c r="W60" s="386">
        <v>0</v>
      </c>
      <c r="X60" s="387">
        <v>0</v>
      </c>
      <c r="Y60" s="384">
        <f t="shared" si="3"/>
        <v>57</v>
      </c>
    </row>
    <row r="61" spans="1:25" x14ac:dyDescent="0.25">
      <c r="A61" s="274">
        <v>0.47916666666666669</v>
      </c>
      <c r="B61" s="385">
        <v>0</v>
      </c>
      <c r="C61" s="386">
        <v>154</v>
      </c>
      <c r="D61" s="386">
        <v>89</v>
      </c>
      <c r="E61" s="386">
        <v>0</v>
      </c>
      <c r="F61" s="387">
        <v>0</v>
      </c>
      <c r="G61" s="384">
        <f t="shared" si="30"/>
        <v>243</v>
      </c>
      <c r="H61" s="386">
        <v>0</v>
      </c>
      <c r="I61" s="386">
        <v>0</v>
      </c>
      <c r="J61" s="386">
        <v>0</v>
      </c>
      <c r="K61" s="386">
        <v>0</v>
      </c>
      <c r="L61" s="387">
        <v>0</v>
      </c>
      <c r="M61" s="384">
        <f t="shared" si="31"/>
        <v>0</v>
      </c>
      <c r="N61" s="386">
        <v>65</v>
      </c>
      <c r="O61" s="386">
        <v>135</v>
      </c>
      <c r="P61" s="386">
        <v>0</v>
      </c>
      <c r="Q61" s="386">
        <v>0</v>
      </c>
      <c r="R61" s="387">
        <v>0</v>
      </c>
      <c r="S61" s="384">
        <f t="shared" si="32"/>
        <v>200</v>
      </c>
      <c r="T61" s="386">
        <v>33</v>
      </c>
      <c r="U61" s="386">
        <v>0</v>
      </c>
      <c r="V61" s="386">
        <v>12</v>
      </c>
      <c r="W61" s="386">
        <v>0</v>
      </c>
      <c r="X61" s="387">
        <v>0</v>
      </c>
      <c r="Y61" s="384">
        <f t="shared" si="3"/>
        <v>45</v>
      </c>
    </row>
    <row r="62" spans="1:25" x14ac:dyDescent="0.25">
      <c r="A62" s="274">
        <v>0.48958333333333331</v>
      </c>
      <c r="B62" s="388">
        <v>0</v>
      </c>
      <c r="C62" s="387">
        <v>155</v>
      </c>
      <c r="D62" s="387">
        <v>107</v>
      </c>
      <c r="E62" s="387">
        <v>0</v>
      </c>
      <c r="F62" s="387">
        <v>0</v>
      </c>
      <c r="G62" s="384">
        <f t="shared" si="30"/>
        <v>262</v>
      </c>
      <c r="H62" s="387">
        <v>0</v>
      </c>
      <c r="I62" s="387">
        <v>0</v>
      </c>
      <c r="J62" s="387">
        <v>0</v>
      </c>
      <c r="K62" s="387">
        <v>0</v>
      </c>
      <c r="L62" s="387">
        <v>0</v>
      </c>
      <c r="M62" s="384">
        <f t="shared" si="31"/>
        <v>0</v>
      </c>
      <c r="N62" s="387">
        <v>59</v>
      </c>
      <c r="O62" s="387">
        <v>134</v>
      </c>
      <c r="P62" s="387">
        <v>0</v>
      </c>
      <c r="Q62" s="387">
        <v>0</v>
      </c>
      <c r="R62" s="387">
        <v>0</v>
      </c>
      <c r="S62" s="384">
        <f t="shared" si="32"/>
        <v>193</v>
      </c>
      <c r="T62" s="387">
        <v>48</v>
      </c>
      <c r="U62" s="387">
        <v>0</v>
      </c>
      <c r="V62" s="387">
        <v>11</v>
      </c>
      <c r="W62" s="387">
        <v>0</v>
      </c>
      <c r="X62" s="387">
        <v>0</v>
      </c>
      <c r="Y62" s="384">
        <f t="shared" si="3"/>
        <v>59</v>
      </c>
    </row>
    <row r="63" spans="1:25" x14ac:dyDescent="0.25">
      <c r="A63" s="275" t="s">
        <v>312</v>
      </c>
      <c r="B63" s="386">
        <f>SUM(B59:B62)</f>
        <v>0</v>
      </c>
      <c r="C63" s="386">
        <f t="shared" ref="C63:Y63" si="33">SUM(C59:C62)</f>
        <v>585</v>
      </c>
      <c r="D63" s="386">
        <f t="shared" si="33"/>
        <v>363</v>
      </c>
      <c r="E63" s="386">
        <f t="shared" si="33"/>
        <v>0</v>
      </c>
      <c r="F63" s="386">
        <f t="shared" si="33"/>
        <v>0</v>
      </c>
      <c r="G63" s="386">
        <f t="shared" si="33"/>
        <v>948</v>
      </c>
      <c r="H63" s="386">
        <f t="shared" si="33"/>
        <v>0</v>
      </c>
      <c r="I63" s="386">
        <f t="shared" si="33"/>
        <v>0</v>
      </c>
      <c r="J63" s="386">
        <f t="shared" si="33"/>
        <v>0</v>
      </c>
      <c r="K63" s="386">
        <f t="shared" si="33"/>
        <v>0</v>
      </c>
      <c r="L63" s="386">
        <f t="shared" si="33"/>
        <v>0</v>
      </c>
      <c r="M63" s="386">
        <f t="shared" si="33"/>
        <v>0</v>
      </c>
      <c r="N63" s="386">
        <f t="shared" si="33"/>
        <v>201</v>
      </c>
      <c r="O63" s="386">
        <f t="shared" si="33"/>
        <v>524</v>
      </c>
      <c r="P63" s="386">
        <f t="shared" si="33"/>
        <v>0</v>
      </c>
      <c r="Q63" s="386">
        <f t="shared" si="33"/>
        <v>0</v>
      </c>
      <c r="R63" s="386">
        <f t="shared" si="33"/>
        <v>0</v>
      </c>
      <c r="S63" s="386">
        <f t="shared" si="33"/>
        <v>725</v>
      </c>
      <c r="T63" s="386">
        <f t="shared" si="33"/>
        <v>164</v>
      </c>
      <c r="U63" s="386">
        <f t="shared" si="33"/>
        <v>0</v>
      </c>
      <c r="V63" s="386">
        <f t="shared" si="33"/>
        <v>50</v>
      </c>
      <c r="W63" s="386">
        <f t="shared" si="33"/>
        <v>0</v>
      </c>
      <c r="X63" s="386">
        <f t="shared" si="33"/>
        <v>0</v>
      </c>
      <c r="Y63" s="386">
        <f t="shared" si="33"/>
        <v>214</v>
      </c>
    </row>
    <row r="64" spans="1:25" x14ac:dyDescent="0.25">
      <c r="A64" s="274">
        <v>0.5</v>
      </c>
      <c r="B64" s="385">
        <v>0</v>
      </c>
      <c r="C64" s="386">
        <v>145</v>
      </c>
      <c r="D64" s="386">
        <v>69</v>
      </c>
      <c r="E64" s="386">
        <v>0</v>
      </c>
      <c r="F64" s="387">
        <v>0</v>
      </c>
      <c r="G64" s="384">
        <f t="shared" ref="G64:G67" si="34">SUM(B64:E64)</f>
        <v>214</v>
      </c>
      <c r="H64" s="386">
        <v>0</v>
      </c>
      <c r="I64" s="386">
        <v>0</v>
      </c>
      <c r="J64" s="386">
        <v>0</v>
      </c>
      <c r="K64" s="386">
        <v>0</v>
      </c>
      <c r="L64" s="387">
        <v>0</v>
      </c>
      <c r="M64" s="384">
        <f t="shared" ref="M64:M67" si="35">SUM(H64:K64)</f>
        <v>0</v>
      </c>
      <c r="N64" s="386">
        <v>54</v>
      </c>
      <c r="O64" s="386">
        <v>150</v>
      </c>
      <c r="P64" s="386">
        <v>0</v>
      </c>
      <c r="Q64" s="386">
        <v>0</v>
      </c>
      <c r="R64" s="387">
        <v>0</v>
      </c>
      <c r="S64" s="384">
        <f t="shared" ref="S64:S67" si="36">SUM(N64:Q64)</f>
        <v>204</v>
      </c>
      <c r="T64" s="386">
        <v>34</v>
      </c>
      <c r="U64" s="386">
        <v>0</v>
      </c>
      <c r="V64" s="386">
        <v>13</v>
      </c>
      <c r="W64" s="386">
        <v>0</v>
      </c>
      <c r="X64" s="387">
        <v>0</v>
      </c>
      <c r="Y64" s="384">
        <f t="shared" si="3"/>
        <v>47</v>
      </c>
    </row>
    <row r="65" spans="1:25" x14ac:dyDescent="0.25">
      <c r="A65" s="274">
        <v>0.51041666666666663</v>
      </c>
      <c r="B65" s="385">
        <v>0</v>
      </c>
      <c r="C65" s="386">
        <v>142</v>
      </c>
      <c r="D65" s="386">
        <v>83</v>
      </c>
      <c r="E65" s="386">
        <v>0</v>
      </c>
      <c r="F65" s="387">
        <v>0</v>
      </c>
      <c r="G65" s="384">
        <f t="shared" si="34"/>
        <v>225</v>
      </c>
      <c r="H65" s="386">
        <v>0</v>
      </c>
      <c r="I65" s="386">
        <v>0</v>
      </c>
      <c r="J65" s="386">
        <v>0</v>
      </c>
      <c r="K65" s="386">
        <v>0</v>
      </c>
      <c r="L65" s="387">
        <v>0</v>
      </c>
      <c r="M65" s="384">
        <f t="shared" si="35"/>
        <v>0</v>
      </c>
      <c r="N65" s="386">
        <v>49</v>
      </c>
      <c r="O65" s="386">
        <v>150</v>
      </c>
      <c r="P65" s="386">
        <v>0</v>
      </c>
      <c r="Q65" s="386">
        <v>0</v>
      </c>
      <c r="R65" s="387">
        <v>0</v>
      </c>
      <c r="S65" s="384">
        <f t="shared" si="36"/>
        <v>199</v>
      </c>
      <c r="T65" s="386">
        <v>33</v>
      </c>
      <c r="U65" s="386">
        <v>0</v>
      </c>
      <c r="V65" s="386">
        <v>10</v>
      </c>
      <c r="W65" s="386">
        <v>0</v>
      </c>
      <c r="X65" s="387">
        <v>0</v>
      </c>
      <c r="Y65" s="384">
        <f t="shared" si="3"/>
        <v>43</v>
      </c>
    </row>
    <row r="66" spans="1:25" x14ac:dyDescent="0.25">
      <c r="A66" s="274">
        <v>0.52083333333333337</v>
      </c>
      <c r="B66" s="385">
        <v>0</v>
      </c>
      <c r="C66" s="386">
        <v>151</v>
      </c>
      <c r="D66" s="386">
        <v>84</v>
      </c>
      <c r="E66" s="386">
        <v>0</v>
      </c>
      <c r="F66" s="387">
        <v>0</v>
      </c>
      <c r="G66" s="384">
        <f t="shared" si="34"/>
        <v>235</v>
      </c>
      <c r="H66" s="386">
        <v>0</v>
      </c>
      <c r="I66" s="386">
        <v>0</v>
      </c>
      <c r="J66" s="386">
        <v>0</v>
      </c>
      <c r="K66" s="386">
        <v>0</v>
      </c>
      <c r="L66" s="387">
        <v>0</v>
      </c>
      <c r="M66" s="384">
        <f t="shared" si="35"/>
        <v>0</v>
      </c>
      <c r="N66" s="386">
        <v>49</v>
      </c>
      <c r="O66" s="386">
        <v>171</v>
      </c>
      <c r="P66" s="386">
        <v>0</v>
      </c>
      <c r="Q66" s="386">
        <v>0</v>
      </c>
      <c r="R66" s="387">
        <v>0</v>
      </c>
      <c r="S66" s="384">
        <f t="shared" si="36"/>
        <v>220</v>
      </c>
      <c r="T66" s="386">
        <v>31</v>
      </c>
      <c r="U66" s="386">
        <v>0</v>
      </c>
      <c r="V66" s="386">
        <v>9</v>
      </c>
      <c r="W66" s="386">
        <v>0</v>
      </c>
      <c r="X66" s="387">
        <v>0</v>
      </c>
      <c r="Y66" s="384">
        <f t="shared" si="3"/>
        <v>40</v>
      </c>
    </row>
    <row r="67" spans="1:25" x14ac:dyDescent="0.25">
      <c r="A67" s="274">
        <v>0.53125</v>
      </c>
      <c r="B67" s="388">
        <v>0</v>
      </c>
      <c r="C67" s="387">
        <v>166</v>
      </c>
      <c r="D67" s="387">
        <v>94</v>
      </c>
      <c r="E67" s="387">
        <v>0</v>
      </c>
      <c r="F67" s="387">
        <v>0</v>
      </c>
      <c r="G67" s="384">
        <f t="shared" si="34"/>
        <v>260</v>
      </c>
      <c r="H67" s="387">
        <v>0</v>
      </c>
      <c r="I67" s="387">
        <v>0</v>
      </c>
      <c r="J67" s="387">
        <v>0</v>
      </c>
      <c r="K67" s="387">
        <v>0</v>
      </c>
      <c r="L67" s="387">
        <v>0</v>
      </c>
      <c r="M67" s="384">
        <f t="shared" si="35"/>
        <v>0</v>
      </c>
      <c r="N67" s="387">
        <v>48</v>
      </c>
      <c r="O67" s="387">
        <v>147</v>
      </c>
      <c r="P67" s="387">
        <v>0</v>
      </c>
      <c r="Q67" s="387">
        <v>0</v>
      </c>
      <c r="R67" s="387">
        <v>0</v>
      </c>
      <c r="S67" s="384">
        <f t="shared" si="36"/>
        <v>195</v>
      </c>
      <c r="T67" s="387">
        <v>39</v>
      </c>
      <c r="U67" s="387">
        <v>0</v>
      </c>
      <c r="V67" s="387">
        <v>12</v>
      </c>
      <c r="W67" s="387">
        <v>0</v>
      </c>
      <c r="X67" s="387">
        <v>0</v>
      </c>
      <c r="Y67" s="384">
        <f t="shared" si="3"/>
        <v>51</v>
      </c>
    </row>
    <row r="68" spans="1:25" x14ac:dyDescent="0.25">
      <c r="A68" s="275" t="s">
        <v>312</v>
      </c>
      <c r="B68" s="386">
        <f>SUM(B64:B67)</f>
        <v>0</v>
      </c>
      <c r="C68" s="386">
        <f t="shared" ref="C68:Y68" si="37">SUM(C64:C67)</f>
        <v>604</v>
      </c>
      <c r="D68" s="386">
        <f t="shared" si="37"/>
        <v>330</v>
      </c>
      <c r="E68" s="386">
        <f t="shared" si="37"/>
        <v>0</v>
      </c>
      <c r="F68" s="386">
        <f t="shared" si="37"/>
        <v>0</v>
      </c>
      <c r="G68" s="386">
        <f t="shared" si="37"/>
        <v>934</v>
      </c>
      <c r="H68" s="386">
        <f t="shared" si="37"/>
        <v>0</v>
      </c>
      <c r="I68" s="386">
        <f t="shared" si="37"/>
        <v>0</v>
      </c>
      <c r="J68" s="386">
        <f t="shared" si="37"/>
        <v>0</v>
      </c>
      <c r="K68" s="386">
        <f t="shared" si="37"/>
        <v>0</v>
      </c>
      <c r="L68" s="386">
        <f t="shared" si="37"/>
        <v>0</v>
      </c>
      <c r="M68" s="386">
        <f t="shared" si="37"/>
        <v>0</v>
      </c>
      <c r="N68" s="386">
        <f t="shared" si="37"/>
        <v>200</v>
      </c>
      <c r="O68" s="386">
        <f t="shared" si="37"/>
        <v>618</v>
      </c>
      <c r="P68" s="386">
        <f t="shared" si="37"/>
        <v>0</v>
      </c>
      <c r="Q68" s="386">
        <f t="shared" si="37"/>
        <v>0</v>
      </c>
      <c r="R68" s="386">
        <f t="shared" si="37"/>
        <v>0</v>
      </c>
      <c r="S68" s="386">
        <f t="shared" si="37"/>
        <v>818</v>
      </c>
      <c r="T68" s="386">
        <f t="shared" si="37"/>
        <v>137</v>
      </c>
      <c r="U68" s="386">
        <f t="shared" si="37"/>
        <v>0</v>
      </c>
      <c r="V68" s="386">
        <f t="shared" si="37"/>
        <v>44</v>
      </c>
      <c r="W68" s="386">
        <f t="shared" si="37"/>
        <v>0</v>
      </c>
      <c r="X68" s="386">
        <f t="shared" si="37"/>
        <v>0</v>
      </c>
      <c r="Y68" s="386">
        <f t="shared" si="37"/>
        <v>181</v>
      </c>
    </row>
    <row r="69" spans="1:25" x14ac:dyDescent="0.25">
      <c r="A69" s="274">
        <v>0.54166666666666663</v>
      </c>
      <c r="B69" s="385">
        <v>0</v>
      </c>
      <c r="C69" s="386">
        <v>133</v>
      </c>
      <c r="D69" s="386">
        <v>76</v>
      </c>
      <c r="E69" s="386">
        <v>0</v>
      </c>
      <c r="F69" s="387">
        <v>0</v>
      </c>
      <c r="G69" s="384">
        <f t="shared" ref="G69:G72" si="38">SUM(B69:E69)</f>
        <v>209</v>
      </c>
      <c r="H69" s="386">
        <v>0</v>
      </c>
      <c r="I69" s="386">
        <v>0</v>
      </c>
      <c r="J69" s="386">
        <v>0</v>
      </c>
      <c r="K69" s="386">
        <v>0</v>
      </c>
      <c r="L69" s="387">
        <v>0</v>
      </c>
      <c r="M69" s="384">
        <f t="shared" ref="M69:M72" si="39">SUM(H69:K69)</f>
        <v>0</v>
      </c>
      <c r="N69" s="386">
        <v>42</v>
      </c>
      <c r="O69" s="386">
        <v>173</v>
      </c>
      <c r="P69" s="386">
        <v>0</v>
      </c>
      <c r="Q69" s="386">
        <v>0</v>
      </c>
      <c r="R69" s="387">
        <v>0</v>
      </c>
      <c r="S69" s="384">
        <f t="shared" ref="S69:S72" si="40">SUM(N69:Q69)</f>
        <v>215</v>
      </c>
      <c r="T69" s="386">
        <v>46</v>
      </c>
      <c r="U69" s="386">
        <v>0</v>
      </c>
      <c r="V69" s="386">
        <v>6</v>
      </c>
      <c r="W69" s="386">
        <v>0</v>
      </c>
      <c r="X69" s="387">
        <v>0</v>
      </c>
      <c r="Y69" s="384">
        <f t="shared" ref="Y69:Y122" si="41">SUM(T69:W69)</f>
        <v>52</v>
      </c>
    </row>
    <row r="70" spans="1:25" x14ac:dyDescent="0.25">
      <c r="A70" s="274">
        <v>0.55208333333333337</v>
      </c>
      <c r="B70" s="385">
        <v>0</v>
      </c>
      <c r="C70" s="386">
        <v>125</v>
      </c>
      <c r="D70" s="386">
        <v>79</v>
      </c>
      <c r="E70" s="386">
        <v>0</v>
      </c>
      <c r="F70" s="387">
        <v>0</v>
      </c>
      <c r="G70" s="384">
        <f t="shared" si="38"/>
        <v>204</v>
      </c>
      <c r="H70" s="386">
        <v>0</v>
      </c>
      <c r="I70" s="386">
        <v>0</v>
      </c>
      <c r="J70" s="386">
        <v>0</v>
      </c>
      <c r="K70" s="386">
        <v>0</v>
      </c>
      <c r="L70" s="387">
        <v>0</v>
      </c>
      <c r="M70" s="384">
        <f t="shared" si="39"/>
        <v>0</v>
      </c>
      <c r="N70" s="386">
        <v>28</v>
      </c>
      <c r="O70" s="386">
        <v>143</v>
      </c>
      <c r="P70" s="386">
        <v>0</v>
      </c>
      <c r="Q70" s="386">
        <v>0</v>
      </c>
      <c r="R70" s="387">
        <v>0</v>
      </c>
      <c r="S70" s="384">
        <f t="shared" si="40"/>
        <v>171</v>
      </c>
      <c r="T70" s="386">
        <v>49</v>
      </c>
      <c r="U70" s="386">
        <v>0</v>
      </c>
      <c r="V70" s="386">
        <v>14</v>
      </c>
      <c r="W70" s="386">
        <v>0</v>
      </c>
      <c r="X70" s="387">
        <v>0</v>
      </c>
      <c r="Y70" s="384">
        <f t="shared" si="41"/>
        <v>63</v>
      </c>
    </row>
    <row r="71" spans="1:25" x14ac:dyDescent="0.25">
      <c r="A71" s="274">
        <v>0.5625</v>
      </c>
      <c r="B71" s="385">
        <v>0</v>
      </c>
      <c r="C71" s="386">
        <v>133</v>
      </c>
      <c r="D71" s="386">
        <v>84</v>
      </c>
      <c r="E71" s="386">
        <v>0</v>
      </c>
      <c r="F71" s="387">
        <v>0</v>
      </c>
      <c r="G71" s="384">
        <f t="shared" si="38"/>
        <v>217</v>
      </c>
      <c r="H71" s="386">
        <v>0</v>
      </c>
      <c r="I71" s="386">
        <v>0</v>
      </c>
      <c r="J71" s="386">
        <v>0</v>
      </c>
      <c r="K71" s="386">
        <v>0</v>
      </c>
      <c r="L71" s="387">
        <v>0</v>
      </c>
      <c r="M71" s="384">
        <f t="shared" si="39"/>
        <v>0</v>
      </c>
      <c r="N71" s="386">
        <v>40</v>
      </c>
      <c r="O71" s="386">
        <v>154</v>
      </c>
      <c r="P71" s="386">
        <v>0</v>
      </c>
      <c r="Q71" s="386">
        <v>0</v>
      </c>
      <c r="R71" s="387">
        <v>0</v>
      </c>
      <c r="S71" s="384">
        <f t="shared" si="40"/>
        <v>194</v>
      </c>
      <c r="T71" s="386">
        <v>37</v>
      </c>
      <c r="U71" s="386">
        <v>0</v>
      </c>
      <c r="V71" s="386">
        <v>9</v>
      </c>
      <c r="W71" s="386">
        <v>0</v>
      </c>
      <c r="X71" s="387">
        <v>0</v>
      </c>
      <c r="Y71" s="384">
        <f t="shared" si="41"/>
        <v>46</v>
      </c>
    </row>
    <row r="72" spans="1:25" x14ac:dyDescent="0.25">
      <c r="A72" s="274">
        <v>0.57291666666666663</v>
      </c>
      <c r="B72" s="388">
        <v>0</v>
      </c>
      <c r="C72" s="387">
        <v>147</v>
      </c>
      <c r="D72" s="387">
        <v>84</v>
      </c>
      <c r="E72" s="387">
        <v>0</v>
      </c>
      <c r="F72" s="387">
        <v>0</v>
      </c>
      <c r="G72" s="384">
        <f t="shared" si="38"/>
        <v>231</v>
      </c>
      <c r="H72" s="387">
        <v>0</v>
      </c>
      <c r="I72" s="387">
        <v>0</v>
      </c>
      <c r="J72" s="387">
        <v>0</v>
      </c>
      <c r="K72" s="387">
        <v>0</v>
      </c>
      <c r="L72" s="387">
        <v>0</v>
      </c>
      <c r="M72" s="384">
        <f t="shared" si="39"/>
        <v>0</v>
      </c>
      <c r="N72" s="387">
        <v>40</v>
      </c>
      <c r="O72" s="387">
        <v>170</v>
      </c>
      <c r="P72" s="387">
        <v>0</v>
      </c>
      <c r="Q72" s="387">
        <v>0</v>
      </c>
      <c r="R72" s="387">
        <v>0</v>
      </c>
      <c r="S72" s="384">
        <f t="shared" si="40"/>
        <v>210</v>
      </c>
      <c r="T72" s="387">
        <v>49</v>
      </c>
      <c r="U72" s="387">
        <v>0</v>
      </c>
      <c r="V72" s="387">
        <v>14</v>
      </c>
      <c r="W72" s="387">
        <v>0</v>
      </c>
      <c r="X72" s="387">
        <v>0</v>
      </c>
      <c r="Y72" s="384">
        <f t="shared" si="41"/>
        <v>63</v>
      </c>
    </row>
    <row r="73" spans="1:25" x14ac:dyDescent="0.25">
      <c r="A73" s="275" t="s">
        <v>312</v>
      </c>
      <c r="B73" s="386">
        <f>SUM(B69:B72)</f>
        <v>0</v>
      </c>
      <c r="C73" s="386">
        <f t="shared" ref="C73:Y73" si="42">SUM(C69:C72)</f>
        <v>538</v>
      </c>
      <c r="D73" s="386">
        <f t="shared" si="42"/>
        <v>323</v>
      </c>
      <c r="E73" s="386">
        <f t="shared" si="42"/>
        <v>0</v>
      </c>
      <c r="F73" s="386">
        <f t="shared" si="42"/>
        <v>0</v>
      </c>
      <c r="G73" s="386">
        <f t="shared" si="42"/>
        <v>861</v>
      </c>
      <c r="H73" s="386">
        <f t="shared" si="42"/>
        <v>0</v>
      </c>
      <c r="I73" s="386">
        <f t="shared" si="42"/>
        <v>0</v>
      </c>
      <c r="J73" s="386">
        <f t="shared" si="42"/>
        <v>0</v>
      </c>
      <c r="K73" s="386">
        <f t="shared" si="42"/>
        <v>0</v>
      </c>
      <c r="L73" s="386">
        <f t="shared" si="42"/>
        <v>0</v>
      </c>
      <c r="M73" s="386">
        <f t="shared" si="42"/>
        <v>0</v>
      </c>
      <c r="N73" s="386">
        <f t="shared" si="42"/>
        <v>150</v>
      </c>
      <c r="O73" s="386">
        <f t="shared" si="42"/>
        <v>640</v>
      </c>
      <c r="P73" s="386">
        <f t="shared" si="42"/>
        <v>0</v>
      </c>
      <c r="Q73" s="386">
        <f t="shared" si="42"/>
        <v>0</v>
      </c>
      <c r="R73" s="386">
        <f t="shared" si="42"/>
        <v>0</v>
      </c>
      <c r="S73" s="386">
        <f t="shared" si="42"/>
        <v>790</v>
      </c>
      <c r="T73" s="386">
        <f t="shared" si="42"/>
        <v>181</v>
      </c>
      <c r="U73" s="386">
        <f t="shared" si="42"/>
        <v>0</v>
      </c>
      <c r="V73" s="386">
        <f t="shared" si="42"/>
        <v>43</v>
      </c>
      <c r="W73" s="386">
        <f t="shared" si="42"/>
        <v>0</v>
      </c>
      <c r="X73" s="386">
        <f t="shared" si="42"/>
        <v>0</v>
      </c>
      <c r="Y73" s="386">
        <f t="shared" si="42"/>
        <v>224</v>
      </c>
    </row>
    <row r="74" spans="1:25" x14ac:dyDescent="0.25">
      <c r="A74" s="274">
        <v>0.58333333333333304</v>
      </c>
      <c r="B74" s="385">
        <v>0</v>
      </c>
      <c r="C74" s="386">
        <v>129</v>
      </c>
      <c r="D74" s="386">
        <v>83</v>
      </c>
      <c r="E74" s="386">
        <v>0</v>
      </c>
      <c r="F74" s="387">
        <v>0</v>
      </c>
      <c r="G74" s="384">
        <f t="shared" ref="G74:G77" si="43">SUM(B74:E74)</f>
        <v>212</v>
      </c>
      <c r="H74" s="386">
        <v>0</v>
      </c>
      <c r="I74" s="386">
        <v>0</v>
      </c>
      <c r="J74" s="386">
        <v>0</v>
      </c>
      <c r="K74" s="386">
        <v>0</v>
      </c>
      <c r="L74" s="387">
        <v>0</v>
      </c>
      <c r="M74" s="384">
        <f t="shared" ref="M74:M77" si="44">SUM(H74:K74)</f>
        <v>0</v>
      </c>
      <c r="N74" s="386">
        <v>44</v>
      </c>
      <c r="O74" s="386">
        <v>173</v>
      </c>
      <c r="P74" s="386">
        <v>0</v>
      </c>
      <c r="Q74" s="386">
        <v>0</v>
      </c>
      <c r="R74" s="387">
        <v>0</v>
      </c>
      <c r="S74" s="384">
        <f t="shared" ref="S74:S77" si="45">SUM(N74:Q74)</f>
        <v>217</v>
      </c>
      <c r="T74" s="386">
        <v>30</v>
      </c>
      <c r="U74" s="386">
        <v>0</v>
      </c>
      <c r="V74" s="386">
        <v>8</v>
      </c>
      <c r="W74" s="386">
        <v>0</v>
      </c>
      <c r="X74" s="387">
        <v>0</v>
      </c>
      <c r="Y74" s="384">
        <f t="shared" si="41"/>
        <v>38</v>
      </c>
    </row>
    <row r="75" spans="1:25" x14ac:dyDescent="0.25">
      <c r="A75" s="274">
        <v>0.59375</v>
      </c>
      <c r="B75" s="385">
        <v>0</v>
      </c>
      <c r="C75" s="386">
        <v>132</v>
      </c>
      <c r="D75" s="386">
        <v>70</v>
      </c>
      <c r="E75" s="386">
        <v>1</v>
      </c>
      <c r="F75" s="387">
        <v>0</v>
      </c>
      <c r="G75" s="384">
        <f t="shared" si="43"/>
        <v>203</v>
      </c>
      <c r="H75" s="386">
        <v>0</v>
      </c>
      <c r="I75" s="386">
        <v>0</v>
      </c>
      <c r="J75" s="386">
        <v>0</v>
      </c>
      <c r="K75" s="386">
        <v>0</v>
      </c>
      <c r="L75" s="387">
        <v>0</v>
      </c>
      <c r="M75" s="384">
        <f t="shared" si="44"/>
        <v>0</v>
      </c>
      <c r="N75" s="386">
        <v>42</v>
      </c>
      <c r="O75" s="386">
        <v>152</v>
      </c>
      <c r="P75" s="386">
        <v>0</v>
      </c>
      <c r="Q75" s="386">
        <v>0</v>
      </c>
      <c r="R75" s="387">
        <v>0</v>
      </c>
      <c r="S75" s="384">
        <f t="shared" si="45"/>
        <v>194</v>
      </c>
      <c r="T75" s="386">
        <v>48</v>
      </c>
      <c r="U75" s="386">
        <v>0</v>
      </c>
      <c r="V75" s="386">
        <v>20</v>
      </c>
      <c r="W75" s="386">
        <v>0</v>
      </c>
      <c r="X75" s="387">
        <v>0</v>
      </c>
      <c r="Y75" s="384">
        <f t="shared" si="41"/>
        <v>68</v>
      </c>
    </row>
    <row r="76" spans="1:25" x14ac:dyDescent="0.25">
      <c r="A76" s="274">
        <v>0.60416666666666663</v>
      </c>
      <c r="B76" s="385">
        <v>0</v>
      </c>
      <c r="C76" s="386">
        <v>143</v>
      </c>
      <c r="D76" s="386">
        <v>76</v>
      </c>
      <c r="E76" s="386">
        <v>0</v>
      </c>
      <c r="F76" s="387">
        <v>0</v>
      </c>
      <c r="G76" s="384">
        <f t="shared" si="43"/>
        <v>219</v>
      </c>
      <c r="H76" s="386">
        <v>0</v>
      </c>
      <c r="I76" s="386">
        <v>0</v>
      </c>
      <c r="J76" s="386">
        <v>0</v>
      </c>
      <c r="K76" s="386">
        <v>0</v>
      </c>
      <c r="L76" s="387">
        <v>0</v>
      </c>
      <c r="M76" s="384">
        <f t="shared" si="44"/>
        <v>0</v>
      </c>
      <c r="N76" s="386">
        <v>55</v>
      </c>
      <c r="O76" s="386">
        <v>182</v>
      </c>
      <c r="P76" s="386">
        <v>0</v>
      </c>
      <c r="Q76" s="386">
        <v>0</v>
      </c>
      <c r="R76" s="387">
        <v>0</v>
      </c>
      <c r="S76" s="384">
        <f t="shared" si="45"/>
        <v>237</v>
      </c>
      <c r="T76" s="386">
        <v>28</v>
      </c>
      <c r="U76" s="386">
        <v>0</v>
      </c>
      <c r="V76" s="386">
        <v>7</v>
      </c>
      <c r="W76" s="386">
        <v>0</v>
      </c>
      <c r="X76" s="387">
        <v>0</v>
      </c>
      <c r="Y76" s="384">
        <f t="shared" si="41"/>
        <v>35</v>
      </c>
    </row>
    <row r="77" spans="1:25" x14ac:dyDescent="0.25">
      <c r="A77" s="274">
        <v>0.61458333333333304</v>
      </c>
      <c r="B77" s="388">
        <v>0</v>
      </c>
      <c r="C77" s="387">
        <v>158</v>
      </c>
      <c r="D77" s="387">
        <v>86</v>
      </c>
      <c r="E77" s="387">
        <v>0</v>
      </c>
      <c r="F77" s="387">
        <v>0</v>
      </c>
      <c r="G77" s="384">
        <f t="shared" si="43"/>
        <v>244</v>
      </c>
      <c r="H77" s="387">
        <v>0</v>
      </c>
      <c r="I77" s="387">
        <v>0</v>
      </c>
      <c r="J77" s="387">
        <v>0</v>
      </c>
      <c r="K77" s="387">
        <v>0</v>
      </c>
      <c r="L77" s="387">
        <v>0</v>
      </c>
      <c r="M77" s="384">
        <f t="shared" si="44"/>
        <v>0</v>
      </c>
      <c r="N77" s="387">
        <v>54</v>
      </c>
      <c r="O77" s="387">
        <v>212</v>
      </c>
      <c r="P77" s="387">
        <v>0</v>
      </c>
      <c r="Q77" s="387">
        <v>0</v>
      </c>
      <c r="R77" s="387">
        <v>0</v>
      </c>
      <c r="S77" s="384">
        <f t="shared" si="45"/>
        <v>266</v>
      </c>
      <c r="T77" s="387">
        <v>35</v>
      </c>
      <c r="U77" s="387">
        <v>0</v>
      </c>
      <c r="V77" s="387">
        <v>13</v>
      </c>
      <c r="W77" s="387">
        <v>0</v>
      </c>
      <c r="X77" s="387">
        <v>0</v>
      </c>
      <c r="Y77" s="384">
        <f t="shared" si="41"/>
        <v>48</v>
      </c>
    </row>
    <row r="78" spans="1:25" x14ac:dyDescent="0.25">
      <c r="A78" s="275" t="s">
        <v>312</v>
      </c>
      <c r="B78" s="386">
        <f>SUM(B74:B77)</f>
        <v>0</v>
      </c>
      <c r="C78" s="386">
        <f t="shared" ref="C78:Y78" si="46">SUM(C74:C77)</f>
        <v>562</v>
      </c>
      <c r="D78" s="386">
        <f t="shared" si="46"/>
        <v>315</v>
      </c>
      <c r="E78" s="386">
        <f t="shared" si="46"/>
        <v>1</v>
      </c>
      <c r="F78" s="386">
        <f t="shared" si="46"/>
        <v>0</v>
      </c>
      <c r="G78" s="386">
        <f t="shared" si="46"/>
        <v>878</v>
      </c>
      <c r="H78" s="386">
        <f t="shared" si="46"/>
        <v>0</v>
      </c>
      <c r="I78" s="386">
        <f t="shared" si="46"/>
        <v>0</v>
      </c>
      <c r="J78" s="386">
        <f t="shared" si="46"/>
        <v>0</v>
      </c>
      <c r="K78" s="386">
        <f t="shared" si="46"/>
        <v>0</v>
      </c>
      <c r="L78" s="386">
        <f t="shared" si="46"/>
        <v>0</v>
      </c>
      <c r="M78" s="386">
        <f t="shared" si="46"/>
        <v>0</v>
      </c>
      <c r="N78" s="386">
        <f t="shared" si="46"/>
        <v>195</v>
      </c>
      <c r="O78" s="386">
        <f t="shared" si="46"/>
        <v>719</v>
      </c>
      <c r="P78" s="386">
        <f t="shared" si="46"/>
        <v>0</v>
      </c>
      <c r="Q78" s="386">
        <f t="shared" si="46"/>
        <v>0</v>
      </c>
      <c r="R78" s="386">
        <f t="shared" si="46"/>
        <v>0</v>
      </c>
      <c r="S78" s="386">
        <f t="shared" si="46"/>
        <v>914</v>
      </c>
      <c r="T78" s="386">
        <f t="shared" si="46"/>
        <v>141</v>
      </c>
      <c r="U78" s="386">
        <f t="shared" si="46"/>
        <v>0</v>
      </c>
      <c r="V78" s="386">
        <f t="shared" si="46"/>
        <v>48</v>
      </c>
      <c r="W78" s="386">
        <f t="shared" si="46"/>
        <v>0</v>
      </c>
      <c r="X78" s="386">
        <f t="shared" si="46"/>
        <v>0</v>
      </c>
      <c r="Y78" s="386">
        <f t="shared" si="46"/>
        <v>189</v>
      </c>
    </row>
    <row r="79" spans="1:25" x14ac:dyDescent="0.25">
      <c r="A79" s="274">
        <v>0.625</v>
      </c>
      <c r="B79" s="385">
        <v>0</v>
      </c>
      <c r="C79" s="386">
        <v>145</v>
      </c>
      <c r="D79" s="386">
        <v>80</v>
      </c>
      <c r="E79" s="386">
        <v>0</v>
      </c>
      <c r="F79" s="387">
        <v>0</v>
      </c>
      <c r="G79" s="384">
        <f t="shared" ref="G79:G82" si="47">SUM(B79:E79)</f>
        <v>225</v>
      </c>
      <c r="H79" s="386">
        <v>0</v>
      </c>
      <c r="I79" s="386">
        <v>0</v>
      </c>
      <c r="J79" s="386">
        <v>0</v>
      </c>
      <c r="K79" s="386">
        <v>0</v>
      </c>
      <c r="L79" s="387">
        <v>0</v>
      </c>
      <c r="M79" s="384">
        <f t="shared" ref="M79:M82" si="48">SUM(H79:K79)</f>
        <v>0</v>
      </c>
      <c r="N79" s="386">
        <v>62</v>
      </c>
      <c r="O79" s="386">
        <v>204</v>
      </c>
      <c r="P79" s="386">
        <v>0</v>
      </c>
      <c r="Q79" s="386">
        <v>0</v>
      </c>
      <c r="R79" s="387">
        <v>0</v>
      </c>
      <c r="S79" s="384">
        <f t="shared" ref="S79:S82" si="49">SUM(N79:Q79)</f>
        <v>266</v>
      </c>
      <c r="T79" s="386">
        <v>26</v>
      </c>
      <c r="U79" s="386">
        <v>0</v>
      </c>
      <c r="V79" s="386">
        <v>16</v>
      </c>
      <c r="W79" s="386">
        <v>0</v>
      </c>
      <c r="X79" s="387">
        <v>0</v>
      </c>
      <c r="Y79" s="384">
        <f t="shared" si="41"/>
        <v>42</v>
      </c>
    </row>
    <row r="80" spans="1:25" x14ac:dyDescent="0.25">
      <c r="A80" s="274">
        <v>0.63541666666666663</v>
      </c>
      <c r="B80" s="385">
        <v>0</v>
      </c>
      <c r="C80" s="386">
        <v>125</v>
      </c>
      <c r="D80" s="386">
        <v>84</v>
      </c>
      <c r="E80" s="386">
        <v>0</v>
      </c>
      <c r="F80" s="387">
        <v>0</v>
      </c>
      <c r="G80" s="384">
        <f t="shared" si="47"/>
        <v>209</v>
      </c>
      <c r="H80" s="386">
        <v>0</v>
      </c>
      <c r="I80" s="386">
        <v>0</v>
      </c>
      <c r="J80" s="386">
        <v>0</v>
      </c>
      <c r="K80" s="386">
        <v>0</v>
      </c>
      <c r="L80" s="387">
        <v>0</v>
      </c>
      <c r="M80" s="384">
        <f t="shared" si="48"/>
        <v>0</v>
      </c>
      <c r="N80" s="386">
        <v>66</v>
      </c>
      <c r="O80" s="386">
        <v>223</v>
      </c>
      <c r="P80" s="386">
        <v>0</v>
      </c>
      <c r="Q80" s="386">
        <v>0</v>
      </c>
      <c r="R80" s="387">
        <v>0</v>
      </c>
      <c r="S80" s="384">
        <f t="shared" si="49"/>
        <v>289</v>
      </c>
      <c r="T80" s="386">
        <v>37</v>
      </c>
      <c r="U80" s="386">
        <v>0</v>
      </c>
      <c r="V80" s="386">
        <v>16</v>
      </c>
      <c r="W80" s="386">
        <v>0</v>
      </c>
      <c r="X80" s="387">
        <v>0</v>
      </c>
      <c r="Y80" s="384">
        <f t="shared" si="41"/>
        <v>53</v>
      </c>
    </row>
    <row r="81" spans="1:25" x14ac:dyDescent="0.25">
      <c r="A81" s="274">
        <v>0.64583333333333304</v>
      </c>
      <c r="B81" s="385">
        <v>0</v>
      </c>
      <c r="C81" s="386">
        <v>140</v>
      </c>
      <c r="D81" s="386">
        <v>97</v>
      </c>
      <c r="E81" s="386">
        <v>0</v>
      </c>
      <c r="F81" s="387">
        <v>0</v>
      </c>
      <c r="G81" s="384">
        <f t="shared" si="47"/>
        <v>237</v>
      </c>
      <c r="H81" s="386">
        <v>0</v>
      </c>
      <c r="I81" s="386">
        <v>0</v>
      </c>
      <c r="J81" s="386">
        <v>0</v>
      </c>
      <c r="K81" s="386">
        <v>0</v>
      </c>
      <c r="L81" s="387">
        <v>0</v>
      </c>
      <c r="M81" s="384">
        <f t="shared" si="48"/>
        <v>0</v>
      </c>
      <c r="N81" s="386">
        <v>66</v>
      </c>
      <c r="O81" s="386">
        <v>222</v>
      </c>
      <c r="P81" s="386">
        <v>0</v>
      </c>
      <c r="Q81" s="386">
        <v>0</v>
      </c>
      <c r="R81" s="387">
        <v>0</v>
      </c>
      <c r="S81" s="384">
        <f t="shared" si="49"/>
        <v>288</v>
      </c>
      <c r="T81" s="386">
        <v>34</v>
      </c>
      <c r="U81" s="386">
        <v>0</v>
      </c>
      <c r="V81" s="386">
        <v>12</v>
      </c>
      <c r="W81" s="386">
        <v>0</v>
      </c>
      <c r="X81" s="387">
        <v>0</v>
      </c>
      <c r="Y81" s="384">
        <f t="shared" si="41"/>
        <v>46</v>
      </c>
    </row>
    <row r="82" spans="1:25" x14ac:dyDescent="0.25">
      <c r="A82" s="274">
        <v>0.65625</v>
      </c>
      <c r="B82" s="388">
        <v>0</v>
      </c>
      <c r="C82" s="387">
        <v>156</v>
      </c>
      <c r="D82" s="387">
        <v>72</v>
      </c>
      <c r="E82" s="387">
        <v>0</v>
      </c>
      <c r="F82" s="387">
        <v>0</v>
      </c>
      <c r="G82" s="384">
        <f t="shared" si="47"/>
        <v>228</v>
      </c>
      <c r="H82" s="387">
        <v>0</v>
      </c>
      <c r="I82" s="387">
        <v>0</v>
      </c>
      <c r="J82" s="387">
        <v>0</v>
      </c>
      <c r="K82" s="387">
        <v>0</v>
      </c>
      <c r="L82" s="387">
        <v>0</v>
      </c>
      <c r="M82" s="384">
        <f t="shared" si="48"/>
        <v>0</v>
      </c>
      <c r="N82" s="387">
        <v>71</v>
      </c>
      <c r="O82" s="387">
        <v>222</v>
      </c>
      <c r="P82" s="387">
        <v>0</v>
      </c>
      <c r="Q82" s="387">
        <v>0</v>
      </c>
      <c r="R82" s="387">
        <v>0</v>
      </c>
      <c r="S82" s="384">
        <f t="shared" si="49"/>
        <v>293</v>
      </c>
      <c r="T82" s="387">
        <v>34</v>
      </c>
      <c r="U82" s="387">
        <v>0</v>
      </c>
      <c r="V82" s="387">
        <v>24</v>
      </c>
      <c r="W82" s="387">
        <v>0</v>
      </c>
      <c r="X82" s="387">
        <v>0</v>
      </c>
      <c r="Y82" s="384">
        <f t="shared" si="41"/>
        <v>58</v>
      </c>
    </row>
    <row r="83" spans="1:25" x14ac:dyDescent="0.25">
      <c r="A83" s="275" t="s">
        <v>312</v>
      </c>
      <c r="B83" s="386">
        <f>SUM(B79:B82)</f>
        <v>0</v>
      </c>
      <c r="C83" s="386">
        <f t="shared" ref="C83:Y83" si="50">SUM(C79:C82)</f>
        <v>566</v>
      </c>
      <c r="D83" s="386">
        <f t="shared" si="50"/>
        <v>333</v>
      </c>
      <c r="E83" s="386">
        <f t="shared" si="50"/>
        <v>0</v>
      </c>
      <c r="F83" s="386">
        <f t="shared" si="50"/>
        <v>0</v>
      </c>
      <c r="G83" s="386">
        <f t="shared" si="50"/>
        <v>899</v>
      </c>
      <c r="H83" s="386">
        <f t="shared" si="50"/>
        <v>0</v>
      </c>
      <c r="I83" s="386">
        <f t="shared" si="50"/>
        <v>0</v>
      </c>
      <c r="J83" s="386">
        <f t="shared" si="50"/>
        <v>0</v>
      </c>
      <c r="K83" s="386">
        <f t="shared" si="50"/>
        <v>0</v>
      </c>
      <c r="L83" s="386">
        <f t="shared" si="50"/>
        <v>0</v>
      </c>
      <c r="M83" s="386">
        <f t="shared" si="50"/>
        <v>0</v>
      </c>
      <c r="N83" s="386">
        <f t="shared" si="50"/>
        <v>265</v>
      </c>
      <c r="O83" s="386">
        <f t="shared" si="50"/>
        <v>871</v>
      </c>
      <c r="P83" s="386">
        <f t="shared" si="50"/>
        <v>0</v>
      </c>
      <c r="Q83" s="386">
        <f t="shared" si="50"/>
        <v>0</v>
      </c>
      <c r="R83" s="386">
        <f t="shared" si="50"/>
        <v>0</v>
      </c>
      <c r="S83" s="386">
        <f t="shared" si="50"/>
        <v>1136</v>
      </c>
      <c r="T83" s="386">
        <f t="shared" si="50"/>
        <v>131</v>
      </c>
      <c r="U83" s="386">
        <f t="shared" si="50"/>
        <v>0</v>
      </c>
      <c r="V83" s="386">
        <f t="shared" si="50"/>
        <v>68</v>
      </c>
      <c r="W83" s="386">
        <f t="shared" si="50"/>
        <v>0</v>
      </c>
      <c r="X83" s="386">
        <f t="shared" si="50"/>
        <v>0</v>
      </c>
      <c r="Y83" s="386">
        <f t="shared" si="50"/>
        <v>199</v>
      </c>
    </row>
    <row r="84" spans="1:25" x14ac:dyDescent="0.25">
      <c r="A84" s="274">
        <v>0.66666666666666696</v>
      </c>
      <c r="B84" s="385">
        <v>0</v>
      </c>
      <c r="C84" s="386">
        <v>143</v>
      </c>
      <c r="D84" s="386">
        <v>82</v>
      </c>
      <c r="E84" s="386">
        <v>0</v>
      </c>
      <c r="F84" s="387">
        <v>0</v>
      </c>
      <c r="G84" s="384">
        <f t="shared" ref="G84:G87" si="51">SUM(B84:E84)</f>
        <v>225</v>
      </c>
      <c r="H84" s="386">
        <v>0</v>
      </c>
      <c r="I84" s="386">
        <v>0</v>
      </c>
      <c r="J84" s="386">
        <v>0</v>
      </c>
      <c r="K84" s="386">
        <v>0</v>
      </c>
      <c r="L84" s="387">
        <v>0</v>
      </c>
      <c r="M84" s="384">
        <f t="shared" ref="M84:M87" si="52">SUM(H84:K84)</f>
        <v>0</v>
      </c>
      <c r="N84" s="386">
        <v>71</v>
      </c>
      <c r="O84" s="386">
        <v>208</v>
      </c>
      <c r="P84" s="386">
        <v>0</v>
      </c>
      <c r="Q84" s="386">
        <v>0</v>
      </c>
      <c r="R84" s="387">
        <v>0</v>
      </c>
      <c r="S84" s="384">
        <f t="shared" ref="S84:S87" si="53">SUM(N84:Q84)</f>
        <v>279</v>
      </c>
      <c r="T84" s="386">
        <v>44</v>
      </c>
      <c r="U84" s="386">
        <v>0</v>
      </c>
      <c r="V84" s="386">
        <v>20</v>
      </c>
      <c r="W84" s="386">
        <v>0</v>
      </c>
      <c r="X84" s="387">
        <v>0</v>
      </c>
      <c r="Y84" s="384">
        <f t="shared" si="41"/>
        <v>64</v>
      </c>
    </row>
    <row r="85" spans="1:25" x14ac:dyDescent="0.25">
      <c r="A85" s="274">
        <v>0.67708333333333337</v>
      </c>
      <c r="B85" s="385">
        <v>0</v>
      </c>
      <c r="C85" s="386">
        <v>191</v>
      </c>
      <c r="D85" s="386">
        <v>76</v>
      </c>
      <c r="E85" s="386">
        <v>0</v>
      </c>
      <c r="F85" s="387">
        <v>0</v>
      </c>
      <c r="G85" s="384">
        <f t="shared" si="51"/>
        <v>267</v>
      </c>
      <c r="H85" s="386">
        <v>0</v>
      </c>
      <c r="I85" s="386">
        <v>0</v>
      </c>
      <c r="J85" s="386">
        <v>0</v>
      </c>
      <c r="K85" s="386">
        <v>0</v>
      </c>
      <c r="L85" s="387">
        <v>0</v>
      </c>
      <c r="M85" s="384">
        <f t="shared" si="52"/>
        <v>0</v>
      </c>
      <c r="N85" s="386">
        <v>88</v>
      </c>
      <c r="O85" s="386">
        <v>255</v>
      </c>
      <c r="P85" s="386">
        <v>0</v>
      </c>
      <c r="Q85" s="386">
        <v>0</v>
      </c>
      <c r="R85" s="387">
        <v>0</v>
      </c>
      <c r="S85" s="384">
        <f t="shared" si="53"/>
        <v>343</v>
      </c>
      <c r="T85" s="386">
        <v>49</v>
      </c>
      <c r="U85" s="386">
        <v>0</v>
      </c>
      <c r="V85" s="386">
        <v>18</v>
      </c>
      <c r="W85" s="386">
        <v>0</v>
      </c>
      <c r="X85" s="387">
        <v>0</v>
      </c>
      <c r="Y85" s="384">
        <f t="shared" si="41"/>
        <v>67</v>
      </c>
    </row>
    <row r="86" spans="1:25" x14ac:dyDescent="0.25">
      <c r="A86" s="274">
        <v>0.6875</v>
      </c>
      <c r="B86" s="385">
        <v>0</v>
      </c>
      <c r="C86" s="386">
        <v>198</v>
      </c>
      <c r="D86" s="386">
        <v>90</v>
      </c>
      <c r="E86" s="386">
        <v>0</v>
      </c>
      <c r="F86" s="387">
        <v>0</v>
      </c>
      <c r="G86" s="384">
        <f t="shared" si="51"/>
        <v>288</v>
      </c>
      <c r="H86" s="386">
        <v>0</v>
      </c>
      <c r="I86" s="386">
        <v>0</v>
      </c>
      <c r="J86" s="386">
        <v>0</v>
      </c>
      <c r="K86" s="386">
        <v>0</v>
      </c>
      <c r="L86" s="387">
        <v>0</v>
      </c>
      <c r="M86" s="384">
        <f t="shared" si="52"/>
        <v>0</v>
      </c>
      <c r="N86" s="386">
        <v>68</v>
      </c>
      <c r="O86" s="386">
        <v>269</v>
      </c>
      <c r="P86" s="386">
        <v>0</v>
      </c>
      <c r="Q86" s="386">
        <v>0</v>
      </c>
      <c r="R86" s="387">
        <v>0</v>
      </c>
      <c r="S86" s="384">
        <f t="shared" si="53"/>
        <v>337</v>
      </c>
      <c r="T86" s="386">
        <v>44</v>
      </c>
      <c r="U86" s="386">
        <v>0</v>
      </c>
      <c r="V86" s="386">
        <v>19</v>
      </c>
      <c r="W86" s="386">
        <v>0</v>
      </c>
      <c r="X86" s="387">
        <v>0</v>
      </c>
      <c r="Y86" s="384">
        <f t="shared" si="41"/>
        <v>63</v>
      </c>
    </row>
    <row r="87" spans="1:25" x14ac:dyDescent="0.25">
      <c r="A87" s="274">
        <v>0.69791666666666696</v>
      </c>
      <c r="B87" s="388">
        <v>0</v>
      </c>
      <c r="C87" s="387">
        <v>149</v>
      </c>
      <c r="D87" s="387">
        <v>102</v>
      </c>
      <c r="E87" s="387">
        <v>0</v>
      </c>
      <c r="F87" s="387">
        <v>0</v>
      </c>
      <c r="G87" s="384">
        <f t="shared" si="51"/>
        <v>251</v>
      </c>
      <c r="H87" s="387">
        <v>0</v>
      </c>
      <c r="I87" s="387">
        <v>0</v>
      </c>
      <c r="J87" s="387">
        <v>0</v>
      </c>
      <c r="K87" s="387">
        <v>0</v>
      </c>
      <c r="L87" s="387">
        <v>0</v>
      </c>
      <c r="M87" s="384">
        <f t="shared" si="52"/>
        <v>0</v>
      </c>
      <c r="N87" s="387">
        <v>82</v>
      </c>
      <c r="O87" s="387">
        <v>239</v>
      </c>
      <c r="P87" s="387">
        <v>0</v>
      </c>
      <c r="Q87" s="387">
        <v>0</v>
      </c>
      <c r="R87" s="387">
        <v>0</v>
      </c>
      <c r="S87" s="384">
        <f t="shared" si="53"/>
        <v>321</v>
      </c>
      <c r="T87" s="387">
        <v>42</v>
      </c>
      <c r="U87" s="387">
        <v>0</v>
      </c>
      <c r="V87" s="387">
        <v>23</v>
      </c>
      <c r="W87" s="387">
        <v>0</v>
      </c>
      <c r="X87" s="387">
        <v>0</v>
      </c>
      <c r="Y87" s="384">
        <f t="shared" si="41"/>
        <v>65</v>
      </c>
    </row>
    <row r="88" spans="1:25" x14ac:dyDescent="0.25">
      <c r="A88" s="275" t="s">
        <v>312</v>
      </c>
      <c r="B88" s="386">
        <f>SUM(B84:B87)</f>
        <v>0</v>
      </c>
      <c r="C88" s="386">
        <f t="shared" ref="C88:Y88" si="54">SUM(C84:C87)</f>
        <v>681</v>
      </c>
      <c r="D88" s="386">
        <f t="shared" si="54"/>
        <v>350</v>
      </c>
      <c r="E88" s="386">
        <f t="shared" si="54"/>
        <v>0</v>
      </c>
      <c r="F88" s="386">
        <f t="shared" si="54"/>
        <v>0</v>
      </c>
      <c r="G88" s="386">
        <f t="shared" si="54"/>
        <v>1031</v>
      </c>
      <c r="H88" s="386">
        <f t="shared" si="54"/>
        <v>0</v>
      </c>
      <c r="I88" s="386">
        <f t="shared" si="54"/>
        <v>0</v>
      </c>
      <c r="J88" s="386">
        <f t="shared" si="54"/>
        <v>0</v>
      </c>
      <c r="K88" s="386">
        <f t="shared" si="54"/>
        <v>0</v>
      </c>
      <c r="L88" s="386">
        <f t="shared" si="54"/>
        <v>0</v>
      </c>
      <c r="M88" s="386">
        <f t="shared" si="54"/>
        <v>0</v>
      </c>
      <c r="N88" s="386">
        <f t="shared" si="54"/>
        <v>309</v>
      </c>
      <c r="O88" s="386">
        <f t="shared" si="54"/>
        <v>971</v>
      </c>
      <c r="P88" s="386">
        <f t="shared" si="54"/>
        <v>0</v>
      </c>
      <c r="Q88" s="386">
        <f t="shared" si="54"/>
        <v>0</v>
      </c>
      <c r="R88" s="386">
        <f t="shared" si="54"/>
        <v>0</v>
      </c>
      <c r="S88" s="386">
        <f t="shared" si="54"/>
        <v>1280</v>
      </c>
      <c r="T88" s="386">
        <f t="shared" si="54"/>
        <v>179</v>
      </c>
      <c r="U88" s="386">
        <f t="shared" si="54"/>
        <v>0</v>
      </c>
      <c r="V88" s="386">
        <f t="shared" si="54"/>
        <v>80</v>
      </c>
      <c r="W88" s="386">
        <f t="shared" si="54"/>
        <v>0</v>
      </c>
      <c r="X88" s="386">
        <f t="shared" si="54"/>
        <v>0</v>
      </c>
      <c r="Y88" s="386">
        <f t="shared" si="54"/>
        <v>259</v>
      </c>
    </row>
    <row r="89" spans="1:25" x14ac:dyDescent="0.25">
      <c r="A89" s="274">
        <v>0.70833333333333304</v>
      </c>
      <c r="B89" s="385">
        <v>0</v>
      </c>
      <c r="C89" s="386">
        <v>196</v>
      </c>
      <c r="D89" s="386">
        <v>101</v>
      </c>
      <c r="E89" s="386">
        <v>0</v>
      </c>
      <c r="F89" s="387">
        <v>0</v>
      </c>
      <c r="G89" s="384">
        <f t="shared" ref="G89:G92" si="55">SUM(B89:E89)</f>
        <v>297</v>
      </c>
      <c r="H89" s="386">
        <v>0</v>
      </c>
      <c r="I89" s="386">
        <v>0</v>
      </c>
      <c r="J89" s="386">
        <v>0</v>
      </c>
      <c r="K89" s="386">
        <v>0</v>
      </c>
      <c r="L89" s="387">
        <v>0</v>
      </c>
      <c r="M89" s="384">
        <f t="shared" ref="M89:M92" si="56">SUM(H89:K89)</f>
        <v>0</v>
      </c>
      <c r="N89" s="386">
        <v>80</v>
      </c>
      <c r="O89" s="386">
        <v>241</v>
      </c>
      <c r="P89" s="386">
        <v>0</v>
      </c>
      <c r="Q89" s="386">
        <v>0</v>
      </c>
      <c r="R89" s="387">
        <v>0</v>
      </c>
      <c r="S89" s="384">
        <f t="shared" ref="S89:S92" si="57">SUM(N89:Q89)</f>
        <v>321</v>
      </c>
      <c r="T89" s="386">
        <v>28</v>
      </c>
      <c r="U89" s="386">
        <v>0</v>
      </c>
      <c r="V89" s="386">
        <v>18</v>
      </c>
      <c r="W89" s="386">
        <v>0</v>
      </c>
      <c r="X89" s="387">
        <v>0</v>
      </c>
      <c r="Y89" s="384">
        <f t="shared" si="41"/>
        <v>46</v>
      </c>
    </row>
    <row r="90" spans="1:25" x14ac:dyDescent="0.25">
      <c r="A90" s="274">
        <v>0.71875</v>
      </c>
      <c r="B90" s="385">
        <v>0</v>
      </c>
      <c r="C90" s="386">
        <v>196</v>
      </c>
      <c r="D90" s="386">
        <v>95</v>
      </c>
      <c r="E90" s="386">
        <v>0</v>
      </c>
      <c r="F90" s="387">
        <v>0</v>
      </c>
      <c r="G90" s="384">
        <f t="shared" si="55"/>
        <v>291</v>
      </c>
      <c r="H90" s="386">
        <v>0</v>
      </c>
      <c r="I90" s="386">
        <v>0</v>
      </c>
      <c r="J90" s="386">
        <v>0</v>
      </c>
      <c r="K90" s="386">
        <v>0</v>
      </c>
      <c r="L90" s="387">
        <v>0</v>
      </c>
      <c r="M90" s="384">
        <f t="shared" si="56"/>
        <v>0</v>
      </c>
      <c r="N90" s="386">
        <v>84</v>
      </c>
      <c r="O90" s="386">
        <v>244</v>
      </c>
      <c r="P90" s="386">
        <v>0</v>
      </c>
      <c r="Q90" s="386">
        <v>0</v>
      </c>
      <c r="R90" s="387">
        <v>0</v>
      </c>
      <c r="S90" s="384">
        <f t="shared" si="57"/>
        <v>328</v>
      </c>
      <c r="T90" s="386">
        <v>37</v>
      </c>
      <c r="U90" s="386">
        <v>0</v>
      </c>
      <c r="V90" s="386">
        <v>20</v>
      </c>
      <c r="W90" s="386">
        <v>0</v>
      </c>
      <c r="X90" s="387">
        <v>0</v>
      </c>
      <c r="Y90" s="384">
        <f t="shared" si="41"/>
        <v>57</v>
      </c>
    </row>
    <row r="91" spans="1:25" x14ac:dyDescent="0.25">
      <c r="A91" s="274">
        <v>0.72916666666666696</v>
      </c>
      <c r="B91" s="385">
        <v>0</v>
      </c>
      <c r="C91" s="386">
        <v>189</v>
      </c>
      <c r="D91" s="386">
        <v>88</v>
      </c>
      <c r="E91" s="386">
        <v>0</v>
      </c>
      <c r="F91" s="387">
        <v>0</v>
      </c>
      <c r="G91" s="384">
        <f t="shared" si="55"/>
        <v>277</v>
      </c>
      <c r="H91" s="386">
        <v>0</v>
      </c>
      <c r="I91" s="386">
        <v>0</v>
      </c>
      <c r="J91" s="386">
        <v>0</v>
      </c>
      <c r="K91" s="386">
        <v>0</v>
      </c>
      <c r="L91" s="387">
        <v>0</v>
      </c>
      <c r="M91" s="384">
        <f t="shared" si="56"/>
        <v>0</v>
      </c>
      <c r="N91" s="386">
        <v>81</v>
      </c>
      <c r="O91" s="386">
        <v>273</v>
      </c>
      <c r="P91" s="386">
        <v>0</v>
      </c>
      <c r="Q91" s="386">
        <v>0</v>
      </c>
      <c r="R91" s="387">
        <v>0</v>
      </c>
      <c r="S91" s="384">
        <f t="shared" si="57"/>
        <v>354</v>
      </c>
      <c r="T91" s="386">
        <v>40</v>
      </c>
      <c r="U91" s="386">
        <v>1</v>
      </c>
      <c r="V91" s="386">
        <v>16</v>
      </c>
      <c r="W91" s="386">
        <v>0</v>
      </c>
      <c r="X91" s="387">
        <v>0</v>
      </c>
      <c r="Y91" s="384">
        <f t="shared" si="41"/>
        <v>57</v>
      </c>
    </row>
    <row r="92" spans="1:25" x14ac:dyDescent="0.25">
      <c r="A92" s="274">
        <v>0.73958333333333304</v>
      </c>
      <c r="B92" s="388">
        <v>0</v>
      </c>
      <c r="C92" s="387">
        <v>170</v>
      </c>
      <c r="D92" s="387">
        <v>106</v>
      </c>
      <c r="E92" s="387">
        <v>0</v>
      </c>
      <c r="F92" s="387">
        <v>0</v>
      </c>
      <c r="G92" s="384">
        <f t="shared" si="55"/>
        <v>276</v>
      </c>
      <c r="H92" s="387">
        <v>0</v>
      </c>
      <c r="I92" s="387">
        <v>0</v>
      </c>
      <c r="J92" s="387">
        <v>0</v>
      </c>
      <c r="K92" s="387">
        <v>0</v>
      </c>
      <c r="L92" s="387">
        <v>0</v>
      </c>
      <c r="M92" s="384">
        <f t="shared" si="56"/>
        <v>0</v>
      </c>
      <c r="N92" s="387">
        <v>76</v>
      </c>
      <c r="O92" s="387">
        <v>238</v>
      </c>
      <c r="P92" s="387">
        <v>0</v>
      </c>
      <c r="Q92" s="387">
        <v>0</v>
      </c>
      <c r="R92" s="387">
        <v>0</v>
      </c>
      <c r="S92" s="384">
        <f t="shared" si="57"/>
        <v>314</v>
      </c>
      <c r="T92" s="387">
        <v>34</v>
      </c>
      <c r="U92" s="387">
        <v>0</v>
      </c>
      <c r="V92" s="387">
        <v>14</v>
      </c>
      <c r="W92" s="387">
        <v>0</v>
      </c>
      <c r="X92" s="387">
        <v>0</v>
      </c>
      <c r="Y92" s="384">
        <f t="shared" si="41"/>
        <v>48</v>
      </c>
    </row>
    <row r="93" spans="1:25" x14ac:dyDescent="0.25">
      <c r="A93" s="275" t="s">
        <v>312</v>
      </c>
      <c r="B93" s="386">
        <f>SUM(B89:B92)</f>
        <v>0</v>
      </c>
      <c r="C93" s="386">
        <f t="shared" ref="C93:Y93" si="58">SUM(C89:C92)</f>
        <v>751</v>
      </c>
      <c r="D93" s="386">
        <f t="shared" si="58"/>
        <v>390</v>
      </c>
      <c r="E93" s="386">
        <f t="shared" si="58"/>
        <v>0</v>
      </c>
      <c r="F93" s="386">
        <f t="shared" si="58"/>
        <v>0</v>
      </c>
      <c r="G93" s="386">
        <f t="shared" si="58"/>
        <v>1141</v>
      </c>
      <c r="H93" s="386">
        <f t="shared" si="58"/>
        <v>0</v>
      </c>
      <c r="I93" s="386">
        <f t="shared" si="58"/>
        <v>0</v>
      </c>
      <c r="J93" s="386">
        <f t="shared" si="58"/>
        <v>0</v>
      </c>
      <c r="K93" s="386">
        <f t="shared" si="58"/>
        <v>0</v>
      </c>
      <c r="L93" s="386">
        <f t="shared" si="58"/>
        <v>0</v>
      </c>
      <c r="M93" s="386">
        <f t="shared" si="58"/>
        <v>0</v>
      </c>
      <c r="N93" s="386">
        <f t="shared" si="58"/>
        <v>321</v>
      </c>
      <c r="O93" s="386">
        <f t="shared" si="58"/>
        <v>996</v>
      </c>
      <c r="P93" s="386">
        <f t="shared" si="58"/>
        <v>0</v>
      </c>
      <c r="Q93" s="386">
        <f t="shared" si="58"/>
        <v>0</v>
      </c>
      <c r="R93" s="386">
        <f t="shared" si="58"/>
        <v>0</v>
      </c>
      <c r="S93" s="386">
        <f t="shared" si="58"/>
        <v>1317</v>
      </c>
      <c r="T93" s="386">
        <f t="shared" si="58"/>
        <v>139</v>
      </c>
      <c r="U93" s="386">
        <f t="shared" si="58"/>
        <v>1</v>
      </c>
      <c r="V93" s="386">
        <f t="shared" si="58"/>
        <v>68</v>
      </c>
      <c r="W93" s="386">
        <f t="shared" si="58"/>
        <v>0</v>
      </c>
      <c r="X93" s="386">
        <f t="shared" si="58"/>
        <v>0</v>
      </c>
      <c r="Y93" s="386">
        <f t="shared" si="58"/>
        <v>208</v>
      </c>
    </row>
    <row r="94" spans="1:25" x14ac:dyDescent="0.25">
      <c r="A94" s="274">
        <v>0.75</v>
      </c>
      <c r="B94" s="385">
        <v>0</v>
      </c>
      <c r="C94" s="386">
        <v>126</v>
      </c>
      <c r="D94" s="386">
        <v>86</v>
      </c>
      <c r="E94" s="386">
        <v>0</v>
      </c>
      <c r="F94" s="387">
        <v>0</v>
      </c>
      <c r="G94" s="384">
        <f t="shared" ref="G94:G97" si="59">SUM(B94:E94)</f>
        <v>212</v>
      </c>
      <c r="H94" s="386">
        <v>0</v>
      </c>
      <c r="I94" s="386">
        <v>0</v>
      </c>
      <c r="J94" s="386">
        <v>0</v>
      </c>
      <c r="K94" s="386">
        <v>0</v>
      </c>
      <c r="L94" s="387">
        <v>0</v>
      </c>
      <c r="M94" s="384">
        <f t="shared" ref="M94:M97" si="60">SUM(H94:K94)</f>
        <v>0</v>
      </c>
      <c r="N94" s="386">
        <v>73</v>
      </c>
      <c r="O94" s="386">
        <v>207</v>
      </c>
      <c r="P94" s="386">
        <v>0</v>
      </c>
      <c r="Q94" s="386">
        <v>0</v>
      </c>
      <c r="R94" s="387">
        <v>0</v>
      </c>
      <c r="S94" s="384">
        <f t="shared" ref="S94:S97" si="61">SUM(N94:Q94)</f>
        <v>280</v>
      </c>
      <c r="T94" s="386">
        <v>27</v>
      </c>
      <c r="U94" s="386">
        <v>0</v>
      </c>
      <c r="V94" s="386">
        <v>24</v>
      </c>
      <c r="W94" s="386">
        <v>0</v>
      </c>
      <c r="X94" s="387">
        <v>0</v>
      </c>
      <c r="Y94" s="384">
        <f t="shared" si="41"/>
        <v>51</v>
      </c>
    </row>
    <row r="95" spans="1:25" x14ac:dyDescent="0.25">
      <c r="A95" s="274">
        <v>0.76041666666666663</v>
      </c>
      <c r="B95" s="385">
        <v>0</v>
      </c>
      <c r="C95" s="386">
        <v>108</v>
      </c>
      <c r="D95" s="386">
        <v>91</v>
      </c>
      <c r="E95" s="386">
        <v>0</v>
      </c>
      <c r="F95" s="387">
        <v>0</v>
      </c>
      <c r="G95" s="384">
        <f t="shared" si="59"/>
        <v>199</v>
      </c>
      <c r="H95" s="386">
        <v>0</v>
      </c>
      <c r="I95" s="386">
        <v>0</v>
      </c>
      <c r="J95" s="386">
        <v>0</v>
      </c>
      <c r="K95" s="386">
        <v>0</v>
      </c>
      <c r="L95" s="387">
        <v>0</v>
      </c>
      <c r="M95" s="384">
        <f t="shared" si="60"/>
        <v>0</v>
      </c>
      <c r="N95" s="386">
        <v>68</v>
      </c>
      <c r="O95" s="386">
        <v>182</v>
      </c>
      <c r="P95" s="386">
        <v>0</v>
      </c>
      <c r="Q95" s="386">
        <v>0</v>
      </c>
      <c r="R95" s="387">
        <v>0</v>
      </c>
      <c r="S95" s="384">
        <f t="shared" si="61"/>
        <v>250</v>
      </c>
      <c r="T95" s="386">
        <v>34</v>
      </c>
      <c r="U95" s="386">
        <v>0</v>
      </c>
      <c r="V95" s="386">
        <v>15</v>
      </c>
      <c r="W95" s="386">
        <v>0</v>
      </c>
      <c r="X95" s="387">
        <v>0</v>
      </c>
      <c r="Y95" s="384">
        <f t="shared" si="41"/>
        <v>49</v>
      </c>
    </row>
    <row r="96" spans="1:25" x14ac:dyDescent="0.25">
      <c r="A96" s="274">
        <v>0.77083333333333304</v>
      </c>
      <c r="B96" s="385">
        <v>0</v>
      </c>
      <c r="C96" s="386">
        <v>126</v>
      </c>
      <c r="D96" s="386">
        <v>66</v>
      </c>
      <c r="E96" s="386">
        <v>0</v>
      </c>
      <c r="F96" s="387">
        <v>0</v>
      </c>
      <c r="G96" s="384">
        <f t="shared" si="59"/>
        <v>192</v>
      </c>
      <c r="H96" s="386">
        <v>0</v>
      </c>
      <c r="I96" s="386">
        <v>0</v>
      </c>
      <c r="J96" s="386">
        <v>0</v>
      </c>
      <c r="K96" s="386">
        <v>0</v>
      </c>
      <c r="L96" s="387">
        <v>0</v>
      </c>
      <c r="M96" s="384">
        <f t="shared" si="60"/>
        <v>0</v>
      </c>
      <c r="N96" s="386">
        <v>56</v>
      </c>
      <c r="O96" s="386">
        <v>195</v>
      </c>
      <c r="P96" s="386">
        <v>0</v>
      </c>
      <c r="Q96" s="386">
        <v>0</v>
      </c>
      <c r="R96" s="387">
        <v>0</v>
      </c>
      <c r="S96" s="384">
        <f t="shared" si="61"/>
        <v>251</v>
      </c>
      <c r="T96" s="386">
        <v>32</v>
      </c>
      <c r="U96" s="386">
        <v>0</v>
      </c>
      <c r="V96" s="386">
        <v>9</v>
      </c>
      <c r="W96" s="386">
        <v>0</v>
      </c>
      <c r="X96" s="387">
        <v>0</v>
      </c>
      <c r="Y96" s="384">
        <f t="shared" si="41"/>
        <v>41</v>
      </c>
    </row>
    <row r="97" spans="1:25" x14ac:dyDescent="0.25">
      <c r="A97" s="274">
        <v>0.78125</v>
      </c>
      <c r="B97" s="388">
        <v>0</v>
      </c>
      <c r="C97" s="387">
        <v>151</v>
      </c>
      <c r="D97" s="387">
        <v>78</v>
      </c>
      <c r="E97" s="387">
        <v>0</v>
      </c>
      <c r="F97" s="387">
        <v>0</v>
      </c>
      <c r="G97" s="384">
        <f t="shared" si="59"/>
        <v>229</v>
      </c>
      <c r="H97" s="387">
        <v>0</v>
      </c>
      <c r="I97" s="387">
        <v>0</v>
      </c>
      <c r="J97" s="387">
        <v>0</v>
      </c>
      <c r="K97" s="387">
        <v>0</v>
      </c>
      <c r="L97" s="387">
        <v>0</v>
      </c>
      <c r="M97" s="384">
        <f t="shared" si="60"/>
        <v>0</v>
      </c>
      <c r="N97" s="387">
        <v>44</v>
      </c>
      <c r="O97" s="387">
        <v>155</v>
      </c>
      <c r="P97" s="387">
        <v>0</v>
      </c>
      <c r="Q97" s="387">
        <v>0</v>
      </c>
      <c r="R97" s="387">
        <v>0</v>
      </c>
      <c r="S97" s="384">
        <f t="shared" si="61"/>
        <v>199</v>
      </c>
      <c r="T97" s="387">
        <v>18</v>
      </c>
      <c r="U97" s="387">
        <v>0</v>
      </c>
      <c r="V97" s="387">
        <v>7</v>
      </c>
      <c r="W97" s="387">
        <v>0</v>
      </c>
      <c r="X97" s="387">
        <v>0</v>
      </c>
      <c r="Y97" s="384">
        <f t="shared" si="41"/>
        <v>25</v>
      </c>
    </row>
    <row r="98" spans="1:25" x14ac:dyDescent="0.25">
      <c r="A98" s="275" t="s">
        <v>312</v>
      </c>
      <c r="B98" s="386">
        <f>SUM(B94:B97)</f>
        <v>0</v>
      </c>
      <c r="C98" s="386">
        <f t="shared" ref="C98:Y98" si="62">SUM(C94:C97)</f>
        <v>511</v>
      </c>
      <c r="D98" s="386">
        <f t="shared" si="62"/>
        <v>321</v>
      </c>
      <c r="E98" s="386">
        <f t="shared" si="62"/>
        <v>0</v>
      </c>
      <c r="F98" s="386">
        <f t="shared" si="62"/>
        <v>0</v>
      </c>
      <c r="G98" s="386">
        <f t="shared" si="62"/>
        <v>832</v>
      </c>
      <c r="H98" s="386">
        <f t="shared" si="62"/>
        <v>0</v>
      </c>
      <c r="I98" s="386">
        <f t="shared" si="62"/>
        <v>0</v>
      </c>
      <c r="J98" s="386">
        <f t="shared" si="62"/>
        <v>0</v>
      </c>
      <c r="K98" s="386">
        <f t="shared" si="62"/>
        <v>0</v>
      </c>
      <c r="L98" s="386">
        <f t="shared" si="62"/>
        <v>0</v>
      </c>
      <c r="M98" s="386">
        <f t="shared" si="62"/>
        <v>0</v>
      </c>
      <c r="N98" s="386">
        <f t="shared" si="62"/>
        <v>241</v>
      </c>
      <c r="O98" s="386">
        <f t="shared" si="62"/>
        <v>739</v>
      </c>
      <c r="P98" s="386">
        <f t="shared" si="62"/>
        <v>0</v>
      </c>
      <c r="Q98" s="386">
        <f t="shared" si="62"/>
        <v>0</v>
      </c>
      <c r="R98" s="386">
        <f t="shared" si="62"/>
        <v>0</v>
      </c>
      <c r="S98" s="386">
        <f t="shared" si="62"/>
        <v>980</v>
      </c>
      <c r="T98" s="386">
        <f t="shared" si="62"/>
        <v>111</v>
      </c>
      <c r="U98" s="386">
        <f t="shared" si="62"/>
        <v>0</v>
      </c>
      <c r="V98" s="386">
        <f t="shared" si="62"/>
        <v>55</v>
      </c>
      <c r="W98" s="386">
        <f t="shared" si="62"/>
        <v>0</v>
      </c>
      <c r="X98" s="386">
        <f t="shared" si="62"/>
        <v>0</v>
      </c>
      <c r="Y98" s="386">
        <f t="shared" si="62"/>
        <v>166</v>
      </c>
    </row>
    <row r="99" spans="1:25" x14ac:dyDescent="0.25">
      <c r="A99" s="274">
        <v>0.79166666666666696</v>
      </c>
      <c r="B99" s="385"/>
      <c r="C99" s="386"/>
      <c r="D99" s="386"/>
      <c r="E99" s="386"/>
      <c r="F99" s="387"/>
      <c r="G99" s="384">
        <f t="shared" ref="G99:G102" si="63">SUM(B99:E99)</f>
        <v>0</v>
      </c>
      <c r="H99" s="386"/>
      <c r="I99" s="386"/>
      <c r="J99" s="386"/>
      <c r="K99" s="386"/>
      <c r="L99" s="386"/>
      <c r="M99" s="384">
        <f t="shared" ref="M99:M102" si="64">SUM(H99:K99)</f>
        <v>0</v>
      </c>
      <c r="N99" s="386"/>
      <c r="O99" s="386"/>
      <c r="P99" s="386"/>
      <c r="Q99" s="386"/>
      <c r="R99" s="387"/>
      <c r="S99" s="384">
        <f t="shared" ref="S99:S102" si="65">SUM(N99:Q99)</f>
        <v>0</v>
      </c>
      <c r="T99" s="386"/>
      <c r="U99" s="386"/>
      <c r="V99" s="386"/>
      <c r="W99" s="386"/>
      <c r="X99" s="387"/>
      <c r="Y99" s="384">
        <f t="shared" si="41"/>
        <v>0</v>
      </c>
    </row>
    <row r="100" spans="1:25" x14ac:dyDescent="0.25">
      <c r="A100" s="274">
        <v>0.80208333333333337</v>
      </c>
      <c r="B100" s="385"/>
      <c r="C100" s="386"/>
      <c r="D100" s="386"/>
      <c r="E100" s="386"/>
      <c r="F100" s="387"/>
      <c r="G100" s="384">
        <f t="shared" si="63"/>
        <v>0</v>
      </c>
      <c r="H100" s="386"/>
      <c r="I100" s="386"/>
      <c r="J100" s="386"/>
      <c r="K100" s="386"/>
      <c r="L100" s="386"/>
      <c r="M100" s="384">
        <f t="shared" si="64"/>
        <v>0</v>
      </c>
      <c r="N100" s="386"/>
      <c r="O100" s="386"/>
      <c r="P100" s="386"/>
      <c r="Q100" s="386"/>
      <c r="R100" s="387"/>
      <c r="S100" s="384">
        <f t="shared" si="65"/>
        <v>0</v>
      </c>
      <c r="T100" s="386"/>
      <c r="U100" s="386"/>
      <c r="V100" s="386"/>
      <c r="W100" s="386"/>
      <c r="X100" s="387"/>
      <c r="Y100" s="384">
        <f t="shared" si="41"/>
        <v>0</v>
      </c>
    </row>
    <row r="101" spans="1:25" x14ac:dyDescent="0.25">
      <c r="A101" s="274">
        <v>0.8125</v>
      </c>
      <c r="B101" s="385"/>
      <c r="C101" s="386"/>
      <c r="D101" s="386"/>
      <c r="E101" s="386"/>
      <c r="F101" s="387"/>
      <c r="G101" s="384">
        <f t="shared" si="63"/>
        <v>0</v>
      </c>
      <c r="H101" s="386"/>
      <c r="I101" s="386"/>
      <c r="J101" s="386"/>
      <c r="K101" s="386"/>
      <c r="L101" s="386"/>
      <c r="M101" s="384">
        <f t="shared" si="64"/>
        <v>0</v>
      </c>
      <c r="N101" s="386"/>
      <c r="O101" s="386"/>
      <c r="P101" s="386"/>
      <c r="Q101" s="386"/>
      <c r="R101" s="387"/>
      <c r="S101" s="384">
        <f t="shared" si="65"/>
        <v>0</v>
      </c>
      <c r="T101" s="386"/>
      <c r="U101" s="386"/>
      <c r="V101" s="386"/>
      <c r="W101" s="386"/>
      <c r="X101" s="387"/>
      <c r="Y101" s="384">
        <f t="shared" si="41"/>
        <v>0</v>
      </c>
    </row>
    <row r="102" spans="1:25" x14ac:dyDescent="0.25">
      <c r="A102" s="274">
        <v>0.82291666666666696</v>
      </c>
      <c r="B102" s="388"/>
      <c r="C102" s="387"/>
      <c r="D102" s="387"/>
      <c r="E102" s="387"/>
      <c r="F102" s="387"/>
      <c r="G102" s="384">
        <f t="shared" si="63"/>
        <v>0</v>
      </c>
      <c r="H102" s="387"/>
      <c r="I102" s="387"/>
      <c r="J102" s="387"/>
      <c r="K102" s="387"/>
      <c r="L102" s="387"/>
      <c r="M102" s="384">
        <f t="shared" si="64"/>
        <v>0</v>
      </c>
      <c r="N102" s="387"/>
      <c r="O102" s="387"/>
      <c r="P102" s="387"/>
      <c r="Q102" s="387"/>
      <c r="R102" s="387"/>
      <c r="S102" s="384">
        <f t="shared" si="65"/>
        <v>0</v>
      </c>
      <c r="T102" s="387"/>
      <c r="U102" s="387"/>
      <c r="V102" s="387"/>
      <c r="W102" s="387"/>
      <c r="X102" s="387"/>
      <c r="Y102" s="384">
        <f t="shared" si="41"/>
        <v>0</v>
      </c>
    </row>
    <row r="103" spans="1:25" x14ac:dyDescent="0.25">
      <c r="A103" s="275" t="s">
        <v>312</v>
      </c>
      <c r="B103" s="386">
        <f>SUM(B99:B102)</f>
        <v>0</v>
      </c>
      <c r="C103" s="386">
        <f t="shared" ref="C103:Y103" si="66">SUM(C99:C102)</f>
        <v>0</v>
      </c>
      <c r="D103" s="386">
        <f t="shared" si="66"/>
        <v>0</v>
      </c>
      <c r="E103" s="386">
        <f t="shared" si="66"/>
        <v>0</v>
      </c>
      <c r="F103" s="386">
        <f t="shared" si="66"/>
        <v>0</v>
      </c>
      <c r="G103" s="386">
        <f t="shared" si="66"/>
        <v>0</v>
      </c>
      <c r="H103" s="386">
        <f t="shared" si="66"/>
        <v>0</v>
      </c>
      <c r="I103" s="386">
        <f t="shared" si="66"/>
        <v>0</v>
      </c>
      <c r="J103" s="386">
        <f t="shared" si="66"/>
        <v>0</v>
      </c>
      <c r="K103" s="386">
        <f t="shared" si="66"/>
        <v>0</v>
      </c>
      <c r="L103" s="386">
        <f t="shared" si="66"/>
        <v>0</v>
      </c>
      <c r="M103" s="386">
        <f t="shared" si="66"/>
        <v>0</v>
      </c>
      <c r="N103" s="386">
        <f t="shared" si="66"/>
        <v>0</v>
      </c>
      <c r="O103" s="386">
        <f t="shared" si="66"/>
        <v>0</v>
      </c>
      <c r="P103" s="386">
        <f t="shared" si="66"/>
        <v>0</v>
      </c>
      <c r="Q103" s="386">
        <f t="shared" si="66"/>
        <v>0</v>
      </c>
      <c r="R103" s="386">
        <f t="shared" si="66"/>
        <v>0</v>
      </c>
      <c r="S103" s="386">
        <f t="shared" si="66"/>
        <v>0</v>
      </c>
      <c r="T103" s="386">
        <f t="shared" si="66"/>
        <v>0</v>
      </c>
      <c r="U103" s="386">
        <f t="shared" si="66"/>
        <v>0</v>
      </c>
      <c r="V103" s="386">
        <f t="shared" si="66"/>
        <v>0</v>
      </c>
      <c r="W103" s="386">
        <f t="shared" si="66"/>
        <v>0</v>
      </c>
      <c r="X103" s="386">
        <f t="shared" si="66"/>
        <v>0</v>
      </c>
      <c r="Y103" s="386">
        <f t="shared" si="66"/>
        <v>0</v>
      </c>
    </row>
    <row r="104" spans="1:25" x14ac:dyDescent="0.25">
      <c r="A104" s="274">
        <v>0.83333333333333304</v>
      </c>
      <c r="B104" s="385"/>
      <c r="C104" s="386"/>
      <c r="D104" s="386"/>
      <c r="E104" s="386"/>
      <c r="F104" s="387"/>
      <c r="G104" s="384">
        <f t="shared" ref="G104:G122" si="67">SUM(B104:E104)</f>
        <v>0</v>
      </c>
      <c r="H104" s="386"/>
      <c r="I104" s="386"/>
      <c r="J104" s="386"/>
      <c r="K104" s="386"/>
      <c r="L104" s="386"/>
      <c r="M104" s="384">
        <f t="shared" ref="M104:M122" si="68">SUM(H104:K104)</f>
        <v>0</v>
      </c>
      <c r="N104" s="386"/>
      <c r="O104" s="386"/>
      <c r="P104" s="386"/>
      <c r="Q104" s="386"/>
      <c r="R104" s="387"/>
      <c r="S104" s="384">
        <f t="shared" ref="S104:S122" si="69">SUM(N104:Q104)</f>
        <v>0</v>
      </c>
      <c r="T104" s="386"/>
      <c r="U104" s="386"/>
      <c r="V104" s="386"/>
      <c r="W104" s="386"/>
      <c r="X104" s="387"/>
      <c r="Y104" s="384">
        <f t="shared" si="41"/>
        <v>0</v>
      </c>
    </row>
    <row r="105" spans="1:25" x14ac:dyDescent="0.25">
      <c r="A105" s="274">
        <v>0.84375</v>
      </c>
      <c r="B105" s="385"/>
      <c r="C105" s="386"/>
      <c r="D105" s="386"/>
      <c r="E105" s="386"/>
      <c r="F105" s="387"/>
      <c r="G105" s="384">
        <f t="shared" si="67"/>
        <v>0</v>
      </c>
      <c r="H105" s="386"/>
      <c r="I105" s="386"/>
      <c r="J105" s="386"/>
      <c r="K105" s="386"/>
      <c r="L105" s="386"/>
      <c r="M105" s="384">
        <f t="shared" si="68"/>
        <v>0</v>
      </c>
      <c r="N105" s="386"/>
      <c r="O105" s="386"/>
      <c r="P105" s="386"/>
      <c r="Q105" s="386"/>
      <c r="R105" s="387"/>
      <c r="S105" s="384">
        <f t="shared" si="69"/>
        <v>0</v>
      </c>
      <c r="T105" s="386"/>
      <c r="U105" s="386"/>
      <c r="V105" s="386"/>
      <c r="W105" s="386"/>
      <c r="X105" s="387"/>
      <c r="Y105" s="384">
        <f t="shared" si="41"/>
        <v>0</v>
      </c>
    </row>
    <row r="106" spans="1:25" x14ac:dyDescent="0.25">
      <c r="A106" s="274">
        <v>0.85416666666666696</v>
      </c>
      <c r="B106" s="385"/>
      <c r="C106" s="386"/>
      <c r="D106" s="386"/>
      <c r="E106" s="386"/>
      <c r="F106" s="387"/>
      <c r="G106" s="384">
        <f t="shared" si="67"/>
        <v>0</v>
      </c>
      <c r="H106" s="386"/>
      <c r="I106" s="386"/>
      <c r="J106" s="386"/>
      <c r="K106" s="386"/>
      <c r="L106" s="386"/>
      <c r="M106" s="384">
        <f t="shared" si="68"/>
        <v>0</v>
      </c>
      <c r="N106" s="386"/>
      <c r="O106" s="386"/>
      <c r="P106" s="386"/>
      <c r="Q106" s="386"/>
      <c r="R106" s="387"/>
      <c r="S106" s="384">
        <f t="shared" si="69"/>
        <v>0</v>
      </c>
      <c r="T106" s="386"/>
      <c r="U106" s="386"/>
      <c r="V106" s="386"/>
      <c r="W106" s="386"/>
      <c r="X106" s="387"/>
      <c r="Y106" s="384">
        <f t="shared" si="41"/>
        <v>0</v>
      </c>
    </row>
    <row r="107" spans="1:25" x14ac:dyDescent="0.25">
      <c r="A107" s="274">
        <v>0.86458333333333304</v>
      </c>
      <c r="B107" s="385"/>
      <c r="C107" s="386"/>
      <c r="D107" s="386"/>
      <c r="E107" s="386"/>
      <c r="F107" s="387"/>
      <c r="G107" s="384">
        <f t="shared" si="67"/>
        <v>0</v>
      </c>
      <c r="H107" s="387"/>
      <c r="I107" s="387"/>
      <c r="J107" s="387"/>
      <c r="K107" s="387"/>
      <c r="L107" s="387"/>
      <c r="M107" s="384">
        <f t="shared" si="68"/>
        <v>0</v>
      </c>
      <c r="N107" s="387"/>
      <c r="O107" s="386"/>
      <c r="P107" s="386"/>
      <c r="Q107" s="386"/>
      <c r="R107" s="387"/>
      <c r="S107" s="384">
        <f t="shared" si="69"/>
        <v>0</v>
      </c>
      <c r="T107" s="386"/>
      <c r="U107" s="387"/>
      <c r="V107" s="386"/>
      <c r="W107" s="386"/>
      <c r="X107" s="387"/>
      <c r="Y107" s="384">
        <f t="shared" si="41"/>
        <v>0</v>
      </c>
    </row>
    <row r="108" spans="1:25" x14ac:dyDescent="0.25">
      <c r="A108" s="275" t="s">
        <v>312</v>
      </c>
      <c r="B108" s="386">
        <f>SUM(B104:B107)</f>
        <v>0</v>
      </c>
      <c r="C108" s="386">
        <f t="shared" ref="C108:Y108" si="70">SUM(C104:C107)</f>
        <v>0</v>
      </c>
      <c r="D108" s="386">
        <f t="shared" si="70"/>
        <v>0</v>
      </c>
      <c r="E108" s="386">
        <f t="shared" si="70"/>
        <v>0</v>
      </c>
      <c r="F108" s="386">
        <f t="shared" si="70"/>
        <v>0</v>
      </c>
      <c r="G108" s="386">
        <f t="shared" si="70"/>
        <v>0</v>
      </c>
      <c r="H108" s="386">
        <f t="shared" si="70"/>
        <v>0</v>
      </c>
      <c r="I108" s="386">
        <f t="shared" si="70"/>
        <v>0</v>
      </c>
      <c r="J108" s="386">
        <f t="shared" si="70"/>
        <v>0</v>
      </c>
      <c r="K108" s="386">
        <f t="shared" si="70"/>
        <v>0</v>
      </c>
      <c r="L108" s="386">
        <f t="shared" si="70"/>
        <v>0</v>
      </c>
      <c r="M108" s="386">
        <f t="shared" si="70"/>
        <v>0</v>
      </c>
      <c r="N108" s="386">
        <f t="shared" si="70"/>
        <v>0</v>
      </c>
      <c r="O108" s="386">
        <f t="shared" si="70"/>
        <v>0</v>
      </c>
      <c r="P108" s="386">
        <f t="shared" si="70"/>
        <v>0</v>
      </c>
      <c r="Q108" s="386">
        <f t="shared" si="70"/>
        <v>0</v>
      </c>
      <c r="R108" s="386">
        <f t="shared" si="70"/>
        <v>0</v>
      </c>
      <c r="S108" s="386">
        <f t="shared" si="70"/>
        <v>0</v>
      </c>
      <c r="T108" s="386">
        <f t="shared" si="70"/>
        <v>0</v>
      </c>
      <c r="U108" s="386">
        <f t="shared" si="70"/>
        <v>0</v>
      </c>
      <c r="V108" s="386">
        <f t="shared" si="70"/>
        <v>0</v>
      </c>
      <c r="W108" s="386">
        <f t="shared" si="70"/>
        <v>0</v>
      </c>
      <c r="X108" s="386">
        <f t="shared" si="70"/>
        <v>0</v>
      </c>
      <c r="Y108" s="386">
        <f t="shared" si="70"/>
        <v>0</v>
      </c>
    </row>
    <row r="109" spans="1:25" x14ac:dyDescent="0.25">
      <c r="A109" s="274">
        <v>0.875</v>
      </c>
      <c r="B109" s="385"/>
      <c r="C109" s="386"/>
      <c r="D109" s="386"/>
      <c r="E109" s="386"/>
      <c r="F109" s="387"/>
      <c r="G109" s="384">
        <f t="shared" si="67"/>
        <v>0</v>
      </c>
      <c r="H109" s="386"/>
      <c r="I109" s="386"/>
      <c r="J109" s="386"/>
      <c r="K109" s="386"/>
      <c r="L109" s="386"/>
      <c r="M109" s="384">
        <f t="shared" si="68"/>
        <v>0</v>
      </c>
      <c r="N109" s="386"/>
      <c r="O109" s="386"/>
      <c r="P109" s="386"/>
      <c r="Q109" s="386"/>
      <c r="R109" s="387"/>
      <c r="S109" s="384">
        <f t="shared" si="69"/>
        <v>0</v>
      </c>
      <c r="T109" s="386"/>
      <c r="U109" s="386"/>
      <c r="V109" s="386"/>
      <c r="W109" s="386"/>
      <c r="X109" s="387"/>
      <c r="Y109" s="384">
        <f t="shared" si="41"/>
        <v>0</v>
      </c>
    </row>
    <row r="110" spans="1:25" x14ac:dyDescent="0.25">
      <c r="A110" s="274">
        <v>0.88541666666666663</v>
      </c>
      <c r="B110" s="385"/>
      <c r="C110" s="386"/>
      <c r="D110" s="386"/>
      <c r="E110" s="386"/>
      <c r="F110" s="387"/>
      <c r="G110" s="384">
        <f t="shared" si="67"/>
        <v>0</v>
      </c>
      <c r="H110" s="386"/>
      <c r="I110" s="386"/>
      <c r="J110" s="386"/>
      <c r="K110" s="386"/>
      <c r="L110" s="386"/>
      <c r="M110" s="384">
        <f t="shared" si="68"/>
        <v>0</v>
      </c>
      <c r="N110" s="386"/>
      <c r="O110" s="386"/>
      <c r="P110" s="386"/>
      <c r="Q110" s="386"/>
      <c r="R110" s="387"/>
      <c r="S110" s="384">
        <f t="shared" si="69"/>
        <v>0</v>
      </c>
      <c r="T110" s="386"/>
      <c r="U110" s="386"/>
      <c r="V110" s="386"/>
      <c r="W110" s="386"/>
      <c r="X110" s="387"/>
      <c r="Y110" s="384">
        <f t="shared" si="41"/>
        <v>0</v>
      </c>
    </row>
    <row r="111" spans="1:25" x14ac:dyDescent="0.25">
      <c r="A111" s="274">
        <v>0.89583333333333304</v>
      </c>
      <c r="B111" s="385"/>
      <c r="C111" s="386"/>
      <c r="D111" s="386"/>
      <c r="E111" s="386"/>
      <c r="F111" s="387"/>
      <c r="G111" s="384">
        <f t="shared" si="67"/>
        <v>0</v>
      </c>
      <c r="H111" s="386"/>
      <c r="I111" s="386"/>
      <c r="J111" s="386"/>
      <c r="K111" s="386"/>
      <c r="L111" s="386"/>
      <c r="M111" s="384">
        <f t="shared" si="68"/>
        <v>0</v>
      </c>
      <c r="N111" s="386"/>
      <c r="O111" s="386"/>
      <c r="P111" s="386"/>
      <c r="Q111" s="386"/>
      <c r="R111" s="387"/>
      <c r="S111" s="384">
        <f t="shared" si="69"/>
        <v>0</v>
      </c>
      <c r="T111" s="386"/>
      <c r="U111" s="386"/>
      <c r="V111" s="386"/>
      <c r="W111" s="386"/>
      <c r="X111" s="387"/>
      <c r="Y111" s="384">
        <f t="shared" si="41"/>
        <v>0</v>
      </c>
    </row>
    <row r="112" spans="1:25" x14ac:dyDescent="0.25">
      <c r="A112" s="274">
        <v>0.90625</v>
      </c>
      <c r="B112" s="385"/>
      <c r="C112" s="386"/>
      <c r="D112" s="386"/>
      <c r="E112" s="386"/>
      <c r="F112" s="387"/>
      <c r="G112" s="384">
        <f t="shared" si="67"/>
        <v>0</v>
      </c>
      <c r="H112" s="387"/>
      <c r="I112" s="387"/>
      <c r="J112" s="387"/>
      <c r="K112" s="387"/>
      <c r="L112" s="387"/>
      <c r="M112" s="384">
        <f t="shared" si="68"/>
        <v>0</v>
      </c>
      <c r="N112" s="387"/>
      <c r="O112" s="386"/>
      <c r="P112" s="386"/>
      <c r="Q112" s="386"/>
      <c r="R112" s="387"/>
      <c r="S112" s="384">
        <f t="shared" si="69"/>
        <v>0</v>
      </c>
      <c r="T112" s="386"/>
      <c r="U112" s="387"/>
      <c r="V112" s="386"/>
      <c r="W112" s="386"/>
      <c r="X112" s="387"/>
      <c r="Y112" s="384">
        <f t="shared" si="41"/>
        <v>0</v>
      </c>
    </row>
    <row r="113" spans="1:25" x14ac:dyDescent="0.25">
      <c r="A113" s="275" t="s">
        <v>312</v>
      </c>
      <c r="B113" s="386">
        <f>SUM(B109:B112)</f>
        <v>0</v>
      </c>
      <c r="C113" s="386">
        <f t="shared" ref="C113:Y113" si="71">SUM(C109:C112)</f>
        <v>0</v>
      </c>
      <c r="D113" s="386">
        <f t="shared" si="71"/>
        <v>0</v>
      </c>
      <c r="E113" s="386">
        <f t="shared" si="71"/>
        <v>0</v>
      </c>
      <c r="F113" s="386">
        <f t="shared" si="71"/>
        <v>0</v>
      </c>
      <c r="G113" s="386">
        <f t="shared" si="71"/>
        <v>0</v>
      </c>
      <c r="H113" s="386">
        <f t="shared" si="71"/>
        <v>0</v>
      </c>
      <c r="I113" s="386">
        <f t="shared" si="71"/>
        <v>0</v>
      </c>
      <c r="J113" s="386">
        <f t="shared" si="71"/>
        <v>0</v>
      </c>
      <c r="K113" s="386">
        <f t="shared" si="71"/>
        <v>0</v>
      </c>
      <c r="L113" s="386">
        <f t="shared" si="71"/>
        <v>0</v>
      </c>
      <c r="M113" s="386">
        <f t="shared" si="71"/>
        <v>0</v>
      </c>
      <c r="N113" s="386">
        <f t="shared" si="71"/>
        <v>0</v>
      </c>
      <c r="O113" s="386">
        <f t="shared" si="71"/>
        <v>0</v>
      </c>
      <c r="P113" s="386">
        <f t="shared" si="71"/>
        <v>0</v>
      </c>
      <c r="Q113" s="386">
        <f t="shared" si="71"/>
        <v>0</v>
      </c>
      <c r="R113" s="386">
        <f t="shared" si="71"/>
        <v>0</v>
      </c>
      <c r="S113" s="386">
        <f t="shared" si="71"/>
        <v>0</v>
      </c>
      <c r="T113" s="386">
        <f t="shared" si="71"/>
        <v>0</v>
      </c>
      <c r="U113" s="386">
        <f t="shared" si="71"/>
        <v>0</v>
      </c>
      <c r="V113" s="386">
        <f t="shared" si="71"/>
        <v>0</v>
      </c>
      <c r="W113" s="386">
        <f t="shared" si="71"/>
        <v>0</v>
      </c>
      <c r="X113" s="386">
        <f t="shared" si="71"/>
        <v>0</v>
      </c>
      <c r="Y113" s="386">
        <f t="shared" si="71"/>
        <v>0</v>
      </c>
    </row>
    <row r="114" spans="1:25" x14ac:dyDescent="0.25">
      <c r="A114" s="274">
        <v>0.91666666666666663</v>
      </c>
      <c r="B114" s="385"/>
      <c r="C114" s="386"/>
      <c r="D114" s="386"/>
      <c r="E114" s="386"/>
      <c r="F114" s="387"/>
      <c r="G114" s="384">
        <f t="shared" si="67"/>
        <v>0</v>
      </c>
      <c r="H114" s="386"/>
      <c r="I114" s="386"/>
      <c r="J114" s="386"/>
      <c r="K114" s="386"/>
      <c r="L114" s="386"/>
      <c r="M114" s="384">
        <f t="shared" si="68"/>
        <v>0</v>
      </c>
      <c r="N114" s="386"/>
      <c r="O114" s="386"/>
      <c r="P114" s="386"/>
      <c r="Q114" s="386"/>
      <c r="R114" s="387"/>
      <c r="S114" s="384">
        <f t="shared" si="69"/>
        <v>0</v>
      </c>
      <c r="T114" s="386"/>
      <c r="U114" s="386"/>
      <c r="V114" s="386"/>
      <c r="W114" s="386"/>
      <c r="X114" s="387"/>
      <c r="Y114" s="384">
        <f t="shared" si="41"/>
        <v>0</v>
      </c>
    </row>
    <row r="115" spans="1:25" x14ac:dyDescent="0.25">
      <c r="A115" s="274">
        <v>0.92708333333333337</v>
      </c>
      <c r="B115" s="385"/>
      <c r="C115" s="386"/>
      <c r="D115" s="386"/>
      <c r="E115" s="386"/>
      <c r="F115" s="387"/>
      <c r="G115" s="384">
        <f t="shared" si="67"/>
        <v>0</v>
      </c>
      <c r="H115" s="386"/>
      <c r="I115" s="386"/>
      <c r="J115" s="386"/>
      <c r="K115" s="386"/>
      <c r="L115" s="386"/>
      <c r="M115" s="384">
        <f t="shared" si="68"/>
        <v>0</v>
      </c>
      <c r="N115" s="386"/>
      <c r="O115" s="386"/>
      <c r="P115" s="386"/>
      <c r="Q115" s="386"/>
      <c r="R115" s="387"/>
      <c r="S115" s="384">
        <f t="shared" si="69"/>
        <v>0</v>
      </c>
      <c r="T115" s="386"/>
      <c r="U115" s="386"/>
      <c r="V115" s="386"/>
      <c r="W115" s="386"/>
      <c r="X115" s="387"/>
      <c r="Y115" s="384">
        <f t="shared" si="41"/>
        <v>0</v>
      </c>
    </row>
    <row r="116" spans="1:25" x14ac:dyDescent="0.25">
      <c r="A116" s="274">
        <v>0.9375</v>
      </c>
      <c r="B116" s="385"/>
      <c r="C116" s="386"/>
      <c r="D116" s="386"/>
      <c r="E116" s="386"/>
      <c r="F116" s="387"/>
      <c r="G116" s="384">
        <f t="shared" si="67"/>
        <v>0</v>
      </c>
      <c r="H116" s="386"/>
      <c r="I116" s="386"/>
      <c r="J116" s="386"/>
      <c r="K116" s="386"/>
      <c r="L116" s="386"/>
      <c r="M116" s="384">
        <f t="shared" si="68"/>
        <v>0</v>
      </c>
      <c r="N116" s="386"/>
      <c r="O116" s="386"/>
      <c r="P116" s="386"/>
      <c r="Q116" s="386"/>
      <c r="R116" s="387"/>
      <c r="S116" s="384">
        <f t="shared" si="69"/>
        <v>0</v>
      </c>
      <c r="T116" s="386"/>
      <c r="U116" s="386"/>
      <c r="V116" s="386"/>
      <c r="W116" s="386"/>
      <c r="X116" s="387"/>
      <c r="Y116" s="384">
        <f t="shared" si="41"/>
        <v>0</v>
      </c>
    </row>
    <row r="117" spans="1:25" x14ac:dyDescent="0.25">
      <c r="A117" s="274">
        <v>0.94791666666666663</v>
      </c>
      <c r="B117" s="385"/>
      <c r="C117" s="386"/>
      <c r="D117" s="386"/>
      <c r="E117" s="386"/>
      <c r="F117" s="387"/>
      <c r="G117" s="384">
        <f t="shared" si="67"/>
        <v>0</v>
      </c>
      <c r="H117" s="387"/>
      <c r="I117" s="387"/>
      <c r="J117" s="387"/>
      <c r="K117" s="387"/>
      <c r="L117" s="387"/>
      <c r="M117" s="384">
        <f t="shared" si="68"/>
        <v>0</v>
      </c>
      <c r="N117" s="387"/>
      <c r="O117" s="386"/>
      <c r="P117" s="386"/>
      <c r="Q117" s="386"/>
      <c r="R117" s="387"/>
      <c r="S117" s="384">
        <f t="shared" si="69"/>
        <v>0</v>
      </c>
      <c r="T117" s="386"/>
      <c r="U117" s="387"/>
      <c r="V117" s="386"/>
      <c r="W117" s="386"/>
      <c r="X117" s="387"/>
      <c r="Y117" s="384">
        <f t="shared" si="41"/>
        <v>0</v>
      </c>
    </row>
    <row r="118" spans="1:25" x14ac:dyDescent="0.25">
      <c r="A118" s="275" t="s">
        <v>312</v>
      </c>
      <c r="B118" s="386">
        <f>SUM(B114:B117)</f>
        <v>0</v>
      </c>
      <c r="C118" s="386">
        <f t="shared" ref="C118:Y118" si="72">SUM(C114:C117)</f>
        <v>0</v>
      </c>
      <c r="D118" s="386">
        <f t="shared" si="72"/>
        <v>0</v>
      </c>
      <c r="E118" s="386">
        <f t="shared" si="72"/>
        <v>0</v>
      </c>
      <c r="F118" s="386">
        <f t="shared" si="72"/>
        <v>0</v>
      </c>
      <c r="G118" s="386">
        <f t="shared" si="72"/>
        <v>0</v>
      </c>
      <c r="H118" s="386">
        <f t="shared" si="72"/>
        <v>0</v>
      </c>
      <c r="I118" s="386">
        <f t="shared" si="72"/>
        <v>0</v>
      </c>
      <c r="J118" s="386">
        <f t="shared" si="72"/>
        <v>0</v>
      </c>
      <c r="K118" s="386">
        <f t="shared" si="72"/>
        <v>0</v>
      </c>
      <c r="L118" s="386">
        <f t="shared" si="72"/>
        <v>0</v>
      </c>
      <c r="M118" s="386">
        <f t="shared" si="72"/>
        <v>0</v>
      </c>
      <c r="N118" s="386">
        <f t="shared" si="72"/>
        <v>0</v>
      </c>
      <c r="O118" s="386">
        <f t="shared" si="72"/>
        <v>0</v>
      </c>
      <c r="P118" s="386">
        <f t="shared" si="72"/>
        <v>0</v>
      </c>
      <c r="Q118" s="386">
        <f t="shared" si="72"/>
        <v>0</v>
      </c>
      <c r="R118" s="386">
        <f t="shared" si="72"/>
        <v>0</v>
      </c>
      <c r="S118" s="386">
        <f t="shared" si="72"/>
        <v>0</v>
      </c>
      <c r="T118" s="386">
        <f t="shared" si="72"/>
        <v>0</v>
      </c>
      <c r="U118" s="386">
        <f t="shared" si="72"/>
        <v>0</v>
      </c>
      <c r="V118" s="386">
        <f t="shared" si="72"/>
        <v>0</v>
      </c>
      <c r="W118" s="386">
        <f t="shared" si="72"/>
        <v>0</v>
      </c>
      <c r="X118" s="386">
        <f t="shared" si="72"/>
        <v>0</v>
      </c>
      <c r="Y118" s="386">
        <f t="shared" si="72"/>
        <v>0</v>
      </c>
    </row>
    <row r="119" spans="1:25" x14ac:dyDescent="0.25">
      <c r="A119" s="274">
        <v>0.95833333333333337</v>
      </c>
      <c r="B119" s="385"/>
      <c r="C119" s="386"/>
      <c r="D119" s="386"/>
      <c r="E119" s="386"/>
      <c r="F119" s="387"/>
      <c r="G119" s="384">
        <f t="shared" si="67"/>
        <v>0</v>
      </c>
      <c r="H119" s="386"/>
      <c r="I119" s="386"/>
      <c r="J119" s="386"/>
      <c r="K119" s="386"/>
      <c r="L119" s="386"/>
      <c r="M119" s="384">
        <f t="shared" si="68"/>
        <v>0</v>
      </c>
      <c r="N119" s="386"/>
      <c r="O119" s="386"/>
      <c r="P119" s="386"/>
      <c r="Q119" s="386"/>
      <c r="R119" s="387"/>
      <c r="S119" s="384">
        <f t="shared" si="69"/>
        <v>0</v>
      </c>
      <c r="T119" s="386"/>
      <c r="U119" s="386"/>
      <c r="V119" s="386"/>
      <c r="W119" s="386"/>
      <c r="X119" s="387"/>
      <c r="Y119" s="384">
        <f t="shared" si="41"/>
        <v>0</v>
      </c>
    </row>
    <row r="120" spans="1:25" x14ac:dyDescent="0.25">
      <c r="A120" s="274">
        <v>0.96875</v>
      </c>
      <c r="B120" s="385"/>
      <c r="C120" s="386"/>
      <c r="D120" s="386"/>
      <c r="E120" s="386"/>
      <c r="F120" s="387"/>
      <c r="G120" s="384">
        <f t="shared" si="67"/>
        <v>0</v>
      </c>
      <c r="H120" s="386"/>
      <c r="I120" s="386"/>
      <c r="J120" s="386"/>
      <c r="K120" s="386"/>
      <c r="L120" s="386"/>
      <c r="M120" s="384">
        <f t="shared" si="68"/>
        <v>0</v>
      </c>
      <c r="N120" s="386"/>
      <c r="O120" s="386"/>
      <c r="P120" s="386"/>
      <c r="Q120" s="386"/>
      <c r="R120" s="387"/>
      <c r="S120" s="384">
        <f t="shared" si="69"/>
        <v>0</v>
      </c>
      <c r="T120" s="386"/>
      <c r="U120" s="386"/>
      <c r="V120" s="386"/>
      <c r="W120" s="386"/>
      <c r="X120" s="387"/>
      <c r="Y120" s="384">
        <f t="shared" si="41"/>
        <v>0</v>
      </c>
    </row>
    <row r="121" spans="1:25" x14ac:dyDescent="0.25">
      <c r="A121" s="274">
        <v>0.97916666666666663</v>
      </c>
      <c r="B121" s="385"/>
      <c r="C121" s="386"/>
      <c r="D121" s="386"/>
      <c r="E121" s="386"/>
      <c r="F121" s="387"/>
      <c r="G121" s="384">
        <f t="shared" si="67"/>
        <v>0</v>
      </c>
      <c r="H121" s="386"/>
      <c r="I121" s="386"/>
      <c r="J121" s="386"/>
      <c r="K121" s="386"/>
      <c r="L121" s="386"/>
      <c r="M121" s="384">
        <f t="shared" si="68"/>
        <v>0</v>
      </c>
      <c r="N121" s="386"/>
      <c r="O121" s="386"/>
      <c r="P121" s="386"/>
      <c r="Q121" s="386"/>
      <c r="R121" s="387"/>
      <c r="S121" s="384">
        <f t="shared" si="69"/>
        <v>0</v>
      </c>
      <c r="T121" s="386"/>
      <c r="U121" s="386"/>
      <c r="V121" s="386"/>
      <c r="W121" s="386"/>
      <c r="X121" s="387"/>
      <c r="Y121" s="384">
        <f t="shared" si="41"/>
        <v>0</v>
      </c>
    </row>
    <row r="122" spans="1:25" x14ac:dyDescent="0.25">
      <c r="A122" s="274">
        <v>0.98958333333333337</v>
      </c>
      <c r="B122" s="385"/>
      <c r="C122" s="386"/>
      <c r="D122" s="386"/>
      <c r="E122" s="386"/>
      <c r="F122" s="387"/>
      <c r="G122" s="384">
        <f t="shared" si="67"/>
        <v>0</v>
      </c>
      <c r="H122" s="387"/>
      <c r="I122" s="387"/>
      <c r="J122" s="387"/>
      <c r="K122" s="387"/>
      <c r="L122" s="387"/>
      <c r="M122" s="384">
        <f t="shared" si="68"/>
        <v>0</v>
      </c>
      <c r="N122" s="387"/>
      <c r="O122" s="386"/>
      <c r="P122" s="386"/>
      <c r="Q122" s="386"/>
      <c r="R122" s="387"/>
      <c r="S122" s="384">
        <f t="shared" si="69"/>
        <v>0</v>
      </c>
      <c r="T122" s="386"/>
      <c r="U122" s="387"/>
      <c r="V122" s="386"/>
      <c r="W122" s="386"/>
      <c r="X122" s="387"/>
      <c r="Y122" s="384">
        <f t="shared" si="41"/>
        <v>0</v>
      </c>
    </row>
    <row r="123" spans="1:25" x14ac:dyDescent="0.25">
      <c r="A123" s="275" t="s">
        <v>312</v>
      </c>
      <c r="B123" s="386">
        <f>SUM(B119:B122)</f>
        <v>0</v>
      </c>
      <c r="C123" s="386">
        <f t="shared" ref="C123:Y123" si="73">SUM(C119:C122)</f>
        <v>0</v>
      </c>
      <c r="D123" s="386">
        <f t="shared" si="73"/>
        <v>0</v>
      </c>
      <c r="E123" s="386">
        <f t="shared" si="73"/>
        <v>0</v>
      </c>
      <c r="F123" s="386">
        <f t="shared" si="73"/>
        <v>0</v>
      </c>
      <c r="G123" s="386">
        <f t="shared" si="73"/>
        <v>0</v>
      </c>
      <c r="H123" s="386">
        <f t="shared" si="73"/>
        <v>0</v>
      </c>
      <c r="I123" s="386">
        <f t="shared" si="73"/>
        <v>0</v>
      </c>
      <c r="J123" s="386">
        <f t="shared" si="73"/>
        <v>0</v>
      </c>
      <c r="K123" s="386">
        <f t="shared" si="73"/>
        <v>0</v>
      </c>
      <c r="L123" s="386">
        <f t="shared" si="73"/>
        <v>0</v>
      </c>
      <c r="M123" s="386">
        <f t="shared" si="73"/>
        <v>0</v>
      </c>
      <c r="N123" s="386">
        <f t="shared" si="73"/>
        <v>0</v>
      </c>
      <c r="O123" s="386">
        <f t="shared" si="73"/>
        <v>0</v>
      </c>
      <c r="P123" s="386">
        <f t="shared" si="73"/>
        <v>0</v>
      </c>
      <c r="Q123" s="386">
        <f t="shared" si="73"/>
        <v>0</v>
      </c>
      <c r="R123" s="386">
        <f t="shared" si="73"/>
        <v>0</v>
      </c>
      <c r="S123" s="386">
        <f t="shared" si="73"/>
        <v>0</v>
      </c>
      <c r="T123" s="386">
        <f t="shared" si="73"/>
        <v>0</v>
      </c>
      <c r="U123" s="386">
        <f t="shared" si="73"/>
        <v>0</v>
      </c>
      <c r="V123" s="386">
        <f t="shared" si="73"/>
        <v>0</v>
      </c>
      <c r="W123" s="386">
        <f t="shared" si="73"/>
        <v>0</v>
      </c>
      <c r="X123" s="386">
        <f t="shared" si="73"/>
        <v>0</v>
      </c>
      <c r="Y123" s="386">
        <f t="shared" si="73"/>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zoomScaleNormal="100" zoomScaleSheetLayoutView="100" zoomScalePageLayoutView="98" workbookViewId="0">
      <selection activeCell="B171" sqref="B171"/>
    </sheetView>
  </sheetViews>
  <sheetFormatPr defaultColWidth="9.21875" defaultRowHeight="13.2" x14ac:dyDescent="0.25"/>
  <cols>
    <col min="1" max="1" width="11.21875" style="21" customWidth="1"/>
    <col min="2" max="3" width="6.5546875" style="21" customWidth="1"/>
    <col min="4" max="8" width="4.21875" style="21" customWidth="1"/>
    <col min="9" max="19" width="4" style="21" customWidth="1"/>
    <col min="20" max="16384" width="9.21875" style="21"/>
  </cols>
  <sheetData>
    <row r="1" spans="1:21" ht="22.8" x14ac:dyDescent="0.4">
      <c r="A1" s="557" t="s">
        <v>222</v>
      </c>
      <c r="B1" s="557"/>
      <c r="C1" s="557"/>
      <c r="D1" s="557"/>
      <c r="E1" s="557"/>
      <c r="F1" s="557"/>
      <c r="G1" s="557"/>
      <c r="H1" s="557"/>
      <c r="I1" s="557"/>
      <c r="J1" s="557"/>
      <c r="K1" s="557"/>
      <c r="L1" s="557"/>
      <c r="M1" s="557"/>
      <c r="N1" s="557"/>
      <c r="O1" s="557"/>
      <c r="P1" s="557"/>
      <c r="Q1" s="557"/>
      <c r="R1" s="557"/>
      <c r="S1" s="557"/>
      <c r="T1" s="226"/>
      <c r="U1" s="226"/>
    </row>
    <row r="2" spans="1:21" x14ac:dyDescent="0.25">
      <c r="A2" s="103"/>
      <c r="B2" s="103"/>
      <c r="C2" s="103"/>
      <c r="D2" s="103"/>
      <c r="E2" s="103"/>
      <c r="F2" s="103"/>
      <c r="G2" s="103"/>
      <c r="H2" s="103"/>
      <c r="I2" s="103"/>
      <c r="J2" s="103"/>
      <c r="K2" s="103"/>
      <c r="L2" s="103"/>
      <c r="M2" s="103"/>
      <c r="N2" s="103"/>
      <c r="O2" s="103"/>
      <c r="P2" s="103"/>
      <c r="Q2" s="103"/>
      <c r="R2" s="103"/>
      <c r="S2" s="103"/>
      <c r="T2" s="103"/>
      <c r="U2" s="103"/>
    </row>
    <row r="3" spans="1:21" x14ac:dyDescent="0.25">
      <c r="A3" s="566" t="s">
        <v>223</v>
      </c>
      <c r="B3" s="567"/>
      <c r="C3" s="567"/>
      <c r="D3" s="568"/>
      <c r="E3" s="103"/>
      <c r="F3" s="103"/>
      <c r="G3" s="103"/>
      <c r="H3" s="103"/>
      <c r="I3" s="103"/>
      <c r="J3" s="103"/>
      <c r="K3" s="103"/>
      <c r="L3" s="103"/>
      <c r="M3" s="103"/>
      <c r="N3" s="103"/>
      <c r="O3" s="103"/>
      <c r="P3" s="103"/>
      <c r="Q3" s="103"/>
      <c r="R3" s="103"/>
      <c r="S3" s="103"/>
      <c r="T3" s="103"/>
      <c r="U3" s="103"/>
    </row>
    <row r="4" spans="1:21" x14ac:dyDescent="0.25">
      <c r="A4" s="569"/>
      <c r="B4" s="570"/>
      <c r="C4" s="570"/>
      <c r="D4" s="571"/>
      <c r="E4" s="103"/>
      <c r="F4" s="103"/>
      <c r="G4" s="103"/>
      <c r="H4" s="103"/>
      <c r="I4" s="103"/>
      <c r="J4" s="103"/>
      <c r="K4" s="103"/>
      <c r="L4" s="103"/>
      <c r="M4" s="103"/>
      <c r="N4" s="103"/>
      <c r="O4" s="103"/>
      <c r="P4" s="103"/>
      <c r="Q4" s="103"/>
      <c r="R4" s="103"/>
      <c r="S4" s="103"/>
      <c r="T4" s="103"/>
      <c r="U4" s="103"/>
    </row>
    <row r="5" spans="1:21" x14ac:dyDescent="0.25">
      <c r="A5" s="135" t="s">
        <v>224</v>
      </c>
      <c r="B5" s="127" t="str">
        <f>IF('Input &amp; Findings'!$G$31=1, "1 Lane","2 or More Lanes")</f>
        <v>2 or More Lanes</v>
      </c>
      <c r="C5" s="132"/>
      <c r="D5" s="128"/>
      <c r="E5" s="103"/>
      <c r="F5" s="103"/>
      <c r="G5" s="103"/>
      <c r="H5" s="103"/>
      <c r="I5" s="103"/>
      <c r="J5" s="103"/>
      <c r="K5" s="103"/>
      <c r="L5" s="103"/>
      <c r="M5" s="103"/>
      <c r="N5" s="103"/>
      <c r="O5" s="103"/>
      <c r="P5" s="103"/>
      <c r="Q5" s="103"/>
      <c r="R5" s="103"/>
      <c r="S5" s="103"/>
      <c r="T5" s="103"/>
      <c r="U5" s="103"/>
    </row>
    <row r="6" spans="1:21" x14ac:dyDescent="0.25">
      <c r="A6" s="135" t="s">
        <v>225</v>
      </c>
      <c r="B6" s="127" t="str">
        <f>IF('Input &amp; Findings'!$G$47=1, "1 Lane","2 or More Lanes")</f>
        <v>2 or More Lanes</v>
      </c>
      <c r="C6" s="132"/>
      <c r="D6" s="128"/>
      <c r="E6" s="103"/>
      <c r="F6" s="103"/>
      <c r="G6" s="103"/>
      <c r="H6" s="103"/>
      <c r="I6" s="103"/>
      <c r="J6" s="103"/>
      <c r="K6" s="103"/>
      <c r="L6" s="103"/>
      <c r="M6" s="103"/>
      <c r="N6" s="103"/>
      <c r="O6" s="103"/>
      <c r="P6" s="103"/>
      <c r="Q6" s="103"/>
      <c r="R6" s="103"/>
      <c r="S6" s="103"/>
      <c r="T6" s="103"/>
      <c r="U6" s="103"/>
    </row>
    <row r="7" spans="1:21" x14ac:dyDescent="0.25">
      <c r="A7" s="103"/>
      <c r="B7" s="103"/>
      <c r="C7" s="103"/>
      <c r="D7" s="103"/>
      <c r="E7" s="103"/>
      <c r="F7" s="103"/>
      <c r="G7" s="103"/>
      <c r="H7" s="103"/>
      <c r="I7" s="103"/>
      <c r="J7" s="103"/>
      <c r="K7" s="103"/>
      <c r="L7" s="103"/>
      <c r="M7" s="103"/>
      <c r="N7" s="103"/>
      <c r="O7" s="103"/>
      <c r="P7" s="103"/>
      <c r="Q7" s="103"/>
      <c r="R7" s="103"/>
      <c r="S7" s="103"/>
      <c r="T7" s="103"/>
      <c r="U7" s="103"/>
    </row>
    <row r="8" spans="1:21" x14ac:dyDescent="0.25">
      <c r="A8" s="559" t="s">
        <v>568</v>
      </c>
      <c r="B8" s="559"/>
      <c r="C8" s="559"/>
      <c r="D8" s="559"/>
      <c r="E8" s="559"/>
      <c r="F8" s="559"/>
      <c r="G8" s="559"/>
      <c r="H8" s="559"/>
      <c r="I8" s="559"/>
      <c r="J8" s="559"/>
      <c r="K8" s="559"/>
      <c r="L8" s="559"/>
      <c r="M8" s="559"/>
      <c r="N8" s="559"/>
      <c r="O8" s="560"/>
      <c r="P8" s="157"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s="103"/>
      <c r="R8" s="103"/>
      <c r="S8" s="103"/>
      <c r="T8" s="103"/>
      <c r="U8" s="103"/>
    </row>
    <row r="9" spans="1:21" x14ac:dyDescent="0.25">
      <c r="A9" s="28"/>
      <c r="B9" s="103"/>
      <c r="C9" s="103"/>
      <c r="D9" s="103"/>
      <c r="E9" s="103"/>
      <c r="F9" s="103"/>
      <c r="G9" s="103"/>
      <c r="H9" s="103"/>
      <c r="I9" s="103"/>
      <c r="J9" s="103"/>
      <c r="K9" s="103"/>
      <c r="L9" s="103"/>
      <c r="M9" s="103"/>
      <c r="N9" s="103"/>
      <c r="O9" s="103"/>
      <c r="P9" s="103"/>
      <c r="Q9" s="103"/>
      <c r="R9" s="103"/>
      <c r="S9" s="103"/>
      <c r="T9" s="103"/>
      <c r="U9" s="103"/>
    </row>
    <row r="10" spans="1:21" x14ac:dyDescent="0.25">
      <c r="A10" s="103"/>
      <c r="B10" s="103"/>
      <c r="C10" s="103"/>
      <c r="D10" s="103"/>
      <c r="E10" s="103"/>
      <c r="F10" s="558"/>
      <c r="G10" s="558"/>
      <c r="H10" s="558"/>
      <c r="I10" s="558"/>
      <c r="J10" s="558"/>
      <c r="K10" s="558"/>
      <c r="L10" s="558"/>
      <c r="M10" s="558"/>
      <c r="N10" s="558"/>
      <c r="O10" s="558"/>
      <c r="P10" s="243"/>
      <c r="Q10" s="103"/>
      <c r="R10" s="103"/>
      <c r="S10" s="103"/>
      <c r="T10" s="103"/>
      <c r="U10" s="103"/>
    </row>
    <row r="11" spans="1:21" ht="12.75" customHeight="1" x14ac:dyDescent="0.25">
      <c r="A11" s="574" t="s">
        <v>540</v>
      </c>
      <c r="B11" s="574"/>
      <c r="C11" s="574"/>
      <c r="D11" s="574"/>
      <c r="E11" s="574"/>
      <c r="F11" s="574"/>
      <c r="G11" s="574"/>
      <c r="H11" s="574"/>
      <c r="I11" s="574"/>
      <c r="J11" s="574"/>
      <c r="K11" s="574"/>
      <c r="L11" s="574"/>
      <c r="M11" s="574"/>
      <c r="N11" s="574"/>
      <c r="O11" s="574"/>
      <c r="P11" s="574"/>
      <c r="Q11" s="574"/>
      <c r="R11" s="574"/>
      <c r="S11" s="574"/>
      <c r="T11" s="103"/>
      <c r="U11" s="103"/>
    </row>
    <row r="12" spans="1:21" x14ac:dyDescent="0.25">
      <c r="A12" s="574"/>
      <c r="B12" s="574"/>
      <c r="C12" s="574"/>
      <c r="D12" s="574"/>
      <c r="E12" s="574"/>
      <c r="F12" s="574"/>
      <c r="G12" s="574"/>
      <c r="H12" s="574"/>
      <c r="I12" s="574"/>
      <c r="J12" s="574"/>
      <c r="K12" s="574"/>
      <c r="L12" s="574"/>
      <c r="M12" s="574"/>
      <c r="N12" s="574"/>
      <c r="O12" s="574"/>
      <c r="P12" s="574"/>
      <c r="Q12" s="574"/>
      <c r="R12" s="574"/>
      <c r="S12" s="574"/>
      <c r="T12" s="103"/>
      <c r="U12" s="103"/>
    </row>
    <row r="13" spans="1:21" x14ac:dyDescent="0.25">
      <c r="A13" s="103"/>
      <c r="B13" s="103"/>
      <c r="C13" s="103"/>
      <c r="D13" s="103"/>
      <c r="E13" s="103"/>
      <c r="F13" s="103"/>
      <c r="G13" s="103"/>
      <c r="H13" s="103"/>
      <c r="I13" s="103"/>
      <c r="J13" s="103"/>
      <c r="K13" s="103"/>
      <c r="L13" s="103"/>
      <c r="M13" s="103"/>
      <c r="N13" s="103"/>
      <c r="O13" s="103"/>
      <c r="P13" s="103"/>
      <c r="Q13" s="103"/>
      <c r="R13" s="103"/>
      <c r="S13" s="103"/>
      <c r="T13" s="103"/>
      <c r="U13" s="103"/>
    </row>
    <row r="14" spans="1:21" ht="13.5" customHeight="1" x14ac:dyDescent="0.25">
      <c r="A14" s="164" t="s">
        <v>3</v>
      </c>
      <c r="B14" s="573" t="s">
        <v>680</v>
      </c>
      <c r="C14" s="573"/>
      <c r="D14" s="565" t="s">
        <v>684</v>
      </c>
      <c r="E14" s="565"/>
      <c r="F14" s="565"/>
      <c r="G14" s="565"/>
      <c r="H14" s="565" t="s">
        <v>685</v>
      </c>
      <c r="I14" s="565"/>
      <c r="J14" s="565"/>
      <c r="K14" s="565"/>
      <c r="L14" s="564" t="s">
        <v>686</v>
      </c>
      <c r="M14" s="564"/>
      <c r="N14" s="564"/>
      <c r="O14" s="564"/>
      <c r="P14" s="564"/>
      <c r="Q14" s="564"/>
      <c r="R14" s="564"/>
      <c r="S14" s="564"/>
      <c r="T14" s="103"/>
      <c r="U14" s="103"/>
    </row>
    <row r="15" spans="1:21" x14ac:dyDescent="0.25">
      <c r="A15" s="164" t="s">
        <v>5</v>
      </c>
      <c r="B15" s="573"/>
      <c r="C15" s="573"/>
      <c r="D15" s="565"/>
      <c r="E15" s="565"/>
      <c r="F15" s="565"/>
      <c r="G15" s="565"/>
      <c r="H15" s="565"/>
      <c r="I15" s="565"/>
      <c r="J15" s="565"/>
      <c r="K15" s="565"/>
      <c r="L15" s="564" t="s">
        <v>688</v>
      </c>
      <c r="M15" s="564"/>
      <c r="N15" s="564" t="s">
        <v>687</v>
      </c>
      <c r="O15" s="564"/>
      <c r="P15" s="564" t="s">
        <v>688</v>
      </c>
      <c r="Q15" s="564"/>
      <c r="R15" s="564" t="s">
        <v>687</v>
      </c>
      <c r="S15" s="564"/>
      <c r="T15" s="103"/>
      <c r="U15" s="103"/>
    </row>
    <row r="16" spans="1:21" x14ac:dyDescent="0.25">
      <c r="A16" s="164" t="s">
        <v>6</v>
      </c>
      <c r="B16" s="565" t="s">
        <v>681</v>
      </c>
      <c r="C16" s="565" t="s">
        <v>6</v>
      </c>
      <c r="D16" s="564" t="s">
        <v>9</v>
      </c>
      <c r="E16" s="564"/>
      <c r="F16" s="563">
        <v>0.7</v>
      </c>
      <c r="G16" s="563"/>
      <c r="H16" s="564" t="s">
        <v>9</v>
      </c>
      <c r="I16" s="564"/>
      <c r="J16" s="563">
        <v>0.7</v>
      </c>
      <c r="K16" s="563"/>
      <c r="L16" s="563">
        <v>0.8</v>
      </c>
      <c r="M16" s="563"/>
      <c r="N16" s="563">
        <v>0.8</v>
      </c>
      <c r="O16" s="563"/>
      <c r="P16" s="563">
        <v>0.56000000000000005</v>
      </c>
      <c r="Q16" s="563"/>
      <c r="R16" s="563">
        <v>0.56000000000000005</v>
      </c>
      <c r="S16" s="563"/>
      <c r="T16" s="103"/>
      <c r="U16" s="103"/>
    </row>
    <row r="17" spans="1:21" x14ac:dyDescent="0.25">
      <c r="A17" s="165"/>
      <c r="B17" s="565"/>
      <c r="C17" s="565"/>
      <c r="D17" s="166" t="s">
        <v>682</v>
      </c>
      <c r="E17" s="166" t="s">
        <v>683</v>
      </c>
      <c r="F17" s="373" t="s">
        <v>682</v>
      </c>
      <c r="G17" s="373" t="s">
        <v>683</v>
      </c>
      <c r="H17" s="373" t="s">
        <v>682</v>
      </c>
      <c r="I17" s="373" t="s">
        <v>683</v>
      </c>
      <c r="J17" s="373" t="s">
        <v>682</v>
      </c>
      <c r="K17" s="373" t="s">
        <v>683</v>
      </c>
      <c r="L17" s="373" t="s">
        <v>682</v>
      </c>
      <c r="M17" s="373" t="s">
        <v>683</v>
      </c>
      <c r="N17" s="373" t="s">
        <v>682</v>
      </c>
      <c r="O17" s="373" t="s">
        <v>683</v>
      </c>
      <c r="P17" s="373" t="s">
        <v>682</v>
      </c>
      <c r="Q17" s="373" t="s">
        <v>683</v>
      </c>
      <c r="R17" s="373" t="s">
        <v>682</v>
      </c>
      <c r="S17" s="373" t="s">
        <v>683</v>
      </c>
      <c r="T17" s="103"/>
      <c r="U17" s="103"/>
    </row>
    <row r="18" spans="1:21" x14ac:dyDescent="0.25">
      <c r="A18" s="167" t="s">
        <v>12</v>
      </c>
      <c r="B18" s="561" t="str">
        <f>IF(AND($B$5="1 Lane",$B$6="1 Lane"),"X"," ")</f>
        <v xml:space="preserve"> </v>
      </c>
      <c r="C18" s="562"/>
      <c r="D18" s="227">
        <v>500</v>
      </c>
      <c r="E18" s="227">
        <v>150</v>
      </c>
      <c r="F18" s="227">
        <v>350</v>
      </c>
      <c r="G18" s="227">
        <v>105</v>
      </c>
      <c r="H18" s="227">
        <v>750</v>
      </c>
      <c r="I18" s="227">
        <v>75</v>
      </c>
      <c r="J18" s="227">
        <v>525</v>
      </c>
      <c r="K18" s="227">
        <v>53</v>
      </c>
      <c r="L18" s="227">
        <v>400</v>
      </c>
      <c r="M18" s="227">
        <v>120</v>
      </c>
      <c r="N18" s="227">
        <v>600</v>
      </c>
      <c r="O18" s="227">
        <v>60</v>
      </c>
      <c r="P18" s="227">
        <v>280</v>
      </c>
      <c r="Q18" s="227">
        <v>84</v>
      </c>
      <c r="R18" s="227">
        <v>420</v>
      </c>
      <c r="S18" s="227">
        <v>42</v>
      </c>
      <c r="T18" s="103"/>
      <c r="U18" s="103"/>
    </row>
    <row r="19" spans="1:21" x14ac:dyDescent="0.25">
      <c r="A19" s="167" t="s">
        <v>13</v>
      </c>
      <c r="B19" s="561" t="str">
        <f>IF(AND($B$5="2 or More Lanes",$B$6="1 Lane"),"X"," ")</f>
        <v xml:space="preserve"> </v>
      </c>
      <c r="C19" s="562"/>
      <c r="D19" s="227">
        <v>600</v>
      </c>
      <c r="E19" s="227">
        <v>150</v>
      </c>
      <c r="F19" s="227">
        <v>420</v>
      </c>
      <c r="G19" s="227">
        <v>105</v>
      </c>
      <c r="H19" s="227">
        <v>900</v>
      </c>
      <c r="I19" s="227">
        <v>75</v>
      </c>
      <c r="J19" s="227">
        <v>630</v>
      </c>
      <c r="K19" s="227">
        <v>53</v>
      </c>
      <c r="L19" s="227">
        <v>480</v>
      </c>
      <c r="M19" s="227">
        <v>120</v>
      </c>
      <c r="N19" s="227">
        <v>720</v>
      </c>
      <c r="O19" s="227">
        <v>60</v>
      </c>
      <c r="P19" s="227">
        <v>336</v>
      </c>
      <c r="Q19" s="227">
        <v>84</v>
      </c>
      <c r="R19" s="227">
        <v>504</v>
      </c>
      <c r="S19" s="227">
        <v>42</v>
      </c>
      <c r="T19" s="103"/>
      <c r="U19" s="103"/>
    </row>
    <row r="20" spans="1:21" x14ac:dyDescent="0.25">
      <c r="A20" s="167" t="s">
        <v>226</v>
      </c>
      <c r="B20" s="561" t="str">
        <f>IF(AND($B$5="2 or More Lanes",B6="2 or More Lanes"),"X"," ")</f>
        <v>X</v>
      </c>
      <c r="C20" s="562"/>
      <c r="D20" s="227">
        <v>600</v>
      </c>
      <c r="E20" s="227">
        <v>200</v>
      </c>
      <c r="F20" s="227">
        <v>420</v>
      </c>
      <c r="G20" s="227">
        <v>140</v>
      </c>
      <c r="H20" s="227">
        <v>900</v>
      </c>
      <c r="I20" s="227">
        <v>100</v>
      </c>
      <c r="J20" s="227">
        <v>630</v>
      </c>
      <c r="K20" s="227">
        <v>70</v>
      </c>
      <c r="L20" s="227">
        <v>480</v>
      </c>
      <c r="M20" s="227">
        <v>160</v>
      </c>
      <c r="N20" s="227">
        <v>720</v>
      </c>
      <c r="O20" s="227">
        <v>80</v>
      </c>
      <c r="P20" s="227">
        <v>336</v>
      </c>
      <c r="Q20" s="227">
        <v>112</v>
      </c>
      <c r="R20" s="227">
        <v>504</v>
      </c>
      <c r="S20" s="227">
        <v>56</v>
      </c>
      <c r="T20" s="103"/>
      <c r="U20" s="103"/>
    </row>
    <row r="21" spans="1:21" ht="12.3" customHeight="1" x14ac:dyDescent="0.25">
      <c r="A21" s="168" t="s">
        <v>14</v>
      </c>
      <c r="B21" s="561" t="str">
        <f>IF(AND($B$6="2 or More Lanes",$B$5="1 Lane"),"X"," ")</f>
        <v xml:space="preserve"> </v>
      </c>
      <c r="C21" s="562"/>
      <c r="D21" s="227">
        <v>500</v>
      </c>
      <c r="E21" s="227">
        <v>200</v>
      </c>
      <c r="F21" s="227">
        <v>350</v>
      </c>
      <c r="G21" s="227">
        <v>140</v>
      </c>
      <c r="H21" s="227">
        <v>750</v>
      </c>
      <c r="I21" s="227">
        <v>100</v>
      </c>
      <c r="J21" s="227">
        <v>525</v>
      </c>
      <c r="K21" s="227">
        <v>70</v>
      </c>
      <c r="L21" s="227">
        <v>400</v>
      </c>
      <c r="M21" s="227">
        <v>160</v>
      </c>
      <c r="N21" s="227">
        <v>600</v>
      </c>
      <c r="O21" s="227">
        <v>80</v>
      </c>
      <c r="P21" s="227">
        <v>280</v>
      </c>
      <c r="Q21" s="227">
        <v>112</v>
      </c>
      <c r="R21" s="227">
        <v>420</v>
      </c>
      <c r="S21" s="227">
        <v>56</v>
      </c>
      <c r="T21" s="103"/>
      <c r="U21" s="103"/>
    </row>
    <row r="22" spans="1:21" ht="12" customHeight="1" x14ac:dyDescent="0.25">
      <c r="A22" s="161">
        <v>0</v>
      </c>
      <c r="B22" s="162">
        <f>'Warrant 2'!F14</f>
        <v>0</v>
      </c>
      <c r="C22" s="162">
        <f>'Warrant 2'!I14</f>
        <v>0</v>
      </c>
      <c r="D22" s="163" t="str">
        <f>IF($B$5="1 Lane",IF($B22&gt;=D$18,1," "),IF($B$5="2 or More Lanes",IF($B22&gt;=D$19,1," ")," "))</f>
        <v xml:space="preserve"> </v>
      </c>
      <c r="E22" s="163" t="str">
        <f t="shared" ref="E22:E42" si="0">IF(AND($B$5="1 Lane",$B$6="1 Lane"),IF(AND($C22&gt;=E$18,D22=1),1," "),IF(AND($B$5="1 Lane",$B$6="2 or More Lanes"),IF(AND(D22=1,$C22&gt;=E$20),1," "),IF(AND($B$5="2 or More Lanes",$B$6="1 Lane"),IF(AND(D22=1,$C22&gt;=E$18),1," "),IF(AND(D22=1,$C22&gt;=E$20),1,""))))</f>
        <v/>
      </c>
      <c r="F22" s="163" t="str">
        <f>IF($B$5="1 Lane",IF($B22&gt;=F$18,1," "),IF($B$5="2 or More Lanes",IF($B22&gt;=F$19,1," ")," "))</f>
        <v xml:space="preserve"> </v>
      </c>
      <c r="G22" s="163" t="str">
        <f>IF(AND($B$5="1 Lane",$B$6="1 Lane"),IF(AND($C22&gt;=G$18,F22=1),1," "),IF(AND($B$5="1 Lane",$B$6="2 or More Lanes"),IF(AND(F22=1,$C22&gt;=G$20),1," "),IF(AND($B$5="2 or More Lanes",$B$6="1 Lane"),IF(AND(F22=1,$C22&gt;=G$18),1," "),IF(AND(F22=1,$C22&gt;=G$20),1,""))))</f>
        <v/>
      </c>
      <c r="H22" s="163" t="str">
        <f>IF($B$5="1 Lane",IF($B22&gt;=H$18,1," "),IF($B$5="2 or More Lanes",IF($B22&gt;=H$19,1," ")," "))</f>
        <v xml:space="preserve"> </v>
      </c>
      <c r="I22" s="163" t="str">
        <f>IF(AND($B$5="1 Lane",$B$6="1 Lane"),IF(AND($C22&gt;=I$18,H22=1),1," "),IF(AND($B$5="1 Lane",$B$6="2 or More Lanes"),IF(AND(H22=1,$C22&gt;=I$20),1," "),IF(AND($B$5="2 or More Lanes",$B$6="1 Lane"),IF(AND(H22=1,$C22&gt;=I$18),1," "),IF(AND(H22=1,$C22&gt;=I$20),1,""))))</f>
        <v/>
      </c>
      <c r="J22" s="163" t="str">
        <f>IF($B$5="1 Lane",IF($B22&gt;=J$18,1," "),IF($B$5="2 or More Lanes",IF($B22&gt;=J$19,1," ")," "))</f>
        <v xml:space="preserve"> </v>
      </c>
      <c r="K22" s="163" t="str">
        <f>IF(AND($B$5="1 Lane",$B$6="1 Lane"),IF(AND($C22&gt;=K$18,J22=1),1," "),IF(AND($B$5="1 Lane",$B$6="2 or More Lanes"),IF(AND(J22=1,$C22&gt;=K$20),1," "),IF(AND($B$5="2 or More Lanes",$B$6="1 Lane"),IF(AND(J22=1,$C22&gt;=K$18),1," "),IF(AND(J22=1,$C22&gt;=K$20),1,""))))</f>
        <v/>
      </c>
      <c r="L22" s="163" t="str">
        <f>IF($B$5="1 Lane",IF($B22&gt;=L$18,1," "),IF($B$5="2 or More Lanes",IF($B22&gt;=L$19,1," ")," "))</f>
        <v xml:space="preserve"> </v>
      </c>
      <c r="M22" s="163" t="str">
        <f>IF(AND($B$5="1 Lane",$B$6="1 Lane"),IF(AND($C22&gt;=M$18,L22=1),1," "),IF(AND($B$5="1 Lane",$B$6="2 or More Lanes"),IF(AND(L22=1,$C22&gt;=M$20),1," "),IF(AND($B$5="2 or More Lanes",$B$6="1 Lane"),IF(AND(L22=1,$C22&gt;=M$18),1," "),IF(AND(L22=1,$C22&gt;=M$20),1,""))))</f>
        <v/>
      </c>
      <c r="N22" s="163" t="str">
        <f>IF($B$5="1 Lane",IF($B22&gt;=N$18,1," "),IF($B$5="2 or More Lanes",IF($B22&gt;=N$19,1," ")," "))</f>
        <v xml:space="preserve"> </v>
      </c>
      <c r="O22" s="163" t="str">
        <f>IF(AND($B$5="1 Lane",$B$6="1 Lane"),IF(AND($C22&gt;=O$18,N22=1),1," "),IF(AND($B$5="1 Lane",$B$6="2 or More Lanes"),IF(AND(N22=1,$C22&gt;=O$20),1," "),IF(AND($B$5="2 or More Lanes",$B$6="1 Lane"),IF(AND(N22=1,$C22&gt;=O$18),1," "),IF(AND(N22=1,$C22&gt;=O$20),1,""))))</f>
        <v/>
      </c>
      <c r="P22" s="163" t="str">
        <f>IF($B$5="1 Lane",IF($B22&gt;=P18,1," "),IF($B$5="2 or More Lanes",IF($B22&gt;=$P$19,1," ")," "))</f>
        <v xml:space="preserve"> </v>
      </c>
      <c r="Q22" s="163" t="str">
        <f>IF(AND($B$5="1 Lane",$B$6="1 Lane"),IF(AND($C22&gt;=Q$18,P22=1),1," "),IF(AND($B$5="1 Lane",$B$6="2 or More Lanes"),IF(AND(P22=1,$C22&gt;=Q$20),1," "),IF(AND($B$5="2 or More Lanes",$B$6="1 Lane"),IF(AND(P22=1,$C22&gt;=Q$18),1," "),IF(AND(P22=1,$C22&gt;=Q$20),1,""))))</f>
        <v/>
      </c>
      <c r="R22" s="163" t="str">
        <f>IF($B$5="1 Lane",IF($B22&gt;=R$18,1," "),IF($B$5="2 or More Lanes",IF($B22&gt;=R$19,1," ")," "))</f>
        <v xml:space="preserve"> </v>
      </c>
      <c r="S22" s="163" t="str">
        <f>IF(AND($B$5="1 Lane",$B$6="1 Lane"),IF(AND($C22&gt;=S$18,R22=1),1," "),IF(AND($B$5="1 Lane",$B$6="2 or More Lanes"),IF(AND(R22=1,$C22&gt;=S$20),1," "),IF(AND($B$5="2 or More Lanes",$B$6="1 Lane"),IF(AND(R22=1,$C22&gt;=S$18),1," "),IF(AND(R22=1,$C22&gt;=S$20),1,""))))</f>
        <v/>
      </c>
      <c r="T22" s="103"/>
      <c r="U22" s="103"/>
    </row>
    <row r="23" spans="1:21" ht="12" customHeight="1" x14ac:dyDescent="0.25">
      <c r="A23" s="161">
        <v>1.0416666666666666E-2</v>
      </c>
      <c r="B23" s="162">
        <f>'Warrant 2'!F15</f>
        <v>0</v>
      </c>
      <c r="C23" s="162">
        <f>'Warrant 2'!I15</f>
        <v>0</v>
      </c>
      <c r="D23" s="163" t="str">
        <f>IF($B$5="1 Lane",IF(AND($B23&gt;=D$18,D22=" ",),1," "),IF($B$5="2 or More Lanes",IF(AND($B23&gt;=D$19,D22=" "),1," ")," "))</f>
        <v xml:space="preserve"> </v>
      </c>
      <c r="E23" s="163" t="str">
        <f t="shared" si="0"/>
        <v/>
      </c>
      <c r="F23" s="163" t="str">
        <f>IF($B$5="1 Lane",IF(AND($B23&gt;=F$18,F22=" ",),1," "),IF($B$5="2 or More Lanes",IF(AND($B23&gt;=F$19,F22=" "),1," ")," "))</f>
        <v xml:space="preserve"> </v>
      </c>
      <c r="G23" s="163" t="str">
        <f t="shared" ref="G23:G86" si="1">IF(AND($B$5="1 Lane",$B$6="1 Lane"),IF(AND($C23&gt;=G$18,F23=1),1," "),IF(AND($B$5="1 Lane",$B$6="2 or More Lanes"),IF(AND(F23=1,$C23&gt;=G$20),1," "),IF(AND($B$5="2 or More Lanes",$B$6="1 Lane"),IF(AND(F23=1,$C23&gt;=G$18),1," "),IF(AND(F23=1,$C23&gt;=G$20),1,""))))</f>
        <v/>
      </c>
      <c r="H23" s="163" t="str">
        <f>IF($B$5="1 Lane",IF(AND($B23&gt;=H$18,H22=" ",),1," "),IF($B$5="2 or More Lanes",IF(AND($B23&gt;=H$19,H22=" "),1," ")," "))</f>
        <v xml:space="preserve"> </v>
      </c>
      <c r="I23" s="163" t="str">
        <f t="shared" ref="I23:I86" si="2">IF(AND($B$5="1 Lane",$B$6="1 Lane"),IF(AND($C23&gt;=I$18,H23=1),1," "),IF(AND($B$5="1 Lane",$B$6="2 or More Lanes"),IF(AND(H23=1,$C23&gt;=I$20),1," "),IF(AND($B$5="2 or More Lanes",$B$6="1 Lane"),IF(AND(H23=1,$C23&gt;=I$18),1," "),IF(AND(H23=1,$C23&gt;=I$20),1,""))))</f>
        <v/>
      </c>
      <c r="J23" s="163" t="str">
        <f>IF($B$5="1 Lane",IF(AND($B23&gt;=J$18,J22=" ",),1," "),IF($B$5="2 or More Lanes",IF(AND($B23&gt;=J$19,J22=" "),1," ")," "))</f>
        <v xml:space="preserve"> </v>
      </c>
      <c r="K23" s="163" t="str">
        <f t="shared" ref="K23:K86" si="3">IF(AND($B$5="1 Lane",$B$6="1 Lane"),IF(AND($C23&gt;=K$18,J23=1),1," "),IF(AND($B$5="1 Lane",$B$6="2 or More Lanes"),IF(AND(J23=1,$C23&gt;=K$20),1," "),IF(AND($B$5="2 or More Lanes",$B$6="1 Lane"),IF(AND(J23=1,$C23&gt;=K$18),1," "),IF(AND(J23=1,$C23&gt;=K$20),1,""))))</f>
        <v/>
      </c>
      <c r="L23" s="163" t="str">
        <f>IF($B$5="1 Lane",IF(AND($B23&gt;=L$18,L22=" ",),1," "),IF($B$5="2 or More Lanes",IF(AND($B23&gt;=L$19,L22=" "),1," ")," "))</f>
        <v xml:space="preserve"> </v>
      </c>
      <c r="M23" s="163" t="str">
        <f t="shared" ref="M23:M86" si="4">IF(AND($B$5="1 Lane",$B$6="1 Lane"),IF(AND($C23&gt;=M$18,L23=1),1," "),IF(AND($B$5="1 Lane",$B$6="2 or More Lanes"),IF(AND(L23=1,$C23&gt;=M$20),1," "),IF(AND($B$5="2 or More Lanes",$B$6="1 Lane"),IF(AND(L23=1,$C23&gt;=M$18),1," "),IF(AND(L23=1,$C23&gt;=M$20),1,""))))</f>
        <v/>
      </c>
      <c r="N23" s="163" t="str">
        <f>IF($B$5="1 Lane",IF(AND($B23&gt;=N$18,N22=" ",),1," "),IF($B$5="2 or More Lanes",IF(AND($B23&gt;=N$19,N22=" "),1," ")," "))</f>
        <v xml:space="preserve"> </v>
      </c>
      <c r="O23" s="163" t="str">
        <f t="shared" ref="O23:O86" si="5">IF(AND($B$5="1 Lane",$B$6="1 Lane"),IF(AND($C23&gt;=O$18,N23=1),1," "),IF(AND($B$5="1 Lane",$B$6="2 or More Lanes"),IF(AND(N23=1,$C23&gt;=O$20),1," "),IF(AND($B$5="2 or More Lanes",$B$6="1 Lane"),IF(AND(N23=1,$C23&gt;=O$18),1," "),IF(AND(N23=1,$C23&gt;=O$20),1,""))))</f>
        <v/>
      </c>
      <c r="P23" s="163" t="str">
        <f>IF($B$5="1 Lane",IF(AND($B23&gt;=P$18,P22=" ",),1," "),IF($B$5="2 or More Lanes",IF(AND($B23&gt;=P$19,P22=" "),1," ")," "))</f>
        <v xml:space="preserve"> </v>
      </c>
      <c r="Q23" s="163" t="str">
        <f t="shared" ref="Q23:Q86" si="6">IF(AND($B$5="1 Lane",$B$6="1 Lane"),IF(AND($C23&gt;=Q$18,P23=1),1," "),IF(AND($B$5="1 Lane",$B$6="2 or More Lanes"),IF(AND(P23=1,$C23&gt;=Q$20),1," "),IF(AND($B$5="2 or More Lanes",$B$6="1 Lane"),IF(AND(P23=1,$C23&gt;=Q$18),1," "),IF(AND(P23=1,$C23&gt;=Q$20),1,""))))</f>
        <v/>
      </c>
      <c r="R23" s="163" t="str">
        <f>IF($B$5="1 Lane",IF(AND($B23&gt;=R$18,R22=" ",),1," "),IF($B$5="2 or More Lanes",IF(AND($B23&gt;=R$19,R22=" "),1," ")," "))</f>
        <v xml:space="preserve"> </v>
      </c>
      <c r="S23" s="163" t="str">
        <f t="shared" ref="S23:S86" si="7">IF(AND($B$5="1 Lane",$B$6="1 Lane"),IF(AND($C23&gt;=S$18,R23=1),1," "),IF(AND($B$5="1 Lane",$B$6="2 or More Lanes"),IF(AND(R23=1,$C23&gt;=S$20),1," "),IF(AND($B$5="2 or More Lanes",$B$6="1 Lane"),IF(AND(R23=1,$C23&gt;=S$18),1," "),IF(AND(R23=1,$C23&gt;=S$20),1,""))))</f>
        <v/>
      </c>
      <c r="T23" s="103"/>
      <c r="U23" s="103"/>
    </row>
    <row r="24" spans="1:21" ht="12" customHeight="1" x14ac:dyDescent="0.25">
      <c r="A24" s="161">
        <v>2.0833333333333301E-2</v>
      </c>
      <c r="B24" s="162">
        <f>'Warrant 2'!F16</f>
        <v>0</v>
      </c>
      <c r="C24" s="162">
        <f>'Warrant 2'!I16</f>
        <v>0</v>
      </c>
      <c r="D24" s="163" t="str">
        <f>IF($B$5="1 Lane",IF(AND($B24&gt;=D$18,D22=" ",D23=" ",),1," "),IF($B$5="2 or More Lanes",IF(AND($B24&gt;=D$19,D22=" ",D23=" "),1," ")," "))</f>
        <v xml:space="preserve"> </v>
      </c>
      <c r="E24" s="163" t="str">
        <f t="shared" si="0"/>
        <v/>
      </c>
      <c r="F24" s="163" t="str">
        <f>IF($B$5="1 Lane",IF(AND($B24&gt;=F$18,F22=" ",F23=" ",),1," "),IF($B$5="2 or More Lanes",IF(AND($B24&gt;=F$19,F22=" ",F23=" "),1," ")," "))</f>
        <v xml:space="preserve"> </v>
      </c>
      <c r="G24" s="163" t="str">
        <f t="shared" si="1"/>
        <v/>
      </c>
      <c r="H24" s="163" t="str">
        <f>IF($B$5="1 Lane",IF(AND($B24&gt;=H$18,H22=" ",H23=" ",),1," "),IF($B$5="2 or More Lanes",IF(AND($B24&gt;=H$19,H22=" ",H23=" "),1," ")," "))</f>
        <v xml:space="preserve"> </v>
      </c>
      <c r="I24" s="163" t="str">
        <f t="shared" si="2"/>
        <v/>
      </c>
      <c r="J24" s="163" t="str">
        <f>IF($B$5="1 Lane",IF(AND($B24&gt;=J$18,J22=" ",J23=" ",),1," "),IF($B$5="2 or More Lanes",IF(AND($B24&gt;=J$19,J22=" ",J23=" "),1," ")," "))</f>
        <v xml:space="preserve"> </v>
      </c>
      <c r="K24" s="163" t="str">
        <f t="shared" si="3"/>
        <v/>
      </c>
      <c r="L24" s="163" t="str">
        <f>IF($B$5="1 Lane",IF(AND($B24&gt;=L$18,L22=" ",L23=" ",),1," "),IF($B$5="2 or More Lanes",IF(AND($B24&gt;=L$19,L22=" ",L23=" "),1," ")," "))</f>
        <v xml:space="preserve"> </v>
      </c>
      <c r="M24" s="163" t="str">
        <f t="shared" si="4"/>
        <v/>
      </c>
      <c r="N24" s="163" t="str">
        <f>IF($B$5="1 Lane",IF(AND($B24&gt;=N$18,N22=" ",N23=" ",),1," "),IF($B$5="2 or More Lanes",IF(AND($B24&gt;=N$19,N22=" ",N23=" "),1," ")," "))</f>
        <v xml:space="preserve"> </v>
      </c>
      <c r="O24" s="163" t="str">
        <f t="shared" si="5"/>
        <v/>
      </c>
      <c r="P24" s="163" t="str">
        <f>IF($B$5="1 Lane",IF(AND($B24&gt;=P$18,P22=" ",P23=" ",),1," "),IF($B$5="2 or More Lanes",IF(AND($B24&gt;=P$19,P22=" ",P23=" "),1," ")," "))</f>
        <v xml:space="preserve"> </v>
      </c>
      <c r="Q24" s="163" t="str">
        <f t="shared" si="6"/>
        <v/>
      </c>
      <c r="R24" s="163" t="str">
        <f>IF($B$5="1 Lane",IF(AND($B24&gt;=R$18,R22=" ",R23=" ",),1," "),IF($B$5="2 or More Lanes",IF(AND($B24&gt;=R$19,R22=" ",R23=" "),1," ")," "))</f>
        <v xml:space="preserve"> </v>
      </c>
      <c r="S24" s="163" t="str">
        <f t="shared" si="7"/>
        <v/>
      </c>
      <c r="T24" s="103"/>
      <c r="U24" s="103"/>
    </row>
    <row r="25" spans="1:21" ht="12" customHeight="1" x14ac:dyDescent="0.25">
      <c r="A25" s="161">
        <v>3.125E-2</v>
      </c>
      <c r="B25" s="162">
        <f>'Warrant 2'!F17</f>
        <v>0</v>
      </c>
      <c r="C25" s="162">
        <f>'Warrant 2'!I17</f>
        <v>0</v>
      </c>
      <c r="D25" s="163" t="str">
        <f>IF($B$5="1 Lane",IF(AND($B25&gt;=D$18,D22=" ",D23=" ",D24=" "),1," "),IF($B$5="2 or More Lanes",IF(AND($B25&gt;=D$19,D22=" ",D23=" ",D24=" "),1," ")," "))</f>
        <v xml:space="preserve"> </v>
      </c>
      <c r="E25" s="163" t="str">
        <f t="shared" si="0"/>
        <v/>
      </c>
      <c r="F25" s="163" t="str">
        <f>IF($B$5="1 Lane",IF(AND($B25&gt;=F$18,F22=" ",F23=" ",F24=" ",),1," "),IF($B$5="2 or More Lanes",IF(AND($B25&gt;=F$19,F23=" ",F24=" ",F22=" "),1," ")," "))</f>
        <v xml:space="preserve"> </v>
      </c>
      <c r="G25" s="163" t="str">
        <f>IF(AND($B$5="1 Lane",$B$6="1 Lane"),IF(AND($C25&gt;=G$18,F25=1),1," "),IF(AND($B$5="1 Lane",$B$6="2 or More Lanes"),IF(AND(F25=1,$C25&gt;=G$20),1," "),IF(AND($B$5="2 or More Lanes",$B$6="1 Lane"),IF(AND(F25=1,$C25&gt;=G$18),1," "),IF(AND(F25=1,$C25&gt;=G$20),1,""))))</f>
        <v/>
      </c>
      <c r="H25" s="163" t="str">
        <f>IF($B$5="1 Lane",IF(AND($B25&gt;=H$18,H22=" ",H23=" ",H24=" "),1," "),IF($B$5="2 or More Lanes",IF(AND($B25&gt;=H$19,H22=" ",H23=" ",H24=" "),1," ")," "))</f>
        <v xml:space="preserve"> </v>
      </c>
      <c r="I25" s="163" t="str">
        <f t="shared" si="2"/>
        <v/>
      </c>
      <c r="J25" s="163" t="str">
        <f>IF($B$5="1 Lane",IF(AND($B25&gt;=J$18,J22=" ",J23=" ",J24=" "),1," "),IF($B$5="2 or More Lanes",IF(AND($B25&gt;=J$19,J22=" ",J23=" ",J24=" "),1," ")," "))</f>
        <v xml:space="preserve"> </v>
      </c>
      <c r="K25" s="163" t="str">
        <f t="shared" si="3"/>
        <v/>
      </c>
      <c r="L25" s="163" t="str">
        <f>IF($B$5="1 Lane",IF(AND($B25&gt;=L$18,L22=" ",L23=" ",L24=" "),1," "),IF($B$5="2 or More Lanes",IF(AND($B25&gt;=L$19,L22=" ",L23=" ",L24=" "),1," ")," "))</f>
        <v xml:space="preserve"> </v>
      </c>
      <c r="M25" s="163" t="str">
        <f t="shared" si="4"/>
        <v/>
      </c>
      <c r="N25" s="163" t="str">
        <f>IF($B$5="1 Lane",IF(AND($B25&gt;=N$18,N22=" ",N23=" ",N24=" "),1," "),IF($B$5="2 or More Lanes",IF(AND($B25&gt;=N$19,N22=" ",N23=" ",N24=" "),1," ")," "))</f>
        <v xml:space="preserve"> </v>
      </c>
      <c r="O25" s="163" t="str">
        <f t="shared" si="5"/>
        <v/>
      </c>
      <c r="P25" s="163" t="str">
        <f>IF($B$5="1 Lane",IF(AND($B25&gt;=P$18,P22=" ",P23=" ",P24=" "),1," "),IF($B$5="2 or More Lanes",IF(AND($B25&gt;=P$19,P22=" ",P23=" ",P24=" "),1," ")," "))</f>
        <v xml:space="preserve"> </v>
      </c>
      <c r="Q25" s="163" t="str">
        <f t="shared" si="6"/>
        <v/>
      </c>
      <c r="R25" s="163" t="str">
        <f>IF($B$5="1 Lane",IF(AND($B25&gt;=R$18,R22=" ",R23=" ",R24=" "),1," "),IF($B$5="2 or More Lanes",IF(AND($B25&gt;=R$19,R22=" ",R23=" ",R24=" "),1," ")," "))</f>
        <v xml:space="preserve"> </v>
      </c>
      <c r="S25" s="163" t="str">
        <f t="shared" si="7"/>
        <v/>
      </c>
      <c r="T25" s="103"/>
      <c r="U25" s="103"/>
    </row>
    <row r="26" spans="1:21" ht="12" customHeight="1" x14ac:dyDescent="0.25">
      <c r="A26" s="161">
        <v>4.1666666666666699E-2</v>
      </c>
      <c r="B26" s="162">
        <f>'Warrant 2'!F18</f>
        <v>0</v>
      </c>
      <c r="C26" s="162">
        <f>'Warrant 2'!I18</f>
        <v>0</v>
      </c>
      <c r="D26" s="163" t="str">
        <f t="shared" ref="D26:D89" si="8">IF($B$5="1 Lane",IF(AND($B26&gt;=D$18,D23=" ",D24=" ",D25=" "),1," "),IF($B$5="2 or More Lanes",IF(AND($B26&gt;=D$19,D23=" ",D24=" ",D25=" "),1," ")," "))</f>
        <v xml:space="preserve"> </v>
      </c>
      <c r="E26" s="163" t="str">
        <f t="shared" si="0"/>
        <v/>
      </c>
      <c r="F26" s="163" t="str">
        <f t="shared" ref="F26:F89" si="9">IF($B$5="1 Lane",IF(AND($B26&gt;=F$18,F23=" ",F24=" ",F25=" "),1," "),IF($B$5="2 or More Lanes",IF(AND($B26&gt;=F$19,F23=" ",F24=" ",F25=" "),1," ")," "))</f>
        <v xml:space="preserve"> </v>
      </c>
      <c r="G26" s="163" t="str">
        <f t="shared" si="1"/>
        <v/>
      </c>
      <c r="H26" s="163" t="str">
        <f t="shared" ref="H26:H89" si="10">IF($B$5="1 Lane",IF(AND($B26&gt;=H$18,H23=" ",H24=" ",H25=" "),1," "),IF($B$5="2 or More Lanes",IF(AND($B26&gt;=H$19,H23=" ",H24=" ",H25=" "),1," ")," "))</f>
        <v xml:space="preserve"> </v>
      </c>
      <c r="I26" s="163" t="str">
        <f t="shared" si="2"/>
        <v/>
      </c>
      <c r="J26" s="163" t="str">
        <f t="shared" ref="J26:J89" si="11">IF($B$5="1 Lane",IF(AND($B26&gt;=J$18,J23=" ",J24=" ",J25=" "),1," "),IF($B$5="2 or More Lanes",IF(AND($B26&gt;=J$19,J23=" ",J24=" ",J25=" "),1," ")," "))</f>
        <v xml:space="preserve"> </v>
      </c>
      <c r="K26" s="163" t="str">
        <f t="shared" si="3"/>
        <v/>
      </c>
      <c r="L26" s="163" t="str">
        <f t="shared" ref="L26:L89" si="12">IF($B$5="1 Lane",IF(AND($B26&gt;=L$18,L23=" ",L24=" ",L25=" "),1," "),IF($B$5="2 or More Lanes",IF(AND($B26&gt;=L$19,L23=" ",L24=" ",L25=" "),1," ")," "))</f>
        <v xml:space="preserve"> </v>
      </c>
      <c r="M26" s="163" t="str">
        <f t="shared" si="4"/>
        <v/>
      </c>
      <c r="N26" s="163" t="str">
        <f t="shared" ref="N26:N89" si="13">IF($B$5="1 Lane",IF(AND($B26&gt;=N$18,N23=" ",N24=" ",N25=" "),1," "),IF($B$5="2 or More Lanes",IF(AND($B26&gt;=N$19,N23=" ",N24=" ",N25=" "),1," ")," "))</f>
        <v xml:space="preserve"> </v>
      </c>
      <c r="O26" s="163" t="str">
        <f t="shared" si="5"/>
        <v/>
      </c>
      <c r="P26" s="163" t="str">
        <f t="shared" ref="P26:P89" si="14">IF($B$5="1 Lane",IF(AND($B26&gt;=P$18,P23=" ",P24=" ",P25=" "),1," "),IF($B$5="2 or More Lanes",IF(AND($B26&gt;=P$19,P23=" ",P24=" ",P25=" "),1," ")," "))</f>
        <v xml:space="preserve"> </v>
      </c>
      <c r="Q26" s="163" t="str">
        <f t="shared" si="6"/>
        <v/>
      </c>
      <c r="R26" s="163" t="str">
        <f t="shared" ref="R26:R89" si="15">IF($B$5="1 Lane",IF(AND($B26&gt;=R$18,R23=" ",R24=" ",R25=" "),1," "),IF($B$5="2 or More Lanes",IF(AND($B26&gt;=R$19,R23=" ",R24=" ",R25=" "),1," ")," "))</f>
        <v xml:space="preserve"> </v>
      </c>
      <c r="S26" s="163" t="str">
        <f t="shared" si="7"/>
        <v/>
      </c>
      <c r="T26" s="103"/>
      <c r="U26" s="103"/>
    </row>
    <row r="27" spans="1:21" ht="12" customHeight="1" x14ac:dyDescent="0.25">
      <c r="A27" s="161">
        <v>5.2083333333333301E-2</v>
      </c>
      <c r="B27" s="162">
        <f>'Warrant 2'!F19</f>
        <v>0</v>
      </c>
      <c r="C27" s="162">
        <f>'Warrant 2'!I19</f>
        <v>0</v>
      </c>
      <c r="D27" s="163" t="str">
        <f t="shared" si="8"/>
        <v xml:space="preserve"> </v>
      </c>
      <c r="E27" s="163" t="str">
        <f t="shared" si="0"/>
        <v/>
      </c>
      <c r="F27" s="163" t="str">
        <f t="shared" si="9"/>
        <v xml:space="preserve"> </v>
      </c>
      <c r="G27" s="163" t="str">
        <f t="shared" si="1"/>
        <v/>
      </c>
      <c r="H27" s="163" t="str">
        <f t="shared" si="10"/>
        <v xml:space="preserve"> </v>
      </c>
      <c r="I27" s="163" t="str">
        <f t="shared" si="2"/>
        <v/>
      </c>
      <c r="J27" s="163" t="str">
        <f t="shared" si="11"/>
        <v xml:space="preserve"> </v>
      </c>
      <c r="K27" s="163" t="str">
        <f t="shared" si="3"/>
        <v/>
      </c>
      <c r="L27" s="163" t="str">
        <f t="shared" si="12"/>
        <v xml:space="preserve"> </v>
      </c>
      <c r="M27" s="163" t="str">
        <f t="shared" si="4"/>
        <v/>
      </c>
      <c r="N27" s="163" t="str">
        <f t="shared" si="13"/>
        <v xml:space="preserve"> </v>
      </c>
      <c r="O27" s="163" t="str">
        <f t="shared" si="5"/>
        <v/>
      </c>
      <c r="P27" s="163" t="str">
        <f t="shared" si="14"/>
        <v xml:space="preserve"> </v>
      </c>
      <c r="Q27" s="163" t="str">
        <f t="shared" si="6"/>
        <v/>
      </c>
      <c r="R27" s="163" t="str">
        <f t="shared" si="15"/>
        <v xml:space="preserve"> </v>
      </c>
      <c r="S27" s="163" t="str">
        <f t="shared" si="7"/>
        <v/>
      </c>
      <c r="T27" s="103"/>
      <c r="U27" s="103"/>
    </row>
    <row r="28" spans="1:21" ht="12" customHeight="1" x14ac:dyDescent="0.25">
      <c r="A28" s="161">
        <v>6.25E-2</v>
      </c>
      <c r="B28" s="162">
        <f>'Warrant 2'!F20</f>
        <v>0</v>
      </c>
      <c r="C28" s="162">
        <f>'Warrant 2'!I20</f>
        <v>0</v>
      </c>
      <c r="D28" s="163" t="str">
        <f t="shared" si="8"/>
        <v xml:space="preserve"> </v>
      </c>
      <c r="E28" s="163" t="str">
        <f t="shared" si="0"/>
        <v/>
      </c>
      <c r="F28" s="163" t="str">
        <f t="shared" si="9"/>
        <v xml:space="preserve"> </v>
      </c>
      <c r="G28" s="163" t="str">
        <f t="shared" si="1"/>
        <v/>
      </c>
      <c r="H28" s="163" t="str">
        <f t="shared" si="10"/>
        <v xml:space="preserve"> </v>
      </c>
      <c r="I28" s="163" t="str">
        <f t="shared" si="2"/>
        <v/>
      </c>
      <c r="J28" s="163" t="str">
        <f t="shared" si="11"/>
        <v xml:space="preserve"> </v>
      </c>
      <c r="K28" s="163" t="str">
        <f t="shared" si="3"/>
        <v/>
      </c>
      <c r="L28" s="163" t="str">
        <f t="shared" si="12"/>
        <v xml:space="preserve"> </v>
      </c>
      <c r="M28" s="163" t="str">
        <f t="shared" si="4"/>
        <v/>
      </c>
      <c r="N28" s="163" t="str">
        <f t="shared" si="13"/>
        <v xml:space="preserve"> </v>
      </c>
      <c r="O28" s="163" t="str">
        <f t="shared" si="5"/>
        <v/>
      </c>
      <c r="P28" s="163" t="str">
        <f t="shared" si="14"/>
        <v xml:space="preserve"> </v>
      </c>
      <c r="Q28" s="163" t="str">
        <f t="shared" si="6"/>
        <v/>
      </c>
      <c r="R28" s="163" t="str">
        <f t="shared" si="15"/>
        <v xml:space="preserve"> </v>
      </c>
      <c r="S28" s="163" t="str">
        <f t="shared" si="7"/>
        <v/>
      </c>
      <c r="T28" s="103"/>
      <c r="U28" s="103"/>
    </row>
    <row r="29" spans="1:21" ht="12" customHeight="1" x14ac:dyDescent="0.25">
      <c r="A29" s="161">
        <v>7.2916666666666699E-2</v>
      </c>
      <c r="B29" s="162">
        <f>'Warrant 2'!F21</f>
        <v>0</v>
      </c>
      <c r="C29" s="162">
        <f>'Warrant 2'!I21</f>
        <v>0</v>
      </c>
      <c r="D29" s="163" t="str">
        <f t="shared" si="8"/>
        <v xml:space="preserve"> </v>
      </c>
      <c r="E29" s="163" t="str">
        <f t="shared" si="0"/>
        <v/>
      </c>
      <c r="F29" s="163" t="str">
        <f t="shared" si="9"/>
        <v xml:space="preserve"> </v>
      </c>
      <c r="G29" s="163" t="str">
        <f t="shared" si="1"/>
        <v/>
      </c>
      <c r="H29" s="163" t="str">
        <f t="shared" si="10"/>
        <v xml:space="preserve"> </v>
      </c>
      <c r="I29" s="163" t="str">
        <f t="shared" si="2"/>
        <v/>
      </c>
      <c r="J29" s="163" t="str">
        <f t="shared" si="11"/>
        <v xml:space="preserve"> </v>
      </c>
      <c r="K29" s="163" t="str">
        <f t="shared" si="3"/>
        <v/>
      </c>
      <c r="L29" s="163" t="str">
        <f t="shared" si="12"/>
        <v xml:space="preserve"> </v>
      </c>
      <c r="M29" s="163" t="str">
        <f t="shared" si="4"/>
        <v/>
      </c>
      <c r="N29" s="163" t="str">
        <f t="shared" si="13"/>
        <v xml:space="preserve"> </v>
      </c>
      <c r="O29" s="163" t="str">
        <f t="shared" si="5"/>
        <v/>
      </c>
      <c r="P29" s="163" t="str">
        <f t="shared" si="14"/>
        <v xml:space="preserve"> </v>
      </c>
      <c r="Q29" s="163" t="str">
        <f t="shared" si="6"/>
        <v/>
      </c>
      <c r="R29" s="163" t="str">
        <f t="shared" si="15"/>
        <v xml:space="preserve"> </v>
      </c>
      <c r="S29" s="163" t="str">
        <f t="shared" si="7"/>
        <v/>
      </c>
      <c r="T29" s="103"/>
      <c r="U29" s="103"/>
    </row>
    <row r="30" spans="1:21" ht="12" customHeight="1" x14ac:dyDescent="0.25">
      <c r="A30" s="161">
        <v>8.3333333333333301E-2</v>
      </c>
      <c r="B30" s="162">
        <f>'Warrant 2'!F22</f>
        <v>0</v>
      </c>
      <c r="C30" s="162">
        <f>'Warrant 2'!I22</f>
        <v>0</v>
      </c>
      <c r="D30" s="163" t="str">
        <f t="shared" si="8"/>
        <v xml:space="preserve"> </v>
      </c>
      <c r="E30" s="163" t="str">
        <f t="shared" si="0"/>
        <v/>
      </c>
      <c r="F30" s="163" t="str">
        <f t="shared" si="9"/>
        <v xml:space="preserve"> </v>
      </c>
      <c r="G30" s="163" t="str">
        <f t="shared" si="1"/>
        <v/>
      </c>
      <c r="H30" s="163" t="str">
        <f t="shared" si="10"/>
        <v xml:space="preserve"> </v>
      </c>
      <c r="I30" s="163" t="str">
        <f t="shared" si="2"/>
        <v/>
      </c>
      <c r="J30" s="163" t="str">
        <f t="shared" si="11"/>
        <v xml:space="preserve"> </v>
      </c>
      <c r="K30" s="163" t="str">
        <f t="shared" si="3"/>
        <v/>
      </c>
      <c r="L30" s="163" t="str">
        <f t="shared" si="12"/>
        <v xml:space="preserve"> </v>
      </c>
      <c r="M30" s="163" t="str">
        <f t="shared" si="4"/>
        <v/>
      </c>
      <c r="N30" s="163" t="str">
        <f t="shared" si="13"/>
        <v xml:space="preserve"> </v>
      </c>
      <c r="O30" s="163" t="str">
        <f t="shared" si="5"/>
        <v/>
      </c>
      <c r="P30" s="163" t="str">
        <f t="shared" si="14"/>
        <v xml:space="preserve"> </v>
      </c>
      <c r="Q30" s="163" t="str">
        <f t="shared" si="6"/>
        <v/>
      </c>
      <c r="R30" s="163" t="str">
        <f t="shared" si="15"/>
        <v xml:space="preserve"> </v>
      </c>
      <c r="S30" s="163" t="str">
        <f t="shared" si="7"/>
        <v/>
      </c>
      <c r="T30" s="103"/>
      <c r="U30" s="103"/>
    </row>
    <row r="31" spans="1:21" ht="12" customHeight="1" x14ac:dyDescent="0.25">
      <c r="A31" s="161">
        <v>9.375E-2</v>
      </c>
      <c r="B31" s="162">
        <f>'Warrant 2'!F23</f>
        <v>0</v>
      </c>
      <c r="C31" s="162">
        <f>'Warrant 2'!I23</f>
        <v>0</v>
      </c>
      <c r="D31" s="163" t="str">
        <f t="shared" si="8"/>
        <v xml:space="preserve"> </v>
      </c>
      <c r="E31" s="163" t="str">
        <f t="shared" si="0"/>
        <v/>
      </c>
      <c r="F31" s="163" t="str">
        <f t="shared" si="9"/>
        <v xml:space="preserve"> </v>
      </c>
      <c r="G31" s="163" t="str">
        <f t="shared" si="1"/>
        <v/>
      </c>
      <c r="H31" s="163" t="str">
        <f t="shared" si="10"/>
        <v xml:space="preserve"> </v>
      </c>
      <c r="I31" s="163" t="str">
        <f t="shared" si="2"/>
        <v/>
      </c>
      <c r="J31" s="163" t="str">
        <f t="shared" si="11"/>
        <v xml:space="preserve"> </v>
      </c>
      <c r="K31" s="163" t="str">
        <f t="shared" si="3"/>
        <v/>
      </c>
      <c r="L31" s="163" t="str">
        <f t="shared" si="12"/>
        <v xml:space="preserve"> </v>
      </c>
      <c r="M31" s="163" t="str">
        <f t="shared" si="4"/>
        <v/>
      </c>
      <c r="N31" s="163" t="str">
        <f t="shared" si="13"/>
        <v xml:space="preserve"> </v>
      </c>
      <c r="O31" s="163" t="str">
        <f t="shared" si="5"/>
        <v/>
      </c>
      <c r="P31" s="163" t="str">
        <f t="shared" si="14"/>
        <v xml:space="preserve"> </v>
      </c>
      <c r="Q31" s="163" t="str">
        <f t="shared" si="6"/>
        <v/>
      </c>
      <c r="R31" s="163" t="str">
        <f t="shared" si="15"/>
        <v xml:space="preserve"> </v>
      </c>
      <c r="S31" s="163" t="str">
        <f t="shared" si="7"/>
        <v/>
      </c>
      <c r="T31" s="103"/>
      <c r="U31" s="103"/>
    </row>
    <row r="32" spans="1:21" ht="12" customHeight="1" x14ac:dyDescent="0.25">
      <c r="A32" s="161">
        <v>0.104166666666667</v>
      </c>
      <c r="B32" s="162">
        <f>'Warrant 2'!F24</f>
        <v>0</v>
      </c>
      <c r="C32" s="162">
        <f>'Warrant 2'!I24</f>
        <v>0</v>
      </c>
      <c r="D32" s="163" t="str">
        <f t="shared" si="8"/>
        <v xml:space="preserve"> </v>
      </c>
      <c r="E32" s="163" t="str">
        <f t="shared" si="0"/>
        <v/>
      </c>
      <c r="F32" s="163" t="str">
        <f t="shared" si="9"/>
        <v xml:space="preserve"> </v>
      </c>
      <c r="G32" s="163" t="str">
        <f t="shared" si="1"/>
        <v/>
      </c>
      <c r="H32" s="163" t="str">
        <f t="shared" si="10"/>
        <v xml:space="preserve"> </v>
      </c>
      <c r="I32" s="163" t="str">
        <f t="shared" si="2"/>
        <v/>
      </c>
      <c r="J32" s="163" t="str">
        <f t="shared" si="11"/>
        <v xml:space="preserve"> </v>
      </c>
      <c r="K32" s="163" t="str">
        <f t="shared" si="3"/>
        <v/>
      </c>
      <c r="L32" s="163" t="str">
        <f t="shared" si="12"/>
        <v xml:space="preserve"> </v>
      </c>
      <c r="M32" s="163" t="str">
        <f t="shared" si="4"/>
        <v/>
      </c>
      <c r="N32" s="163" t="str">
        <f t="shared" si="13"/>
        <v xml:space="preserve"> </v>
      </c>
      <c r="O32" s="163" t="str">
        <f t="shared" si="5"/>
        <v/>
      </c>
      <c r="P32" s="163" t="str">
        <f t="shared" si="14"/>
        <v xml:space="preserve"> </v>
      </c>
      <c r="Q32" s="163" t="str">
        <f t="shared" si="6"/>
        <v/>
      </c>
      <c r="R32" s="163" t="str">
        <f t="shared" si="15"/>
        <v xml:space="preserve"> </v>
      </c>
      <c r="S32" s="163" t="str">
        <f t="shared" si="7"/>
        <v/>
      </c>
      <c r="T32" s="103"/>
      <c r="U32" s="103"/>
    </row>
    <row r="33" spans="1:21" ht="12" customHeight="1" x14ac:dyDescent="0.25">
      <c r="A33" s="161">
        <v>0.114583333333333</v>
      </c>
      <c r="B33" s="162">
        <f>'Warrant 2'!F25</f>
        <v>0</v>
      </c>
      <c r="C33" s="162">
        <f>'Warrant 2'!I25</f>
        <v>0</v>
      </c>
      <c r="D33" s="163" t="str">
        <f t="shared" si="8"/>
        <v xml:space="preserve"> </v>
      </c>
      <c r="E33" s="163" t="str">
        <f t="shared" si="0"/>
        <v/>
      </c>
      <c r="F33" s="163" t="str">
        <f t="shared" si="9"/>
        <v xml:space="preserve"> </v>
      </c>
      <c r="G33" s="163" t="str">
        <f t="shared" si="1"/>
        <v/>
      </c>
      <c r="H33" s="163" t="str">
        <f t="shared" si="10"/>
        <v xml:space="preserve"> </v>
      </c>
      <c r="I33" s="163" t="str">
        <f t="shared" si="2"/>
        <v/>
      </c>
      <c r="J33" s="163" t="str">
        <f t="shared" si="11"/>
        <v xml:space="preserve"> </v>
      </c>
      <c r="K33" s="163" t="str">
        <f t="shared" si="3"/>
        <v/>
      </c>
      <c r="L33" s="163" t="str">
        <f t="shared" si="12"/>
        <v xml:space="preserve"> </v>
      </c>
      <c r="M33" s="163" t="str">
        <f t="shared" si="4"/>
        <v/>
      </c>
      <c r="N33" s="163" t="str">
        <f t="shared" si="13"/>
        <v xml:space="preserve"> </v>
      </c>
      <c r="O33" s="163" t="str">
        <f t="shared" si="5"/>
        <v/>
      </c>
      <c r="P33" s="163" t="str">
        <f t="shared" si="14"/>
        <v xml:space="preserve"> </v>
      </c>
      <c r="Q33" s="163" t="str">
        <f t="shared" si="6"/>
        <v/>
      </c>
      <c r="R33" s="163" t="str">
        <f t="shared" si="15"/>
        <v xml:space="preserve"> </v>
      </c>
      <c r="S33" s="163" t="str">
        <f t="shared" si="7"/>
        <v/>
      </c>
      <c r="T33" s="103"/>
      <c r="U33" s="103"/>
    </row>
    <row r="34" spans="1:21" ht="12" customHeight="1" x14ac:dyDescent="0.25">
      <c r="A34" s="161">
        <v>0.125</v>
      </c>
      <c r="B34" s="162">
        <f>'Warrant 2'!F26</f>
        <v>0</v>
      </c>
      <c r="C34" s="162">
        <f>'Warrant 2'!I26</f>
        <v>0</v>
      </c>
      <c r="D34" s="163" t="str">
        <f t="shared" si="8"/>
        <v xml:space="preserve"> </v>
      </c>
      <c r="E34" s="163" t="str">
        <f t="shared" si="0"/>
        <v/>
      </c>
      <c r="F34" s="163" t="str">
        <f t="shared" si="9"/>
        <v xml:space="preserve"> </v>
      </c>
      <c r="G34" s="163" t="str">
        <f t="shared" si="1"/>
        <v/>
      </c>
      <c r="H34" s="163" t="str">
        <f t="shared" si="10"/>
        <v xml:space="preserve"> </v>
      </c>
      <c r="I34" s="163" t="str">
        <f t="shared" si="2"/>
        <v/>
      </c>
      <c r="J34" s="163" t="str">
        <f t="shared" si="11"/>
        <v xml:space="preserve"> </v>
      </c>
      <c r="K34" s="163" t="str">
        <f t="shared" si="3"/>
        <v/>
      </c>
      <c r="L34" s="163" t="str">
        <f t="shared" si="12"/>
        <v xml:space="preserve"> </v>
      </c>
      <c r="M34" s="163" t="str">
        <f t="shared" si="4"/>
        <v/>
      </c>
      <c r="N34" s="163" t="str">
        <f t="shared" si="13"/>
        <v xml:space="preserve"> </v>
      </c>
      <c r="O34" s="163" t="str">
        <f t="shared" si="5"/>
        <v/>
      </c>
      <c r="P34" s="163" t="str">
        <f t="shared" si="14"/>
        <v xml:space="preserve"> </v>
      </c>
      <c r="Q34" s="163" t="str">
        <f t="shared" si="6"/>
        <v/>
      </c>
      <c r="R34" s="163" t="str">
        <f t="shared" si="15"/>
        <v xml:space="preserve"> </v>
      </c>
      <c r="S34" s="163" t="str">
        <f t="shared" si="7"/>
        <v/>
      </c>
      <c r="T34" s="103"/>
      <c r="U34" s="103"/>
    </row>
    <row r="35" spans="1:21" ht="12" customHeight="1" x14ac:dyDescent="0.25">
      <c r="A35" s="161">
        <v>0.13541666666666699</v>
      </c>
      <c r="B35" s="162">
        <f>'Warrant 2'!F27</f>
        <v>0</v>
      </c>
      <c r="C35" s="162">
        <f>'Warrant 2'!I27</f>
        <v>0</v>
      </c>
      <c r="D35" s="163" t="str">
        <f t="shared" si="8"/>
        <v xml:space="preserve"> </v>
      </c>
      <c r="E35" s="163" t="str">
        <f t="shared" si="0"/>
        <v/>
      </c>
      <c r="F35" s="163" t="str">
        <f t="shared" si="9"/>
        <v xml:space="preserve"> </v>
      </c>
      <c r="G35" s="163" t="str">
        <f t="shared" si="1"/>
        <v/>
      </c>
      <c r="H35" s="163" t="str">
        <f t="shared" si="10"/>
        <v xml:space="preserve"> </v>
      </c>
      <c r="I35" s="163" t="str">
        <f t="shared" si="2"/>
        <v/>
      </c>
      <c r="J35" s="163" t="str">
        <f t="shared" si="11"/>
        <v xml:space="preserve"> </v>
      </c>
      <c r="K35" s="163" t="str">
        <f t="shared" si="3"/>
        <v/>
      </c>
      <c r="L35" s="163" t="str">
        <f t="shared" si="12"/>
        <v xml:space="preserve"> </v>
      </c>
      <c r="M35" s="163" t="str">
        <f t="shared" si="4"/>
        <v/>
      </c>
      <c r="N35" s="163" t="str">
        <f t="shared" si="13"/>
        <v xml:space="preserve"> </v>
      </c>
      <c r="O35" s="163" t="str">
        <f t="shared" si="5"/>
        <v/>
      </c>
      <c r="P35" s="163" t="str">
        <f t="shared" si="14"/>
        <v xml:space="preserve"> </v>
      </c>
      <c r="Q35" s="163" t="str">
        <f t="shared" si="6"/>
        <v/>
      </c>
      <c r="R35" s="163" t="str">
        <f t="shared" si="15"/>
        <v xml:space="preserve"> </v>
      </c>
      <c r="S35" s="163" t="str">
        <f t="shared" si="7"/>
        <v/>
      </c>
      <c r="T35" s="103"/>
      <c r="U35" s="103"/>
    </row>
    <row r="36" spans="1:21" ht="12" customHeight="1" x14ac:dyDescent="0.25">
      <c r="A36" s="161">
        <v>0.14583333333333301</v>
      </c>
      <c r="B36" s="162">
        <f>'Warrant 2'!F28</f>
        <v>0</v>
      </c>
      <c r="C36" s="162">
        <f>'Warrant 2'!I28</f>
        <v>0</v>
      </c>
      <c r="D36" s="163" t="str">
        <f t="shared" si="8"/>
        <v xml:space="preserve"> </v>
      </c>
      <c r="E36" s="163" t="str">
        <f t="shared" si="0"/>
        <v/>
      </c>
      <c r="F36" s="163" t="str">
        <f t="shared" si="9"/>
        <v xml:space="preserve"> </v>
      </c>
      <c r="G36" s="163" t="str">
        <f t="shared" si="1"/>
        <v/>
      </c>
      <c r="H36" s="163" t="str">
        <f t="shared" si="10"/>
        <v xml:space="preserve"> </v>
      </c>
      <c r="I36" s="163" t="str">
        <f t="shared" si="2"/>
        <v/>
      </c>
      <c r="J36" s="163" t="str">
        <f t="shared" si="11"/>
        <v xml:space="preserve"> </v>
      </c>
      <c r="K36" s="163" t="str">
        <f t="shared" si="3"/>
        <v/>
      </c>
      <c r="L36" s="163" t="str">
        <f t="shared" si="12"/>
        <v xml:space="preserve"> </v>
      </c>
      <c r="M36" s="163" t="str">
        <f t="shared" si="4"/>
        <v/>
      </c>
      <c r="N36" s="163" t="str">
        <f t="shared" si="13"/>
        <v xml:space="preserve"> </v>
      </c>
      <c r="O36" s="163" t="str">
        <f t="shared" si="5"/>
        <v/>
      </c>
      <c r="P36" s="163" t="str">
        <f t="shared" si="14"/>
        <v xml:space="preserve"> </v>
      </c>
      <c r="Q36" s="163" t="str">
        <f t="shared" si="6"/>
        <v/>
      </c>
      <c r="R36" s="163" t="str">
        <f t="shared" si="15"/>
        <v xml:space="preserve"> </v>
      </c>
      <c r="S36" s="163" t="str">
        <f t="shared" si="7"/>
        <v/>
      </c>
      <c r="T36" s="103"/>
      <c r="U36" s="103"/>
    </row>
    <row r="37" spans="1:21" ht="12" customHeight="1" x14ac:dyDescent="0.25">
      <c r="A37" s="161">
        <v>0.15625</v>
      </c>
      <c r="B37" s="162">
        <f>'Warrant 2'!F29</f>
        <v>0</v>
      </c>
      <c r="C37" s="162">
        <f>'Warrant 2'!I29</f>
        <v>0</v>
      </c>
      <c r="D37" s="163" t="str">
        <f t="shared" si="8"/>
        <v xml:space="preserve"> </v>
      </c>
      <c r="E37" s="163" t="str">
        <f t="shared" si="0"/>
        <v/>
      </c>
      <c r="F37" s="163" t="str">
        <f t="shared" si="9"/>
        <v xml:space="preserve"> </v>
      </c>
      <c r="G37" s="163" t="str">
        <f t="shared" si="1"/>
        <v/>
      </c>
      <c r="H37" s="163" t="str">
        <f t="shared" si="10"/>
        <v xml:space="preserve"> </v>
      </c>
      <c r="I37" s="163" t="str">
        <f t="shared" si="2"/>
        <v/>
      </c>
      <c r="J37" s="163" t="str">
        <f t="shared" si="11"/>
        <v xml:space="preserve"> </v>
      </c>
      <c r="K37" s="163" t="str">
        <f t="shared" si="3"/>
        <v/>
      </c>
      <c r="L37" s="163" t="str">
        <f t="shared" si="12"/>
        <v xml:space="preserve"> </v>
      </c>
      <c r="M37" s="163" t="str">
        <f t="shared" si="4"/>
        <v/>
      </c>
      <c r="N37" s="163" t="str">
        <f t="shared" si="13"/>
        <v xml:space="preserve"> </v>
      </c>
      <c r="O37" s="163" t="str">
        <f t="shared" si="5"/>
        <v/>
      </c>
      <c r="P37" s="163" t="str">
        <f t="shared" si="14"/>
        <v xml:space="preserve"> </v>
      </c>
      <c r="Q37" s="163" t="str">
        <f t="shared" si="6"/>
        <v/>
      </c>
      <c r="R37" s="163" t="str">
        <f t="shared" si="15"/>
        <v xml:space="preserve"> </v>
      </c>
      <c r="S37" s="163" t="str">
        <f t="shared" si="7"/>
        <v/>
      </c>
      <c r="T37" s="103"/>
      <c r="U37" s="103"/>
    </row>
    <row r="38" spans="1:21" ht="12" customHeight="1" x14ac:dyDescent="0.25">
      <c r="A38" s="161">
        <v>0.16666666666666699</v>
      </c>
      <c r="B38" s="162">
        <f>'Warrant 2'!F30</f>
        <v>0</v>
      </c>
      <c r="C38" s="162">
        <f>'Warrant 2'!I30</f>
        <v>0</v>
      </c>
      <c r="D38" s="163" t="str">
        <f t="shared" si="8"/>
        <v xml:space="preserve"> </v>
      </c>
      <c r="E38" s="163" t="str">
        <f t="shared" si="0"/>
        <v/>
      </c>
      <c r="F38" s="163" t="str">
        <f t="shared" si="9"/>
        <v xml:space="preserve"> </v>
      </c>
      <c r="G38" s="163" t="str">
        <f t="shared" si="1"/>
        <v/>
      </c>
      <c r="H38" s="163" t="str">
        <f t="shared" si="10"/>
        <v xml:space="preserve"> </v>
      </c>
      <c r="I38" s="163" t="str">
        <f t="shared" si="2"/>
        <v/>
      </c>
      <c r="J38" s="163" t="str">
        <f t="shared" si="11"/>
        <v xml:space="preserve"> </v>
      </c>
      <c r="K38" s="163" t="str">
        <f t="shared" si="3"/>
        <v/>
      </c>
      <c r="L38" s="163" t="str">
        <f t="shared" si="12"/>
        <v xml:space="preserve"> </v>
      </c>
      <c r="M38" s="163" t="str">
        <f t="shared" si="4"/>
        <v/>
      </c>
      <c r="N38" s="163" t="str">
        <f t="shared" si="13"/>
        <v xml:space="preserve"> </v>
      </c>
      <c r="O38" s="163" t="str">
        <f t="shared" si="5"/>
        <v/>
      </c>
      <c r="P38" s="163" t="str">
        <f t="shared" si="14"/>
        <v xml:space="preserve"> </v>
      </c>
      <c r="Q38" s="163" t="str">
        <f t="shared" si="6"/>
        <v/>
      </c>
      <c r="R38" s="163" t="str">
        <f t="shared" si="15"/>
        <v xml:space="preserve"> </v>
      </c>
      <c r="S38" s="163" t="str">
        <f t="shared" si="7"/>
        <v/>
      </c>
      <c r="T38" s="103"/>
      <c r="U38" s="103"/>
    </row>
    <row r="39" spans="1:21" ht="12" customHeight="1" x14ac:dyDescent="0.25">
      <c r="A39" s="161">
        <v>0.17708333333333301</v>
      </c>
      <c r="B39" s="162">
        <f>'Warrant 2'!F31</f>
        <v>0</v>
      </c>
      <c r="C39" s="162">
        <f>'Warrant 2'!I31</f>
        <v>0</v>
      </c>
      <c r="D39" s="163" t="str">
        <f t="shared" si="8"/>
        <v xml:space="preserve"> </v>
      </c>
      <c r="E39" s="163" t="str">
        <f t="shared" si="0"/>
        <v/>
      </c>
      <c r="F39" s="163" t="str">
        <f t="shared" si="9"/>
        <v xml:space="preserve"> </v>
      </c>
      <c r="G39" s="163" t="str">
        <f t="shared" si="1"/>
        <v/>
      </c>
      <c r="H39" s="163" t="str">
        <f t="shared" si="10"/>
        <v xml:space="preserve"> </v>
      </c>
      <c r="I39" s="163" t="str">
        <f t="shared" si="2"/>
        <v/>
      </c>
      <c r="J39" s="163" t="str">
        <f t="shared" si="11"/>
        <v xml:space="preserve"> </v>
      </c>
      <c r="K39" s="163" t="str">
        <f t="shared" si="3"/>
        <v/>
      </c>
      <c r="L39" s="163" t="str">
        <f t="shared" si="12"/>
        <v xml:space="preserve"> </v>
      </c>
      <c r="M39" s="163" t="str">
        <f t="shared" si="4"/>
        <v/>
      </c>
      <c r="N39" s="163" t="str">
        <f t="shared" si="13"/>
        <v xml:space="preserve"> </v>
      </c>
      <c r="O39" s="163" t="str">
        <f t="shared" si="5"/>
        <v/>
      </c>
      <c r="P39" s="163" t="str">
        <f t="shared" si="14"/>
        <v xml:space="preserve"> </v>
      </c>
      <c r="Q39" s="163" t="str">
        <f t="shared" si="6"/>
        <v/>
      </c>
      <c r="R39" s="163" t="str">
        <f t="shared" si="15"/>
        <v xml:space="preserve"> </v>
      </c>
      <c r="S39" s="163" t="str">
        <f t="shared" si="7"/>
        <v/>
      </c>
      <c r="T39" s="103"/>
      <c r="U39" s="103"/>
    </row>
    <row r="40" spans="1:21" ht="12" customHeight="1" x14ac:dyDescent="0.25">
      <c r="A40" s="161">
        <v>0.1875</v>
      </c>
      <c r="B40" s="162">
        <f>'Warrant 2'!F32</f>
        <v>0</v>
      </c>
      <c r="C40" s="162">
        <f>'Warrant 2'!I32</f>
        <v>0</v>
      </c>
      <c r="D40" s="163" t="str">
        <f t="shared" si="8"/>
        <v xml:space="preserve"> </v>
      </c>
      <c r="E40" s="163" t="str">
        <f t="shared" si="0"/>
        <v/>
      </c>
      <c r="F40" s="163" t="str">
        <f t="shared" si="9"/>
        <v xml:space="preserve"> </v>
      </c>
      <c r="G40" s="163" t="str">
        <f t="shared" si="1"/>
        <v/>
      </c>
      <c r="H40" s="163" t="str">
        <f t="shared" si="10"/>
        <v xml:space="preserve"> </v>
      </c>
      <c r="I40" s="163" t="str">
        <f t="shared" si="2"/>
        <v/>
      </c>
      <c r="J40" s="163" t="str">
        <f t="shared" si="11"/>
        <v xml:space="preserve"> </v>
      </c>
      <c r="K40" s="163" t="str">
        <f t="shared" si="3"/>
        <v/>
      </c>
      <c r="L40" s="163" t="str">
        <f t="shared" si="12"/>
        <v xml:space="preserve"> </v>
      </c>
      <c r="M40" s="163" t="str">
        <f t="shared" si="4"/>
        <v/>
      </c>
      <c r="N40" s="163" t="str">
        <f t="shared" si="13"/>
        <v xml:space="preserve"> </v>
      </c>
      <c r="O40" s="163" t="str">
        <f t="shared" si="5"/>
        <v/>
      </c>
      <c r="P40" s="163" t="str">
        <f t="shared" si="14"/>
        <v xml:space="preserve"> </v>
      </c>
      <c r="Q40" s="163" t="str">
        <f t="shared" si="6"/>
        <v/>
      </c>
      <c r="R40" s="163" t="str">
        <f t="shared" si="15"/>
        <v xml:space="preserve"> </v>
      </c>
      <c r="S40" s="163" t="str">
        <f t="shared" si="7"/>
        <v/>
      </c>
      <c r="T40" s="103"/>
      <c r="U40" s="103"/>
    </row>
    <row r="41" spans="1:21" ht="12.3" customHeight="1" x14ac:dyDescent="0.25">
      <c r="A41" s="161">
        <v>0.19791666666666699</v>
      </c>
      <c r="B41" s="162">
        <f>'Warrant 2'!F33</f>
        <v>0</v>
      </c>
      <c r="C41" s="162">
        <f>'Warrant 2'!I33</f>
        <v>0</v>
      </c>
      <c r="D41" s="163" t="str">
        <f t="shared" si="8"/>
        <v xml:space="preserve"> </v>
      </c>
      <c r="E41" s="163" t="str">
        <f t="shared" si="0"/>
        <v/>
      </c>
      <c r="F41" s="163" t="str">
        <f t="shared" si="9"/>
        <v xml:space="preserve"> </v>
      </c>
      <c r="G41" s="163" t="str">
        <f t="shared" si="1"/>
        <v/>
      </c>
      <c r="H41" s="163" t="str">
        <f t="shared" si="10"/>
        <v xml:space="preserve"> </v>
      </c>
      <c r="I41" s="163" t="str">
        <f t="shared" si="2"/>
        <v/>
      </c>
      <c r="J41" s="163" t="str">
        <f t="shared" si="11"/>
        <v xml:space="preserve"> </v>
      </c>
      <c r="K41" s="163" t="str">
        <f t="shared" si="3"/>
        <v/>
      </c>
      <c r="L41" s="163" t="str">
        <f t="shared" si="12"/>
        <v xml:space="preserve"> </v>
      </c>
      <c r="M41" s="163" t="str">
        <f t="shared" si="4"/>
        <v/>
      </c>
      <c r="N41" s="163" t="str">
        <f t="shared" si="13"/>
        <v xml:space="preserve"> </v>
      </c>
      <c r="O41" s="163" t="str">
        <f t="shared" si="5"/>
        <v/>
      </c>
      <c r="P41" s="163" t="str">
        <f t="shared" si="14"/>
        <v xml:space="preserve"> </v>
      </c>
      <c r="Q41" s="163" t="str">
        <f t="shared" si="6"/>
        <v/>
      </c>
      <c r="R41" s="163" t="str">
        <f t="shared" si="15"/>
        <v xml:space="preserve"> </v>
      </c>
      <c r="S41" s="163" t="str">
        <f t="shared" si="7"/>
        <v/>
      </c>
      <c r="T41" s="103"/>
      <c r="U41" s="103"/>
    </row>
    <row r="42" spans="1:21" ht="10.5" customHeight="1" x14ac:dyDescent="0.25">
      <c r="A42" s="161">
        <v>0.20833333333333301</v>
      </c>
      <c r="B42" s="162">
        <f>'Warrant 2'!F34</f>
        <v>0</v>
      </c>
      <c r="C42" s="162">
        <f>'Warrant 2'!I34</f>
        <v>0</v>
      </c>
      <c r="D42" s="163" t="str">
        <f t="shared" si="8"/>
        <v xml:space="preserve"> </v>
      </c>
      <c r="E42" s="163" t="str">
        <f t="shared" si="0"/>
        <v/>
      </c>
      <c r="F42" s="163" t="str">
        <f t="shared" si="9"/>
        <v xml:space="preserve"> </v>
      </c>
      <c r="G42" s="163" t="str">
        <f t="shared" si="1"/>
        <v/>
      </c>
      <c r="H42" s="163" t="str">
        <f t="shared" si="10"/>
        <v xml:space="preserve"> </v>
      </c>
      <c r="I42" s="163" t="str">
        <f t="shared" si="2"/>
        <v/>
      </c>
      <c r="J42" s="163" t="str">
        <f t="shared" si="11"/>
        <v xml:space="preserve"> </v>
      </c>
      <c r="K42" s="163" t="str">
        <f t="shared" si="3"/>
        <v/>
      </c>
      <c r="L42" s="163" t="str">
        <f t="shared" si="12"/>
        <v xml:space="preserve"> </v>
      </c>
      <c r="M42" s="163" t="str">
        <f t="shared" si="4"/>
        <v/>
      </c>
      <c r="N42" s="163" t="str">
        <f t="shared" si="13"/>
        <v xml:space="preserve"> </v>
      </c>
      <c r="O42" s="163" t="str">
        <f t="shared" si="5"/>
        <v/>
      </c>
      <c r="P42" s="163" t="str">
        <f t="shared" si="14"/>
        <v xml:space="preserve"> </v>
      </c>
      <c r="Q42" s="163" t="str">
        <f t="shared" si="6"/>
        <v/>
      </c>
      <c r="R42" s="163" t="str">
        <f t="shared" si="15"/>
        <v xml:space="preserve"> </v>
      </c>
      <c r="S42" s="163" t="str">
        <f t="shared" si="7"/>
        <v/>
      </c>
      <c r="T42" s="103"/>
      <c r="U42" s="103"/>
    </row>
    <row r="43" spans="1:21" ht="10.8" customHeight="1" x14ac:dyDescent="0.25">
      <c r="A43" s="161">
        <v>0.21875</v>
      </c>
      <c r="B43" s="162">
        <f>'Warrant 2'!F35</f>
        <v>0</v>
      </c>
      <c r="C43" s="162">
        <f>'Warrant 2'!I35</f>
        <v>0</v>
      </c>
      <c r="D43" s="163" t="str">
        <f t="shared" si="8"/>
        <v xml:space="preserve"> </v>
      </c>
      <c r="E43" s="163" t="str">
        <f t="shared" ref="E43:E106" si="16">IF(AND($B$5="1 Lane",$B$6="1 Lane"),IF(AND($C43&gt;=E$18,D43=1),1," "),IF(AND($B$5="1 Lane",$B$6="2 or More Lanes"),IF(AND(D43=1,$C43&gt;=E$20),1," "),IF(AND($B$5="2 or More Lanes",$B$6="1 Lane"),IF(AND(D43=1,$C43&gt;=E$18),1," "),IF(AND(D43=1,$C43&gt;=E$20),1,""))))</f>
        <v/>
      </c>
      <c r="F43" s="163" t="str">
        <f t="shared" si="9"/>
        <v xml:space="preserve"> </v>
      </c>
      <c r="G43" s="163" t="str">
        <f t="shared" si="1"/>
        <v/>
      </c>
      <c r="H43" s="163" t="str">
        <f t="shared" si="10"/>
        <v xml:space="preserve"> </v>
      </c>
      <c r="I43" s="163" t="str">
        <f t="shared" si="2"/>
        <v/>
      </c>
      <c r="J43" s="163" t="str">
        <f t="shared" si="11"/>
        <v xml:space="preserve"> </v>
      </c>
      <c r="K43" s="163" t="str">
        <f t="shared" si="3"/>
        <v/>
      </c>
      <c r="L43" s="163" t="str">
        <f t="shared" si="12"/>
        <v xml:space="preserve"> </v>
      </c>
      <c r="M43" s="163" t="str">
        <f t="shared" si="4"/>
        <v/>
      </c>
      <c r="N43" s="163" t="str">
        <f t="shared" si="13"/>
        <v xml:space="preserve"> </v>
      </c>
      <c r="O43" s="163" t="str">
        <f t="shared" si="5"/>
        <v/>
      </c>
      <c r="P43" s="163" t="str">
        <f t="shared" si="14"/>
        <v xml:space="preserve"> </v>
      </c>
      <c r="Q43" s="163" t="str">
        <f t="shared" si="6"/>
        <v/>
      </c>
      <c r="R43" s="163" t="str">
        <f t="shared" si="15"/>
        <v xml:space="preserve"> </v>
      </c>
      <c r="S43" s="163" t="str">
        <f t="shared" si="7"/>
        <v/>
      </c>
      <c r="T43" s="103"/>
      <c r="U43" s="103"/>
    </row>
    <row r="44" spans="1:21" ht="10.8" customHeight="1" x14ac:dyDescent="0.25">
      <c r="A44" s="161">
        <v>0.22916666666666699</v>
      </c>
      <c r="B44" s="162">
        <f>'Warrant 2'!F36</f>
        <v>0</v>
      </c>
      <c r="C44" s="162">
        <f>'Warrant 2'!I36</f>
        <v>0</v>
      </c>
      <c r="D44" s="163" t="str">
        <f t="shared" si="8"/>
        <v xml:space="preserve"> </v>
      </c>
      <c r="E44" s="163" t="str">
        <f t="shared" si="16"/>
        <v/>
      </c>
      <c r="F44" s="163" t="str">
        <f t="shared" si="9"/>
        <v xml:space="preserve"> </v>
      </c>
      <c r="G44" s="163" t="str">
        <f t="shared" si="1"/>
        <v/>
      </c>
      <c r="H44" s="163" t="str">
        <f t="shared" si="10"/>
        <v xml:space="preserve"> </v>
      </c>
      <c r="I44" s="163" t="str">
        <f t="shared" si="2"/>
        <v/>
      </c>
      <c r="J44" s="163" t="str">
        <f t="shared" si="11"/>
        <v xml:space="preserve"> </v>
      </c>
      <c r="K44" s="163" t="str">
        <f t="shared" si="3"/>
        <v/>
      </c>
      <c r="L44" s="163" t="str">
        <f t="shared" si="12"/>
        <v xml:space="preserve"> </v>
      </c>
      <c r="M44" s="163" t="str">
        <f t="shared" si="4"/>
        <v/>
      </c>
      <c r="N44" s="163" t="str">
        <f t="shared" si="13"/>
        <v xml:space="preserve"> </v>
      </c>
      <c r="O44" s="163" t="str">
        <f t="shared" si="5"/>
        <v/>
      </c>
      <c r="P44" s="163" t="str">
        <f t="shared" si="14"/>
        <v xml:space="preserve"> </v>
      </c>
      <c r="Q44" s="163" t="str">
        <f t="shared" si="6"/>
        <v/>
      </c>
      <c r="R44" s="163" t="str">
        <f t="shared" si="15"/>
        <v xml:space="preserve"> </v>
      </c>
      <c r="S44" s="163" t="str">
        <f t="shared" si="7"/>
        <v/>
      </c>
      <c r="T44" s="103"/>
      <c r="U44" s="103"/>
    </row>
    <row r="45" spans="1:21" ht="10.8" customHeight="1" x14ac:dyDescent="0.25">
      <c r="A45" s="161">
        <v>0.23958333333333301</v>
      </c>
      <c r="B45" s="162">
        <f>'Warrant 2'!F37</f>
        <v>0</v>
      </c>
      <c r="C45" s="162">
        <f>'Warrant 2'!I37</f>
        <v>0</v>
      </c>
      <c r="D45" s="163" t="str">
        <f t="shared" si="8"/>
        <v xml:space="preserve"> </v>
      </c>
      <c r="E45" s="163" t="str">
        <f t="shared" si="16"/>
        <v/>
      </c>
      <c r="F45" s="163" t="str">
        <f t="shared" si="9"/>
        <v xml:space="preserve"> </v>
      </c>
      <c r="G45" s="163" t="str">
        <f t="shared" si="1"/>
        <v/>
      </c>
      <c r="H45" s="163" t="str">
        <f t="shared" si="10"/>
        <v xml:space="preserve"> </v>
      </c>
      <c r="I45" s="163" t="str">
        <f t="shared" si="2"/>
        <v/>
      </c>
      <c r="J45" s="163" t="str">
        <f t="shared" si="11"/>
        <v xml:space="preserve"> </v>
      </c>
      <c r="K45" s="163" t="str">
        <f t="shared" si="3"/>
        <v/>
      </c>
      <c r="L45" s="163" t="str">
        <f t="shared" si="12"/>
        <v xml:space="preserve"> </v>
      </c>
      <c r="M45" s="163" t="str">
        <f t="shared" si="4"/>
        <v/>
      </c>
      <c r="N45" s="163" t="str">
        <f t="shared" si="13"/>
        <v xml:space="preserve"> </v>
      </c>
      <c r="O45" s="163" t="str">
        <f t="shared" si="5"/>
        <v/>
      </c>
      <c r="P45" s="163" t="str">
        <f t="shared" si="14"/>
        <v xml:space="preserve"> </v>
      </c>
      <c r="Q45" s="163" t="str">
        <f t="shared" si="6"/>
        <v/>
      </c>
      <c r="R45" s="163" t="str">
        <f t="shared" si="15"/>
        <v xml:space="preserve"> </v>
      </c>
      <c r="S45" s="163" t="str">
        <f t="shared" si="7"/>
        <v/>
      </c>
      <c r="T45" s="103"/>
      <c r="U45" s="103"/>
    </row>
    <row r="46" spans="1:21" ht="10.8" customHeight="1" x14ac:dyDescent="0.25">
      <c r="A46" s="161">
        <v>0.25</v>
      </c>
      <c r="B46" s="162">
        <f>'Warrant 2'!F38</f>
        <v>0</v>
      </c>
      <c r="C46" s="162">
        <f>'Warrant 2'!I38</f>
        <v>0</v>
      </c>
      <c r="D46" s="163" t="str">
        <f t="shared" si="8"/>
        <v xml:space="preserve"> </v>
      </c>
      <c r="E46" s="163" t="str">
        <f t="shared" si="16"/>
        <v/>
      </c>
      <c r="F46" s="163" t="str">
        <f t="shared" si="9"/>
        <v xml:space="preserve"> </v>
      </c>
      <c r="G46" s="163" t="str">
        <f t="shared" si="1"/>
        <v/>
      </c>
      <c r="H46" s="163" t="str">
        <f t="shared" si="10"/>
        <v xml:space="preserve"> </v>
      </c>
      <c r="I46" s="163" t="str">
        <f t="shared" si="2"/>
        <v/>
      </c>
      <c r="J46" s="163" t="str">
        <f t="shared" si="11"/>
        <v xml:space="preserve"> </v>
      </c>
      <c r="K46" s="163" t="str">
        <f t="shared" si="3"/>
        <v/>
      </c>
      <c r="L46" s="163" t="str">
        <f t="shared" si="12"/>
        <v xml:space="preserve"> </v>
      </c>
      <c r="M46" s="163" t="str">
        <f t="shared" si="4"/>
        <v/>
      </c>
      <c r="N46" s="163" t="str">
        <f t="shared" si="13"/>
        <v xml:space="preserve"> </v>
      </c>
      <c r="O46" s="163" t="str">
        <f t="shared" si="5"/>
        <v/>
      </c>
      <c r="P46" s="163" t="str">
        <f t="shared" si="14"/>
        <v xml:space="preserve"> </v>
      </c>
      <c r="Q46" s="163" t="str">
        <f t="shared" si="6"/>
        <v/>
      </c>
      <c r="R46" s="163" t="str">
        <f t="shared" si="15"/>
        <v xml:space="preserve"> </v>
      </c>
      <c r="S46" s="163" t="str">
        <f t="shared" si="7"/>
        <v/>
      </c>
      <c r="T46" s="103"/>
      <c r="U46" s="103"/>
    </row>
    <row r="47" spans="1:21" ht="10.8" customHeight="1" x14ac:dyDescent="0.25">
      <c r="A47" s="161">
        <v>0.26041666666666702</v>
      </c>
      <c r="B47" s="162">
        <f>'Warrant 2'!F39</f>
        <v>455</v>
      </c>
      <c r="C47" s="162">
        <f>'Warrant 2'!I39</f>
        <v>31</v>
      </c>
      <c r="D47" s="163" t="str">
        <f t="shared" si="8"/>
        <v xml:space="preserve"> </v>
      </c>
      <c r="E47" s="163" t="str">
        <f t="shared" si="16"/>
        <v/>
      </c>
      <c r="F47" s="163">
        <f t="shared" si="9"/>
        <v>1</v>
      </c>
      <c r="G47" s="163" t="str">
        <f t="shared" si="1"/>
        <v/>
      </c>
      <c r="H47" s="163" t="str">
        <f t="shared" si="10"/>
        <v xml:space="preserve"> </v>
      </c>
      <c r="I47" s="163" t="str">
        <f t="shared" si="2"/>
        <v/>
      </c>
      <c r="J47" s="163" t="str">
        <f t="shared" si="11"/>
        <v xml:space="preserve"> </v>
      </c>
      <c r="K47" s="163" t="str">
        <f t="shared" si="3"/>
        <v/>
      </c>
      <c r="L47" s="163" t="str">
        <f t="shared" si="12"/>
        <v xml:space="preserve"> </v>
      </c>
      <c r="M47" s="163" t="str">
        <f t="shared" si="4"/>
        <v/>
      </c>
      <c r="N47" s="163" t="str">
        <f t="shared" si="13"/>
        <v xml:space="preserve"> </v>
      </c>
      <c r="O47" s="163" t="str">
        <f t="shared" si="5"/>
        <v/>
      </c>
      <c r="P47" s="163">
        <f t="shared" si="14"/>
        <v>1</v>
      </c>
      <c r="Q47" s="163" t="str">
        <f t="shared" si="6"/>
        <v/>
      </c>
      <c r="R47" s="163" t="str">
        <f t="shared" si="15"/>
        <v xml:space="preserve"> </v>
      </c>
      <c r="S47" s="163" t="str">
        <f t="shared" si="7"/>
        <v/>
      </c>
      <c r="T47" s="103"/>
      <c r="U47" s="103"/>
    </row>
    <row r="48" spans="1:21" ht="10.8" customHeight="1" x14ac:dyDescent="0.25">
      <c r="A48" s="161">
        <v>0.27083333333333298</v>
      </c>
      <c r="B48" s="162">
        <f>'Warrant 2'!F40</f>
        <v>1016</v>
      </c>
      <c r="C48" s="162">
        <f>'Warrant 2'!I40</f>
        <v>73</v>
      </c>
      <c r="D48" s="163">
        <f t="shared" si="8"/>
        <v>1</v>
      </c>
      <c r="E48" s="163" t="str">
        <f t="shared" si="16"/>
        <v/>
      </c>
      <c r="F48" s="163" t="str">
        <f t="shared" si="9"/>
        <v xml:space="preserve"> </v>
      </c>
      <c r="G48" s="163" t="str">
        <f t="shared" si="1"/>
        <v/>
      </c>
      <c r="H48" s="163">
        <f t="shared" si="10"/>
        <v>1</v>
      </c>
      <c r="I48" s="163" t="str">
        <f t="shared" si="2"/>
        <v/>
      </c>
      <c r="J48" s="163">
        <f t="shared" si="11"/>
        <v>1</v>
      </c>
      <c r="K48" s="163">
        <f t="shared" si="3"/>
        <v>1</v>
      </c>
      <c r="L48" s="163">
        <f t="shared" si="12"/>
        <v>1</v>
      </c>
      <c r="M48" s="163" t="str">
        <f t="shared" si="4"/>
        <v/>
      </c>
      <c r="N48" s="163">
        <f t="shared" si="13"/>
        <v>1</v>
      </c>
      <c r="O48" s="163" t="str">
        <f t="shared" si="5"/>
        <v/>
      </c>
      <c r="P48" s="163" t="str">
        <f t="shared" si="14"/>
        <v xml:space="preserve"> </v>
      </c>
      <c r="Q48" s="163" t="str">
        <f t="shared" si="6"/>
        <v/>
      </c>
      <c r="R48" s="163">
        <f t="shared" si="15"/>
        <v>1</v>
      </c>
      <c r="S48" s="163">
        <f t="shared" si="7"/>
        <v>1</v>
      </c>
      <c r="T48" s="103"/>
      <c r="U48" s="103"/>
    </row>
    <row r="49" spans="1:21" ht="10.8" customHeight="1" x14ac:dyDescent="0.25">
      <c r="A49" s="161">
        <v>0.28125</v>
      </c>
      <c r="B49" s="162">
        <f>'Warrant 2'!F41</f>
        <v>1574</v>
      </c>
      <c r="C49" s="162">
        <f>'Warrant 2'!I41</f>
        <v>138</v>
      </c>
      <c r="D49" s="163" t="str">
        <f t="shared" si="8"/>
        <v xml:space="preserve"> </v>
      </c>
      <c r="E49" s="163" t="str">
        <f t="shared" si="16"/>
        <v/>
      </c>
      <c r="F49" s="163" t="str">
        <f t="shared" si="9"/>
        <v xml:space="preserve"> </v>
      </c>
      <c r="G49" s="163" t="str">
        <f t="shared" si="1"/>
        <v/>
      </c>
      <c r="H49" s="163" t="str">
        <f t="shared" si="10"/>
        <v xml:space="preserve"> </v>
      </c>
      <c r="I49" s="163" t="str">
        <f t="shared" si="2"/>
        <v/>
      </c>
      <c r="J49" s="163" t="str">
        <f t="shared" si="11"/>
        <v xml:space="preserve"> </v>
      </c>
      <c r="K49" s="163" t="str">
        <f t="shared" si="3"/>
        <v/>
      </c>
      <c r="L49" s="163" t="str">
        <f t="shared" si="12"/>
        <v xml:space="preserve"> </v>
      </c>
      <c r="M49" s="163" t="str">
        <f t="shared" si="4"/>
        <v/>
      </c>
      <c r="N49" s="163" t="str">
        <f t="shared" si="13"/>
        <v xml:space="preserve"> </v>
      </c>
      <c r="O49" s="163" t="str">
        <f t="shared" si="5"/>
        <v/>
      </c>
      <c r="P49" s="163" t="str">
        <f t="shared" si="14"/>
        <v xml:space="preserve"> </v>
      </c>
      <c r="Q49" s="163" t="str">
        <f t="shared" si="6"/>
        <v/>
      </c>
      <c r="R49" s="163" t="str">
        <f t="shared" si="15"/>
        <v xml:space="preserve"> </v>
      </c>
      <c r="S49" s="163" t="str">
        <f t="shared" si="7"/>
        <v/>
      </c>
      <c r="T49" s="103"/>
      <c r="U49" s="103"/>
    </row>
    <row r="50" spans="1:21" ht="10.8" customHeight="1" x14ac:dyDescent="0.25">
      <c r="A50" s="161">
        <v>0.29166666666666702</v>
      </c>
      <c r="B50" s="162">
        <f>'Warrant 2'!F42</f>
        <v>2127</v>
      </c>
      <c r="C50" s="162">
        <f>'Warrant 2'!I42</f>
        <v>210</v>
      </c>
      <c r="D50" s="163" t="str">
        <f t="shared" si="8"/>
        <v xml:space="preserve"> </v>
      </c>
      <c r="E50" s="163" t="str">
        <f t="shared" si="16"/>
        <v/>
      </c>
      <c r="F50" s="163" t="str">
        <f t="shared" si="9"/>
        <v xml:space="preserve"> </v>
      </c>
      <c r="G50" s="163" t="str">
        <f t="shared" si="1"/>
        <v/>
      </c>
      <c r="H50" s="163" t="str">
        <f t="shared" si="10"/>
        <v xml:space="preserve"> </v>
      </c>
      <c r="I50" s="163" t="str">
        <f t="shared" si="2"/>
        <v/>
      </c>
      <c r="J50" s="163" t="str">
        <f t="shared" si="11"/>
        <v xml:space="preserve"> </v>
      </c>
      <c r="K50" s="163" t="str">
        <f t="shared" si="3"/>
        <v/>
      </c>
      <c r="L50" s="163" t="str">
        <f t="shared" si="12"/>
        <v xml:space="preserve"> </v>
      </c>
      <c r="M50" s="163" t="str">
        <f t="shared" si="4"/>
        <v/>
      </c>
      <c r="N50" s="163" t="str">
        <f t="shared" si="13"/>
        <v xml:space="preserve"> </v>
      </c>
      <c r="O50" s="163" t="str">
        <f t="shared" si="5"/>
        <v/>
      </c>
      <c r="P50" s="163" t="str">
        <f t="shared" si="14"/>
        <v xml:space="preserve"> </v>
      </c>
      <c r="Q50" s="163" t="str">
        <f t="shared" si="6"/>
        <v/>
      </c>
      <c r="R50" s="163" t="str">
        <f t="shared" si="15"/>
        <v xml:space="preserve"> </v>
      </c>
      <c r="S50" s="163" t="str">
        <f t="shared" si="7"/>
        <v/>
      </c>
      <c r="T50" s="103"/>
      <c r="U50" s="103"/>
    </row>
    <row r="51" spans="1:21" ht="10.8" customHeight="1" x14ac:dyDescent="0.25">
      <c r="A51" s="161">
        <v>0.30208333333333298</v>
      </c>
      <c r="B51" s="162">
        <f>'Warrant 2'!F43</f>
        <v>2173</v>
      </c>
      <c r="C51" s="162">
        <f>'Warrant 2'!I43</f>
        <v>204</v>
      </c>
      <c r="D51" s="163" t="str">
        <f t="shared" si="8"/>
        <v xml:space="preserve"> </v>
      </c>
      <c r="E51" s="163" t="str">
        <f t="shared" si="16"/>
        <v/>
      </c>
      <c r="F51" s="163">
        <f t="shared" si="9"/>
        <v>1</v>
      </c>
      <c r="G51" s="163">
        <f t="shared" si="1"/>
        <v>1</v>
      </c>
      <c r="H51" s="163" t="str">
        <f t="shared" si="10"/>
        <v xml:space="preserve"> </v>
      </c>
      <c r="I51" s="163" t="str">
        <f t="shared" si="2"/>
        <v/>
      </c>
      <c r="J51" s="163" t="str">
        <f t="shared" si="11"/>
        <v xml:space="preserve"> </v>
      </c>
      <c r="K51" s="163" t="str">
        <f t="shared" si="3"/>
        <v/>
      </c>
      <c r="L51" s="163" t="str">
        <f t="shared" si="12"/>
        <v xml:space="preserve"> </v>
      </c>
      <c r="M51" s="163" t="str">
        <f t="shared" si="4"/>
        <v/>
      </c>
      <c r="N51" s="163" t="str">
        <f t="shared" si="13"/>
        <v xml:space="preserve"> </v>
      </c>
      <c r="O51" s="163" t="str">
        <f t="shared" si="5"/>
        <v/>
      </c>
      <c r="P51" s="163">
        <f t="shared" si="14"/>
        <v>1</v>
      </c>
      <c r="Q51" s="163">
        <f t="shared" si="6"/>
        <v>1</v>
      </c>
      <c r="R51" s="163" t="str">
        <f t="shared" si="15"/>
        <v xml:space="preserve"> </v>
      </c>
      <c r="S51" s="163" t="str">
        <f t="shared" si="7"/>
        <v/>
      </c>
      <c r="T51" s="103"/>
      <c r="U51" s="103"/>
    </row>
    <row r="52" spans="1:21" ht="10.8" customHeight="1" x14ac:dyDescent="0.25">
      <c r="A52" s="161">
        <v>0.3125</v>
      </c>
      <c r="B52" s="162">
        <f>'Warrant 2'!F44</f>
        <v>2146</v>
      </c>
      <c r="C52" s="162">
        <f>'Warrant 2'!I44</f>
        <v>188</v>
      </c>
      <c r="D52" s="163">
        <f t="shared" si="8"/>
        <v>1</v>
      </c>
      <c r="E52" s="163" t="str">
        <f t="shared" si="16"/>
        <v/>
      </c>
      <c r="F52" s="163" t="str">
        <f t="shared" si="9"/>
        <v xml:space="preserve"> </v>
      </c>
      <c r="G52" s="163" t="str">
        <f t="shared" si="1"/>
        <v/>
      </c>
      <c r="H52" s="163">
        <f t="shared" si="10"/>
        <v>1</v>
      </c>
      <c r="I52" s="163">
        <f t="shared" si="2"/>
        <v>1</v>
      </c>
      <c r="J52" s="163">
        <f t="shared" si="11"/>
        <v>1</v>
      </c>
      <c r="K52" s="163">
        <f t="shared" si="3"/>
        <v>1</v>
      </c>
      <c r="L52" s="163">
        <f t="shared" si="12"/>
        <v>1</v>
      </c>
      <c r="M52" s="163">
        <f t="shared" si="4"/>
        <v>1</v>
      </c>
      <c r="N52" s="163">
        <f t="shared" si="13"/>
        <v>1</v>
      </c>
      <c r="O52" s="163">
        <f t="shared" si="5"/>
        <v>1</v>
      </c>
      <c r="P52" s="163" t="str">
        <f t="shared" si="14"/>
        <v xml:space="preserve"> </v>
      </c>
      <c r="Q52" s="163" t="str">
        <f t="shared" si="6"/>
        <v/>
      </c>
      <c r="R52" s="163">
        <f t="shared" si="15"/>
        <v>1</v>
      </c>
      <c r="S52" s="163">
        <f t="shared" si="7"/>
        <v>1</v>
      </c>
      <c r="T52" s="103"/>
      <c r="U52" s="103"/>
    </row>
    <row r="53" spans="1:21" ht="10.8" customHeight="1" x14ac:dyDescent="0.25">
      <c r="A53" s="161">
        <v>0.32291666666666702</v>
      </c>
      <c r="B53" s="162">
        <f>'Warrant 2'!F45</f>
        <v>2099</v>
      </c>
      <c r="C53" s="162">
        <f>'Warrant 2'!I45</f>
        <v>156</v>
      </c>
      <c r="D53" s="163" t="str">
        <f t="shared" si="8"/>
        <v xml:space="preserve"> </v>
      </c>
      <c r="E53" s="163" t="str">
        <f t="shared" si="16"/>
        <v/>
      </c>
      <c r="F53" s="163" t="str">
        <f t="shared" si="9"/>
        <v xml:space="preserve"> </v>
      </c>
      <c r="G53" s="163" t="str">
        <f t="shared" si="1"/>
        <v/>
      </c>
      <c r="H53" s="163" t="str">
        <f t="shared" si="10"/>
        <v xml:space="preserve"> </v>
      </c>
      <c r="I53" s="163" t="str">
        <f t="shared" si="2"/>
        <v/>
      </c>
      <c r="J53" s="163" t="str">
        <f t="shared" si="11"/>
        <v xml:space="preserve"> </v>
      </c>
      <c r="K53" s="163" t="str">
        <f t="shared" si="3"/>
        <v/>
      </c>
      <c r="L53" s="163" t="str">
        <f t="shared" si="12"/>
        <v xml:space="preserve"> </v>
      </c>
      <c r="M53" s="163" t="str">
        <f t="shared" si="4"/>
        <v/>
      </c>
      <c r="N53" s="163" t="str">
        <f t="shared" si="13"/>
        <v xml:space="preserve"> </v>
      </c>
      <c r="O53" s="163" t="str">
        <f t="shared" si="5"/>
        <v/>
      </c>
      <c r="P53" s="163" t="str">
        <f t="shared" si="14"/>
        <v xml:space="preserve"> </v>
      </c>
      <c r="Q53" s="163" t="str">
        <f t="shared" si="6"/>
        <v/>
      </c>
      <c r="R53" s="163" t="str">
        <f t="shared" si="15"/>
        <v xml:space="preserve"> </v>
      </c>
      <c r="S53" s="163" t="str">
        <f t="shared" si="7"/>
        <v/>
      </c>
      <c r="T53" s="103"/>
      <c r="U53" s="103"/>
    </row>
    <row r="54" spans="1:21" ht="10.8" customHeight="1" x14ac:dyDescent="0.25">
      <c r="A54" s="161">
        <v>0.33333333333333298</v>
      </c>
      <c r="B54" s="162">
        <f>'Warrant 2'!F46</f>
        <v>2083</v>
      </c>
      <c r="C54" s="162">
        <f>'Warrant 2'!I46</f>
        <v>169</v>
      </c>
      <c r="D54" s="163" t="str">
        <f t="shared" si="8"/>
        <v xml:space="preserve"> </v>
      </c>
      <c r="E54" s="163" t="str">
        <f t="shared" si="16"/>
        <v/>
      </c>
      <c r="F54" s="163" t="str">
        <f t="shared" si="9"/>
        <v xml:space="preserve"> </v>
      </c>
      <c r="G54" s="163" t="str">
        <f t="shared" si="1"/>
        <v/>
      </c>
      <c r="H54" s="163" t="str">
        <f t="shared" si="10"/>
        <v xml:space="preserve"> </v>
      </c>
      <c r="I54" s="163" t="str">
        <f t="shared" si="2"/>
        <v/>
      </c>
      <c r="J54" s="163" t="str">
        <f t="shared" si="11"/>
        <v xml:space="preserve"> </v>
      </c>
      <c r="K54" s="163" t="str">
        <f t="shared" si="3"/>
        <v/>
      </c>
      <c r="L54" s="163" t="str">
        <f t="shared" si="12"/>
        <v xml:space="preserve"> </v>
      </c>
      <c r="M54" s="163" t="str">
        <f t="shared" si="4"/>
        <v/>
      </c>
      <c r="N54" s="163" t="str">
        <f t="shared" si="13"/>
        <v xml:space="preserve"> </v>
      </c>
      <c r="O54" s="163" t="str">
        <f t="shared" si="5"/>
        <v/>
      </c>
      <c r="P54" s="163" t="str">
        <f t="shared" si="14"/>
        <v xml:space="preserve"> </v>
      </c>
      <c r="Q54" s="163" t="str">
        <f t="shared" si="6"/>
        <v/>
      </c>
      <c r="R54" s="163" t="str">
        <f t="shared" si="15"/>
        <v xml:space="preserve"> </v>
      </c>
      <c r="S54" s="163" t="str">
        <f t="shared" si="7"/>
        <v/>
      </c>
      <c r="T54" s="103"/>
      <c r="U54" s="103"/>
    </row>
    <row r="55" spans="1:21" ht="10.8" customHeight="1" x14ac:dyDescent="0.25">
      <c r="A55" s="161">
        <v>0.34375</v>
      </c>
      <c r="B55" s="162">
        <f>'Warrant 2'!F47</f>
        <v>1955</v>
      </c>
      <c r="C55" s="162">
        <f>'Warrant 2'!I47</f>
        <v>156</v>
      </c>
      <c r="D55" s="163" t="str">
        <f t="shared" si="8"/>
        <v xml:space="preserve"> </v>
      </c>
      <c r="E55" s="163" t="str">
        <f t="shared" si="16"/>
        <v/>
      </c>
      <c r="F55" s="163">
        <f t="shared" si="9"/>
        <v>1</v>
      </c>
      <c r="G55" s="163">
        <f t="shared" si="1"/>
        <v>1</v>
      </c>
      <c r="H55" s="163" t="str">
        <f t="shared" si="10"/>
        <v xml:space="preserve"> </v>
      </c>
      <c r="I55" s="163" t="str">
        <f t="shared" si="2"/>
        <v/>
      </c>
      <c r="J55" s="163" t="str">
        <f t="shared" si="11"/>
        <v xml:space="preserve"> </v>
      </c>
      <c r="K55" s="163" t="str">
        <f t="shared" si="3"/>
        <v/>
      </c>
      <c r="L55" s="163" t="str">
        <f t="shared" si="12"/>
        <v xml:space="preserve"> </v>
      </c>
      <c r="M55" s="163" t="str">
        <f t="shared" si="4"/>
        <v/>
      </c>
      <c r="N55" s="163" t="str">
        <f t="shared" si="13"/>
        <v xml:space="preserve"> </v>
      </c>
      <c r="O55" s="163" t="str">
        <f t="shared" si="5"/>
        <v/>
      </c>
      <c r="P55" s="163">
        <f t="shared" si="14"/>
        <v>1</v>
      </c>
      <c r="Q55" s="163">
        <f t="shared" si="6"/>
        <v>1</v>
      </c>
      <c r="R55" s="163" t="str">
        <f t="shared" si="15"/>
        <v xml:space="preserve"> </v>
      </c>
      <c r="S55" s="163" t="str">
        <f t="shared" si="7"/>
        <v/>
      </c>
      <c r="T55" s="103"/>
      <c r="U55" s="103"/>
    </row>
    <row r="56" spans="1:21" ht="10.8" customHeight="1" x14ac:dyDescent="0.25">
      <c r="A56" s="161">
        <v>0.35416666666666702</v>
      </c>
      <c r="B56" s="162">
        <f>'Warrant 2'!F48</f>
        <v>1822</v>
      </c>
      <c r="C56" s="162">
        <f>'Warrant 2'!I48</f>
        <v>156</v>
      </c>
      <c r="D56" s="163">
        <f t="shared" si="8"/>
        <v>1</v>
      </c>
      <c r="E56" s="163" t="str">
        <f t="shared" si="16"/>
        <v/>
      </c>
      <c r="F56" s="163" t="str">
        <f t="shared" si="9"/>
        <v xml:space="preserve"> </v>
      </c>
      <c r="G56" s="163" t="str">
        <f t="shared" si="1"/>
        <v/>
      </c>
      <c r="H56" s="163">
        <f t="shared" si="10"/>
        <v>1</v>
      </c>
      <c r="I56" s="163">
        <f t="shared" si="2"/>
        <v>1</v>
      </c>
      <c r="J56" s="163">
        <f t="shared" si="11"/>
        <v>1</v>
      </c>
      <c r="K56" s="163">
        <f t="shared" si="3"/>
        <v>1</v>
      </c>
      <c r="L56" s="163">
        <f t="shared" si="12"/>
        <v>1</v>
      </c>
      <c r="M56" s="163" t="str">
        <f t="shared" si="4"/>
        <v/>
      </c>
      <c r="N56" s="163">
        <f t="shared" si="13"/>
        <v>1</v>
      </c>
      <c r="O56" s="163">
        <f t="shared" si="5"/>
        <v>1</v>
      </c>
      <c r="P56" s="163" t="str">
        <f t="shared" si="14"/>
        <v xml:space="preserve"> </v>
      </c>
      <c r="Q56" s="163" t="str">
        <f t="shared" si="6"/>
        <v/>
      </c>
      <c r="R56" s="163">
        <f t="shared" si="15"/>
        <v>1</v>
      </c>
      <c r="S56" s="163">
        <f t="shared" si="7"/>
        <v>1</v>
      </c>
      <c r="T56" s="103"/>
      <c r="U56" s="103"/>
    </row>
    <row r="57" spans="1:21" ht="10.8" customHeight="1" x14ac:dyDescent="0.25">
      <c r="A57" s="161">
        <v>0.36458333333333298</v>
      </c>
      <c r="B57" s="162">
        <f>'Warrant 2'!F49</f>
        <v>1724</v>
      </c>
      <c r="C57" s="162">
        <f>'Warrant 2'!I49</f>
        <v>160</v>
      </c>
      <c r="D57" s="163" t="str">
        <f t="shared" si="8"/>
        <v xml:space="preserve"> </v>
      </c>
      <c r="E57" s="163" t="str">
        <f t="shared" si="16"/>
        <v/>
      </c>
      <c r="F57" s="163" t="str">
        <f t="shared" si="9"/>
        <v xml:space="preserve"> </v>
      </c>
      <c r="G57" s="163" t="str">
        <f t="shared" si="1"/>
        <v/>
      </c>
      <c r="H57" s="163" t="str">
        <f t="shared" si="10"/>
        <v xml:space="preserve"> </v>
      </c>
      <c r="I57" s="163" t="str">
        <f t="shared" si="2"/>
        <v/>
      </c>
      <c r="J57" s="163" t="str">
        <f t="shared" si="11"/>
        <v xml:space="preserve"> </v>
      </c>
      <c r="K57" s="163" t="str">
        <f t="shared" si="3"/>
        <v/>
      </c>
      <c r="L57" s="163" t="str">
        <f t="shared" si="12"/>
        <v xml:space="preserve"> </v>
      </c>
      <c r="M57" s="163" t="str">
        <f t="shared" si="4"/>
        <v/>
      </c>
      <c r="N57" s="163" t="str">
        <f t="shared" si="13"/>
        <v xml:space="preserve"> </v>
      </c>
      <c r="O57" s="163" t="str">
        <f t="shared" si="5"/>
        <v/>
      </c>
      <c r="P57" s="163" t="str">
        <f t="shared" si="14"/>
        <v xml:space="preserve"> </v>
      </c>
      <c r="Q57" s="163" t="str">
        <f t="shared" si="6"/>
        <v/>
      </c>
      <c r="R57" s="163" t="str">
        <f t="shared" si="15"/>
        <v xml:space="preserve"> </v>
      </c>
      <c r="S57" s="163" t="str">
        <f t="shared" si="7"/>
        <v/>
      </c>
      <c r="T57" s="103"/>
      <c r="U57" s="103"/>
    </row>
    <row r="58" spans="1:21" ht="10.8" customHeight="1" x14ac:dyDescent="0.25">
      <c r="A58" s="161">
        <v>0.375</v>
      </c>
      <c r="B58" s="162">
        <f>'Warrant 2'!F50</f>
        <v>1575</v>
      </c>
      <c r="C58" s="162">
        <f>'Warrant 2'!I50</f>
        <v>140</v>
      </c>
      <c r="D58" s="163" t="str">
        <f t="shared" si="8"/>
        <v xml:space="preserve"> </v>
      </c>
      <c r="E58" s="163" t="str">
        <f t="shared" si="16"/>
        <v/>
      </c>
      <c r="F58" s="163" t="str">
        <f t="shared" si="9"/>
        <v xml:space="preserve"> </v>
      </c>
      <c r="G58" s="163" t="str">
        <f t="shared" si="1"/>
        <v/>
      </c>
      <c r="H58" s="163" t="str">
        <f t="shared" si="10"/>
        <v xml:space="preserve"> </v>
      </c>
      <c r="I58" s="163" t="str">
        <f t="shared" si="2"/>
        <v/>
      </c>
      <c r="J58" s="163" t="str">
        <f t="shared" si="11"/>
        <v xml:space="preserve"> </v>
      </c>
      <c r="K58" s="163" t="str">
        <f t="shared" si="3"/>
        <v/>
      </c>
      <c r="L58" s="163" t="str">
        <f t="shared" si="12"/>
        <v xml:space="preserve"> </v>
      </c>
      <c r="M58" s="163" t="str">
        <f t="shared" si="4"/>
        <v/>
      </c>
      <c r="N58" s="163" t="str">
        <f t="shared" si="13"/>
        <v xml:space="preserve"> </v>
      </c>
      <c r="O58" s="163" t="str">
        <f t="shared" si="5"/>
        <v/>
      </c>
      <c r="P58" s="163" t="str">
        <f t="shared" si="14"/>
        <v xml:space="preserve"> </v>
      </c>
      <c r="Q58" s="163" t="str">
        <f t="shared" si="6"/>
        <v/>
      </c>
      <c r="R58" s="163" t="str">
        <f t="shared" si="15"/>
        <v xml:space="preserve"> </v>
      </c>
      <c r="S58" s="163" t="str">
        <f t="shared" si="7"/>
        <v/>
      </c>
      <c r="T58" s="103"/>
      <c r="U58" s="103"/>
    </row>
    <row r="59" spans="1:21" ht="10.8" customHeight="1" x14ac:dyDescent="0.25">
      <c r="A59" s="161">
        <v>0.38541666666666702</v>
      </c>
      <c r="B59" s="162">
        <f>'Warrant 2'!F51</f>
        <v>1603</v>
      </c>
      <c r="C59" s="162">
        <f>'Warrant 2'!I51</f>
        <v>140</v>
      </c>
      <c r="D59" s="163" t="str">
        <f t="shared" si="8"/>
        <v xml:space="preserve"> </v>
      </c>
      <c r="E59" s="163" t="str">
        <f t="shared" si="16"/>
        <v/>
      </c>
      <c r="F59" s="163">
        <f t="shared" si="9"/>
        <v>1</v>
      </c>
      <c r="G59" s="163">
        <f t="shared" si="1"/>
        <v>1</v>
      </c>
      <c r="H59" s="163" t="str">
        <f t="shared" si="10"/>
        <v xml:space="preserve"> </v>
      </c>
      <c r="I59" s="163" t="str">
        <f t="shared" si="2"/>
        <v/>
      </c>
      <c r="J59" s="163" t="str">
        <f t="shared" si="11"/>
        <v xml:space="preserve"> </v>
      </c>
      <c r="K59" s="163" t="str">
        <f t="shared" si="3"/>
        <v/>
      </c>
      <c r="L59" s="163" t="str">
        <f t="shared" si="12"/>
        <v xml:space="preserve"> </v>
      </c>
      <c r="M59" s="163" t="str">
        <f t="shared" si="4"/>
        <v/>
      </c>
      <c r="N59" s="163" t="str">
        <f t="shared" si="13"/>
        <v xml:space="preserve"> </v>
      </c>
      <c r="O59" s="163" t="str">
        <f t="shared" si="5"/>
        <v/>
      </c>
      <c r="P59" s="163">
        <f t="shared" si="14"/>
        <v>1</v>
      </c>
      <c r="Q59" s="163">
        <f t="shared" si="6"/>
        <v>1</v>
      </c>
      <c r="R59" s="163" t="str">
        <f t="shared" si="15"/>
        <v xml:space="preserve"> </v>
      </c>
      <c r="S59" s="163" t="str">
        <f t="shared" si="7"/>
        <v/>
      </c>
      <c r="T59" s="103"/>
      <c r="U59" s="103"/>
    </row>
    <row r="60" spans="1:21" ht="10.8" customHeight="1" x14ac:dyDescent="0.25">
      <c r="A60" s="161">
        <v>0.39583333333333298</v>
      </c>
      <c r="B60" s="162">
        <f>'Warrant 2'!F52</f>
        <v>1573</v>
      </c>
      <c r="C60" s="162">
        <f>'Warrant 2'!I52</f>
        <v>136</v>
      </c>
      <c r="D60" s="163">
        <f t="shared" si="8"/>
        <v>1</v>
      </c>
      <c r="E60" s="163" t="str">
        <f t="shared" si="16"/>
        <v/>
      </c>
      <c r="F60" s="163" t="str">
        <f t="shared" si="9"/>
        <v xml:space="preserve"> </v>
      </c>
      <c r="G60" s="163" t="str">
        <f t="shared" si="1"/>
        <v/>
      </c>
      <c r="H60" s="163">
        <f t="shared" si="10"/>
        <v>1</v>
      </c>
      <c r="I60" s="163">
        <f t="shared" si="2"/>
        <v>1</v>
      </c>
      <c r="J60" s="163">
        <f t="shared" si="11"/>
        <v>1</v>
      </c>
      <c r="K60" s="163">
        <f t="shared" si="3"/>
        <v>1</v>
      </c>
      <c r="L60" s="163">
        <f t="shared" si="12"/>
        <v>1</v>
      </c>
      <c r="M60" s="163" t="str">
        <f t="shared" si="4"/>
        <v/>
      </c>
      <c r="N60" s="163">
        <f t="shared" si="13"/>
        <v>1</v>
      </c>
      <c r="O60" s="163">
        <f t="shared" si="5"/>
        <v>1</v>
      </c>
      <c r="P60" s="163" t="str">
        <f t="shared" si="14"/>
        <v xml:space="preserve"> </v>
      </c>
      <c r="Q60" s="163" t="str">
        <f t="shared" si="6"/>
        <v/>
      </c>
      <c r="R60" s="163">
        <f t="shared" si="15"/>
        <v>1</v>
      </c>
      <c r="S60" s="163">
        <f t="shared" si="7"/>
        <v>1</v>
      </c>
      <c r="T60" s="103"/>
      <c r="U60" s="103"/>
    </row>
    <row r="61" spans="1:21" ht="10.8" customHeight="1" x14ac:dyDescent="0.25">
      <c r="A61" s="161">
        <v>0.40625</v>
      </c>
      <c r="B61" s="162">
        <f>'Warrant 2'!F53</f>
        <v>1533</v>
      </c>
      <c r="C61" s="162">
        <f>'Warrant 2'!I53</f>
        <v>127</v>
      </c>
      <c r="D61" s="163" t="str">
        <f t="shared" si="8"/>
        <v xml:space="preserve"> </v>
      </c>
      <c r="E61" s="163" t="str">
        <f t="shared" si="16"/>
        <v/>
      </c>
      <c r="F61" s="163" t="str">
        <f t="shared" si="9"/>
        <v xml:space="preserve"> </v>
      </c>
      <c r="G61" s="163" t="str">
        <f t="shared" si="1"/>
        <v/>
      </c>
      <c r="H61" s="163" t="str">
        <f t="shared" si="10"/>
        <v xml:space="preserve"> </v>
      </c>
      <c r="I61" s="163" t="str">
        <f t="shared" si="2"/>
        <v/>
      </c>
      <c r="J61" s="163" t="str">
        <f t="shared" si="11"/>
        <v xml:space="preserve"> </v>
      </c>
      <c r="K61" s="163" t="str">
        <f t="shared" si="3"/>
        <v/>
      </c>
      <c r="L61" s="163" t="str">
        <f t="shared" si="12"/>
        <v xml:space="preserve"> </v>
      </c>
      <c r="M61" s="163" t="str">
        <f t="shared" si="4"/>
        <v/>
      </c>
      <c r="N61" s="163" t="str">
        <f t="shared" si="13"/>
        <v xml:space="preserve"> </v>
      </c>
      <c r="O61" s="163" t="str">
        <f t="shared" si="5"/>
        <v/>
      </c>
      <c r="P61" s="163" t="str">
        <f t="shared" si="14"/>
        <v xml:space="preserve"> </v>
      </c>
      <c r="Q61" s="163" t="str">
        <f t="shared" si="6"/>
        <v/>
      </c>
      <c r="R61" s="163" t="str">
        <f t="shared" si="15"/>
        <v xml:space="preserve"> </v>
      </c>
      <c r="S61" s="163" t="str">
        <f t="shared" si="7"/>
        <v/>
      </c>
      <c r="T61" s="103"/>
      <c r="U61" s="103"/>
    </row>
    <row r="62" spans="1:21" ht="10.8" customHeight="1" x14ac:dyDescent="0.25">
      <c r="A62" s="161">
        <v>0.41666666666666702</v>
      </c>
      <c r="B62" s="162">
        <f>'Warrant 2'!F54</f>
        <v>1529</v>
      </c>
      <c r="C62" s="162">
        <f>'Warrant 2'!I54</f>
        <v>124</v>
      </c>
      <c r="D62" s="163" t="str">
        <f t="shared" si="8"/>
        <v xml:space="preserve"> </v>
      </c>
      <c r="E62" s="163" t="str">
        <f t="shared" si="16"/>
        <v/>
      </c>
      <c r="F62" s="163" t="str">
        <f t="shared" si="9"/>
        <v xml:space="preserve"> </v>
      </c>
      <c r="G62" s="163" t="str">
        <f t="shared" si="1"/>
        <v/>
      </c>
      <c r="H62" s="163" t="str">
        <f t="shared" si="10"/>
        <v xml:space="preserve"> </v>
      </c>
      <c r="I62" s="163" t="str">
        <f t="shared" si="2"/>
        <v/>
      </c>
      <c r="J62" s="163" t="str">
        <f t="shared" si="11"/>
        <v xml:space="preserve"> </v>
      </c>
      <c r="K62" s="163" t="str">
        <f t="shared" si="3"/>
        <v/>
      </c>
      <c r="L62" s="163" t="str">
        <f t="shared" si="12"/>
        <v xml:space="preserve"> </v>
      </c>
      <c r="M62" s="163" t="str">
        <f t="shared" si="4"/>
        <v/>
      </c>
      <c r="N62" s="163" t="str">
        <f t="shared" si="13"/>
        <v xml:space="preserve"> </v>
      </c>
      <c r="O62" s="163" t="str">
        <f t="shared" si="5"/>
        <v/>
      </c>
      <c r="P62" s="163" t="str">
        <f t="shared" si="14"/>
        <v xml:space="preserve"> </v>
      </c>
      <c r="Q62" s="163" t="str">
        <f t="shared" si="6"/>
        <v/>
      </c>
      <c r="R62" s="163" t="str">
        <f t="shared" si="15"/>
        <v xml:space="preserve"> </v>
      </c>
      <c r="S62" s="163" t="str">
        <f t="shared" si="7"/>
        <v/>
      </c>
      <c r="T62" s="103"/>
      <c r="U62" s="103"/>
    </row>
    <row r="63" spans="1:21" ht="10.8" customHeight="1" x14ac:dyDescent="0.25">
      <c r="A63" s="161">
        <v>0.42708333333333298</v>
      </c>
      <c r="B63" s="162">
        <f>'Warrant 2'!F55</f>
        <v>1509</v>
      </c>
      <c r="C63" s="162">
        <f>'Warrant 2'!I55</f>
        <v>125</v>
      </c>
      <c r="D63" s="163" t="str">
        <f t="shared" si="8"/>
        <v xml:space="preserve"> </v>
      </c>
      <c r="E63" s="163" t="str">
        <f t="shared" si="16"/>
        <v/>
      </c>
      <c r="F63" s="163">
        <f t="shared" si="9"/>
        <v>1</v>
      </c>
      <c r="G63" s="163" t="str">
        <f t="shared" si="1"/>
        <v/>
      </c>
      <c r="H63" s="163" t="str">
        <f t="shared" si="10"/>
        <v xml:space="preserve"> </v>
      </c>
      <c r="I63" s="163" t="str">
        <f t="shared" si="2"/>
        <v/>
      </c>
      <c r="J63" s="163" t="str">
        <f t="shared" si="11"/>
        <v xml:space="preserve"> </v>
      </c>
      <c r="K63" s="163" t="str">
        <f t="shared" si="3"/>
        <v/>
      </c>
      <c r="L63" s="163" t="str">
        <f t="shared" si="12"/>
        <v xml:space="preserve"> </v>
      </c>
      <c r="M63" s="163" t="str">
        <f t="shared" si="4"/>
        <v/>
      </c>
      <c r="N63" s="163" t="str">
        <f t="shared" si="13"/>
        <v xml:space="preserve"> </v>
      </c>
      <c r="O63" s="163" t="str">
        <f t="shared" si="5"/>
        <v/>
      </c>
      <c r="P63" s="163">
        <f t="shared" si="14"/>
        <v>1</v>
      </c>
      <c r="Q63" s="163">
        <f t="shared" si="6"/>
        <v>1</v>
      </c>
      <c r="R63" s="163" t="str">
        <f t="shared" si="15"/>
        <v xml:space="preserve"> </v>
      </c>
      <c r="S63" s="163" t="str">
        <f t="shared" si="7"/>
        <v/>
      </c>
      <c r="T63" s="103"/>
      <c r="U63" s="103"/>
    </row>
    <row r="64" spans="1:21" ht="10.8" customHeight="1" x14ac:dyDescent="0.25">
      <c r="A64" s="161">
        <v>0.4375</v>
      </c>
      <c r="B64" s="162">
        <f>'Warrant 2'!F56</f>
        <v>1532</v>
      </c>
      <c r="C64" s="162">
        <f>'Warrant 2'!I56</f>
        <v>133</v>
      </c>
      <c r="D64" s="163">
        <f t="shared" si="8"/>
        <v>1</v>
      </c>
      <c r="E64" s="163" t="str">
        <f t="shared" si="16"/>
        <v/>
      </c>
      <c r="F64" s="163" t="str">
        <f t="shared" si="9"/>
        <v xml:space="preserve"> </v>
      </c>
      <c r="G64" s="163" t="str">
        <f t="shared" si="1"/>
        <v/>
      </c>
      <c r="H64" s="163">
        <f t="shared" si="10"/>
        <v>1</v>
      </c>
      <c r="I64" s="163">
        <f t="shared" si="2"/>
        <v>1</v>
      </c>
      <c r="J64" s="163">
        <f t="shared" si="11"/>
        <v>1</v>
      </c>
      <c r="K64" s="163">
        <f t="shared" si="3"/>
        <v>1</v>
      </c>
      <c r="L64" s="163">
        <f t="shared" si="12"/>
        <v>1</v>
      </c>
      <c r="M64" s="163" t="str">
        <f t="shared" si="4"/>
        <v/>
      </c>
      <c r="N64" s="163">
        <f t="shared" si="13"/>
        <v>1</v>
      </c>
      <c r="O64" s="163">
        <f t="shared" si="5"/>
        <v>1</v>
      </c>
      <c r="P64" s="163" t="str">
        <f t="shared" si="14"/>
        <v xml:space="preserve"> </v>
      </c>
      <c r="Q64" s="163" t="str">
        <f t="shared" si="6"/>
        <v/>
      </c>
      <c r="R64" s="163">
        <f t="shared" si="15"/>
        <v>1</v>
      </c>
      <c r="S64" s="163">
        <f t="shared" si="7"/>
        <v>1</v>
      </c>
      <c r="T64" s="103"/>
      <c r="U64" s="103"/>
    </row>
    <row r="65" spans="1:21" ht="10.8" customHeight="1" x14ac:dyDescent="0.25">
      <c r="A65" s="161">
        <v>0.44791666666666702</v>
      </c>
      <c r="B65" s="162">
        <f>'Warrant 2'!F57</f>
        <v>1602</v>
      </c>
      <c r="C65" s="162">
        <f>'Warrant 2'!I57</f>
        <v>136</v>
      </c>
      <c r="D65" s="163" t="str">
        <f t="shared" si="8"/>
        <v xml:space="preserve"> </v>
      </c>
      <c r="E65" s="163" t="str">
        <f t="shared" si="16"/>
        <v/>
      </c>
      <c r="F65" s="163" t="str">
        <f t="shared" si="9"/>
        <v xml:space="preserve"> </v>
      </c>
      <c r="G65" s="163" t="str">
        <f t="shared" si="1"/>
        <v/>
      </c>
      <c r="H65" s="163" t="str">
        <f t="shared" si="10"/>
        <v xml:space="preserve"> </v>
      </c>
      <c r="I65" s="163" t="str">
        <f t="shared" si="2"/>
        <v/>
      </c>
      <c r="J65" s="163" t="str">
        <f t="shared" si="11"/>
        <v xml:space="preserve"> </v>
      </c>
      <c r="K65" s="163" t="str">
        <f t="shared" si="3"/>
        <v/>
      </c>
      <c r="L65" s="163" t="str">
        <f t="shared" si="12"/>
        <v xml:space="preserve"> </v>
      </c>
      <c r="M65" s="163" t="str">
        <f t="shared" si="4"/>
        <v/>
      </c>
      <c r="N65" s="163" t="str">
        <f t="shared" si="13"/>
        <v xml:space="preserve"> </v>
      </c>
      <c r="O65" s="163" t="str">
        <f t="shared" si="5"/>
        <v/>
      </c>
      <c r="P65" s="163" t="str">
        <f t="shared" si="14"/>
        <v xml:space="preserve"> </v>
      </c>
      <c r="Q65" s="163" t="str">
        <f t="shared" si="6"/>
        <v/>
      </c>
      <c r="R65" s="163" t="str">
        <f t="shared" si="15"/>
        <v xml:space="preserve"> </v>
      </c>
      <c r="S65" s="163" t="str">
        <f t="shared" si="7"/>
        <v/>
      </c>
      <c r="T65" s="103"/>
      <c r="U65" s="103"/>
    </row>
    <row r="66" spans="1:21" ht="10.8" customHeight="1" x14ac:dyDescent="0.25">
      <c r="A66" s="161">
        <v>0.45833333333333298</v>
      </c>
      <c r="B66" s="162">
        <f>'Warrant 2'!F58</f>
        <v>1673</v>
      </c>
      <c r="C66" s="162">
        <f>'Warrant 2'!I58</f>
        <v>141</v>
      </c>
      <c r="D66" s="163" t="str">
        <f t="shared" si="8"/>
        <v xml:space="preserve"> </v>
      </c>
      <c r="E66" s="163" t="str">
        <f t="shared" si="16"/>
        <v/>
      </c>
      <c r="F66" s="163" t="str">
        <f t="shared" si="9"/>
        <v xml:space="preserve"> </v>
      </c>
      <c r="G66" s="163" t="str">
        <f t="shared" si="1"/>
        <v/>
      </c>
      <c r="H66" s="163" t="str">
        <f t="shared" si="10"/>
        <v xml:space="preserve"> </v>
      </c>
      <c r="I66" s="163" t="str">
        <f t="shared" si="2"/>
        <v/>
      </c>
      <c r="J66" s="163" t="str">
        <f t="shared" si="11"/>
        <v xml:space="preserve"> </v>
      </c>
      <c r="K66" s="163" t="str">
        <f t="shared" si="3"/>
        <v/>
      </c>
      <c r="L66" s="163" t="str">
        <f t="shared" si="12"/>
        <v xml:space="preserve"> </v>
      </c>
      <c r="M66" s="163" t="str">
        <f t="shared" si="4"/>
        <v/>
      </c>
      <c r="N66" s="163" t="str">
        <f t="shared" si="13"/>
        <v xml:space="preserve"> </v>
      </c>
      <c r="O66" s="163" t="str">
        <f t="shared" si="5"/>
        <v/>
      </c>
      <c r="P66" s="163" t="str">
        <f t="shared" si="14"/>
        <v xml:space="preserve"> </v>
      </c>
      <c r="Q66" s="163" t="str">
        <f t="shared" si="6"/>
        <v/>
      </c>
      <c r="R66" s="163" t="str">
        <f t="shared" si="15"/>
        <v xml:space="preserve"> </v>
      </c>
      <c r="S66" s="163" t="str">
        <f t="shared" si="7"/>
        <v/>
      </c>
      <c r="T66" s="103"/>
      <c r="U66" s="103"/>
    </row>
    <row r="67" spans="1:21" ht="10.8" customHeight="1" x14ac:dyDescent="0.25">
      <c r="A67" s="161">
        <v>0.46875</v>
      </c>
      <c r="B67" s="162">
        <f>'Warrant 2'!F59</f>
        <v>1710</v>
      </c>
      <c r="C67" s="162">
        <f>'Warrant 2'!I59</f>
        <v>140</v>
      </c>
      <c r="D67" s="163" t="str">
        <f t="shared" si="8"/>
        <v xml:space="preserve"> </v>
      </c>
      <c r="E67" s="163" t="str">
        <f t="shared" si="16"/>
        <v/>
      </c>
      <c r="F67" s="163">
        <f t="shared" si="9"/>
        <v>1</v>
      </c>
      <c r="G67" s="163">
        <f t="shared" si="1"/>
        <v>1</v>
      </c>
      <c r="H67" s="163" t="str">
        <f t="shared" si="10"/>
        <v xml:space="preserve"> </v>
      </c>
      <c r="I67" s="163" t="str">
        <f t="shared" si="2"/>
        <v/>
      </c>
      <c r="J67" s="163" t="str">
        <f t="shared" si="11"/>
        <v xml:space="preserve"> </v>
      </c>
      <c r="K67" s="163" t="str">
        <f t="shared" si="3"/>
        <v/>
      </c>
      <c r="L67" s="163" t="str">
        <f t="shared" si="12"/>
        <v xml:space="preserve"> </v>
      </c>
      <c r="M67" s="163" t="str">
        <f t="shared" si="4"/>
        <v/>
      </c>
      <c r="N67" s="163" t="str">
        <f t="shared" si="13"/>
        <v xml:space="preserve"> </v>
      </c>
      <c r="O67" s="163" t="str">
        <f t="shared" si="5"/>
        <v/>
      </c>
      <c r="P67" s="163">
        <f t="shared" si="14"/>
        <v>1</v>
      </c>
      <c r="Q67" s="163">
        <f t="shared" si="6"/>
        <v>1</v>
      </c>
      <c r="R67" s="163" t="str">
        <f t="shared" si="15"/>
        <v xml:space="preserve"> </v>
      </c>
      <c r="S67" s="163" t="str">
        <f t="shared" si="7"/>
        <v/>
      </c>
      <c r="T67" s="103"/>
      <c r="U67" s="103"/>
    </row>
    <row r="68" spans="1:21" ht="10.8" customHeight="1" x14ac:dyDescent="0.25">
      <c r="A68" s="161">
        <v>0.47916666666666702</v>
      </c>
      <c r="B68" s="162">
        <f>'Warrant 2'!F60</f>
        <v>1740</v>
      </c>
      <c r="C68" s="162">
        <f>'Warrant 2'!I60</f>
        <v>128</v>
      </c>
      <c r="D68" s="163">
        <f t="shared" si="8"/>
        <v>1</v>
      </c>
      <c r="E68" s="163" t="str">
        <f t="shared" si="16"/>
        <v/>
      </c>
      <c r="F68" s="163" t="str">
        <f t="shared" si="9"/>
        <v xml:space="preserve"> </v>
      </c>
      <c r="G68" s="163" t="str">
        <f t="shared" si="1"/>
        <v/>
      </c>
      <c r="H68" s="163">
        <f t="shared" si="10"/>
        <v>1</v>
      </c>
      <c r="I68" s="163">
        <f t="shared" si="2"/>
        <v>1</v>
      </c>
      <c r="J68" s="163">
        <f t="shared" si="11"/>
        <v>1</v>
      </c>
      <c r="K68" s="163">
        <f t="shared" si="3"/>
        <v>1</v>
      </c>
      <c r="L68" s="163">
        <f t="shared" si="12"/>
        <v>1</v>
      </c>
      <c r="M68" s="163" t="str">
        <f t="shared" si="4"/>
        <v/>
      </c>
      <c r="N68" s="163">
        <f t="shared" si="13"/>
        <v>1</v>
      </c>
      <c r="O68" s="163">
        <f t="shared" si="5"/>
        <v>1</v>
      </c>
      <c r="P68" s="163" t="str">
        <f t="shared" si="14"/>
        <v xml:space="preserve"> </v>
      </c>
      <c r="Q68" s="163" t="str">
        <f t="shared" si="6"/>
        <v/>
      </c>
      <c r="R68" s="163">
        <f t="shared" si="15"/>
        <v>1</v>
      </c>
      <c r="S68" s="163">
        <f t="shared" si="7"/>
        <v>1</v>
      </c>
      <c r="T68" s="103"/>
      <c r="U68" s="103"/>
    </row>
    <row r="69" spans="1:21" ht="10.8" customHeight="1" x14ac:dyDescent="0.25">
      <c r="A69" s="161">
        <v>0.48958333333333298</v>
      </c>
      <c r="B69" s="162">
        <f>'Warrant 2'!F61</f>
        <v>1752</v>
      </c>
      <c r="C69" s="162">
        <f>'Warrant 2'!I61</f>
        <v>124</v>
      </c>
      <c r="D69" s="163" t="str">
        <f t="shared" si="8"/>
        <v xml:space="preserve"> </v>
      </c>
      <c r="E69" s="163" t="str">
        <f t="shared" si="16"/>
        <v/>
      </c>
      <c r="F69" s="163" t="str">
        <f t="shared" si="9"/>
        <v xml:space="preserve"> </v>
      </c>
      <c r="G69" s="163" t="str">
        <f t="shared" si="1"/>
        <v/>
      </c>
      <c r="H69" s="163" t="str">
        <f t="shared" si="10"/>
        <v xml:space="preserve"> </v>
      </c>
      <c r="I69" s="163" t="str">
        <f t="shared" si="2"/>
        <v/>
      </c>
      <c r="J69" s="163" t="str">
        <f t="shared" si="11"/>
        <v xml:space="preserve"> </v>
      </c>
      <c r="K69" s="163" t="str">
        <f t="shared" si="3"/>
        <v/>
      </c>
      <c r="L69" s="163" t="str">
        <f>IF($B$5="1 Lane",IF(AND($B69&gt;=L$18,L66=" ",L67=" ",L68=" "),1," "),IF($B$5="2 or More Lanes",IF(AND($B69&gt;=L$19,L66=" ",L67=" ",L68=" "),1," ")," "))</f>
        <v xml:space="preserve"> </v>
      </c>
      <c r="M69" s="163" t="str">
        <f t="shared" si="4"/>
        <v/>
      </c>
      <c r="N69" s="163" t="str">
        <f t="shared" si="13"/>
        <v xml:space="preserve"> </v>
      </c>
      <c r="O69" s="163" t="str">
        <f t="shared" si="5"/>
        <v/>
      </c>
      <c r="P69" s="163" t="str">
        <f t="shared" si="14"/>
        <v xml:space="preserve"> </v>
      </c>
      <c r="Q69" s="163" t="str">
        <f t="shared" si="6"/>
        <v/>
      </c>
      <c r="R69" s="163" t="str">
        <f t="shared" si="15"/>
        <v xml:space="preserve"> </v>
      </c>
      <c r="S69" s="163" t="str">
        <f t="shared" si="7"/>
        <v/>
      </c>
      <c r="T69" s="103"/>
      <c r="U69" s="103"/>
    </row>
    <row r="70" spans="1:21" ht="10.8" customHeight="1" x14ac:dyDescent="0.25">
      <c r="A70" s="161">
        <v>0.5</v>
      </c>
      <c r="B70" s="162">
        <f>'Warrant 2'!F62</f>
        <v>1752</v>
      </c>
      <c r="C70" s="162">
        <f>'Warrant 2'!I62</f>
        <v>120</v>
      </c>
      <c r="D70" s="163" t="str">
        <f t="shared" si="8"/>
        <v xml:space="preserve"> </v>
      </c>
      <c r="E70" s="163" t="str">
        <f t="shared" si="16"/>
        <v/>
      </c>
      <c r="F70" s="163" t="str">
        <f t="shared" si="9"/>
        <v xml:space="preserve"> </v>
      </c>
      <c r="G70" s="163" t="str">
        <f t="shared" si="1"/>
        <v/>
      </c>
      <c r="H70" s="163" t="str">
        <f t="shared" si="10"/>
        <v xml:space="preserve"> </v>
      </c>
      <c r="I70" s="163" t="str">
        <f t="shared" si="2"/>
        <v/>
      </c>
      <c r="J70" s="163" t="str">
        <f t="shared" si="11"/>
        <v xml:space="preserve"> </v>
      </c>
      <c r="K70" s="163" t="str">
        <f t="shared" si="3"/>
        <v/>
      </c>
      <c r="L70" s="163" t="str">
        <f t="shared" si="12"/>
        <v xml:space="preserve"> </v>
      </c>
      <c r="M70" s="163" t="str">
        <f t="shared" si="4"/>
        <v/>
      </c>
      <c r="N70" s="163" t="str">
        <f t="shared" si="13"/>
        <v xml:space="preserve"> </v>
      </c>
      <c r="O70" s="163" t="str">
        <f t="shared" si="5"/>
        <v/>
      </c>
      <c r="P70" s="163" t="str">
        <f t="shared" si="14"/>
        <v xml:space="preserve"> </v>
      </c>
      <c r="Q70" s="163" t="str">
        <f t="shared" si="6"/>
        <v/>
      </c>
      <c r="R70" s="163" t="str">
        <f t="shared" si="15"/>
        <v xml:space="preserve"> </v>
      </c>
      <c r="S70" s="163" t="str">
        <f t="shared" si="7"/>
        <v/>
      </c>
      <c r="T70" s="103"/>
      <c r="U70" s="103"/>
    </row>
    <row r="71" spans="1:21" ht="10.8" customHeight="1" x14ac:dyDescent="0.25">
      <c r="A71" s="161">
        <v>0.51041666666666696</v>
      </c>
      <c r="B71" s="162">
        <f>'Warrant 2'!F63</f>
        <v>1758</v>
      </c>
      <c r="C71" s="162">
        <f>'Warrant 2'!I63</f>
        <v>119</v>
      </c>
      <c r="D71" s="163" t="str">
        <f t="shared" si="8"/>
        <v xml:space="preserve"> </v>
      </c>
      <c r="E71" s="163" t="str">
        <f t="shared" si="16"/>
        <v/>
      </c>
      <c r="F71" s="163">
        <f t="shared" si="9"/>
        <v>1</v>
      </c>
      <c r="G71" s="163" t="str">
        <f t="shared" si="1"/>
        <v/>
      </c>
      <c r="H71" s="163" t="str">
        <f t="shared" si="10"/>
        <v xml:space="preserve"> </v>
      </c>
      <c r="I71" s="163" t="str">
        <f t="shared" si="2"/>
        <v/>
      </c>
      <c r="J71" s="163" t="str">
        <f t="shared" si="11"/>
        <v xml:space="preserve"> </v>
      </c>
      <c r="K71" s="163" t="str">
        <f t="shared" si="3"/>
        <v/>
      </c>
      <c r="L71" s="163" t="str">
        <f t="shared" si="12"/>
        <v xml:space="preserve"> </v>
      </c>
      <c r="M71" s="163" t="str">
        <f t="shared" si="4"/>
        <v/>
      </c>
      <c r="N71" s="163" t="str">
        <f t="shared" si="13"/>
        <v xml:space="preserve"> </v>
      </c>
      <c r="O71" s="163" t="str">
        <f t="shared" si="5"/>
        <v/>
      </c>
      <c r="P71" s="163">
        <f t="shared" si="14"/>
        <v>1</v>
      </c>
      <c r="Q71" s="163">
        <f t="shared" si="6"/>
        <v>1</v>
      </c>
      <c r="R71" s="163" t="str">
        <f t="shared" si="15"/>
        <v xml:space="preserve"> </v>
      </c>
      <c r="S71" s="163" t="str">
        <f t="shared" si="7"/>
        <v/>
      </c>
      <c r="T71" s="103"/>
      <c r="U71" s="103"/>
    </row>
    <row r="72" spans="1:21" ht="10.8" customHeight="1" x14ac:dyDescent="0.25">
      <c r="A72" s="161">
        <v>0.52083333333333304</v>
      </c>
      <c r="B72" s="162">
        <f>'Warrant 2'!F64</f>
        <v>1709</v>
      </c>
      <c r="C72" s="162">
        <f>'Warrant 2'!I64</f>
        <v>132</v>
      </c>
      <c r="D72" s="163">
        <f t="shared" si="8"/>
        <v>1</v>
      </c>
      <c r="E72" s="163" t="str">
        <f t="shared" si="16"/>
        <v/>
      </c>
      <c r="F72" s="163" t="str">
        <f t="shared" si="9"/>
        <v xml:space="preserve"> </v>
      </c>
      <c r="G72" s="163" t="str">
        <f t="shared" si="1"/>
        <v/>
      </c>
      <c r="H72" s="163">
        <f t="shared" si="10"/>
        <v>1</v>
      </c>
      <c r="I72" s="163">
        <f t="shared" si="2"/>
        <v>1</v>
      </c>
      <c r="J72" s="163">
        <f t="shared" si="11"/>
        <v>1</v>
      </c>
      <c r="K72" s="163">
        <f t="shared" si="3"/>
        <v>1</v>
      </c>
      <c r="L72" s="163">
        <f t="shared" si="12"/>
        <v>1</v>
      </c>
      <c r="M72" s="163" t="str">
        <f t="shared" si="4"/>
        <v/>
      </c>
      <c r="N72" s="163">
        <f t="shared" si="13"/>
        <v>1</v>
      </c>
      <c r="O72" s="163">
        <f t="shared" si="5"/>
        <v>1</v>
      </c>
      <c r="P72" s="163" t="str">
        <f t="shared" si="14"/>
        <v xml:space="preserve"> </v>
      </c>
      <c r="Q72" s="163" t="str">
        <f t="shared" si="6"/>
        <v/>
      </c>
      <c r="R72" s="163">
        <f t="shared" si="15"/>
        <v>1</v>
      </c>
      <c r="S72" s="163">
        <f t="shared" si="7"/>
        <v>1</v>
      </c>
      <c r="T72" s="103"/>
      <c r="U72" s="103"/>
    </row>
    <row r="73" spans="1:21" ht="10.8" customHeight="1" x14ac:dyDescent="0.25">
      <c r="A73" s="161">
        <v>0.53125</v>
      </c>
      <c r="B73" s="162">
        <f>'Warrant 2'!F65</f>
        <v>1665</v>
      </c>
      <c r="C73" s="162">
        <f>'Warrant 2'!I65</f>
        <v>136</v>
      </c>
      <c r="D73" s="163" t="str">
        <f t="shared" si="8"/>
        <v xml:space="preserve"> </v>
      </c>
      <c r="E73" s="163" t="str">
        <f t="shared" si="16"/>
        <v/>
      </c>
      <c r="F73" s="163" t="str">
        <f t="shared" si="9"/>
        <v xml:space="preserve"> </v>
      </c>
      <c r="G73" s="163" t="str">
        <f t="shared" si="1"/>
        <v/>
      </c>
      <c r="H73" s="163" t="str">
        <f t="shared" si="10"/>
        <v xml:space="preserve"> </v>
      </c>
      <c r="I73" s="163" t="str">
        <f t="shared" si="2"/>
        <v/>
      </c>
      <c r="J73" s="163" t="str">
        <f t="shared" si="11"/>
        <v xml:space="preserve"> </v>
      </c>
      <c r="K73" s="163" t="str">
        <f t="shared" si="3"/>
        <v/>
      </c>
      <c r="L73" s="163" t="str">
        <f t="shared" si="12"/>
        <v xml:space="preserve"> </v>
      </c>
      <c r="M73" s="163" t="str">
        <f t="shared" si="4"/>
        <v/>
      </c>
      <c r="N73" s="163" t="str">
        <f t="shared" si="13"/>
        <v xml:space="preserve"> </v>
      </c>
      <c r="O73" s="163" t="str">
        <f t="shared" si="5"/>
        <v/>
      </c>
      <c r="P73" s="163" t="str">
        <f t="shared" si="14"/>
        <v xml:space="preserve"> </v>
      </c>
      <c r="Q73" s="163" t="str">
        <f t="shared" si="6"/>
        <v/>
      </c>
      <c r="R73" s="163" t="str">
        <f t="shared" si="15"/>
        <v xml:space="preserve"> </v>
      </c>
      <c r="S73" s="163" t="str">
        <f t="shared" si="7"/>
        <v/>
      </c>
      <c r="T73" s="103"/>
      <c r="U73" s="103"/>
    </row>
    <row r="74" spans="1:21" ht="10.8" customHeight="1" x14ac:dyDescent="0.25">
      <c r="A74" s="161">
        <v>0.54166666666666696</v>
      </c>
      <c r="B74" s="162">
        <f>'Warrant 2'!F66</f>
        <v>1651</v>
      </c>
      <c r="C74" s="162">
        <f>'Warrant 2'!I66</f>
        <v>134</v>
      </c>
      <c r="D74" s="163" t="str">
        <f t="shared" si="8"/>
        <v xml:space="preserve"> </v>
      </c>
      <c r="E74" s="163" t="str">
        <f t="shared" si="16"/>
        <v/>
      </c>
      <c r="F74" s="163" t="str">
        <f t="shared" si="9"/>
        <v xml:space="preserve"> </v>
      </c>
      <c r="G74" s="163" t="str">
        <f t="shared" si="1"/>
        <v/>
      </c>
      <c r="H74" s="163" t="str">
        <f t="shared" si="10"/>
        <v xml:space="preserve"> </v>
      </c>
      <c r="I74" s="163" t="str">
        <f t="shared" si="2"/>
        <v/>
      </c>
      <c r="J74" s="163" t="str">
        <f t="shared" si="11"/>
        <v xml:space="preserve"> </v>
      </c>
      <c r="K74" s="163" t="str">
        <f t="shared" si="3"/>
        <v/>
      </c>
      <c r="L74" s="163" t="str">
        <f t="shared" si="12"/>
        <v xml:space="preserve"> </v>
      </c>
      <c r="M74" s="163" t="str">
        <f t="shared" si="4"/>
        <v/>
      </c>
      <c r="N74" s="163" t="str">
        <f t="shared" si="13"/>
        <v xml:space="preserve"> </v>
      </c>
      <c r="O74" s="163" t="str">
        <f t="shared" si="5"/>
        <v/>
      </c>
      <c r="P74" s="163" t="str">
        <f t="shared" si="14"/>
        <v xml:space="preserve"> </v>
      </c>
      <c r="Q74" s="163" t="str">
        <f t="shared" si="6"/>
        <v/>
      </c>
      <c r="R74" s="163" t="str">
        <f t="shared" si="15"/>
        <v xml:space="preserve"> </v>
      </c>
      <c r="S74" s="163" t="str">
        <f t="shared" si="7"/>
        <v/>
      </c>
      <c r="T74" s="103"/>
      <c r="U74" s="103"/>
    </row>
    <row r="75" spans="1:21" ht="10.8" customHeight="1" x14ac:dyDescent="0.25">
      <c r="A75" s="161">
        <v>0.55208333333333304</v>
      </c>
      <c r="B75" s="162">
        <f>'Warrant 2'!F67</f>
        <v>1656</v>
      </c>
      <c r="C75" s="162">
        <f>'Warrant 2'!I67</f>
        <v>128</v>
      </c>
      <c r="D75" s="163" t="str">
        <f t="shared" si="8"/>
        <v xml:space="preserve"> </v>
      </c>
      <c r="E75" s="163" t="str">
        <f t="shared" si="16"/>
        <v/>
      </c>
      <c r="F75" s="163">
        <f t="shared" si="9"/>
        <v>1</v>
      </c>
      <c r="G75" s="163" t="str">
        <f t="shared" si="1"/>
        <v/>
      </c>
      <c r="H75" s="163" t="str">
        <f t="shared" si="10"/>
        <v xml:space="preserve"> </v>
      </c>
      <c r="I75" s="163" t="str">
        <f t="shared" si="2"/>
        <v/>
      </c>
      <c r="J75" s="163" t="str">
        <f t="shared" si="11"/>
        <v xml:space="preserve"> </v>
      </c>
      <c r="K75" s="163" t="str">
        <f t="shared" si="3"/>
        <v/>
      </c>
      <c r="L75" s="163" t="str">
        <f t="shared" si="12"/>
        <v xml:space="preserve"> </v>
      </c>
      <c r="M75" s="163" t="str">
        <f t="shared" si="4"/>
        <v/>
      </c>
      <c r="N75" s="163" t="str">
        <f t="shared" si="13"/>
        <v xml:space="preserve"> </v>
      </c>
      <c r="O75" s="163" t="str">
        <f t="shared" si="5"/>
        <v/>
      </c>
      <c r="P75" s="163">
        <f t="shared" si="14"/>
        <v>1</v>
      </c>
      <c r="Q75" s="163">
        <f t="shared" si="6"/>
        <v>1</v>
      </c>
      <c r="R75" s="163" t="str">
        <f t="shared" si="15"/>
        <v xml:space="preserve"> </v>
      </c>
      <c r="S75" s="163" t="str">
        <f t="shared" si="7"/>
        <v/>
      </c>
      <c r="T75" s="103"/>
      <c r="U75" s="103"/>
    </row>
    <row r="76" spans="1:21" ht="10.8" customHeight="1" x14ac:dyDescent="0.25">
      <c r="A76" s="161">
        <v>0.5625</v>
      </c>
      <c r="B76" s="162">
        <f>'Warrant 2'!F68</f>
        <v>1678</v>
      </c>
      <c r="C76" s="162">
        <f>'Warrant 2'!I68</f>
        <v>133</v>
      </c>
      <c r="D76" s="163">
        <f t="shared" si="8"/>
        <v>1</v>
      </c>
      <c r="E76" s="163" t="str">
        <f t="shared" si="16"/>
        <v/>
      </c>
      <c r="F76" s="163" t="str">
        <f t="shared" si="9"/>
        <v xml:space="preserve"> </v>
      </c>
      <c r="G76" s="163" t="str">
        <f t="shared" si="1"/>
        <v/>
      </c>
      <c r="H76" s="163">
        <f t="shared" si="10"/>
        <v>1</v>
      </c>
      <c r="I76" s="163">
        <f t="shared" si="2"/>
        <v>1</v>
      </c>
      <c r="J76" s="163">
        <f t="shared" si="11"/>
        <v>1</v>
      </c>
      <c r="K76" s="163">
        <f t="shared" si="3"/>
        <v>1</v>
      </c>
      <c r="L76" s="163">
        <f t="shared" si="12"/>
        <v>1</v>
      </c>
      <c r="M76" s="163" t="str">
        <f t="shared" si="4"/>
        <v/>
      </c>
      <c r="N76" s="163">
        <f t="shared" si="13"/>
        <v>1</v>
      </c>
      <c r="O76" s="163">
        <f t="shared" si="5"/>
        <v>1</v>
      </c>
      <c r="P76" s="163" t="str">
        <f t="shared" si="14"/>
        <v xml:space="preserve"> </v>
      </c>
      <c r="Q76" s="163" t="str">
        <f t="shared" si="6"/>
        <v/>
      </c>
      <c r="R76" s="163">
        <f t="shared" si="15"/>
        <v>1</v>
      </c>
      <c r="S76" s="163">
        <f t="shared" si="7"/>
        <v>1</v>
      </c>
      <c r="T76" s="103"/>
      <c r="U76" s="103"/>
    </row>
    <row r="77" spans="1:21" ht="10.8" customHeight="1" x14ac:dyDescent="0.25">
      <c r="A77" s="161">
        <v>0.57291666666666696</v>
      </c>
      <c r="B77" s="162">
        <f>'Warrant 2'!F69</f>
        <v>1723</v>
      </c>
      <c r="C77" s="162">
        <f>'Warrant 2'!I69</f>
        <v>127</v>
      </c>
      <c r="D77" s="163" t="str">
        <f t="shared" si="8"/>
        <v xml:space="preserve"> </v>
      </c>
      <c r="E77" s="163" t="str">
        <f t="shared" si="16"/>
        <v/>
      </c>
      <c r="F77" s="163" t="str">
        <f t="shared" si="9"/>
        <v xml:space="preserve"> </v>
      </c>
      <c r="G77" s="163" t="str">
        <f t="shared" si="1"/>
        <v/>
      </c>
      <c r="H77" s="163" t="str">
        <f t="shared" si="10"/>
        <v xml:space="preserve"> </v>
      </c>
      <c r="I77" s="163" t="str">
        <f t="shared" si="2"/>
        <v/>
      </c>
      <c r="J77" s="163" t="str">
        <f t="shared" si="11"/>
        <v xml:space="preserve"> </v>
      </c>
      <c r="K77" s="163" t="str">
        <f t="shared" si="3"/>
        <v/>
      </c>
      <c r="L77" s="163" t="str">
        <f t="shared" si="12"/>
        <v xml:space="preserve"> </v>
      </c>
      <c r="M77" s="163" t="str">
        <f t="shared" si="4"/>
        <v/>
      </c>
      <c r="N77" s="163" t="str">
        <f t="shared" si="13"/>
        <v xml:space="preserve"> </v>
      </c>
      <c r="O77" s="163" t="str">
        <f t="shared" si="5"/>
        <v/>
      </c>
      <c r="P77" s="163" t="str">
        <f t="shared" si="14"/>
        <v xml:space="preserve"> </v>
      </c>
      <c r="Q77" s="163" t="str">
        <f t="shared" si="6"/>
        <v/>
      </c>
      <c r="R77" s="163" t="str">
        <f t="shared" si="15"/>
        <v xml:space="preserve"> </v>
      </c>
      <c r="S77" s="163" t="str">
        <f t="shared" si="7"/>
        <v/>
      </c>
      <c r="T77" s="103"/>
      <c r="U77" s="103"/>
    </row>
    <row r="78" spans="1:21" ht="10.8" customHeight="1" x14ac:dyDescent="0.25">
      <c r="A78" s="161">
        <v>0.58333333333333304</v>
      </c>
      <c r="B78" s="162">
        <f>'Warrant 2'!F70</f>
        <v>1792</v>
      </c>
      <c r="C78" s="162">
        <f>'Warrant 2'!I70</f>
        <v>119</v>
      </c>
      <c r="D78" s="163" t="str">
        <f t="shared" si="8"/>
        <v xml:space="preserve"> </v>
      </c>
      <c r="E78" s="163" t="str">
        <f t="shared" si="16"/>
        <v/>
      </c>
      <c r="F78" s="163" t="str">
        <f t="shared" si="9"/>
        <v xml:space="preserve"> </v>
      </c>
      <c r="G78" s="163" t="str">
        <f t="shared" si="1"/>
        <v/>
      </c>
      <c r="H78" s="163" t="str">
        <f t="shared" si="10"/>
        <v xml:space="preserve"> </v>
      </c>
      <c r="I78" s="163" t="str">
        <f t="shared" si="2"/>
        <v/>
      </c>
      <c r="J78" s="163" t="str">
        <f t="shared" si="11"/>
        <v xml:space="preserve"> </v>
      </c>
      <c r="K78" s="163" t="str">
        <f t="shared" si="3"/>
        <v/>
      </c>
      <c r="L78" s="163" t="str">
        <f t="shared" si="12"/>
        <v xml:space="preserve"> </v>
      </c>
      <c r="M78" s="163" t="str">
        <f t="shared" si="4"/>
        <v/>
      </c>
      <c r="N78" s="163" t="str">
        <f t="shared" si="13"/>
        <v xml:space="preserve"> </v>
      </c>
      <c r="O78" s="163" t="str">
        <f t="shared" si="5"/>
        <v/>
      </c>
      <c r="P78" s="163" t="str">
        <f t="shared" si="14"/>
        <v xml:space="preserve"> </v>
      </c>
      <c r="Q78" s="163" t="str">
        <f t="shared" si="6"/>
        <v/>
      </c>
      <c r="R78" s="163" t="str">
        <f t="shared" si="15"/>
        <v xml:space="preserve"> </v>
      </c>
      <c r="S78" s="163" t="str">
        <f t="shared" si="7"/>
        <v/>
      </c>
      <c r="T78" s="103"/>
      <c r="U78" s="103"/>
    </row>
    <row r="79" spans="1:21" ht="10.8" customHeight="1" x14ac:dyDescent="0.25">
      <c r="A79" s="161">
        <v>0.59375</v>
      </c>
      <c r="B79" s="162">
        <f>'Warrant 2'!F71</f>
        <v>1854</v>
      </c>
      <c r="C79" s="162">
        <f>'Warrant 2'!I71</f>
        <v>132</v>
      </c>
      <c r="D79" s="163" t="str">
        <f t="shared" si="8"/>
        <v xml:space="preserve"> </v>
      </c>
      <c r="E79" s="163" t="str">
        <f t="shared" si="16"/>
        <v/>
      </c>
      <c r="F79" s="163">
        <f t="shared" si="9"/>
        <v>1</v>
      </c>
      <c r="G79" s="163" t="str">
        <f t="shared" si="1"/>
        <v/>
      </c>
      <c r="H79" s="163" t="str">
        <f t="shared" si="10"/>
        <v xml:space="preserve"> </v>
      </c>
      <c r="I79" s="163" t="str">
        <f t="shared" si="2"/>
        <v/>
      </c>
      <c r="J79" s="163" t="str">
        <f t="shared" si="11"/>
        <v xml:space="preserve"> </v>
      </c>
      <c r="K79" s="163" t="str">
        <f t="shared" si="3"/>
        <v/>
      </c>
      <c r="L79" s="163" t="str">
        <f t="shared" si="12"/>
        <v xml:space="preserve"> </v>
      </c>
      <c r="M79" s="163" t="str">
        <f t="shared" si="4"/>
        <v/>
      </c>
      <c r="N79" s="163" t="str">
        <f t="shared" si="13"/>
        <v xml:space="preserve"> </v>
      </c>
      <c r="O79" s="163" t="str">
        <f t="shared" si="5"/>
        <v/>
      </c>
      <c r="P79" s="163">
        <f t="shared" si="14"/>
        <v>1</v>
      </c>
      <c r="Q79" s="163">
        <f t="shared" si="6"/>
        <v>1</v>
      </c>
      <c r="R79" s="163" t="str">
        <f t="shared" si="15"/>
        <v xml:space="preserve"> </v>
      </c>
      <c r="S79" s="163" t="str">
        <f t="shared" si="7"/>
        <v/>
      </c>
      <c r="T79" s="103"/>
      <c r="U79" s="103"/>
    </row>
    <row r="80" spans="1:21" ht="10.8" customHeight="1" x14ac:dyDescent="0.25">
      <c r="A80" s="161">
        <v>0.60416666666666696</v>
      </c>
      <c r="B80" s="162">
        <f>'Warrant 2'!F72</f>
        <v>1955</v>
      </c>
      <c r="C80" s="162">
        <f>'Warrant 2'!I72</f>
        <v>122</v>
      </c>
      <c r="D80" s="163">
        <f t="shared" si="8"/>
        <v>1</v>
      </c>
      <c r="E80" s="163" t="str">
        <f t="shared" si="16"/>
        <v/>
      </c>
      <c r="F80" s="163" t="str">
        <f t="shared" si="9"/>
        <v xml:space="preserve"> </v>
      </c>
      <c r="G80" s="163" t="str">
        <f t="shared" si="1"/>
        <v/>
      </c>
      <c r="H80" s="163">
        <f t="shared" si="10"/>
        <v>1</v>
      </c>
      <c r="I80" s="163">
        <f t="shared" si="2"/>
        <v>1</v>
      </c>
      <c r="J80" s="163">
        <f t="shared" si="11"/>
        <v>1</v>
      </c>
      <c r="K80" s="163">
        <f t="shared" si="3"/>
        <v>1</v>
      </c>
      <c r="L80" s="163">
        <f t="shared" si="12"/>
        <v>1</v>
      </c>
      <c r="M80" s="163" t="str">
        <f t="shared" si="4"/>
        <v/>
      </c>
      <c r="N80" s="163">
        <f t="shared" si="13"/>
        <v>1</v>
      </c>
      <c r="O80" s="163">
        <f t="shared" si="5"/>
        <v>1</v>
      </c>
      <c r="P80" s="163" t="str">
        <f t="shared" si="14"/>
        <v xml:space="preserve"> </v>
      </c>
      <c r="Q80" s="163" t="str">
        <f t="shared" si="6"/>
        <v/>
      </c>
      <c r="R80" s="163">
        <f t="shared" si="15"/>
        <v>1</v>
      </c>
      <c r="S80" s="163">
        <f t="shared" si="7"/>
        <v>1</v>
      </c>
      <c r="T80" s="103"/>
      <c r="U80" s="103"/>
    </row>
    <row r="81" spans="1:21" ht="10.8" customHeight="1" x14ac:dyDescent="0.25">
      <c r="A81" s="161">
        <v>0.61458333333333304</v>
      </c>
      <c r="B81" s="162">
        <f>'Warrant 2'!F73</f>
        <v>2024</v>
      </c>
      <c r="C81" s="162">
        <f>'Warrant 2'!I73</f>
        <v>130</v>
      </c>
      <c r="D81" s="163" t="str">
        <f>IF($B$5="1 Lane",IF(AND($B81&gt;=D$18,D78=" ",D79=" ",D80=" "),1," "),IF($B$5="2 or More Lanes",IF(AND($B81&gt;=D$19,D78=" ",D79=" ",D80=" "),1," ")," "))</f>
        <v xml:space="preserve"> </v>
      </c>
      <c r="E81" s="163" t="str">
        <f t="shared" si="16"/>
        <v/>
      </c>
      <c r="F81" s="163" t="str">
        <f t="shared" si="9"/>
        <v xml:space="preserve"> </v>
      </c>
      <c r="G81" s="163" t="str">
        <f t="shared" si="1"/>
        <v/>
      </c>
      <c r="H81" s="163" t="str">
        <f t="shared" si="10"/>
        <v xml:space="preserve"> </v>
      </c>
      <c r="I81" s="163" t="str">
        <f t="shared" si="2"/>
        <v/>
      </c>
      <c r="J81" s="163" t="str">
        <f t="shared" si="11"/>
        <v xml:space="preserve"> </v>
      </c>
      <c r="K81" s="163" t="str">
        <f t="shared" si="3"/>
        <v/>
      </c>
      <c r="L81" s="163" t="str">
        <f t="shared" si="12"/>
        <v xml:space="preserve"> </v>
      </c>
      <c r="M81" s="163" t="str">
        <f t="shared" si="4"/>
        <v/>
      </c>
      <c r="N81" s="163" t="str">
        <f t="shared" si="13"/>
        <v xml:space="preserve"> </v>
      </c>
      <c r="O81" s="163" t="str">
        <f t="shared" si="5"/>
        <v/>
      </c>
      <c r="P81" s="163" t="str">
        <f t="shared" si="14"/>
        <v xml:space="preserve"> </v>
      </c>
      <c r="Q81" s="163" t="str">
        <f t="shared" si="6"/>
        <v/>
      </c>
      <c r="R81" s="163" t="str">
        <f t="shared" si="15"/>
        <v xml:space="preserve"> </v>
      </c>
      <c r="S81" s="163" t="str">
        <f t="shared" si="7"/>
        <v/>
      </c>
      <c r="T81" s="103"/>
      <c r="U81" s="103"/>
    </row>
    <row r="82" spans="1:21" ht="10.8" customHeight="1" x14ac:dyDescent="0.25">
      <c r="A82" s="161">
        <v>0.625</v>
      </c>
      <c r="B82" s="162">
        <f>'Warrant 2'!F74</f>
        <v>2035</v>
      </c>
      <c r="C82" s="162">
        <f>'Warrant 2'!I74</f>
        <v>141</v>
      </c>
      <c r="D82" s="163" t="str">
        <f t="shared" si="8"/>
        <v xml:space="preserve"> </v>
      </c>
      <c r="E82" s="163" t="str">
        <f t="shared" si="16"/>
        <v/>
      </c>
      <c r="F82" s="163" t="str">
        <f t="shared" si="9"/>
        <v xml:space="preserve"> </v>
      </c>
      <c r="G82" s="163" t="str">
        <f t="shared" si="1"/>
        <v/>
      </c>
      <c r="H82" s="163" t="str">
        <f t="shared" si="10"/>
        <v xml:space="preserve"> </v>
      </c>
      <c r="I82" s="163" t="str">
        <f t="shared" si="2"/>
        <v/>
      </c>
      <c r="J82" s="163" t="str">
        <f t="shared" si="11"/>
        <v xml:space="preserve"> </v>
      </c>
      <c r="K82" s="163" t="str">
        <f t="shared" si="3"/>
        <v/>
      </c>
      <c r="L82" s="163" t="str">
        <f t="shared" si="12"/>
        <v xml:space="preserve"> </v>
      </c>
      <c r="M82" s="163" t="str">
        <f t="shared" si="4"/>
        <v/>
      </c>
      <c r="N82" s="163" t="str">
        <f t="shared" si="13"/>
        <v xml:space="preserve"> </v>
      </c>
      <c r="O82" s="163" t="str">
        <f t="shared" si="5"/>
        <v/>
      </c>
      <c r="P82" s="163" t="str">
        <f t="shared" si="14"/>
        <v xml:space="preserve"> </v>
      </c>
      <c r="Q82" s="163" t="str">
        <f t="shared" si="6"/>
        <v/>
      </c>
      <c r="R82" s="163" t="str">
        <f t="shared" si="15"/>
        <v xml:space="preserve"> </v>
      </c>
      <c r="S82" s="163" t="str">
        <f t="shared" si="7"/>
        <v/>
      </c>
      <c r="T82" s="103"/>
      <c r="U82" s="103"/>
    </row>
    <row r="83" spans="1:21" ht="10.8" customHeight="1" x14ac:dyDescent="0.25">
      <c r="A83" s="161">
        <v>0.63541666666666696</v>
      </c>
      <c r="B83" s="162">
        <f>'Warrant 2'!F75</f>
        <v>2048</v>
      </c>
      <c r="C83" s="162">
        <f>'Warrant 2'!I75</f>
        <v>154</v>
      </c>
      <c r="D83" s="163" t="str">
        <f t="shared" si="8"/>
        <v xml:space="preserve"> </v>
      </c>
      <c r="E83" s="163" t="str">
        <f t="shared" si="16"/>
        <v/>
      </c>
      <c r="F83" s="163">
        <f t="shared" si="9"/>
        <v>1</v>
      </c>
      <c r="G83" s="163">
        <f t="shared" si="1"/>
        <v>1</v>
      </c>
      <c r="H83" s="163" t="str">
        <f t="shared" si="10"/>
        <v xml:space="preserve"> </v>
      </c>
      <c r="I83" s="163" t="str">
        <f t="shared" si="2"/>
        <v/>
      </c>
      <c r="J83" s="163" t="str">
        <f t="shared" si="11"/>
        <v xml:space="preserve"> </v>
      </c>
      <c r="K83" s="163" t="str">
        <f t="shared" si="3"/>
        <v/>
      </c>
      <c r="L83" s="163" t="str">
        <f t="shared" si="12"/>
        <v xml:space="preserve"> </v>
      </c>
      <c r="M83" s="163" t="str">
        <f t="shared" si="4"/>
        <v/>
      </c>
      <c r="N83" s="163" t="str">
        <f t="shared" si="13"/>
        <v xml:space="preserve"> </v>
      </c>
      <c r="O83" s="163" t="str">
        <f t="shared" si="5"/>
        <v/>
      </c>
      <c r="P83" s="163">
        <f t="shared" si="14"/>
        <v>1</v>
      </c>
      <c r="Q83" s="163">
        <f t="shared" si="6"/>
        <v>1</v>
      </c>
      <c r="R83" s="163" t="str">
        <f t="shared" si="15"/>
        <v xml:space="preserve"> </v>
      </c>
      <c r="S83" s="163" t="str">
        <f t="shared" si="7"/>
        <v/>
      </c>
      <c r="T83" s="103"/>
      <c r="U83" s="103"/>
    </row>
    <row r="84" spans="1:21" ht="10.8" customHeight="1" x14ac:dyDescent="0.25">
      <c r="A84" s="161">
        <v>0.64583333333333304</v>
      </c>
      <c r="B84" s="162">
        <f>'Warrant 2'!F76</f>
        <v>2160</v>
      </c>
      <c r="C84" s="162">
        <f>'Warrant 2'!I76</f>
        <v>163</v>
      </c>
      <c r="D84" s="163">
        <f t="shared" si="8"/>
        <v>1</v>
      </c>
      <c r="E84" s="163" t="str">
        <f t="shared" si="16"/>
        <v/>
      </c>
      <c r="F84" s="163" t="str">
        <f t="shared" si="9"/>
        <v xml:space="preserve"> </v>
      </c>
      <c r="G84" s="163" t="str">
        <f t="shared" si="1"/>
        <v/>
      </c>
      <c r="H84" s="163">
        <f t="shared" si="10"/>
        <v>1</v>
      </c>
      <c r="I84" s="163">
        <f t="shared" si="2"/>
        <v>1</v>
      </c>
      <c r="J84" s="163">
        <f t="shared" si="11"/>
        <v>1</v>
      </c>
      <c r="K84" s="163">
        <f t="shared" si="3"/>
        <v>1</v>
      </c>
      <c r="L84" s="163">
        <f t="shared" si="12"/>
        <v>1</v>
      </c>
      <c r="M84" s="163">
        <f t="shared" si="4"/>
        <v>1</v>
      </c>
      <c r="N84" s="163">
        <f t="shared" si="13"/>
        <v>1</v>
      </c>
      <c r="O84" s="163">
        <f t="shared" si="5"/>
        <v>1</v>
      </c>
      <c r="P84" s="163" t="str">
        <f t="shared" si="14"/>
        <v xml:space="preserve"> </v>
      </c>
      <c r="Q84" s="163" t="str">
        <f t="shared" si="6"/>
        <v/>
      </c>
      <c r="R84" s="163">
        <f t="shared" si="15"/>
        <v>1</v>
      </c>
      <c r="S84" s="163">
        <f t="shared" si="7"/>
        <v>1</v>
      </c>
      <c r="T84" s="103"/>
      <c r="U84" s="103"/>
    </row>
    <row r="85" spans="1:21" ht="10.8" customHeight="1" x14ac:dyDescent="0.25">
      <c r="A85" s="161">
        <v>0.65625</v>
      </c>
      <c r="B85" s="162">
        <f>'Warrant 2'!F77</f>
        <v>2260</v>
      </c>
      <c r="C85" s="162">
        <f>'Warrant 2'!I77</f>
        <v>176</v>
      </c>
      <c r="D85" s="163" t="str">
        <f t="shared" si="8"/>
        <v xml:space="preserve"> </v>
      </c>
      <c r="E85" s="163" t="str">
        <f t="shared" si="16"/>
        <v/>
      </c>
      <c r="F85" s="163" t="str">
        <f t="shared" si="9"/>
        <v xml:space="preserve"> </v>
      </c>
      <c r="G85" s="163" t="str">
        <f t="shared" si="1"/>
        <v/>
      </c>
      <c r="H85" s="163" t="str">
        <f t="shared" si="10"/>
        <v xml:space="preserve"> </v>
      </c>
      <c r="I85" s="163" t="str">
        <f t="shared" si="2"/>
        <v/>
      </c>
      <c r="J85" s="163" t="str">
        <f t="shared" si="11"/>
        <v xml:space="preserve"> </v>
      </c>
      <c r="K85" s="163" t="str">
        <f t="shared" si="3"/>
        <v/>
      </c>
      <c r="L85" s="163" t="str">
        <f t="shared" si="12"/>
        <v xml:space="preserve"> </v>
      </c>
      <c r="M85" s="163" t="str">
        <f t="shared" si="4"/>
        <v/>
      </c>
      <c r="N85" s="163" t="str">
        <f t="shared" si="13"/>
        <v xml:space="preserve"> </v>
      </c>
      <c r="O85" s="163" t="str">
        <f t="shared" si="5"/>
        <v/>
      </c>
      <c r="P85" s="163" t="str">
        <f t="shared" si="14"/>
        <v xml:space="preserve"> </v>
      </c>
      <c r="Q85" s="163" t="str">
        <f t="shared" si="6"/>
        <v/>
      </c>
      <c r="R85" s="163" t="str">
        <f t="shared" si="15"/>
        <v xml:space="preserve"> </v>
      </c>
      <c r="S85" s="163" t="str">
        <f t="shared" si="7"/>
        <v/>
      </c>
      <c r="T85" s="103"/>
      <c r="U85" s="103"/>
    </row>
    <row r="86" spans="1:21" ht="10.8" customHeight="1" x14ac:dyDescent="0.25">
      <c r="A86" s="161">
        <v>0.66666666666666696</v>
      </c>
      <c r="B86" s="162">
        <f>'Warrant 2'!F78</f>
        <v>2311</v>
      </c>
      <c r="C86" s="162">
        <f>'Warrant 2'!I78</f>
        <v>179</v>
      </c>
      <c r="D86" s="163" t="str">
        <f t="shared" si="8"/>
        <v xml:space="preserve"> </v>
      </c>
      <c r="E86" s="163" t="str">
        <f t="shared" si="16"/>
        <v/>
      </c>
      <c r="F86" s="163" t="str">
        <f t="shared" si="9"/>
        <v xml:space="preserve"> </v>
      </c>
      <c r="G86" s="163" t="str">
        <f t="shared" si="1"/>
        <v/>
      </c>
      <c r="H86" s="163" t="str">
        <f t="shared" si="10"/>
        <v xml:space="preserve"> </v>
      </c>
      <c r="I86" s="163" t="str">
        <f t="shared" si="2"/>
        <v/>
      </c>
      <c r="J86" s="163" t="str">
        <f t="shared" si="11"/>
        <v xml:space="preserve"> </v>
      </c>
      <c r="K86" s="163" t="str">
        <f t="shared" si="3"/>
        <v/>
      </c>
      <c r="L86" s="163" t="str">
        <f t="shared" si="12"/>
        <v xml:space="preserve"> </v>
      </c>
      <c r="M86" s="163" t="str">
        <f t="shared" si="4"/>
        <v/>
      </c>
      <c r="N86" s="163" t="str">
        <f t="shared" si="13"/>
        <v xml:space="preserve"> </v>
      </c>
      <c r="O86" s="163" t="str">
        <f t="shared" si="5"/>
        <v/>
      </c>
      <c r="P86" s="163" t="str">
        <f t="shared" si="14"/>
        <v xml:space="preserve"> </v>
      </c>
      <c r="Q86" s="163" t="str">
        <f t="shared" si="6"/>
        <v/>
      </c>
      <c r="R86" s="163" t="str">
        <f t="shared" si="15"/>
        <v xml:space="preserve"> </v>
      </c>
      <c r="S86" s="163" t="str">
        <f t="shared" si="7"/>
        <v/>
      </c>
      <c r="T86" s="103"/>
      <c r="U86" s="103"/>
    </row>
    <row r="87" spans="1:21" ht="10.8" customHeight="1" x14ac:dyDescent="0.25">
      <c r="A87" s="161">
        <v>0.67708333333333304</v>
      </c>
      <c r="B87" s="162">
        <f>'Warrant 2'!F79</f>
        <v>2425</v>
      </c>
      <c r="C87" s="162">
        <f>'Warrant 2'!I79</f>
        <v>176</v>
      </c>
      <c r="D87" s="163" t="str">
        <f t="shared" si="8"/>
        <v xml:space="preserve"> </v>
      </c>
      <c r="E87" s="163" t="str">
        <f t="shared" si="16"/>
        <v/>
      </c>
      <c r="F87" s="163">
        <f t="shared" si="9"/>
        <v>1</v>
      </c>
      <c r="G87" s="163">
        <f t="shared" ref="G87:G117" si="17">IF(AND($B$5="1 Lane",$B$6="1 Lane"),IF(AND($C87&gt;=G$18,F87=1),1," "),IF(AND($B$5="1 Lane",$B$6="2 or More Lanes"),IF(AND(F87=1,$C87&gt;=G$20),1," "),IF(AND($B$5="2 or More Lanes",$B$6="1 Lane"),IF(AND(F87=1,$C87&gt;=G$18),1," "),IF(AND(F87=1,$C87&gt;=G$20),1,""))))</f>
        <v>1</v>
      </c>
      <c r="H87" s="163" t="str">
        <f t="shared" si="10"/>
        <v xml:space="preserve"> </v>
      </c>
      <c r="I87" s="163" t="str">
        <f t="shared" ref="I87:I117" si="18">IF(AND($B$5="1 Lane",$B$6="1 Lane"),IF(AND($C87&gt;=I$18,H87=1),1," "),IF(AND($B$5="1 Lane",$B$6="2 or More Lanes"),IF(AND(H87=1,$C87&gt;=I$20),1," "),IF(AND($B$5="2 or More Lanes",$B$6="1 Lane"),IF(AND(H87=1,$C87&gt;=I$18),1," "),IF(AND(H87=1,$C87&gt;=I$20),1,""))))</f>
        <v/>
      </c>
      <c r="J87" s="163" t="str">
        <f t="shared" si="11"/>
        <v xml:space="preserve"> </v>
      </c>
      <c r="K87" s="163" t="str">
        <f t="shared" ref="K87:K117" si="19">IF(AND($B$5="1 Lane",$B$6="1 Lane"),IF(AND($C87&gt;=K$18,J87=1),1," "),IF(AND($B$5="1 Lane",$B$6="2 or More Lanes"),IF(AND(J87=1,$C87&gt;=K$20),1," "),IF(AND($B$5="2 or More Lanes",$B$6="1 Lane"),IF(AND(J87=1,$C87&gt;=K$18),1," "),IF(AND(J87=1,$C87&gt;=K$20),1,""))))</f>
        <v/>
      </c>
      <c r="L87" s="163" t="str">
        <f t="shared" si="12"/>
        <v xml:space="preserve"> </v>
      </c>
      <c r="M87" s="163" t="str">
        <f t="shared" ref="M87:M117" si="20">IF(AND($B$5="1 Lane",$B$6="1 Lane"),IF(AND($C87&gt;=M$18,L87=1),1," "),IF(AND($B$5="1 Lane",$B$6="2 or More Lanes"),IF(AND(L87=1,$C87&gt;=M$20),1," "),IF(AND($B$5="2 or More Lanes",$B$6="1 Lane"),IF(AND(L87=1,$C87&gt;=M$18),1," "),IF(AND(L87=1,$C87&gt;=M$20),1,""))))</f>
        <v/>
      </c>
      <c r="N87" s="163" t="str">
        <f t="shared" si="13"/>
        <v xml:space="preserve"> </v>
      </c>
      <c r="O87" s="163" t="str">
        <f t="shared" ref="O87:O117" si="21">IF(AND($B$5="1 Lane",$B$6="1 Lane"),IF(AND($C87&gt;=O$18,N87=1),1," "),IF(AND($B$5="1 Lane",$B$6="2 or More Lanes"),IF(AND(N87=1,$C87&gt;=O$20),1," "),IF(AND($B$5="2 or More Lanes",$B$6="1 Lane"),IF(AND(N87=1,$C87&gt;=O$18),1," "),IF(AND(N87=1,$C87&gt;=O$20),1,""))))</f>
        <v/>
      </c>
      <c r="P87" s="163">
        <f t="shared" si="14"/>
        <v>1</v>
      </c>
      <c r="Q87" s="163">
        <f t="shared" ref="Q87:Q117" si="22">IF(AND($B$5="1 Lane",$B$6="1 Lane"),IF(AND($C87&gt;=Q$18,P87=1),1," "),IF(AND($B$5="1 Lane",$B$6="2 or More Lanes"),IF(AND(P87=1,$C87&gt;=Q$20),1," "),IF(AND($B$5="2 or More Lanes",$B$6="1 Lane"),IF(AND(P87=1,$C87&gt;=Q$18),1," "),IF(AND(P87=1,$C87&gt;=Q$20),1,""))))</f>
        <v>1</v>
      </c>
      <c r="R87" s="163" t="str">
        <f t="shared" si="15"/>
        <v xml:space="preserve"> </v>
      </c>
      <c r="S87" s="163" t="str">
        <f t="shared" ref="S87:S117" si="23">IF(AND($B$5="1 Lane",$B$6="1 Lane"),IF(AND($C87&gt;=S$18,R87=1),1," "),IF(AND($B$5="1 Lane",$B$6="2 or More Lanes"),IF(AND(R87=1,$C87&gt;=S$20),1," "),IF(AND($B$5="2 or More Lanes",$B$6="1 Lane"),IF(AND(R87=1,$C87&gt;=S$18),1," "),IF(AND(R87=1,$C87&gt;=S$20),1,""))))</f>
        <v/>
      </c>
      <c r="T87" s="103"/>
      <c r="U87" s="103"/>
    </row>
    <row r="88" spans="1:21" ht="10.8" customHeight="1" x14ac:dyDescent="0.25">
      <c r="A88" s="161">
        <v>0.6875</v>
      </c>
      <c r="B88" s="162">
        <f>'Warrant 2'!F80</f>
        <v>2434</v>
      </c>
      <c r="C88" s="162">
        <f>'Warrant 2'!I80</f>
        <v>171</v>
      </c>
      <c r="D88" s="163">
        <f t="shared" si="8"/>
        <v>1</v>
      </c>
      <c r="E88" s="163" t="str">
        <f t="shared" si="16"/>
        <v/>
      </c>
      <c r="F88" s="163" t="str">
        <f t="shared" si="9"/>
        <v xml:space="preserve"> </v>
      </c>
      <c r="G88" s="163" t="str">
        <f t="shared" si="17"/>
        <v/>
      </c>
      <c r="H88" s="163">
        <f t="shared" si="10"/>
        <v>1</v>
      </c>
      <c r="I88" s="163">
        <f t="shared" si="18"/>
        <v>1</v>
      </c>
      <c r="J88" s="163">
        <f t="shared" si="11"/>
        <v>1</v>
      </c>
      <c r="K88" s="163">
        <f t="shared" si="19"/>
        <v>1</v>
      </c>
      <c r="L88" s="163">
        <f t="shared" si="12"/>
        <v>1</v>
      </c>
      <c r="M88" s="163">
        <f t="shared" si="20"/>
        <v>1</v>
      </c>
      <c r="N88" s="163">
        <f t="shared" si="13"/>
        <v>1</v>
      </c>
      <c r="O88" s="163">
        <f t="shared" si="21"/>
        <v>1</v>
      </c>
      <c r="P88" s="163" t="str">
        <f t="shared" si="14"/>
        <v xml:space="preserve"> </v>
      </c>
      <c r="Q88" s="163" t="str">
        <f t="shared" si="22"/>
        <v/>
      </c>
      <c r="R88" s="163">
        <f t="shared" si="15"/>
        <v>1</v>
      </c>
      <c r="S88" s="163">
        <f t="shared" si="23"/>
        <v>1</v>
      </c>
      <c r="T88" s="103"/>
      <c r="U88" s="103"/>
    </row>
    <row r="89" spans="1:21" ht="10.8" customHeight="1" x14ac:dyDescent="0.25">
      <c r="A89" s="161">
        <v>0.69791666666666696</v>
      </c>
      <c r="B89" s="162">
        <f>'Warrant 2'!F81</f>
        <v>2440</v>
      </c>
      <c r="C89" s="162">
        <f>'Warrant 2'!I81</f>
        <v>167</v>
      </c>
      <c r="D89" s="163" t="str">
        <f t="shared" si="8"/>
        <v xml:space="preserve"> </v>
      </c>
      <c r="E89" s="163" t="str">
        <f t="shared" si="16"/>
        <v/>
      </c>
      <c r="F89" s="163" t="str">
        <f t="shared" si="9"/>
        <v xml:space="preserve"> </v>
      </c>
      <c r="G89" s="163" t="str">
        <f t="shared" si="17"/>
        <v/>
      </c>
      <c r="H89" s="163" t="str">
        <f t="shared" si="10"/>
        <v xml:space="preserve"> </v>
      </c>
      <c r="I89" s="163" t="str">
        <f t="shared" si="18"/>
        <v/>
      </c>
      <c r="J89" s="163" t="str">
        <f t="shared" si="11"/>
        <v xml:space="preserve"> </v>
      </c>
      <c r="K89" s="163" t="str">
        <f t="shared" si="19"/>
        <v/>
      </c>
      <c r="L89" s="163" t="str">
        <f t="shared" si="12"/>
        <v xml:space="preserve"> </v>
      </c>
      <c r="M89" s="163" t="str">
        <f t="shared" si="20"/>
        <v/>
      </c>
      <c r="N89" s="163" t="str">
        <f t="shared" si="13"/>
        <v xml:space="preserve"> </v>
      </c>
      <c r="O89" s="163" t="str">
        <f t="shared" si="21"/>
        <v/>
      </c>
      <c r="P89" s="163" t="str">
        <f t="shared" si="14"/>
        <v xml:space="preserve"> </v>
      </c>
      <c r="Q89" s="163" t="str">
        <f t="shared" si="22"/>
        <v/>
      </c>
      <c r="R89" s="163" t="str">
        <f t="shared" si="15"/>
        <v xml:space="preserve"> </v>
      </c>
      <c r="S89" s="163" t="str">
        <f t="shared" si="23"/>
        <v/>
      </c>
      <c r="T89" s="103"/>
      <c r="U89" s="103"/>
    </row>
    <row r="90" spans="1:21" ht="10.8" customHeight="1" x14ac:dyDescent="0.25">
      <c r="A90" s="161">
        <v>0.70833333333333304</v>
      </c>
      <c r="B90" s="162">
        <f>'Warrant 2'!F82</f>
        <v>2458</v>
      </c>
      <c r="C90" s="162">
        <f>'Warrant 2'!I82</f>
        <v>153</v>
      </c>
      <c r="D90" s="163" t="str">
        <f t="shared" ref="D90:D107" si="24">IF($B$5="1 Lane",IF(AND($B90&gt;=D$18,D87=" ",D88=" ",D89=" "),1," "),IF($B$5="2 or More Lanes",IF(AND($B90&gt;=D$19,D87=" ",D88=" ",D89=" "),1," ")," "))</f>
        <v xml:space="preserve"> </v>
      </c>
      <c r="E90" s="163" t="str">
        <f t="shared" si="16"/>
        <v/>
      </c>
      <c r="F90" s="163" t="str">
        <f t="shared" ref="F90:F117" si="25">IF($B$5="1 Lane",IF(AND($B90&gt;=F$18,F87=" ",F88=" ",F89=" "),1," "),IF($B$5="2 or More Lanes",IF(AND($B90&gt;=F$19,F87=" ",F88=" ",F89=" "),1," ")," "))</f>
        <v xml:space="preserve"> </v>
      </c>
      <c r="G90" s="163" t="str">
        <f t="shared" si="17"/>
        <v/>
      </c>
      <c r="H90" s="163" t="str">
        <f t="shared" ref="H90:H117" si="26">IF($B$5="1 Lane",IF(AND($B90&gt;=H$18,H87=" ",H88=" ",H89=" "),1," "),IF($B$5="2 or More Lanes",IF(AND($B90&gt;=H$19,H87=" ",H88=" ",H89=" "),1," ")," "))</f>
        <v xml:space="preserve"> </v>
      </c>
      <c r="I90" s="163" t="str">
        <f t="shared" si="18"/>
        <v/>
      </c>
      <c r="J90" s="163" t="str">
        <f t="shared" ref="J90:J117" si="27">IF($B$5="1 Lane",IF(AND($B90&gt;=J$18,J87=" ",J88=" ",J89=" "),1," "),IF($B$5="2 or More Lanes",IF(AND($B90&gt;=J$19,J87=" ",J88=" ",J89=" "),1," ")," "))</f>
        <v xml:space="preserve"> </v>
      </c>
      <c r="K90" s="163" t="str">
        <f t="shared" si="19"/>
        <v/>
      </c>
      <c r="L90" s="163" t="str">
        <f t="shared" ref="L90:L117" si="28">IF($B$5="1 Lane",IF(AND($B90&gt;=L$18,L87=" ",L88=" ",L89=" "),1," "),IF($B$5="2 or More Lanes",IF(AND($B90&gt;=L$19,L87=" ",L88=" ",L89=" "),1," ")," "))</f>
        <v xml:space="preserve"> </v>
      </c>
      <c r="M90" s="163" t="str">
        <f t="shared" si="20"/>
        <v/>
      </c>
      <c r="N90" s="163" t="str">
        <f t="shared" ref="N90:N117" si="29">IF($B$5="1 Lane",IF(AND($B90&gt;=N$18,N87=" ",N88=" ",N89=" "),1," "),IF($B$5="2 or More Lanes",IF(AND($B90&gt;=N$19,N87=" ",N88=" ",N89=" "),1," ")," "))</f>
        <v xml:space="preserve"> </v>
      </c>
      <c r="O90" s="163" t="str">
        <f t="shared" si="21"/>
        <v/>
      </c>
      <c r="P90" s="163" t="str">
        <f t="shared" ref="P90:P117" si="30">IF($B$5="1 Lane",IF(AND($B90&gt;=P$18,P87=" ",P88=" ",P89=" "),1," "),IF($B$5="2 or More Lanes",IF(AND($B90&gt;=P$19,P87=" ",P88=" ",P89=" "),1," ")," "))</f>
        <v xml:space="preserve"> </v>
      </c>
      <c r="Q90" s="163" t="str">
        <f t="shared" si="22"/>
        <v/>
      </c>
      <c r="R90" s="163" t="str">
        <f t="shared" ref="R90:R117" si="31">IF($B$5="1 Lane",IF(AND($B90&gt;=R$18,R87=" ",R88=" ",R89=" "),1," "),IF($B$5="2 or More Lanes",IF(AND($B90&gt;=R$19,R87=" ",R88=" ",R89=" "),1," ")," "))</f>
        <v xml:space="preserve"> </v>
      </c>
      <c r="S90" s="163" t="str">
        <f t="shared" si="23"/>
        <v/>
      </c>
      <c r="T90" s="103"/>
      <c r="U90" s="103"/>
    </row>
    <row r="91" spans="1:21" ht="10.8" customHeight="1" x14ac:dyDescent="0.25">
      <c r="A91" s="161">
        <v>0.71875</v>
      </c>
      <c r="B91" s="162">
        <f>'Warrant 2'!F83</f>
        <v>2332</v>
      </c>
      <c r="C91" s="162">
        <f>'Warrant 2'!I83</f>
        <v>158</v>
      </c>
      <c r="D91" s="163" t="str">
        <f t="shared" si="24"/>
        <v xml:space="preserve"> </v>
      </c>
      <c r="E91" s="163" t="str">
        <f t="shared" si="16"/>
        <v/>
      </c>
      <c r="F91" s="163">
        <f t="shared" si="25"/>
        <v>1</v>
      </c>
      <c r="G91" s="163">
        <f t="shared" si="17"/>
        <v>1</v>
      </c>
      <c r="H91" s="163" t="str">
        <f t="shared" si="26"/>
        <v xml:space="preserve"> </v>
      </c>
      <c r="I91" s="163" t="str">
        <f t="shared" si="18"/>
        <v/>
      </c>
      <c r="J91" s="163" t="str">
        <f t="shared" si="27"/>
        <v xml:space="preserve"> </v>
      </c>
      <c r="K91" s="163" t="str">
        <f t="shared" si="19"/>
        <v/>
      </c>
      <c r="L91" s="163" t="str">
        <f t="shared" si="28"/>
        <v xml:space="preserve"> </v>
      </c>
      <c r="M91" s="163" t="str">
        <f t="shared" si="20"/>
        <v/>
      </c>
      <c r="N91" s="163" t="str">
        <f t="shared" si="29"/>
        <v xml:space="preserve"> </v>
      </c>
      <c r="O91" s="163" t="str">
        <f t="shared" si="21"/>
        <v/>
      </c>
      <c r="P91" s="163">
        <f t="shared" si="30"/>
        <v>1</v>
      </c>
      <c r="Q91" s="163">
        <f t="shared" si="22"/>
        <v>1</v>
      </c>
      <c r="R91" s="163" t="str">
        <f t="shared" si="31"/>
        <v xml:space="preserve"> </v>
      </c>
      <c r="S91" s="163" t="str">
        <f t="shared" si="23"/>
        <v/>
      </c>
      <c r="T91" s="103"/>
      <c r="U91" s="103"/>
    </row>
    <row r="92" spans="1:21" ht="10.8" customHeight="1" x14ac:dyDescent="0.25">
      <c r="A92" s="161">
        <v>0.72916666666666696</v>
      </c>
      <c r="B92" s="162">
        <f>'Warrant 2'!F84</f>
        <v>2162</v>
      </c>
      <c r="C92" s="162">
        <f>'Warrant 2'!I84</f>
        <v>145</v>
      </c>
      <c r="D92" s="163">
        <f t="shared" si="24"/>
        <v>1</v>
      </c>
      <c r="E92" s="163" t="str">
        <f t="shared" si="16"/>
        <v/>
      </c>
      <c r="F92" s="163" t="str">
        <f t="shared" si="25"/>
        <v xml:space="preserve"> </v>
      </c>
      <c r="G92" s="163" t="str">
        <f t="shared" si="17"/>
        <v/>
      </c>
      <c r="H92" s="163">
        <f t="shared" si="26"/>
        <v>1</v>
      </c>
      <c r="I92" s="163">
        <f t="shared" si="18"/>
        <v>1</v>
      </c>
      <c r="J92" s="163">
        <f t="shared" si="27"/>
        <v>1</v>
      </c>
      <c r="K92" s="163">
        <f t="shared" si="19"/>
        <v>1</v>
      </c>
      <c r="L92" s="163">
        <f t="shared" si="28"/>
        <v>1</v>
      </c>
      <c r="M92" s="163" t="str">
        <f t="shared" si="20"/>
        <v/>
      </c>
      <c r="N92" s="163">
        <f t="shared" si="29"/>
        <v>1</v>
      </c>
      <c r="O92" s="163">
        <f t="shared" si="21"/>
        <v>1</v>
      </c>
      <c r="P92" s="163" t="str">
        <f t="shared" si="30"/>
        <v xml:space="preserve"> </v>
      </c>
      <c r="Q92" s="163" t="str">
        <f t="shared" si="22"/>
        <v/>
      </c>
      <c r="R92" s="163">
        <f t="shared" si="31"/>
        <v>1</v>
      </c>
      <c r="S92" s="163">
        <f t="shared" si="23"/>
        <v>1</v>
      </c>
      <c r="T92" s="103"/>
      <c r="U92" s="103"/>
    </row>
    <row r="93" spans="1:21" ht="10.8" customHeight="1" x14ac:dyDescent="0.25">
      <c r="A93" s="161">
        <v>0.73958333333333304</v>
      </c>
      <c r="B93" s="162">
        <f>'Warrant 2'!F85</f>
        <v>1974</v>
      </c>
      <c r="C93" s="162">
        <f>'Warrant 2'!I85</f>
        <v>132</v>
      </c>
      <c r="D93" s="163" t="str">
        <f t="shared" si="24"/>
        <v xml:space="preserve"> </v>
      </c>
      <c r="E93" s="163" t="str">
        <f t="shared" si="16"/>
        <v/>
      </c>
      <c r="F93" s="163" t="str">
        <f t="shared" si="25"/>
        <v xml:space="preserve"> </v>
      </c>
      <c r="G93" s="163" t="str">
        <f t="shared" si="17"/>
        <v/>
      </c>
      <c r="H93" s="163" t="str">
        <f t="shared" si="26"/>
        <v xml:space="preserve"> </v>
      </c>
      <c r="I93" s="163" t="str">
        <f t="shared" si="18"/>
        <v/>
      </c>
      <c r="J93" s="163" t="str">
        <f t="shared" si="27"/>
        <v xml:space="preserve"> </v>
      </c>
      <c r="K93" s="163" t="str">
        <f t="shared" si="19"/>
        <v/>
      </c>
      <c r="L93" s="163" t="str">
        <f t="shared" si="28"/>
        <v xml:space="preserve"> </v>
      </c>
      <c r="M93" s="163" t="str">
        <f t="shared" si="20"/>
        <v/>
      </c>
      <c r="N93" s="163" t="str">
        <f t="shared" si="29"/>
        <v xml:space="preserve"> </v>
      </c>
      <c r="O93" s="163" t="str">
        <f t="shared" si="21"/>
        <v/>
      </c>
      <c r="P93" s="163" t="str">
        <f t="shared" si="30"/>
        <v xml:space="preserve"> </v>
      </c>
      <c r="Q93" s="163" t="str">
        <f t="shared" si="22"/>
        <v/>
      </c>
      <c r="R93" s="163" t="str">
        <f t="shared" si="31"/>
        <v xml:space="preserve"> </v>
      </c>
      <c r="S93" s="163" t="str">
        <f t="shared" si="23"/>
        <v/>
      </c>
      <c r="T93" s="103"/>
      <c r="U93" s="103"/>
    </row>
    <row r="94" spans="1:21" ht="10.8" customHeight="1" x14ac:dyDescent="0.25">
      <c r="A94" s="161">
        <v>0.75</v>
      </c>
      <c r="B94" s="162">
        <f>'Warrant 2'!F86</f>
        <v>1812</v>
      </c>
      <c r="C94" s="162">
        <f>'Warrant 2'!I86</f>
        <v>111</v>
      </c>
      <c r="D94" s="163" t="str">
        <f t="shared" si="24"/>
        <v xml:space="preserve"> </v>
      </c>
      <c r="E94" s="163" t="str">
        <f t="shared" si="16"/>
        <v/>
      </c>
      <c r="F94" s="163" t="str">
        <f t="shared" si="25"/>
        <v xml:space="preserve"> </v>
      </c>
      <c r="G94" s="163" t="str">
        <f t="shared" si="17"/>
        <v/>
      </c>
      <c r="H94" s="163" t="str">
        <f t="shared" si="26"/>
        <v xml:space="preserve"> </v>
      </c>
      <c r="I94" s="163" t="str">
        <f t="shared" si="18"/>
        <v/>
      </c>
      <c r="J94" s="163" t="str">
        <f t="shared" si="27"/>
        <v xml:space="preserve"> </v>
      </c>
      <c r="K94" s="163" t="str">
        <f t="shared" si="19"/>
        <v/>
      </c>
      <c r="L94" s="163" t="str">
        <f t="shared" si="28"/>
        <v xml:space="preserve"> </v>
      </c>
      <c r="M94" s="163" t="str">
        <f t="shared" si="20"/>
        <v/>
      </c>
      <c r="N94" s="163" t="str">
        <f t="shared" si="29"/>
        <v xml:space="preserve"> </v>
      </c>
      <c r="O94" s="163" t="str">
        <f t="shared" si="21"/>
        <v/>
      </c>
      <c r="P94" s="163" t="str">
        <f t="shared" si="30"/>
        <v xml:space="preserve"> </v>
      </c>
      <c r="Q94" s="163" t="str">
        <f t="shared" si="22"/>
        <v/>
      </c>
      <c r="R94" s="163" t="str">
        <f t="shared" si="31"/>
        <v xml:space="preserve"> </v>
      </c>
      <c r="S94" s="163" t="str">
        <f t="shared" si="23"/>
        <v/>
      </c>
      <c r="T94" s="103"/>
      <c r="U94" s="103"/>
    </row>
    <row r="95" spans="1:21" ht="10.8" customHeight="1" x14ac:dyDescent="0.25">
      <c r="A95" s="161">
        <v>0.76041666666666696</v>
      </c>
      <c r="B95" s="162">
        <f>'Warrant 2'!F87</f>
        <v>1320</v>
      </c>
      <c r="C95" s="162">
        <f>'Warrant 2'!I87</f>
        <v>69</v>
      </c>
      <c r="D95" s="163" t="str">
        <f t="shared" si="24"/>
        <v xml:space="preserve"> </v>
      </c>
      <c r="E95" s="163" t="str">
        <f t="shared" si="16"/>
        <v/>
      </c>
      <c r="F95" s="163">
        <f t="shared" si="25"/>
        <v>1</v>
      </c>
      <c r="G95" s="163" t="str">
        <f t="shared" si="17"/>
        <v/>
      </c>
      <c r="H95" s="163" t="str">
        <f t="shared" si="26"/>
        <v xml:space="preserve"> </v>
      </c>
      <c r="I95" s="163" t="str">
        <f t="shared" si="18"/>
        <v/>
      </c>
      <c r="J95" s="163" t="str">
        <f t="shared" si="27"/>
        <v xml:space="preserve"> </v>
      </c>
      <c r="K95" s="163" t="str">
        <f t="shared" si="19"/>
        <v/>
      </c>
      <c r="L95" s="163" t="str">
        <f t="shared" si="28"/>
        <v xml:space="preserve"> </v>
      </c>
      <c r="M95" s="163" t="str">
        <f t="shared" si="20"/>
        <v/>
      </c>
      <c r="N95" s="163" t="str">
        <f t="shared" si="29"/>
        <v xml:space="preserve"> </v>
      </c>
      <c r="O95" s="163" t="str">
        <f t="shared" si="21"/>
        <v/>
      </c>
      <c r="P95" s="163">
        <f t="shared" si="30"/>
        <v>1</v>
      </c>
      <c r="Q95" s="163" t="str">
        <f t="shared" si="22"/>
        <v/>
      </c>
      <c r="R95" s="163" t="str">
        <f t="shared" si="31"/>
        <v xml:space="preserve"> </v>
      </c>
      <c r="S95" s="163" t="str">
        <f t="shared" si="23"/>
        <v/>
      </c>
      <c r="T95" s="103"/>
      <c r="U95" s="103"/>
    </row>
    <row r="96" spans="1:21" ht="10.8" customHeight="1" x14ac:dyDescent="0.25">
      <c r="A96" s="161">
        <v>0.77083333333333304</v>
      </c>
      <c r="B96" s="162">
        <f>'Warrant 2'!F88</f>
        <v>871</v>
      </c>
      <c r="C96" s="162">
        <f>'Warrant 2'!I88</f>
        <v>36</v>
      </c>
      <c r="D96" s="163">
        <f t="shared" si="24"/>
        <v>1</v>
      </c>
      <c r="E96" s="163" t="str">
        <f t="shared" si="16"/>
        <v/>
      </c>
      <c r="F96" s="163" t="str">
        <f t="shared" si="25"/>
        <v xml:space="preserve"> </v>
      </c>
      <c r="G96" s="163" t="str">
        <f t="shared" si="17"/>
        <v/>
      </c>
      <c r="H96" s="163" t="str">
        <f t="shared" si="26"/>
        <v xml:space="preserve"> </v>
      </c>
      <c r="I96" s="163" t="str">
        <f t="shared" si="18"/>
        <v/>
      </c>
      <c r="J96" s="163">
        <f t="shared" si="27"/>
        <v>1</v>
      </c>
      <c r="K96" s="163" t="str">
        <f t="shared" si="19"/>
        <v/>
      </c>
      <c r="L96" s="163">
        <f t="shared" si="28"/>
        <v>1</v>
      </c>
      <c r="M96" s="163" t="str">
        <f t="shared" si="20"/>
        <v/>
      </c>
      <c r="N96" s="163">
        <f t="shared" si="29"/>
        <v>1</v>
      </c>
      <c r="O96" s="163" t="str">
        <f t="shared" si="21"/>
        <v/>
      </c>
      <c r="P96" s="163" t="str">
        <f t="shared" si="30"/>
        <v xml:space="preserve"> </v>
      </c>
      <c r="Q96" s="163" t="str">
        <f t="shared" si="22"/>
        <v/>
      </c>
      <c r="R96" s="163">
        <f t="shared" si="31"/>
        <v>1</v>
      </c>
      <c r="S96" s="163" t="str">
        <f t="shared" si="23"/>
        <v/>
      </c>
      <c r="T96" s="103"/>
      <c r="U96" s="103"/>
    </row>
    <row r="97" spans="1:21" ht="10.8" customHeight="1" x14ac:dyDescent="0.25">
      <c r="A97" s="161">
        <v>0.78125</v>
      </c>
      <c r="B97" s="162">
        <f>'Warrant 2'!F89</f>
        <v>428</v>
      </c>
      <c r="C97" s="162">
        <f>'Warrant 2'!I89</f>
        <v>15</v>
      </c>
      <c r="D97" s="163" t="str">
        <f t="shared" si="24"/>
        <v xml:space="preserve"> </v>
      </c>
      <c r="E97" s="163" t="str">
        <f t="shared" si="16"/>
        <v/>
      </c>
      <c r="F97" s="163" t="str">
        <f t="shared" si="25"/>
        <v xml:space="preserve"> </v>
      </c>
      <c r="G97" s="163" t="str">
        <f t="shared" si="17"/>
        <v/>
      </c>
      <c r="H97" s="163" t="str">
        <f t="shared" si="26"/>
        <v xml:space="preserve"> </v>
      </c>
      <c r="I97" s="163" t="str">
        <f t="shared" si="18"/>
        <v/>
      </c>
      <c r="J97" s="163" t="str">
        <f t="shared" si="27"/>
        <v xml:space="preserve"> </v>
      </c>
      <c r="K97" s="163" t="str">
        <f t="shared" si="19"/>
        <v/>
      </c>
      <c r="L97" s="163" t="str">
        <f t="shared" si="28"/>
        <v xml:space="preserve"> </v>
      </c>
      <c r="M97" s="163" t="str">
        <f t="shared" si="20"/>
        <v/>
      </c>
      <c r="N97" s="163" t="str">
        <f t="shared" si="29"/>
        <v xml:space="preserve"> </v>
      </c>
      <c r="O97" s="163" t="str">
        <f t="shared" si="21"/>
        <v/>
      </c>
      <c r="P97" s="163" t="str">
        <f t="shared" si="30"/>
        <v xml:space="preserve"> </v>
      </c>
      <c r="Q97" s="163" t="str">
        <f t="shared" si="22"/>
        <v/>
      </c>
      <c r="R97" s="163" t="str">
        <f t="shared" si="31"/>
        <v xml:space="preserve"> </v>
      </c>
      <c r="S97" s="163" t="str">
        <f t="shared" si="23"/>
        <v/>
      </c>
      <c r="T97" s="103"/>
      <c r="U97" s="103"/>
    </row>
    <row r="98" spans="1:21" ht="10.8" customHeight="1" x14ac:dyDescent="0.25">
      <c r="A98" s="161">
        <v>0.79166666666666696</v>
      </c>
      <c r="B98" s="162">
        <f>'Warrant 2'!F90</f>
        <v>0</v>
      </c>
      <c r="C98" s="162">
        <f>'Warrant 2'!I90</f>
        <v>0</v>
      </c>
      <c r="D98" s="163" t="str">
        <f t="shared" si="24"/>
        <v xml:space="preserve"> </v>
      </c>
      <c r="E98" s="163" t="str">
        <f t="shared" si="16"/>
        <v/>
      </c>
      <c r="F98" s="163" t="str">
        <f t="shared" si="25"/>
        <v xml:space="preserve"> </v>
      </c>
      <c r="G98" s="163" t="str">
        <f t="shared" si="17"/>
        <v/>
      </c>
      <c r="H98" s="163" t="str">
        <f t="shared" si="26"/>
        <v xml:space="preserve"> </v>
      </c>
      <c r="I98" s="163" t="str">
        <f t="shared" si="18"/>
        <v/>
      </c>
      <c r="J98" s="163" t="str">
        <f t="shared" si="27"/>
        <v xml:space="preserve"> </v>
      </c>
      <c r="K98" s="163" t="str">
        <f t="shared" si="19"/>
        <v/>
      </c>
      <c r="L98" s="163" t="str">
        <f t="shared" si="28"/>
        <v xml:space="preserve"> </v>
      </c>
      <c r="M98" s="163" t="str">
        <f t="shared" si="20"/>
        <v/>
      </c>
      <c r="N98" s="163" t="str">
        <f t="shared" si="29"/>
        <v xml:space="preserve"> </v>
      </c>
      <c r="O98" s="163" t="str">
        <f t="shared" si="21"/>
        <v/>
      </c>
      <c r="P98" s="163" t="str">
        <f t="shared" si="30"/>
        <v xml:space="preserve"> </v>
      </c>
      <c r="Q98" s="163" t="str">
        <f t="shared" si="22"/>
        <v/>
      </c>
      <c r="R98" s="163" t="str">
        <f t="shared" si="31"/>
        <v xml:space="preserve"> </v>
      </c>
      <c r="S98" s="163" t="str">
        <f t="shared" si="23"/>
        <v/>
      </c>
      <c r="T98" s="103"/>
      <c r="U98" s="103"/>
    </row>
    <row r="99" spans="1:21" ht="10.8" customHeight="1" x14ac:dyDescent="0.25">
      <c r="A99" s="161">
        <v>0.80208333333333304</v>
      </c>
      <c r="B99" s="162">
        <f>'Warrant 2'!F91</f>
        <v>0</v>
      </c>
      <c r="C99" s="162">
        <f>'Warrant 2'!I91</f>
        <v>0</v>
      </c>
      <c r="D99" s="163" t="str">
        <f t="shared" si="24"/>
        <v xml:space="preserve"> </v>
      </c>
      <c r="E99" s="163" t="str">
        <f t="shared" si="16"/>
        <v/>
      </c>
      <c r="F99" s="163" t="str">
        <f t="shared" si="25"/>
        <v xml:space="preserve"> </v>
      </c>
      <c r="G99" s="163" t="str">
        <f t="shared" si="17"/>
        <v/>
      </c>
      <c r="H99" s="163" t="str">
        <f t="shared" si="26"/>
        <v xml:space="preserve"> </v>
      </c>
      <c r="I99" s="163" t="str">
        <f t="shared" si="18"/>
        <v/>
      </c>
      <c r="J99" s="163" t="str">
        <f t="shared" si="27"/>
        <v xml:space="preserve"> </v>
      </c>
      <c r="K99" s="163" t="str">
        <f t="shared" si="19"/>
        <v/>
      </c>
      <c r="L99" s="163" t="str">
        <f t="shared" si="28"/>
        <v xml:space="preserve"> </v>
      </c>
      <c r="M99" s="163" t="str">
        <f t="shared" si="20"/>
        <v/>
      </c>
      <c r="N99" s="163" t="str">
        <f t="shared" si="29"/>
        <v xml:space="preserve"> </v>
      </c>
      <c r="O99" s="163" t="str">
        <f t="shared" si="21"/>
        <v/>
      </c>
      <c r="P99" s="163" t="str">
        <f t="shared" si="30"/>
        <v xml:space="preserve"> </v>
      </c>
      <c r="Q99" s="163" t="str">
        <f t="shared" si="22"/>
        <v/>
      </c>
      <c r="R99" s="163" t="str">
        <f t="shared" si="31"/>
        <v xml:space="preserve"> </v>
      </c>
      <c r="S99" s="163" t="str">
        <f t="shared" si="23"/>
        <v/>
      </c>
      <c r="T99" s="103"/>
      <c r="U99" s="103"/>
    </row>
    <row r="100" spans="1:21" ht="10.8" customHeight="1" x14ac:dyDescent="0.25">
      <c r="A100" s="161">
        <v>0.8125</v>
      </c>
      <c r="B100" s="162">
        <f>'Warrant 2'!F92</f>
        <v>0</v>
      </c>
      <c r="C100" s="162">
        <f>'Warrant 2'!I92</f>
        <v>0</v>
      </c>
      <c r="D100" s="163" t="str">
        <f t="shared" si="24"/>
        <v xml:space="preserve"> </v>
      </c>
      <c r="E100" s="163" t="str">
        <f t="shared" si="16"/>
        <v/>
      </c>
      <c r="F100" s="163" t="str">
        <f t="shared" si="25"/>
        <v xml:space="preserve"> </v>
      </c>
      <c r="G100" s="163" t="str">
        <f t="shared" si="17"/>
        <v/>
      </c>
      <c r="H100" s="163" t="str">
        <f t="shared" si="26"/>
        <v xml:space="preserve"> </v>
      </c>
      <c r="I100" s="163" t="str">
        <f t="shared" si="18"/>
        <v/>
      </c>
      <c r="J100" s="163" t="str">
        <f t="shared" si="27"/>
        <v xml:space="preserve"> </v>
      </c>
      <c r="K100" s="163" t="str">
        <f t="shared" si="19"/>
        <v/>
      </c>
      <c r="L100" s="163" t="str">
        <f t="shared" si="28"/>
        <v xml:space="preserve"> </v>
      </c>
      <c r="M100" s="163" t="str">
        <f t="shared" si="20"/>
        <v/>
      </c>
      <c r="N100" s="163" t="str">
        <f t="shared" si="29"/>
        <v xml:space="preserve"> </v>
      </c>
      <c r="O100" s="163" t="str">
        <f t="shared" si="21"/>
        <v/>
      </c>
      <c r="P100" s="163" t="str">
        <f t="shared" si="30"/>
        <v xml:space="preserve"> </v>
      </c>
      <c r="Q100" s="163" t="str">
        <f t="shared" si="22"/>
        <v/>
      </c>
      <c r="R100" s="163" t="str">
        <f t="shared" si="31"/>
        <v xml:space="preserve"> </v>
      </c>
      <c r="S100" s="163" t="str">
        <f t="shared" si="23"/>
        <v/>
      </c>
      <c r="T100" s="103"/>
      <c r="U100" s="103"/>
    </row>
    <row r="101" spans="1:21" ht="10.8" customHeight="1" x14ac:dyDescent="0.25">
      <c r="A101" s="161">
        <v>0.82291666666666696</v>
      </c>
      <c r="B101" s="162">
        <f>'Warrant 2'!F93</f>
        <v>0</v>
      </c>
      <c r="C101" s="162">
        <f>'Warrant 2'!I93</f>
        <v>0</v>
      </c>
      <c r="D101" s="163" t="str">
        <f t="shared" si="24"/>
        <v xml:space="preserve"> </v>
      </c>
      <c r="E101" s="163" t="str">
        <f t="shared" si="16"/>
        <v/>
      </c>
      <c r="F101" s="163" t="str">
        <f t="shared" si="25"/>
        <v xml:space="preserve"> </v>
      </c>
      <c r="G101" s="163" t="str">
        <f t="shared" si="17"/>
        <v/>
      </c>
      <c r="H101" s="163" t="str">
        <f t="shared" si="26"/>
        <v xml:space="preserve"> </v>
      </c>
      <c r="I101" s="163" t="str">
        <f t="shared" si="18"/>
        <v/>
      </c>
      <c r="J101" s="163" t="str">
        <f t="shared" si="27"/>
        <v xml:space="preserve"> </v>
      </c>
      <c r="K101" s="163" t="str">
        <f t="shared" si="19"/>
        <v/>
      </c>
      <c r="L101" s="163" t="str">
        <f t="shared" si="28"/>
        <v xml:space="preserve"> </v>
      </c>
      <c r="M101" s="163" t="str">
        <f t="shared" si="20"/>
        <v/>
      </c>
      <c r="N101" s="163" t="str">
        <f t="shared" si="29"/>
        <v xml:space="preserve"> </v>
      </c>
      <c r="O101" s="163" t="str">
        <f t="shared" si="21"/>
        <v/>
      </c>
      <c r="P101" s="163" t="str">
        <f t="shared" si="30"/>
        <v xml:space="preserve"> </v>
      </c>
      <c r="Q101" s="163" t="str">
        <f t="shared" si="22"/>
        <v/>
      </c>
      <c r="R101" s="163" t="str">
        <f t="shared" si="31"/>
        <v xml:space="preserve"> </v>
      </c>
      <c r="S101" s="163" t="str">
        <f t="shared" si="23"/>
        <v/>
      </c>
      <c r="T101" s="103"/>
      <c r="U101" s="103"/>
    </row>
    <row r="102" spans="1:21" ht="10.8" customHeight="1" x14ac:dyDescent="0.25">
      <c r="A102" s="161">
        <v>0.83333333333333304</v>
      </c>
      <c r="B102" s="162">
        <f>'Warrant 2'!F94</f>
        <v>0</v>
      </c>
      <c r="C102" s="162">
        <f>'Warrant 2'!I94</f>
        <v>0</v>
      </c>
      <c r="D102" s="163" t="str">
        <f t="shared" si="24"/>
        <v xml:space="preserve"> </v>
      </c>
      <c r="E102" s="163" t="str">
        <f t="shared" si="16"/>
        <v/>
      </c>
      <c r="F102" s="163" t="str">
        <f t="shared" si="25"/>
        <v xml:space="preserve"> </v>
      </c>
      <c r="G102" s="163" t="str">
        <f t="shared" si="17"/>
        <v/>
      </c>
      <c r="H102" s="163" t="str">
        <f t="shared" si="26"/>
        <v xml:space="preserve"> </v>
      </c>
      <c r="I102" s="163" t="str">
        <f t="shared" si="18"/>
        <v/>
      </c>
      <c r="J102" s="163" t="str">
        <f t="shared" si="27"/>
        <v xml:space="preserve"> </v>
      </c>
      <c r="K102" s="163" t="str">
        <f t="shared" si="19"/>
        <v/>
      </c>
      <c r="L102" s="163" t="str">
        <f t="shared" si="28"/>
        <v xml:space="preserve"> </v>
      </c>
      <c r="M102" s="163" t="str">
        <f t="shared" si="20"/>
        <v/>
      </c>
      <c r="N102" s="163" t="str">
        <f t="shared" si="29"/>
        <v xml:space="preserve"> </v>
      </c>
      <c r="O102" s="163" t="str">
        <f t="shared" si="21"/>
        <v/>
      </c>
      <c r="P102" s="163" t="str">
        <f t="shared" si="30"/>
        <v xml:space="preserve"> </v>
      </c>
      <c r="Q102" s="163" t="str">
        <f t="shared" si="22"/>
        <v/>
      </c>
      <c r="R102" s="163" t="str">
        <f t="shared" si="31"/>
        <v xml:space="preserve"> </v>
      </c>
      <c r="S102" s="163" t="str">
        <f t="shared" si="23"/>
        <v/>
      </c>
      <c r="T102" s="103"/>
      <c r="U102" s="103"/>
    </row>
    <row r="103" spans="1:21" ht="10.8" customHeight="1" x14ac:dyDescent="0.25">
      <c r="A103" s="161">
        <v>0.84375</v>
      </c>
      <c r="B103" s="162">
        <f>'Warrant 2'!F95</f>
        <v>0</v>
      </c>
      <c r="C103" s="162">
        <f>'Warrant 2'!I95</f>
        <v>0</v>
      </c>
      <c r="D103" s="163" t="str">
        <f t="shared" si="24"/>
        <v xml:space="preserve"> </v>
      </c>
      <c r="E103" s="163" t="str">
        <f t="shared" si="16"/>
        <v/>
      </c>
      <c r="F103" s="163" t="str">
        <f t="shared" si="25"/>
        <v xml:space="preserve"> </v>
      </c>
      <c r="G103" s="163" t="str">
        <f t="shared" si="17"/>
        <v/>
      </c>
      <c r="H103" s="163" t="str">
        <f t="shared" si="26"/>
        <v xml:space="preserve"> </v>
      </c>
      <c r="I103" s="163" t="str">
        <f t="shared" si="18"/>
        <v/>
      </c>
      <c r="J103" s="163" t="str">
        <f t="shared" si="27"/>
        <v xml:space="preserve"> </v>
      </c>
      <c r="K103" s="163" t="str">
        <f t="shared" si="19"/>
        <v/>
      </c>
      <c r="L103" s="163" t="str">
        <f t="shared" si="28"/>
        <v xml:space="preserve"> </v>
      </c>
      <c r="M103" s="163" t="str">
        <f t="shared" si="20"/>
        <v/>
      </c>
      <c r="N103" s="163" t="str">
        <f t="shared" si="29"/>
        <v xml:space="preserve"> </v>
      </c>
      <c r="O103" s="163" t="str">
        <f t="shared" si="21"/>
        <v/>
      </c>
      <c r="P103" s="163" t="str">
        <f t="shared" si="30"/>
        <v xml:space="preserve"> </v>
      </c>
      <c r="Q103" s="163" t="str">
        <f t="shared" si="22"/>
        <v/>
      </c>
      <c r="R103" s="163" t="str">
        <f t="shared" si="31"/>
        <v xml:space="preserve"> </v>
      </c>
      <c r="S103" s="163" t="str">
        <f t="shared" si="23"/>
        <v/>
      </c>
      <c r="T103" s="103"/>
      <c r="U103" s="103"/>
    </row>
    <row r="104" spans="1:21" ht="10.8" customHeight="1" x14ac:dyDescent="0.25">
      <c r="A104" s="161">
        <v>0.85416666666666696</v>
      </c>
      <c r="B104" s="162">
        <f>'Warrant 2'!F96</f>
        <v>0</v>
      </c>
      <c r="C104" s="162">
        <f>'Warrant 2'!I96</f>
        <v>0</v>
      </c>
      <c r="D104" s="163" t="str">
        <f t="shared" si="24"/>
        <v xml:space="preserve"> </v>
      </c>
      <c r="E104" s="163" t="str">
        <f t="shared" si="16"/>
        <v/>
      </c>
      <c r="F104" s="163" t="str">
        <f t="shared" si="25"/>
        <v xml:space="preserve"> </v>
      </c>
      <c r="G104" s="163" t="str">
        <f t="shared" si="17"/>
        <v/>
      </c>
      <c r="H104" s="163" t="str">
        <f t="shared" si="26"/>
        <v xml:space="preserve"> </v>
      </c>
      <c r="I104" s="163" t="str">
        <f t="shared" si="18"/>
        <v/>
      </c>
      <c r="J104" s="163" t="str">
        <f t="shared" si="27"/>
        <v xml:space="preserve"> </v>
      </c>
      <c r="K104" s="163" t="str">
        <f t="shared" si="19"/>
        <v/>
      </c>
      <c r="L104" s="163" t="str">
        <f t="shared" si="28"/>
        <v xml:space="preserve"> </v>
      </c>
      <c r="M104" s="163" t="str">
        <f t="shared" si="20"/>
        <v/>
      </c>
      <c r="N104" s="163" t="str">
        <f t="shared" si="29"/>
        <v xml:space="preserve"> </v>
      </c>
      <c r="O104" s="163" t="str">
        <f t="shared" si="21"/>
        <v/>
      </c>
      <c r="P104" s="163" t="str">
        <f t="shared" si="30"/>
        <v xml:space="preserve"> </v>
      </c>
      <c r="Q104" s="163" t="str">
        <f t="shared" si="22"/>
        <v/>
      </c>
      <c r="R104" s="163" t="str">
        <f t="shared" si="31"/>
        <v xml:space="preserve"> </v>
      </c>
      <c r="S104" s="163" t="str">
        <f t="shared" si="23"/>
        <v/>
      </c>
      <c r="T104" s="103"/>
      <c r="U104" s="103"/>
    </row>
    <row r="105" spans="1:21" ht="10.8" customHeight="1" x14ac:dyDescent="0.25">
      <c r="A105" s="161">
        <v>0.86458333333333304</v>
      </c>
      <c r="B105" s="162">
        <f>'Warrant 2'!F97</f>
        <v>0</v>
      </c>
      <c r="C105" s="162">
        <f>'Warrant 2'!I97</f>
        <v>0</v>
      </c>
      <c r="D105" s="163" t="str">
        <f t="shared" si="24"/>
        <v xml:space="preserve"> </v>
      </c>
      <c r="E105" s="163" t="str">
        <f t="shared" si="16"/>
        <v/>
      </c>
      <c r="F105" s="163" t="str">
        <f t="shared" si="25"/>
        <v xml:space="preserve"> </v>
      </c>
      <c r="G105" s="163" t="str">
        <f t="shared" si="17"/>
        <v/>
      </c>
      <c r="H105" s="163" t="str">
        <f t="shared" si="26"/>
        <v xml:space="preserve"> </v>
      </c>
      <c r="I105" s="163" t="str">
        <f t="shared" si="18"/>
        <v/>
      </c>
      <c r="J105" s="163" t="str">
        <f t="shared" si="27"/>
        <v xml:space="preserve"> </v>
      </c>
      <c r="K105" s="163" t="str">
        <f t="shared" si="19"/>
        <v/>
      </c>
      <c r="L105" s="163" t="str">
        <f t="shared" si="28"/>
        <v xml:space="preserve"> </v>
      </c>
      <c r="M105" s="163" t="str">
        <f t="shared" si="20"/>
        <v/>
      </c>
      <c r="N105" s="163" t="str">
        <f t="shared" si="29"/>
        <v xml:space="preserve"> </v>
      </c>
      <c r="O105" s="163" t="str">
        <f t="shared" si="21"/>
        <v/>
      </c>
      <c r="P105" s="163" t="str">
        <f t="shared" si="30"/>
        <v xml:space="preserve"> </v>
      </c>
      <c r="Q105" s="163" t="str">
        <f t="shared" si="22"/>
        <v/>
      </c>
      <c r="R105" s="163" t="str">
        <f t="shared" si="31"/>
        <v xml:space="preserve"> </v>
      </c>
      <c r="S105" s="163" t="str">
        <f t="shared" si="23"/>
        <v/>
      </c>
      <c r="T105" s="103"/>
      <c r="U105" s="103"/>
    </row>
    <row r="106" spans="1:21" ht="10.8" customHeight="1" x14ac:dyDescent="0.25">
      <c r="A106" s="161">
        <v>0.875</v>
      </c>
      <c r="B106" s="162">
        <f>'Warrant 2'!F98</f>
        <v>0</v>
      </c>
      <c r="C106" s="162">
        <f>'Warrant 2'!I98</f>
        <v>0</v>
      </c>
      <c r="D106" s="163" t="str">
        <f t="shared" si="24"/>
        <v xml:space="preserve"> </v>
      </c>
      <c r="E106" s="163" t="str">
        <f t="shared" si="16"/>
        <v/>
      </c>
      <c r="F106" s="163" t="str">
        <f t="shared" si="25"/>
        <v xml:space="preserve"> </v>
      </c>
      <c r="G106" s="163" t="str">
        <f t="shared" si="17"/>
        <v/>
      </c>
      <c r="H106" s="163" t="str">
        <f t="shared" si="26"/>
        <v xml:space="preserve"> </v>
      </c>
      <c r="I106" s="163" t="str">
        <f t="shared" si="18"/>
        <v/>
      </c>
      <c r="J106" s="163" t="str">
        <f t="shared" si="27"/>
        <v xml:space="preserve"> </v>
      </c>
      <c r="K106" s="163" t="str">
        <f t="shared" si="19"/>
        <v/>
      </c>
      <c r="L106" s="163" t="str">
        <f t="shared" si="28"/>
        <v xml:space="preserve"> </v>
      </c>
      <c r="M106" s="163" t="str">
        <f t="shared" si="20"/>
        <v/>
      </c>
      <c r="N106" s="163" t="str">
        <f t="shared" si="29"/>
        <v xml:space="preserve"> </v>
      </c>
      <c r="O106" s="163" t="str">
        <f t="shared" si="21"/>
        <v/>
      </c>
      <c r="P106" s="163" t="str">
        <f t="shared" si="30"/>
        <v xml:space="preserve"> </v>
      </c>
      <c r="Q106" s="163" t="str">
        <f t="shared" si="22"/>
        <v/>
      </c>
      <c r="R106" s="163" t="str">
        <f t="shared" si="31"/>
        <v xml:space="preserve"> </v>
      </c>
      <c r="S106" s="163" t="str">
        <f t="shared" si="23"/>
        <v/>
      </c>
      <c r="T106" s="103"/>
      <c r="U106" s="103"/>
    </row>
    <row r="107" spans="1:21" ht="10.8" customHeight="1" x14ac:dyDescent="0.25">
      <c r="A107" s="161">
        <v>0.88541666666666696</v>
      </c>
      <c r="B107" s="162">
        <f>'Warrant 2'!F99</f>
        <v>0</v>
      </c>
      <c r="C107" s="162">
        <f>'Warrant 2'!I99</f>
        <v>0</v>
      </c>
      <c r="D107" s="163" t="str">
        <f t="shared" si="24"/>
        <v xml:space="preserve"> </v>
      </c>
      <c r="E107" s="163" t="str">
        <f t="shared" ref="E107:E117" si="32">IF(AND($B$5="1 Lane",$B$6="1 Lane"),IF(AND($C107&gt;=E$18,D107=1),1," "),IF(AND($B$5="1 Lane",$B$6="2 or More Lanes"),IF(AND(D107=1,$C107&gt;=E$20),1," "),IF(AND($B$5="2 or More Lanes",$B$6="1 Lane"),IF(AND(D107=1,$C107&gt;=E$18),1," "),IF(AND(D107=1,$C107&gt;=E$20),1,""))))</f>
        <v/>
      </c>
      <c r="F107" s="163" t="str">
        <f t="shared" si="25"/>
        <v xml:space="preserve"> </v>
      </c>
      <c r="G107" s="163" t="str">
        <f t="shared" si="17"/>
        <v/>
      </c>
      <c r="H107" s="163" t="str">
        <f t="shared" si="26"/>
        <v xml:space="preserve"> </v>
      </c>
      <c r="I107" s="163" t="str">
        <f t="shared" si="18"/>
        <v/>
      </c>
      <c r="J107" s="163" t="str">
        <f t="shared" si="27"/>
        <v xml:space="preserve"> </v>
      </c>
      <c r="K107" s="163" t="str">
        <f t="shared" si="19"/>
        <v/>
      </c>
      <c r="L107" s="163" t="str">
        <f t="shared" si="28"/>
        <v xml:space="preserve"> </v>
      </c>
      <c r="M107" s="163" t="str">
        <f t="shared" si="20"/>
        <v/>
      </c>
      <c r="N107" s="163" t="str">
        <f t="shared" si="29"/>
        <v xml:space="preserve"> </v>
      </c>
      <c r="O107" s="163" t="str">
        <f t="shared" si="21"/>
        <v/>
      </c>
      <c r="P107" s="163" t="str">
        <f t="shared" si="30"/>
        <v xml:space="preserve"> </v>
      </c>
      <c r="Q107" s="163" t="str">
        <f t="shared" si="22"/>
        <v/>
      </c>
      <c r="R107" s="163" t="str">
        <f t="shared" si="31"/>
        <v xml:space="preserve"> </v>
      </c>
      <c r="S107" s="163" t="str">
        <f t="shared" si="23"/>
        <v/>
      </c>
      <c r="T107" s="103"/>
      <c r="U107" s="103"/>
    </row>
    <row r="108" spans="1:21" ht="10.5" customHeight="1" x14ac:dyDescent="0.25">
      <c r="A108" s="161">
        <v>0.89583333333333304</v>
      </c>
      <c r="B108" s="162">
        <f>'Warrant 2'!F100</f>
        <v>0</v>
      </c>
      <c r="C108" s="162">
        <f>'Warrant 2'!I100</f>
        <v>0</v>
      </c>
      <c r="D108" s="163" t="str">
        <f>IF($B$5="1 Lane",IF(AND($B108&gt;=D$18,D105=" ",D106=" ",D107=" "),1," "),IF($B$5="2 or More Lanes",IF(AND($B108&gt;=D$19,D105=" ",D106=" ",D107=" "),1," ")," "))</f>
        <v xml:space="preserve"> </v>
      </c>
      <c r="E108" s="163" t="str">
        <f t="shared" si="32"/>
        <v/>
      </c>
      <c r="F108" s="163" t="str">
        <f t="shared" si="25"/>
        <v xml:space="preserve"> </v>
      </c>
      <c r="G108" s="163" t="str">
        <f t="shared" si="17"/>
        <v/>
      </c>
      <c r="H108" s="163" t="str">
        <f t="shared" si="26"/>
        <v xml:space="preserve"> </v>
      </c>
      <c r="I108" s="163" t="str">
        <f t="shared" si="18"/>
        <v/>
      </c>
      <c r="J108" s="163" t="str">
        <f t="shared" si="27"/>
        <v xml:space="preserve"> </v>
      </c>
      <c r="K108" s="163" t="str">
        <f t="shared" si="19"/>
        <v/>
      </c>
      <c r="L108" s="163" t="str">
        <f t="shared" si="28"/>
        <v xml:space="preserve"> </v>
      </c>
      <c r="M108" s="163" t="str">
        <f t="shared" si="20"/>
        <v/>
      </c>
      <c r="N108" s="163" t="str">
        <f t="shared" si="29"/>
        <v xml:space="preserve"> </v>
      </c>
      <c r="O108" s="163" t="str">
        <f t="shared" si="21"/>
        <v/>
      </c>
      <c r="P108" s="163" t="str">
        <f t="shared" si="30"/>
        <v xml:space="preserve"> </v>
      </c>
      <c r="Q108" s="163" t="str">
        <f t="shared" si="22"/>
        <v/>
      </c>
      <c r="R108" s="163" t="str">
        <f t="shared" si="31"/>
        <v xml:space="preserve"> </v>
      </c>
      <c r="S108" s="163" t="str">
        <f t="shared" si="23"/>
        <v/>
      </c>
      <c r="T108" s="103"/>
      <c r="U108" s="103"/>
    </row>
    <row r="109" spans="1:21" ht="10.5" customHeight="1" x14ac:dyDescent="0.25">
      <c r="A109" s="161">
        <v>0.90625</v>
      </c>
      <c r="B109" s="162">
        <f>'Warrant 2'!F101</f>
        <v>0</v>
      </c>
      <c r="C109" s="162">
        <f>'Warrant 2'!I101</f>
        <v>0</v>
      </c>
      <c r="D109" s="163" t="str">
        <f t="shared" ref="D109:D117" si="33">IF($B$5="1 Lane",IF(AND($B109&gt;=D$18,D106=" ",D107=" ",D108=" "),1," "),IF($B$5="2 or More Lanes",IF(AND($B109&gt;=D$19,D106=" ",D107=" ",D108=" "),1," ")," "))</f>
        <v xml:space="preserve"> </v>
      </c>
      <c r="E109" s="163" t="str">
        <f t="shared" si="32"/>
        <v/>
      </c>
      <c r="F109" s="163" t="str">
        <f t="shared" si="25"/>
        <v xml:space="preserve"> </v>
      </c>
      <c r="G109" s="163" t="str">
        <f t="shared" si="17"/>
        <v/>
      </c>
      <c r="H109" s="163" t="str">
        <f t="shared" si="26"/>
        <v xml:space="preserve"> </v>
      </c>
      <c r="I109" s="163" t="str">
        <f t="shared" si="18"/>
        <v/>
      </c>
      <c r="J109" s="163" t="str">
        <f t="shared" si="27"/>
        <v xml:space="preserve"> </v>
      </c>
      <c r="K109" s="163" t="str">
        <f t="shared" si="19"/>
        <v/>
      </c>
      <c r="L109" s="163" t="str">
        <f t="shared" si="28"/>
        <v xml:space="preserve"> </v>
      </c>
      <c r="M109" s="163" t="str">
        <f t="shared" si="20"/>
        <v/>
      </c>
      <c r="N109" s="163" t="str">
        <f t="shared" si="29"/>
        <v xml:space="preserve"> </v>
      </c>
      <c r="O109" s="163" t="str">
        <f t="shared" si="21"/>
        <v/>
      </c>
      <c r="P109" s="163" t="str">
        <f t="shared" si="30"/>
        <v xml:space="preserve"> </v>
      </c>
      <c r="Q109" s="163" t="str">
        <f t="shared" si="22"/>
        <v/>
      </c>
      <c r="R109" s="163" t="str">
        <f t="shared" si="31"/>
        <v xml:space="preserve"> </v>
      </c>
      <c r="S109" s="163" t="str">
        <f t="shared" si="23"/>
        <v/>
      </c>
      <c r="T109" s="103"/>
      <c r="U109" s="103"/>
    </row>
    <row r="110" spans="1:21" ht="12.3" hidden="1" customHeight="1" x14ac:dyDescent="0.25">
      <c r="A110" s="161">
        <v>0.91666666666666696</v>
      </c>
      <c r="B110" s="162">
        <f>'Warrant 2'!F102</f>
        <v>0</v>
      </c>
      <c r="C110" s="162">
        <f>'Warrant 2'!I102</f>
        <v>0</v>
      </c>
      <c r="D110" s="163" t="str">
        <f t="shared" si="33"/>
        <v xml:space="preserve"> </v>
      </c>
      <c r="E110" s="163" t="str">
        <f t="shared" si="32"/>
        <v/>
      </c>
      <c r="F110" s="163" t="str">
        <f t="shared" si="25"/>
        <v xml:space="preserve"> </v>
      </c>
      <c r="G110" s="163" t="str">
        <f t="shared" si="17"/>
        <v/>
      </c>
      <c r="H110" s="163" t="str">
        <f t="shared" si="26"/>
        <v xml:space="preserve"> </v>
      </c>
      <c r="I110" s="163" t="str">
        <f t="shared" si="18"/>
        <v/>
      </c>
      <c r="J110" s="163" t="str">
        <f t="shared" si="27"/>
        <v xml:space="preserve"> </v>
      </c>
      <c r="K110" s="163" t="str">
        <f t="shared" si="19"/>
        <v/>
      </c>
      <c r="L110" s="163" t="str">
        <f t="shared" si="28"/>
        <v xml:space="preserve"> </v>
      </c>
      <c r="M110" s="163" t="str">
        <f t="shared" si="20"/>
        <v/>
      </c>
      <c r="N110" s="163" t="str">
        <f t="shared" si="29"/>
        <v xml:space="preserve"> </v>
      </c>
      <c r="O110" s="163" t="str">
        <f t="shared" si="21"/>
        <v/>
      </c>
      <c r="P110" s="163" t="str">
        <f t="shared" si="30"/>
        <v xml:space="preserve"> </v>
      </c>
      <c r="Q110" s="163" t="str">
        <f t="shared" si="22"/>
        <v/>
      </c>
      <c r="R110" s="163" t="str">
        <f t="shared" si="31"/>
        <v xml:space="preserve"> </v>
      </c>
      <c r="S110" s="163" t="str">
        <f t="shared" si="23"/>
        <v/>
      </c>
      <c r="T110" s="103"/>
      <c r="U110" s="103"/>
    </row>
    <row r="111" spans="1:21" ht="12.3" hidden="1" customHeight="1" x14ac:dyDescent="0.25">
      <c r="A111" s="161">
        <v>0.92708333333333304</v>
      </c>
      <c r="B111" s="162">
        <f>'Warrant 2'!F103</f>
        <v>0</v>
      </c>
      <c r="C111" s="162">
        <f>'Warrant 2'!I103</f>
        <v>0</v>
      </c>
      <c r="D111" s="163" t="str">
        <f t="shared" si="33"/>
        <v xml:space="preserve"> </v>
      </c>
      <c r="E111" s="163" t="str">
        <f t="shared" si="32"/>
        <v/>
      </c>
      <c r="F111" s="163" t="str">
        <f t="shared" si="25"/>
        <v xml:space="preserve"> </v>
      </c>
      <c r="G111" s="163" t="str">
        <f t="shared" si="17"/>
        <v/>
      </c>
      <c r="H111" s="163" t="str">
        <f t="shared" si="26"/>
        <v xml:space="preserve"> </v>
      </c>
      <c r="I111" s="163" t="str">
        <f t="shared" si="18"/>
        <v/>
      </c>
      <c r="J111" s="163" t="str">
        <f t="shared" si="27"/>
        <v xml:space="preserve"> </v>
      </c>
      <c r="K111" s="163" t="str">
        <f t="shared" si="19"/>
        <v/>
      </c>
      <c r="L111" s="163" t="str">
        <f t="shared" si="28"/>
        <v xml:space="preserve"> </v>
      </c>
      <c r="M111" s="163" t="str">
        <f t="shared" si="20"/>
        <v/>
      </c>
      <c r="N111" s="163" t="str">
        <f t="shared" si="29"/>
        <v xml:space="preserve"> </v>
      </c>
      <c r="O111" s="163" t="str">
        <f t="shared" si="21"/>
        <v/>
      </c>
      <c r="P111" s="163" t="str">
        <f t="shared" si="30"/>
        <v xml:space="preserve"> </v>
      </c>
      <c r="Q111" s="163" t="str">
        <f t="shared" si="22"/>
        <v/>
      </c>
      <c r="R111" s="163" t="str">
        <f t="shared" si="31"/>
        <v xml:space="preserve"> </v>
      </c>
      <c r="S111" s="163" t="str">
        <f t="shared" si="23"/>
        <v/>
      </c>
      <c r="T111" s="103"/>
      <c r="U111" s="103"/>
    </row>
    <row r="112" spans="1:21" ht="12.3" hidden="1" customHeight="1" x14ac:dyDescent="0.25">
      <c r="A112" s="161">
        <v>0.9375</v>
      </c>
      <c r="B112" s="162">
        <f>'Warrant 2'!F104</f>
        <v>0</v>
      </c>
      <c r="C112" s="162">
        <f>'Warrant 2'!I104</f>
        <v>0</v>
      </c>
      <c r="D112" s="163" t="str">
        <f t="shared" si="33"/>
        <v xml:space="preserve"> </v>
      </c>
      <c r="E112" s="163" t="str">
        <f t="shared" si="32"/>
        <v/>
      </c>
      <c r="F112" s="163" t="str">
        <f t="shared" si="25"/>
        <v xml:space="preserve"> </v>
      </c>
      <c r="G112" s="163" t="str">
        <f t="shared" si="17"/>
        <v/>
      </c>
      <c r="H112" s="163" t="str">
        <f t="shared" si="26"/>
        <v xml:space="preserve"> </v>
      </c>
      <c r="I112" s="163" t="str">
        <f t="shared" si="18"/>
        <v/>
      </c>
      <c r="J112" s="163" t="str">
        <f t="shared" si="27"/>
        <v xml:space="preserve"> </v>
      </c>
      <c r="K112" s="163" t="str">
        <f t="shared" si="19"/>
        <v/>
      </c>
      <c r="L112" s="163" t="str">
        <f t="shared" si="28"/>
        <v xml:space="preserve"> </v>
      </c>
      <c r="M112" s="163" t="str">
        <f t="shared" si="20"/>
        <v/>
      </c>
      <c r="N112" s="163" t="str">
        <f t="shared" si="29"/>
        <v xml:space="preserve"> </v>
      </c>
      <c r="O112" s="163" t="str">
        <f t="shared" si="21"/>
        <v/>
      </c>
      <c r="P112" s="163" t="str">
        <f t="shared" si="30"/>
        <v xml:space="preserve"> </v>
      </c>
      <c r="Q112" s="163" t="str">
        <f t="shared" si="22"/>
        <v/>
      </c>
      <c r="R112" s="163" t="str">
        <f t="shared" si="31"/>
        <v xml:space="preserve"> </v>
      </c>
      <c r="S112" s="163" t="str">
        <f t="shared" si="23"/>
        <v/>
      </c>
      <c r="T112" s="103"/>
      <c r="U112" s="103"/>
    </row>
    <row r="113" spans="1:21" ht="12.3" hidden="1" customHeight="1" x14ac:dyDescent="0.25">
      <c r="A113" s="161">
        <v>0.94791666666666696</v>
      </c>
      <c r="B113" s="162">
        <f>'Warrant 2'!F105</f>
        <v>0</v>
      </c>
      <c r="C113" s="162">
        <f>'Warrant 2'!I105</f>
        <v>0</v>
      </c>
      <c r="D113" s="163" t="str">
        <f t="shared" si="33"/>
        <v xml:space="preserve"> </v>
      </c>
      <c r="E113" s="163" t="str">
        <f t="shared" si="32"/>
        <v/>
      </c>
      <c r="F113" s="163" t="str">
        <f t="shared" si="25"/>
        <v xml:space="preserve"> </v>
      </c>
      <c r="G113" s="163" t="str">
        <f t="shared" si="17"/>
        <v/>
      </c>
      <c r="H113" s="163" t="str">
        <f t="shared" si="26"/>
        <v xml:space="preserve"> </v>
      </c>
      <c r="I113" s="163" t="str">
        <f t="shared" si="18"/>
        <v/>
      </c>
      <c r="J113" s="163" t="str">
        <f t="shared" si="27"/>
        <v xml:space="preserve"> </v>
      </c>
      <c r="K113" s="163" t="str">
        <f t="shared" si="19"/>
        <v/>
      </c>
      <c r="L113" s="163" t="str">
        <f t="shared" si="28"/>
        <v xml:space="preserve"> </v>
      </c>
      <c r="M113" s="163" t="str">
        <f t="shared" si="20"/>
        <v/>
      </c>
      <c r="N113" s="163" t="str">
        <f t="shared" si="29"/>
        <v xml:space="preserve"> </v>
      </c>
      <c r="O113" s="163" t="str">
        <f t="shared" si="21"/>
        <v/>
      </c>
      <c r="P113" s="163" t="str">
        <f t="shared" si="30"/>
        <v xml:space="preserve"> </v>
      </c>
      <c r="Q113" s="163" t="str">
        <f t="shared" si="22"/>
        <v/>
      </c>
      <c r="R113" s="163" t="str">
        <f t="shared" si="31"/>
        <v xml:space="preserve"> </v>
      </c>
      <c r="S113" s="163" t="str">
        <f t="shared" si="23"/>
        <v/>
      </c>
      <c r="T113" s="103"/>
      <c r="U113" s="103"/>
    </row>
    <row r="114" spans="1:21" ht="12.3" hidden="1" customHeight="1" x14ac:dyDescent="0.25">
      <c r="A114" s="161">
        <v>0.95833333333333304</v>
      </c>
      <c r="B114" s="162">
        <f>'Warrant 2'!F106</f>
        <v>0</v>
      </c>
      <c r="C114" s="162">
        <f>'Warrant 2'!I106</f>
        <v>0</v>
      </c>
      <c r="D114" s="163" t="str">
        <f t="shared" si="33"/>
        <v xml:space="preserve"> </v>
      </c>
      <c r="E114" s="163" t="str">
        <f t="shared" si="32"/>
        <v/>
      </c>
      <c r="F114" s="163" t="str">
        <f t="shared" si="25"/>
        <v xml:space="preserve"> </v>
      </c>
      <c r="G114" s="163" t="str">
        <f t="shared" si="17"/>
        <v/>
      </c>
      <c r="H114" s="163" t="str">
        <f t="shared" si="26"/>
        <v xml:space="preserve"> </v>
      </c>
      <c r="I114" s="163" t="str">
        <f t="shared" si="18"/>
        <v/>
      </c>
      <c r="J114" s="163" t="str">
        <f t="shared" si="27"/>
        <v xml:space="preserve"> </v>
      </c>
      <c r="K114" s="163" t="str">
        <f t="shared" si="19"/>
        <v/>
      </c>
      <c r="L114" s="163" t="str">
        <f t="shared" si="28"/>
        <v xml:space="preserve"> </v>
      </c>
      <c r="M114" s="163" t="str">
        <f t="shared" si="20"/>
        <v/>
      </c>
      <c r="N114" s="163" t="str">
        <f t="shared" si="29"/>
        <v xml:space="preserve"> </v>
      </c>
      <c r="O114" s="163" t="str">
        <f t="shared" si="21"/>
        <v/>
      </c>
      <c r="P114" s="163" t="str">
        <f t="shared" si="30"/>
        <v xml:space="preserve"> </v>
      </c>
      <c r="Q114" s="163" t="str">
        <f t="shared" si="22"/>
        <v/>
      </c>
      <c r="R114" s="163" t="str">
        <f t="shared" si="31"/>
        <v xml:space="preserve"> </v>
      </c>
      <c r="S114" s="163" t="str">
        <f t="shared" si="23"/>
        <v/>
      </c>
      <c r="T114" s="103"/>
      <c r="U114" s="103"/>
    </row>
    <row r="115" spans="1:21" ht="12.3" hidden="1" customHeight="1" x14ac:dyDescent="0.25">
      <c r="A115" s="161">
        <v>0.96875</v>
      </c>
      <c r="B115" s="162">
        <f>'Warrant 2'!F107</f>
        <v>0</v>
      </c>
      <c r="C115" s="162">
        <f>'Warrant 2'!I107</f>
        <v>0</v>
      </c>
      <c r="D115" s="163" t="str">
        <f t="shared" si="33"/>
        <v xml:space="preserve"> </v>
      </c>
      <c r="E115" s="163" t="str">
        <f t="shared" si="32"/>
        <v/>
      </c>
      <c r="F115" s="163" t="str">
        <f t="shared" si="25"/>
        <v xml:space="preserve"> </v>
      </c>
      <c r="G115" s="163" t="str">
        <f t="shared" si="17"/>
        <v/>
      </c>
      <c r="H115" s="163" t="str">
        <f t="shared" si="26"/>
        <v xml:space="preserve"> </v>
      </c>
      <c r="I115" s="163" t="str">
        <f t="shared" si="18"/>
        <v/>
      </c>
      <c r="J115" s="163" t="str">
        <f t="shared" si="27"/>
        <v xml:space="preserve"> </v>
      </c>
      <c r="K115" s="163" t="str">
        <f t="shared" si="19"/>
        <v/>
      </c>
      <c r="L115" s="163" t="str">
        <f t="shared" si="28"/>
        <v xml:space="preserve"> </v>
      </c>
      <c r="M115" s="163" t="str">
        <f t="shared" si="20"/>
        <v/>
      </c>
      <c r="N115" s="163" t="str">
        <f t="shared" si="29"/>
        <v xml:space="preserve"> </v>
      </c>
      <c r="O115" s="163" t="str">
        <f t="shared" si="21"/>
        <v/>
      </c>
      <c r="P115" s="163" t="str">
        <f t="shared" si="30"/>
        <v xml:space="preserve"> </v>
      </c>
      <c r="Q115" s="163" t="str">
        <f t="shared" si="22"/>
        <v/>
      </c>
      <c r="R115" s="163" t="str">
        <f t="shared" si="31"/>
        <v xml:space="preserve"> </v>
      </c>
      <c r="S115" s="163" t="str">
        <f t="shared" si="23"/>
        <v/>
      </c>
      <c r="T115" s="103"/>
      <c r="U115" s="103"/>
    </row>
    <row r="116" spans="1:21" ht="12.3" hidden="1" customHeight="1" x14ac:dyDescent="0.25">
      <c r="A116" s="161">
        <v>0.97916666666666696</v>
      </c>
      <c r="B116" s="162">
        <f>'Warrant 2'!F108</f>
        <v>0</v>
      </c>
      <c r="C116" s="162">
        <f>'Warrant 2'!I108</f>
        <v>0</v>
      </c>
      <c r="D116" s="163" t="str">
        <f t="shared" si="33"/>
        <v xml:space="preserve"> </v>
      </c>
      <c r="E116" s="163" t="str">
        <f t="shared" si="32"/>
        <v/>
      </c>
      <c r="F116" s="163" t="str">
        <f t="shared" si="25"/>
        <v xml:space="preserve"> </v>
      </c>
      <c r="G116" s="163" t="str">
        <f t="shared" si="17"/>
        <v/>
      </c>
      <c r="H116" s="163" t="str">
        <f t="shared" si="26"/>
        <v xml:space="preserve"> </v>
      </c>
      <c r="I116" s="163" t="str">
        <f t="shared" si="18"/>
        <v/>
      </c>
      <c r="J116" s="163" t="str">
        <f t="shared" si="27"/>
        <v xml:space="preserve"> </v>
      </c>
      <c r="K116" s="163" t="str">
        <f t="shared" si="19"/>
        <v/>
      </c>
      <c r="L116" s="163" t="str">
        <f t="shared" si="28"/>
        <v xml:space="preserve"> </v>
      </c>
      <c r="M116" s="163" t="str">
        <f t="shared" si="20"/>
        <v/>
      </c>
      <c r="N116" s="163" t="str">
        <f t="shared" si="29"/>
        <v xml:space="preserve"> </v>
      </c>
      <c r="O116" s="163" t="str">
        <f t="shared" si="21"/>
        <v/>
      </c>
      <c r="P116" s="163" t="str">
        <f t="shared" si="30"/>
        <v xml:space="preserve"> </v>
      </c>
      <c r="Q116" s="163" t="str">
        <f t="shared" si="22"/>
        <v/>
      </c>
      <c r="R116" s="163" t="str">
        <f t="shared" si="31"/>
        <v xml:space="preserve"> </v>
      </c>
      <c r="S116" s="163" t="str">
        <f t="shared" si="23"/>
        <v/>
      </c>
      <c r="T116" s="103"/>
      <c r="U116" s="103"/>
    </row>
    <row r="117" spans="1:21" ht="12.3" hidden="1" customHeight="1" x14ac:dyDescent="0.25">
      <c r="A117" s="161">
        <v>0.98958333333333304</v>
      </c>
      <c r="B117" s="162">
        <f>'Warrant 2'!F109</f>
        <v>0</v>
      </c>
      <c r="C117" s="162">
        <f>'Warrant 2'!I109</f>
        <v>0</v>
      </c>
      <c r="D117" s="163" t="str">
        <f t="shared" si="33"/>
        <v xml:space="preserve"> </v>
      </c>
      <c r="E117" s="163" t="str">
        <f t="shared" si="32"/>
        <v/>
      </c>
      <c r="F117" s="163" t="str">
        <f t="shared" si="25"/>
        <v xml:space="preserve"> </v>
      </c>
      <c r="G117" s="163" t="str">
        <f t="shared" si="17"/>
        <v/>
      </c>
      <c r="H117" s="163" t="str">
        <f t="shared" si="26"/>
        <v xml:space="preserve"> </v>
      </c>
      <c r="I117" s="163" t="str">
        <f t="shared" si="18"/>
        <v/>
      </c>
      <c r="J117" s="163" t="str">
        <f t="shared" si="27"/>
        <v xml:space="preserve"> </v>
      </c>
      <c r="K117" s="163" t="str">
        <f t="shared" si="19"/>
        <v/>
      </c>
      <c r="L117" s="163" t="str">
        <f t="shared" si="28"/>
        <v xml:space="preserve"> </v>
      </c>
      <c r="M117" s="163" t="str">
        <f t="shared" si="20"/>
        <v/>
      </c>
      <c r="N117" s="163" t="str">
        <f t="shared" si="29"/>
        <v xml:space="preserve"> </v>
      </c>
      <c r="O117" s="163" t="str">
        <f t="shared" si="21"/>
        <v/>
      </c>
      <c r="P117" s="163" t="str">
        <f t="shared" si="30"/>
        <v xml:space="preserve"> </v>
      </c>
      <c r="Q117" s="163" t="str">
        <f t="shared" si="22"/>
        <v/>
      </c>
      <c r="R117" s="163" t="str">
        <f t="shared" si="31"/>
        <v xml:space="preserve"> </v>
      </c>
      <c r="S117" s="163" t="str">
        <f t="shared" si="23"/>
        <v/>
      </c>
      <c r="T117" s="103"/>
      <c r="U117" s="103"/>
    </row>
    <row r="118" spans="1:21" ht="12.3" customHeight="1" x14ac:dyDescent="0.25">
      <c r="A118" s="169" t="s">
        <v>15</v>
      </c>
      <c r="B118" s="169"/>
      <c r="C118" s="169"/>
      <c r="D118" s="170">
        <f>SUM(D22:D114)</f>
        <v>13</v>
      </c>
      <c r="E118" s="170">
        <f t="shared" ref="E118:S118" si="34">SUM(E22:E114)</f>
        <v>0</v>
      </c>
      <c r="F118" s="170">
        <f t="shared" si="34"/>
        <v>13</v>
      </c>
      <c r="G118" s="170">
        <f t="shared" si="34"/>
        <v>7</v>
      </c>
      <c r="H118" s="170">
        <f t="shared" si="34"/>
        <v>12</v>
      </c>
      <c r="I118" s="170">
        <f t="shared" si="34"/>
        <v>11</v>
      </c>
      <c r="J118" s="170">
        <f t="shared" si="34"/>
        <v>13</v>
      </c>
      <c r="K118" s="170">
        <f t="shared" si="34"/>
        <v>12</v>
      </c>
      <c r="L118" s="170">
        <f t="shared" si="34"/>
        <v>13</v>
      </c>
      <c r="M118" s="170">
        <f t="shared" si="34"/>
        <v>3</v>
      </c>
      <c r="N118" s="170">
        <f t="shared" si="34"/>
        <v>13</v>
      </c>
      <c r="O118" s="170">
        <f t="shared" si="34"/>
        <v>11</v>
      </c>
      <c r="P118" s="170">
        <f t="shared" si="34"/>
        <v>13</v>
      </c>
      <c r="Q118" s="170">
        <f t="shared" si="34"/>
        <v>11</v>
      </c>
      <c r="R118" s="170">
        <f t="shared" si="34"/>
        <v>13</v>
      </c>
      <c r="S118" s="170">
        <f t="shared" si="34"/>
        <v>12</v>
      </c>
      <c r="T118" s="103"/>
      <c r="U118" s="103"/>
    </row>
    <row r="119" spans="1:21" x14ac:dyDescent="0.25">
      <c r="A119" s="171" t="s">
        <v>16</v>
      </c>
      <c r="B119" s="172"/>
      <c r="C119" s="172"/>
      <c r="D119" s="572" t="str">
        <f>IF(SUM(D22:D114)&gt;7,IF(SUM(E22:E114)&gt;7,"YES","NO"),"NO")</f>
        <v>NO</v>
      </c>
      <c r="E119" s="572"/>
      <c r="F119" s="572" t="str">
        <f>IF(P8="No","N/A",IF(SUM(F22:F114)&gt;7,IF(SUM(G22:G114)&gt;7,"YES","NO"),"NO"))</f>
        <v>NO</v>
      </c>
      <c r="G119" s="572"/>
      <c r="H119" s="572" t="str">
        <f>IF(SUM(H22:H114)&gt;7,IF(SUM(I22:I114)&gt;7,"YES","NO"),"NO")</f>
        <v>YES</v>
      </c>
      <c r="I119" s="572"/>
      <c r="J119" s="572" t="str">
        <f>IF(P8="NO","N/A",IF(SUM(J22:J114)&gt;7,IF(SUM(K22:K114)&gt;7,"YES","NO"),"NO"))</f>
        <v>YES</v>
      </c>
      <c r="K119" s="572"/>
      <c r="L119" s="572" t="str">
        <f>IF(AND(SUM(L22:L117)&gt;7,SUM(M22:M117)&gt;7,SUM(N22:N117)&gt;7,SUM(O22:O117)&gt;7),"YES","NO")</f>
        <v>NO</v>
      </c>
      <c r="M119" s="572"/>
      <c r="N119" s="572"/>
      <c r="O119" s="572"/>
      <c r="P119" s="572" t="str">
        <f>IF(AND(SUM(P22:P117)&gt;7,SUM(Q22:Q117)&gt;7,SUM(R22:R117)&gt;7,SUM(S22:S117)&gt;7),"YES","NO")</f>
        <v>YES</v>
      </c>
      <c r="Q119" s="572"/>
      <c r="R119" s="572"/>
      <c r="S119" s="572"/>
      <c r="T119" s="103"/>
      <c r="U119" s="103"/>
    </row>
    <row r="120" spans="1:2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row>
    <row r="121" spans="1:21" x14ac:dyDescent="0.25">
      <c r="A121" s="149" t="s">
        <v>228</v>
      </c>
      <c r="B121" s="255" t="str">
        <f>IF('Input &amp; Findings'!F20="No",IF(OR(D119="YES",H119="YES"),"Yes","No"),IF(OR(D119="YES",H119="YES"),"Yes",IF(AND(P8="Yes",OR(F119="YES",J119="YES")),"Yes",IF(L119="YES","Yes",IF(AND(P8="Yes",P119="YES"),"Yes","No")))))</f>
        <v>Yes</v>
      </c>
      <c r="C121" s="160"/>
      <c r="D121" s="160"/>
      <c r="E121" s="160"/>
      <c r="F121" s="160"/>
      <c r="G121" s="160"/>
      <c r="H121" s="160"/>
      <c r="I121" s="104"/>
      <c r="J121" s="104"/>
      <c r="K121" s="104"/>
      <c r="L121" s="104"/>
      <c r="M121" s="104"/>
      <c r="N121" s="104"/>
      <c r="O121" s="104"/>
      <c r="P121" s="104"/>
      <c r="Q121" s="104"/>
      <c r="R121" s="104"/>
      <c r="S121" s="104"/>
      <c r="T121" s="103"/>
      <c r="U121" s="103"/>
    </row>
    <row r="122" spans="1:21" x14ac:dyDescent="0.25">
      <c r="A122" s="242" t="s">
        <v>416</v>
      </c>
      <c r="B122" s="556" t="str">
        <f>IF(D119="YES","Condition A was met. ","")&amp;IF(H119="YES","Condition B was met. ","")&amp;IF(AND(P8="Yes",F119="YES"),"Condition A (70%) was met. ","")&amp;IF(AND(J119="YES",P8="Yes"),"Condition B (70%) was met. ","")&amp;IF(L119="YES","Combination of A/B (80%) was met.*","")&amp;IF(AND(P8="Yes",P119="YES"),"Combination of A/B (56%) was met.*","")</f>
        <v>Condition B was met. Condition B (70%) was met. Combination of A/B (56%) was met.*</v>
      </c>
      <c r="C122" s="556"/>
      <c r="D122" s="556"/>
      <c r="E122" s="556"/>
      <c r="F122" s="556"/>
      <c r="G122" s="556"/>
      <c r="H122" s="556"/>
      <c r="I122" s="556"/>
      <c r="J122" s="556"/>
      <c r="K122" s="556"/>
      <c r="L122" s="556"/>
      <c r="M122" s="556"/>
      <c r="N122" s="556"/>
      <c r="O122" s="556"/>
      <c r="P122" s="556"/>
      <c r="Q122" s="556"/>
      <c r="R122" s="556"/>
      <c r="S122" s="556"/>
      <c r="T122" s="103"/>
      <c r="U122" s="103"/>
    </row>
    <row r="123" spans="1:21" x14ac:dyDescent="0.25">
      <c r="A123" s="103"/>
      <c r="B123" s="556"/>
      <c r="C123" s="556"/>
      <c r="D123" s="556"/>
      <c r="E123" s="556"/>
      <c r="F123" s="556"/>
      <c r="G123" s="556"/>
      <c r="H123" s="556"/>
      <c r="I123" s="556"/>
      <c r="J123" s="556"/>
      <c r="K123" s="556"/>
      <c r="L123" s="556"/>
      <c r="M123" s="556"/>
      <c r="N123" s="556"/>
      <c r="O123" s="556"/>
      <c r="P123" s="556"/>
      <c r="Q123" s="556"/>
      <c r="R123" s="556"/>
      <c r="S123" s="556"/>
      <c r="T123" s="103"/>
      <c r="U123" s="103"/>
    </row>
    <row r="124" spans="1:21" x14ac:dyDescent="0.25">
      <c r="A124" s="28"/>
      <c r="B124" s="28"/>
      <c r="C124" s="103"/>
      <c r="D124" s="103"/>
      <c r="E124" s="103"/>
      <c r="F124" s="103"/>
      <c r="G124" s="103"/>
      <c r="H124" s="103"/>
      <c r="I124" s="103"/>
      <c r="J124" s="103"/>
      <c r="K124" s="103"/>
      <c r="L124" s="103"/>
      <c r="M124" s="103"/>
      <c r="N124" s="103"/>
      <c r="O124" s="103"/>
      <c r="P124" s="103"/>
      <c r="Q124" s="103"/>
      <c r="R124" s="103"/>
      <c r="S124" s="103"/>
      <c r="T124" s="103"/>
      <c r="U124" s="103"/>
    </row>
    <row r="125" spans="1:21" x14ac:dyDescent="0.25">
      <c r="A125" s="103"/>
      <c r="B125" s="256"/>
      <c r="C125" s="256"/>
      <c r="D125" s="256"/>
      <c r="E125" s="256"/>
      <c r="F125" s="256"/>
      <c r="G125" s="256"/>
      <c r="H125" s="256"/>
      <c r="I125" s="256"/>
      <c r="J125" s="256"/>
      <c r="K125" s="256"/>
      <c r="L125" s="256"/>
      <c r="M125" s="256"/>
      <c r="N125" s="256"/>
      <c r="O125" s="256"/>
      <c r="P125" s="103"/>
      <c r="Q125" s="103"/>
      <c r="R125" s="103"/>
      <c r="S125" s="103"/>
      <c r="T125" s="103"/>
      <c r="U125" s="103"/>
    </row>
    <row r="126" spans="1:21" x14ac:dyDescent="0.25">
      <c r="A126" s="103"/>
      <c r="B126" s="256"/>
      <c r="C126" s="256"/>
      <c r="D126" s="256"/>
      <c r="E126" s="256"/>
      <c r="F126" s="256"/>
      <c r="G126" s="256"/>
      <c r="H126" s="256"/>
      <c r="I126" s="256"/>
      <c r="J126" s="256"/>
      <c r="K126" s="256"/>
      <c r="L126" s="256"/>
      <c r="M126" s="256"/>
      <c r="N126" s="256"/>
      <c r="O126" s="256"/>
      <c r="P126" s="103"/>
      <c r="Q126" s="103"/>
      <c r="R126" s="103"/>
      <c r="S126" s="103"/>
      <c r="T126" s="103"/>
      <c r="U126" s="103"/>
    </row>
    <row r="127" spans="1:21" x14ac:dyDescent="0.25">
      <c r="A127" s="103"/>
      <c r="B127" s="256"/>
      <c r="C127" s="256"/>
      <c r="D127" s="256"/>
      <c r="E127" s="256"/>
      <c r="F127" s="256"/>
      <c r="G127" s="256"/>
      <c r="H127" s="256"/>
      <c r="I127" s="256"/>
      <c r="J127" s="256"/>
      <c r="K127" s="256"/>
      <c r="L127" s="256"/>
      <c r="M127" s="256"/>
      <c r="N127" s="256"/>
      <c r="O127" s="256"/>
      <c r="P127" s="103"/>
      <c r="Q127" s="103"/>
      <c r="R127" s="103"/>
      <c r="S127" s="103"/>
      <c r="T127" s="103"/>
      <c r="U127" s="103"/>
    </row>
    <row r="128" spans="1:21" x14ac:dyDescent="0.25">
      <c r="A128" s="103"/>
      <c r="B128" s="256"/>
      <c r="C128" s="256"/>
      <c r="D128" s="256"/>
      <c r="E128" s="256"/>
      <c r="F128" s="256"/>
      <c r="G128" s="256"/>
      <c r="H128" s="256"/>
      <c r="I128" s="256"/>
      <c r="J128" s="256"/>
      <c r="K128" s="256"/>
      <c r="L128" s="256"/>
      <c r="M128" s="256"/>
      <c r="N128" s="256"/>
      <c r="O128" s="256"/>
      <c r="P128" s="103"/>
      <c r="Q128" s="103"/>
      <c r="R128" s="103"/>
      <c r="S128" s="103"/>
      <c r="T128" s="103"/>
      <c r="U128" s="103"/>
    </row>
    <row r="129" spans="1:2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row>
    <row r="130" spans="1:2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row>
    <row r="131" spans="1:2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row>
    <row r="132" spans="1:2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row>
    <row r="133" spans="1:21"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row>
    <row r="134" spans="1:2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row>
    <row r="136" spans="1:21"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row>
    <row r="137" spans="1:2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row>
    <row r="138" spans="1:2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row>
    <row r="139" spans="1:2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row>
    <row r="140" spans="1:2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row>
    <row r="141" spans="1:2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row>
    <row r="142" spans="1:2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row>
    <row r="143" spans="1:21"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row>
    <row r="145" spans="1:21"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row>
    <row r="146" spans="1:21"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row>
    <row r="147" spans="1:21"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row>
    <row r="148" spans="1:21"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row>
    <row r="149" spans="1:21"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row>
    <row r="150" spans="1:21"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row>
    <row r="151" spans="1:21"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row>
    <row r="152" spans="1:21"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row>
    <row r="153" spans="1:21"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row>
    <row r="154" spans="1:21"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row>
    <row r="155" spans="1:21"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row>
    <row r="156" spans="1:21"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row>
    <row r="157" spans="1:21"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row>
    <row r="158" spans="1:21"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row>
    <row r="159" spans="1:21"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row>
    <row r="160" spans="1:21"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row>
    <row r="161" spans="1:21"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row>
    <row r="162" spans="1:21"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row>
    <row r="163" spans="1:21"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row>
    <row r="164" spans="1:21"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row>
    <row r="165" spans="1:21"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row>
    <row r="166" spans="1:21"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row>
    <row r="167" spans="1:21"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row>
    <row r="168" spans="1:21"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row>
    <row r="169" spans="1:21"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row>
    <row r="170" spans="1:21"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row>
    <row r="171" spans="1:21"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row>
    <row r="172" spans="1:21"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row>
    <row r="173" spans="1:21"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row>
    <row r="174" spans="1:21"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row>
    <row r="175" spans="1:21"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row>
    <row r="176" spans="1:21"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row>
    <row r="177" spans="1:21"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row>
    <row r="178" spans="1:21"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row>
    <row r="179" spans="1:21"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row>
    <row r="180" spans="1:21"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row>
    <row r="181" spans="1:21"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row>
    <row r="182" spans="1:21"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row>
    <row r="183" spans="1:21" x14ac:dyDescent="0.25">
      <c r="A183" s="103"/>
      <c r="B183" s="103"/>
      <c r="C183" s="103"/>
      <c r="D183" s="103"/>
      <c r="E183" s="103"/>
      <c r="F183" s="103"/>
      <c r="G183" s="103"/>
      <c r="H183" s="103"/>
      <c r="I183" s="103"/>
      <c r="J183" s="103"/>
      <c r="K183" s="103"/>
      <c r="L183" s="103"/>
      <c r="M183" s="103"/>
      <c r="N183" s="103"/>
      <c r="O183" s="103"/>
      <c r="P183" s="103"/>
      <c r="Q183" s="103"/>
      <c r="R183" s="103"/>
      <c r="S183" s="103"/>
      <c r="T183" s="103"/>
      <c r="U183" s="103"/>
    </row>
    <row r="184" spans="1:21" x14ac:dyDescent="0.25">
      <c r="A184" s="103"/>
      <c r="B184" s="103"/>
      <c r="C184" s="103"/>
      <c r="D184" s="103"/>
      <c r="E184" s="103"/>
      <c r="F184" s="103"/>
      <c r="G184" s="103"/>
      <c r="H184" s="103"/>
      <c r="I184" s="103"/>
      <c r="J184" s="103"/>
      <c r="K184" s="103"/>
      <c r="L184" s="103"/>
      <c r="M184" s="103"/>
      <c r="N184" s="103"/>
      <c r="O184" s="103"/>
      <c r="P184" s="103"/>
      <c r="Q184" s="103"/>
      <c r="R184" s="103"/>
      <c r="S184" s="103"/>
      <c r="T184" s="103"/>
      <c r="U184" s="103"/>
    </row>
    <row r="185" spans="1:21" x14ac:dyDescent="0.25">
      <c r="A185" s="103"/>
      <c r="B185" s="103"/>
      <c r="C185" s="103"/>
      <c r="D185" s="103"/>
      <c r="E185" s="103"/>
      <c r="F185" s="103"/>
      <c r="G185" s="103"/>
      <c r="H185" s="103"/>
      <c r="I185" s="103"/>
      <c r="J185" s="103"/>
      <c r="K185" s="103"/>
      <c r="L185" s="103"/>
      <c r="M185" s="103"/>
      <c r="N185" s="103"/>
      <c r="O185" s="103"/>
      <c r="P185" s="103"/>
      <c r="Q185" s="103"/>
      <c r="R185" s="103"/>
      <c r="S185" s="103"/>
      <c r="T185" s="103"/>
      <c r="U185" s="103"/>
    </row>
    <row r="186" spans="1:21" x14ac:dyDescent="0.25">
      <c r="A186" s="103"/>
      <c r="B186" s="103"/>
      <c r="C186" s="103"/>
      <c r="D186" s="103"/>
      <c r="E186" s="103"/>
      <c r="F186" s="103"/>
      <c r="G186" s="103"/>
      <c r="H186" s="103"/>
      <c r="I186" s="103"/>
      <c r="J186" s="103"/>
      <c r="K186" s="103"/>
      <c r="L186" s="103"/>
      <c r="M186" s="103"/>
      <c r="N186" s="103"/>
      <c r="O186" s="103"/>
      <c r="P186" s="103"/>
      <c r="Q186" s="103"/>
      <c r="R186" s="103"/>
      <c r="S186" s="103"/>
      <c r="T186" s="103"/>
      <c r="U186" s="103"/>
    </row>
    <row r="187" spans="1:21" x14ac:dyDescent="0.25">
      <c r="A187" s="103"/>
      <c r="B187" s="103"/>
      <c r="C187" s="103"/>
      <c r="D187" s="103"/>
      <c r="E187" s="103"/>
      <c r="F187" s="103"/>
      <c r="G187" s="103"/>
      <c r="H187" s="103"/>
      <c r="I187" s="103"/>
      <c r="J187" s="103"/>
      <c r="K187" s="103"/>
      <c r="L187" s="103"/>
      <c r="M187" s="103"/>
      <c r="N187" s="103"/>
      <c r="O187" s="103"/>
      <c r="P187" s="103"/>
      <c r="Q187" s="103"/>
      <c r="R187" s="103"/>
      <c r="S187" s="103"/>
      <c r="T187" s="103"/>
      <c r="U187" s="103"/>
    </row>
    <row r="188" spans="1:21" x14ac:dyDescent="0.25">
      <c r="A188" s="103"/>
      <c r="B188" s="103"/>
      <c r="C188" s="103"/>
      <c r="D188" s="103"/>
      <c r="E188" s="103"/>
      <c r="F188" s="103"/>
      <c r="G188" s="103"/>
      <c r="H188" s="103"/>
      <c r="I188" s="103"/>
      <c r="J188" s="103"/>
      <c r="K188" s="103"/>
      <c r="L188" s="103"/>
      <c r="M188" s="103"/>
      <c r="N188" s="103"/>
      <c r="O188" s="103"/>
      <c r="P188" s="103"/>
      <c r="Q188" s="103"/>
      <c r="R188" s="103"/>
      <c r="S188" s="103"/>
      <c r="T188" s="103"/>
      <c r="U188" s="103"/>
    </row>
    <row r="189" spans="1:21" x14ac:dyDescent="0.25">
      <c r="A189" s="103"/>
      <c r="B189" s="103"/>
      <c r="C189" s="103"/>
      <c r="D189" s="103"/>
      <c r="E189" s="103"/>
      <c r="F189" s="103"/>
      <c r="G189" s="103"/>
      <c r="H189" s="103"/>
      <c r="I189" s="103"/>
      <c r="J189" s="103"/>
      <c r="K189" s="103"/>
      <c r="L189" s="103"/>
      <c r="M189" s="103"/>
      <c r="N189" s="103"/>
      <c r="O189" s="103"/>
      <c r="P189" s="103"/>
      <c r="Q189" s="103"/>
      <c r="R189" s="103"/>
      <c r="S189" s="103"/>
      <c r="T189" s="103"/>
      <c r="U189" s="103"/>
    </row>
    <row r="190" spans="1:21" x14ac:dyDescent="0.25">
      <c r="A190" s="103"/>
      <c r="B190" s="103"/>
      <c r="C190" s="103"/>
      <c r="D190" s="103"/>
      <c r="E190" s="103"/>
      <c r="F190" s="103"/>
      <c r="G190" s="103"/>
      <c r="H190" s="103"/>
      <c r="I190" s="103"/>
      <c r="J190" s="103"/>
      <c r="K190" s="103"/>
      <c r="L190" s="103"/>
      <c r="M190" s="103"/>
      <c r="N190" s="103"/>
      <c r="O190" s="103"/>
      <c r="P190" s="103"/>
      <c r="Q190" s="103"/>
      <c r="R190" s="103"/>
      <c r="S190" s="103"/>
      <c r="T190" s="103"/>
      <c r="U190" s="103"/>
    </row>
    <row r="191" spans="1:21" x14ac:dyDescent="0.25">
      <c r="A191" s="103"/>
      <c r="B191" s="103"/>
      <c r="C191" s="103"/>
      <c r="D191" s="103"/>
      <c r="E191" s="103"/>
      <c r="F191" s="103"/>
      <c r="G191" s="103"/>
      <c r="H191" s="103"/>
      <c r="I191" s="103"/>
      <c r="J191" s="103"/>
      <c r="K191" s="103"/>
      <c r="L191" s="103"/>
      <c r="M191" s="103"/>
      <c r="N191" s="103"/>
      <c r="O191" s="103"/>
      <c r="P191" s="103"/>
      <c r="Q191" s="103"/>
      <c r="R191" s="103"/>
      <c r="S191" s="103"/>
      <c r="T191" s="103"/>
      <c r="U191" s="103"/>
    </row>
    <row r="192" spans="1:21" x14ac:dyDescent="0.25">
      <c r="A192" s="103"/>
      <c r="B192" s="103"/>
      <c r="C192" s="103"/>
      <c r="D192" s="103"/>
      <c r="E192" s="103"/>
      <c r="F192" s="103"/>
      <c r="G192" s="103"/>
      <c r="H192" s="103"/>
      <c r="I192" s="103"/>
      <c r="J192" s="103"/>
      <c r="K192" s="103"/>
      <c r="L192" s="103"/>
      <c r="M192" s="103"/>
      <c r="N192" s="103"/>
      <c r="O192" s="103"/>
      <c r="P192" s="103"/>
      <c r="Q192" s="103"/>
      <c r="R192" s="103"/>
      <c r="S192" s="103"/>
      <c r="T192" s="103"/>
      <c r="U192" s="103"/>
    </row>
    <row r="193" spans="1:2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row>
    <row r="194" spans="1:2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row>
    <row r="195" spans="1:2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row>
    <row r="196" spans="1:2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row>
    <row r="197" spans="1:2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row>
    <row r="198" spans="1:2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row>
    <row r="199" spans="1:2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row>
    <row r="200" spans="1:21" x14ac:dyDescent="0.25">
      <c r="A200" s="103"/>
      <c r="B200" s="103"/>
      <c r="C200" s="103"/>
      <c r="D200" s="103"/>
      <c r="E200" s="103"/>
      <c r="F200" s="103"/>
      <c r="G200" s="103"/>
      <c r="H200" s="103"/>
      <c r="I200" s="103"/>
      <c r="J200" s="103"/>
      <c r="K200" s="103"/>
      <c r="L200" s="103"/>
      <c r="M200" s="103"/>
      <c r="N200" s="103"/>
      <c r="O200" s="103"/>
      <c r="P200" s="103"/>
      <c r="Q200" s="103"/>
      <c r="R200" s="103"/>
      <c r="S200" s="103"/>
      <c r="T200" s="103"/>
      <c r="U200" s="103"/>
    </row>
    <row r="201" spans="1:2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row>
    <row r="202" spans="1:21" x14ac:dyDescent="0.25">
      <c r="A202" s="103"/>
      <c r="B202" s="103"/>
      <c r="C202" s="103"/>
      <c r="D202" s="103"/>
      <c r="E202" s="103"/>
      <c r="F202" s="103"/>
      <c r="G202" s="103"/>
      <c r="H202" s="103"/>
      <c r="I202" s="103"/>
      <c r="J202" s="103"/>
      <c r="K202" s="103"/>
      <c r="L202" s="103"/>
      <c r="M202" s="103"/>
      <c r="N202" s="103"/>
      <c r="O202" s="103"/>
      <c r="P202" s="103"/>
      <c r="Q202" s="103"/>
      <c r="R202" s="103"/>
      <c r="S202" s="103"/>
      <c r="T202" s="103"/>
      <c r="U202" s="103"/>
    </row>
    <row r="203" spans="1:21" x14ac:dyDescent="0.25">
      <c r="A203" s="103"/>
      <c r="B203" s="103"/>
      <c r="C203" s="103"/>
      <c r="D203" s="103"/>
      <c r="E203" s="103"/>
      <c r="F203" s="103"/>
      <c r="G203" s="103"/>
      <c r="H203" s="103"/>
      <c r="I203" s="103"/>
      <c r="J203" s="103"/>
      <c r="K203" s="103"/>
      <c r="L203" s="103"/>
      <c r="M203" s="103"/>
      <c r="N203" s="103"/>
      <c r="O203" s="103"/>
      <c r="P203" s="103"/>
      <c r="Q203" s="103"/>
      <c r="R203" s="103"/>
      <c r="S203" s="103"/>
      <c r="T203" s="103"/>
      <c r="U203" s="103"/>
    </row>
    <row r="204" spans="1:2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row>
    <row r="205" spans="1:2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row>
    <row r="206" spans="1:2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row>
    <row r="207" spans="1:2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row>
    <row r="208" spans="1:2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row>
    <row r="209" spans="1:2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row>
    <row r="210" spans="1:21" x14ac:dyDescent="0.25">
      <c r="A210" s="103"/>
      <c r="B210" s="103"/>
      <c r="C210" s="103"/>
      <c r="D210" s="103"/>
      <c r="E210" s="103"/>
      <c r="F210" s="103"/>
      <c r="G210" s="103"/>
      <c r="H210" s="103"/>
      <c r="I210" s="103"/>
      <c r="J210" s="103"/>
      <c r="K210" s="103"/>
      <c r="L210" s="103"/>
      <c r="M210" s="103"/>
      <c r="N210" s="103"/>
      <c r="O210" s="103"/>
      <c r="P210" s="103"/>
      <c r="Q210" s="103"/>
      <c r="R210" s="103"/>
      <c r="S210" s="103"/>
      <c r="T210" s="103"/>
      <c r="U210" s="103"/>
    </row>
    <row r="211" spans="1:21" x14ac:dyDescent="0.25">
      <c r="A211" s="103"/>
      <c r="B211" s="103"/>
      <c r="C211" s="103"/>
      <c r="D211" s="103"/>
      <c r="E211" s="103"/>
      <c r="F211" s="103"/>
      <c r="G211" s="103"/>
      <c r="H211" s="103"/>
      <c r="I211" s="103"/>
      <c r="J211" s="103"/>
      <c r="K211" s="103"/>
      <c r="L211" s="103"/>
      <c r="M211" s="103"/>
      <c r="N211" s="103"/>
      <c r="O211" s="103"/>
      <c r="P211" s="103"/>
      <c r="Q211" s="103"/>
      <c r="R211" s="103"/>
      <c r="S211" s="103"/>
      <c r="T211" s="103"/>
      <c r="U211" s="103"/>
    </row>
    <row r="212" spans="1:21" x14ac:dyDescent="0.25">
      <c r="A212" s="103"/>
      <c r="B212" s="103"/>
      <c r="C212" s="103"/>
      <c r="D212" s="103"/>
      <c r="E212" s="103"/>
      <c r="F212" s="103"/>
      <c r="G212" s="103"/>
      <c r="H212" s="103"/>
      <c r="I212" s="103"/>
      <c r="J212" s="103"/>
      <c r="K212" s="103"/>
      <c r="L212" s="103"/>
      <c r="M212" s="103"/>
      <c r="N212" s="103"/>
      <c r="O212" s="103"/>
      <c r="P212" s="103"/>
      <c r="Q212" s="103"/>
      <c r="R212" s="103"/>
      <c r="S212" s="103"/>
      <c r="T212" s="103"/>
      <c r="U212" s="103"/>
    </row>
    <row r="213" spans="1:21" x14ac:dyDescent="0.25">
      <c r="A213" s="103"/>
      <c r="B213" s="103"/>
      <c r="C213" s="103"/>
      <c r="D213" s="103"/>
      <c r="E213" s="103"/>
      <c r="F213" s="103"/>
      <c r="G213" s="103"/>
      <c r="H213" s="103"/>
      <c r="I213" s="103"/>
      <c r="J213" s="103"/>
      <c r="K213" s="103"/>
      <c r="L213" s="103"/>
      <c r="M213" s="103"/>
      <c r="N213" s="103"/>
      <c r="O213" s="103"/>
      <c r="P213" s="103"/>
      <c r="Q213" s="103"/>
      <c r="R213" s="103"/>
      <c r="S213" s="103"/>
      <c r="T213" s="103"/>
      <c r="U213" s="103"/>
    </row>
    <row r="214" spans="1:21" x14ac:dyDescent="0.25">
      <c r="A214" s="103"/>
      <c r="B214" s="103"/>
      <c r="C214" s="103"/>
      <c r="D214" s="103"/>
      <c r="E214" s="103"/>
      <c r="F214" s="103"/>
      <c r="G214" s="103"/>
      <c r="H214" s="103"/>
      <c r="I214" s="103"/>
      <c r="J214" s="103"/>
      <c r="K214" s="103"/>
      <c r="L214" s="103"/>
      <c r="M214" s="103"/>
      <c r="N214" s="103"/>
      <c r="O214" s="103"/>
      <c r="P214" s="103"/>
      <c r="Q214" s="103"/>
      <c r="R214" s="103"/>
      <c r="S214" s="103"/>
      <c r="T214" s="103"/>
      <c r="U214" s="103"/>
    </row>
    <row r="215" spans="1:21" x14ac:dyDescent="0.25">
      <c r="A215" s="103"/>
      <c r="B215" s="103"/>
      <c r="C215" s="103"/>
      <c r="D215" s="103"/>
      <c r="E215" s="103"/>
      <c r="F215" s="103"/>
      <c r="G215" s="103"/>
      <c r="H215" s="103"/>
      <c r="I215" s="103"/>
      <c r="J215" s="103"/>
      <c r="K215" s="103"/>
      <c r="L215" s="103"/>
      <c r="M215" s="103"/>
      <c r="N215" s="103"/>
      <c r="O215" s="103"/>
      <c r="P215" s="103"/>
      <c r="Q215" s="103"/>
      <c r="R215" s="103"/>
      <c r="S215" s="103"/>
      <c r="T215" s="103"/>
      <c r="U215" s="103"/>
    </row>
    <row r="216" spans="1:21" x14ac:dyDescent="0.25">
      <c r="A216" s="103"/>
      <c r="B216" s="103"/>
      <c r="C216" s="103"/>
      <c r="D216" s="103"/>
      <c r="E216" s="103"/>
      <c r="F216" s="103"/>
      <c r="G216" s="103"/>
      <c r="H216" s="103"/>
      <c r="I216" s="103"/>
      <c r="J216" s="103"/>
      <c r="K216" s="103"/>
      <c r="L216" s="103"/>
      <c r="M216" s="103"/>
      <c r="N216" s="103"/>
      <c r="O216" s="103"/>
      <c r="P216" s="103"/>
      <c r="Q216" s="103"/>
      <c r="R216" s="103"/>
      <c r="S216" s="103"/>
      <c r="T216" s="103"/>
      <c r="U216" s="103"/>
    </row>
    <row r="217" spans="1:21" x14ac:dyDescent="0.25">
      <c r="A217" s="103"/>
      <c r="B217" s="103"/>
      <c r="C217" s="103"/>
      <c r="D217" s="103"/>
      <c r="E217" s="103"/>
      <c r="F217" s="103"/>
      <c r="G217" s="103"/>
      <c r="H217" s="103"/>
      <c r="I217" s="103"/>
      <c r="J217" s="103"/>
      <c r="K217" s="103"/>
      <c r="L217" s="103"/>
      <c r="M217" s="103"/>
      <c r="N217" s="103"/>
      <c r="O217" s="103"/>
      <c r="P217" s="103"/>
      <c r="Q217" s="103"/>
      <c r="R217" s="103"/>
      <c r="S217" s="103"/>
      <c r="T217" s="103"/>
      <c r="U217" s="103"/>
    </row>
    <row r="218" spans="1:21" x14ac:dyDescent="0.25">
      <c r="A218" s="103"/>
      <c r="B218" s="103"/>
      <c r="C218" s="103"/>
      <c r="D218" s="103"/>
      <c r="E218" s="103"/>
      <c r="F218" s="103"/>
      <c r="G218" s="103"/>
      <c r="H218" s="103"/>
      <c r="I218" s="103"/>
      <c r="J218" s="103"/>
      <c r="K218" s="103"/>
      <c r="L218" s="103"/>
      <c r="M218" s="103"/>
      <c r="N218" s="103"/>
      <c r="O218" s="103"/>
      <c r="P218" s="103"/>
      <c r="Q218" s="103"/>
      <c r="R218" s="103"/>
      <c r="S218" s="103"/>
      <c r="T218" s="103"/>
      <c r="U218" s="103"/>
    </row>
    <row r="219" spans="1:21" x14ac:dyDescent="0.25">
      <c r="A219" s="103"/>
      <c r="B219" s="103"/>
      <c r="C219" s="103"/>
      <c r="D219" s="103"/>
      <c r="E219" s="103"/>
      <c r="F219" s="103"/>
      <c r="G219" s="103"/>
      <c r="H219" s="103"/>
      <c r="I219" s="103"/>
      <c r="J219" s="103"/>
      <c r="K219" s="103"/>
      <c r="L219" s="103"/>
      <c r="M219" s="103"/>
      <c r="N219" s="103"/>
      <c r="O219" s="103"/>
      <c r="P219" s="103"/>
      <c r="Q219" s="103"/>
      <c r="R219" s="103"/>
      <c r="S219" s="103"/>
      <c r="T219" s="103"/>
      <c r="U219" s="103"/>
    </row>
    <row r="220" spans="1:21" x14ac:dyDescent="0.25">
      <c r="A220" s="103"/>
      <c r="B220" s="103"/>
      <c r="C220" s="103"/>
      <c r="D220" s="103"/>
      <c r="E220" s="103"/>
      <c r="F220" s="103"/>
      <c r="G220" s="103"/>
      <c r="H220" s="103"/>
      <c r="I220" s="103"/>
      <c r="J220" s="103"/>
      <c r="K220" s="103"/>
      <c r="L220" s="103"/>
      <c r="M220" s="103"/>
      <c r="N220" s="103"/>
      <c r="O220" s="103"/>
      <c r="P220" s="103"/>
      <c r="Q220" s="103"/>
      <c r="R220" s="103"/>
      <c r="S220" s="103"/>
      <c r="T220" s="103"/>
      <c r="U220" s="103"/>
    </row>
    <row r="221" spans="1:21" x14ac:dyDescent="0.25">
      <c r="A221" s="103"/>
      <c r="B221" s="103"/>
      <c r="C221" s="103"/>
      <c r="D221" s="103"/>
      <c r="E221" s="103"/>
      <c r="F221" s="103"/>
      <c r="G221" s="103"/>
      <c r="H221" s="103"/>
      <c r="I221" s="103"/>
      <c r="J221" s="103"/>
      <c r="K221" s="103"/>
      <c r="L221" s="103"/>
      <c r="M221" s="103"/>
      <c r="N221" s="103"/>
      <c r="O221" s="103"/>
      <c r="P221" s="103"/>
      <c r="Q221" s="103"/>
      <c r="R221" s="103"/>
      <c r="S221" s="103"/>
      <c r="T221" s="103"/>
      <c r="U221" s="103"/>
    </row>
    <row r="222" spans="1:21" x14ac:dyDescent="0.25">
      <c r="A222" s="103"/>
      <c r="B222" s="103"/>
      <c r="C222" s="103"/>
      <c r="D222" s="103"/>
      <c r="E222" s="103"/>
      <c r="F222" s="103"/>
      <c r="G222" s="103"/>
      <c r="H222" s="103"/>
      <c r="I222" s="103"/>
      <c r="J222" s="103"/>
      <c r="K222" s="103"/>
      <c r="L222" s="103"/>
      <c r="M222" s="103"/>
      <c r="N222" s="103"/>
      <c r="O222" s="103"/>
      <c r="P222" s="103"/>
      <c r="Q222" s="103"/>
      <c r="R222" s="103"/>
      <c r="S222" s="103"/>
      <c r="T222" s="103"/>
      <c r="U222" s="103"/>
    </row>
    <row r="223" spans="1:21" x14ac:dyDescent="0.25">
      <c r="A223" s="103"/>
      <c r="B223" s="103"/>
      <c r="C223" s="103"/>
      <c r="D223" s="103"/>
      <c r="E223" s="103"/>
      <c r="F223" s="103"/>
      <c r="G223" s="103"/>
      <c r="H223" s="103"/>
      <c r="I223" s="103"/>
      <c r="J223" s="103"/>
      <c r="K223" s="103"/>
      <c r="L223" s="103"/>
      <c r="M223" s="103"/>
      <c r="N223" s="103"/>
      <c r="O223" s="103"/>
      <c r="P223" s="103"/>
      <c r="Q223" s="103"/>
      <c r="R223" s="103"/>
      <c r="S223" s="103"/>
      <c r="T223" s="103"/>
      <c r="U223" s="103"/>
    </row>
    <row r="224" spans="1:21" x14ac:dyDescent="0.25">
      <c r="A224" s="103"/>
      <c r="B224" s="103"/>
      <c r="C224" s="103"/>
      <c r="D224" s="103"/>
      <c r="E224" s="103"/>
      <c r="F224" s="103"/>
      <c r="G224" s="103"/>
      <c r="H224" s="103"/>
      <c r="I224" s="103"/>
      <c r="J224" s="103"/>
      <c r="K224" s="103"/>
      <c r="L224" s="103"/>
      <c r="M224" s="103"/>
      <c r="N224" s="103"/>
      <c r="O224" s="103"/>
      <c r="P224" s="103"/>
      <c r="Q224" s="103"/>
      <c r="R224" s="103"/>
      <c r="S224" s="103"/>
      <c r="T224" s="103"/>
      <c r="U224" s="103"/>
    </row>
    <row r="225" spans="1:21" x14ac:dyDescent="0.25">
      <c r="A225" s="103"/>
      <c r="B225" s="103"/>
      <c r="C225" s="103"/>
      <c r="D225" s="103"/>
      <c r="E225" s="103"/>
      <c r="F225" s="103"/>
      <c r="G225" s="103"/>
      <c r="H225" s="103"/>
      <c r="I225" s="103"/>
      <c r="J225" s="103"/>
      <c r="K225" s="103"/>
      <c r="L225" s="103"/>
      <c r="M225" s="103"/>
      <c r="N225" s="103"/>
      <c r="O225" s="103"/>
      <c r="P225" s="103"/>
      <c r="Q225" s="103"/>
      <c r="R225" s="103"/>
      <c r="S225" s="103"/>
      <c r="T225" s="103"/>
      <c r="U225" s="103"/>
    </row>
    <row r="226" spans="1:21" x14ac:dyDescent="0.25">
      <c r="A226" s="103"/>
      <c r="B226" s="103"/>
      <c r="C226" s="103"/>
      <c r="D226" s="103"/>
      <c r="E226" s="103"/>
      <c r="F226" s="103"/>
      <c r="G226" s="103"/>
      <c r="H226" s="103"/>
      <c r="I226" s="103"/>
      <c r="J226" s="103"/>
      <c r="K226" s="103"/>
      <c r="L226" s="103"/>
      <c r="M226" s="103"/>
      <c r="N226" s="103"/>
      <c r="O226" s="103"/>
      <c r="P226" s="103"/>
      <c r="Q226" s="103"/>
      <c r="R226" s="103"/>
      <c r="S226" s="103"/>
      <c r="T226" s="103"/>
      <c r="U226" s="103"/>
    </row>
    <row r="227" spans="1:21" x14ac:dyDescent="0.25">
      <c r="A227" s="103"/>
      <c r="B227" s="103"/>
      <c r="C227" s="103"/>
      <c r="D227" s="103"/>
      <c r="E227" s="103"/>
      <c r="F227" s="103"/>
      <c r="G227" s="103"/>
      <c r="H227" s="103"/>
      <c r="I227" s="103"/>
      <c r="J227" s="103"/>
      <c r="K227" s="103"/>
      <c r="L227" s="103"/>
      <c r="M227" s="103"/>
      <c r="N227" s="103"/>
      <c r="O227" s="103"/>
      <c r="P227" s="103"/>
      <c r="Q227" s="103"/>
      <c r="R227" s="103"/>
      <c r="S227" s="103"/>
      <c r="T227" s="103"/>
      <c r="U227" s="103"/>
    </row>
    <row r="228" spans="1:21" x14ac:dyDescent="0.25">
      <c r="A228" s="103"/>
      <c r="B228" s="103"/>
      <c r="C228" s="103"/>
      <c r="D228" s="103"/>
      <c r="E228" s="103"/>
      <c r="F228" s="103"/>
      <c r="G228" s="103"/>
      <c r="H228" s="103"/>
      <c r="I228" s="103"/>
      <c r="J228" s="103"/>
      <c r="K228" s="103"/>
      <c r="L228" s="103"/>
      <c r="M228" s="103"/>
      <c r="N228" s="103"/>
      <c r="O228" s="103"/>
      <c r="P228" s="103"/>
      <c r="Q228" s="103"/>
      <c r="R228" s="103"/>
      <c r="S228" s="103"/>
      <c r="T228" s="103"/>
      <c r="U228" s="103"/>
    </row>
    <row r="229" spans="1:21" x14ac:dyDescent="0.25">
      <c r="A229" s="103"/>
      <c r="B229" s="103"/>
      <c r="C229" s="103"/>
      <c r="D229" s="103"/>
      <c r="E229" s="103"/>
      <c r="F229" s="103"/>
      <c r="G229" s="103"/>
      <c r="H229" s="103"/>
      <c r="I229" s="103"/>
      <c r="J229" s="103"/>
      <c r="K229" s="103"/>
      <c r="L229" s="103"/>
      <c r="M229" s="103"/>
      <c r="N229" s="103"/>
      <c r="O229" s="103"/>
      <c r="P229" s="103"/>
      <c r="Q229" s="103"/>
      <c r="R229" s="103"/>
      <c r="S229" s="103"/>
      <c r="T229" s="103"/>
      <c r="U229" s="103"/>
    </row>
    <row r="230" spans="1:21" x14ac:dyDescent="0.25">
      <c r="A230" s="103"/>
      <c r="B230" s="103"/>
      <c r="C230" s="103"/>
      <c r="D230" s="103"/>
      <c r="E230" s="103"/>
      <c r="F230" s="103"/>
      <c r="G230" s="103"/>
      <c r="H230" s="103"/>
      <c r="I230" s="103"/>
      <c r="J230" s="103"/>
      <c r="K230" s="103"/>
      <c r="L230" s="103"/>
      <c r="M230" s="103"/>
      <c r="N230" s="103"/>
      <c r="O230" s="103"/>
      <c r="P230" s="103"/>
      <c r="Q230" s="103"/>
      <c r="R230" s="103"/>
      <c r="S230" s="103"/>
      <c r="T230" s="103"/>
      <c r="U230" s="103"/>
    </row>
    <row r="231" spans="1:21" x14ac:dyDescent="0.25">
      <c r="A231" s="103"/>
      <c r="B231" s="103"/>
      <c r="C231" s="103"/>
      <c r="D231" s="103"/>
      <c r="E231" s="103"/>
      <c r="F231" s="103"/>
      <c r="G231" s="103"/>
      <c r="H231" s="103"/>
      <c r="I231" s="103"/>
      <c r="J231" s="103"/>
      <c r="K231" s="103"/>
      <c r="L231" s="103"/>
      <c r="M231" s="103"/>
      <c r="N231" s="103"/>
      <c r="O231" s="103"/>
      <c r="P231" s="103"/>
      <c r="Q231" s="103"/>
      <c r="R231" s="103"/>
      <c r="S231" s="103"/>
      <c r="T231" s="103"/>
      <c r="U231" s="103"/>
    </row>
    <row r="232" spans="1:21" x14ac:dyDescent="0.25">
      <c r="A232" s="103"/>
      <c r="B232" s="103"/>
      <c r="C232" s="103"/>
      <c r="D232" s="103"/>
      <c r="E232" s="103"/>
      <c r="F232" s="103"/>
      <c r="G232" s="103"/>
      <c r="H232" s="103"/>
      <c r="I232" s="103"/>
      <c r="J232" s="103"/>
      <c r="K232" s="103"/>
      <c r="L232" s="103"/>
      <c r="M232" s="103"/>
      <c r="N232" s="103"/>
      <c r="O232" s="103"/>
      <c r="P232" s="103"/>
      <c r="Q232" s="103"/>
      <c r="R232" s="103"/>
      <c r="S232" s="103"/>
      <c r="T232" s="103"/>
      <c r="U232" s="103"/>
    </row>
    <row r="233" spans="1:21" x14ac:dyDescent="0.25">
      <c r="A233" s="103"/>
      <c r="B233" s="103"/>
      <c r="C233" s="103"/>
      <c r="D233" s="103"/>
      <c r="E233" s="103"/>
      <c r="F233" s="103"/>
      <c r="G233" s="103"/>
      <c r="H233" s="103"/>
      <c r="I233" s="103"/>
      <c r="J233" s="103"/>
      <c r="K233" s="103"/>
      <c r="L233" s="103"/>
      <c r="M233" s="103"/>
      <c r="N233" s="103"/>
      <c r="O233" s="103"/>
      <c r="P233" s="103"/>
      <c r="Q233" s="103"/>
      <c r="R233" s="103"/>
      <c r="S233" s="103"/>
      <c r="T233" s="103"/>
      <c r="U233" s="103"/>
    </row>
    <row r="234" spans="1:21" x14ac:dyDescent="0.25">
      <c r="A234" s="103"/>
      <c r="B234" s="103"/>
      <c r="C234" s="103"/>
      <c r="D234" s="103"/>
      <c r="E234" s="103"/>
      <c r="F234" s="103"/>
      <c r="G234" s="103"/>
      <c r="H234" s="103"/>
      <c r="I234" s="103"/>
      <c r="J234" s="103"/>
      <c r="K234" s="103"/>
      <c r="L234" s="103"/>
      <c r="M234" s="103"/>
      <c r="N234" s="103"/>
      <c r="O234" s="103"/>
      <c r="P234" s="103"/>
      <c r="Q234" s="103"/>
      <c r="R234" s="103"/>
      <c r="S234" s="103"/>
      <c r="T234" s="103"/>
      <c r="U234" s="103"/>
    </row>
    <row r="235" spans="1:21" x14ac:dyDescent="0.25">
      <c r="A235" s="103"/>
      <c r="B235" s="103"/>
      <c r="C235" s="103"/>
      <c r="D235" s="103"/>
      <c r="E235" s="103"/>
      <c r="F235" s="103"/>
      <c r="G235" s="103"/>
      <c r="H235" s="103"/>
      <c r="I235" s="103"/>
      <c r="J235" s="103"/>
      <c r="K235" s="103"/>
      <c r="L235" s="103"/>
      <c r="M235" s="103"/>
      <c r="N235" s="103"/>
      <c r="O235" s="103"/>
      <c r="P235" s="103"/>
      <c r="Q235" s="103"/>
      <c r="R235" s="103"/>
      <c r="S235" s="103"/>
      <c r="T235" s="103"/>
      <c r="U235" s="103"/>
    </row>
    <row r="236" spans="1:21" x14ac:dyDescent="0.25">
      <c r="A236" s="103"/>
      <c r="B236" s="103"/>
      <c r="C236" s="103"/>
      <c r="D236" s="103"/>
      <c r="E236" s="103"/>
      <c r="F236" s="103"/>
      <c r="G236" s="103"/>
      <c r="H236" s="103"/>
      <c r="I236" s="103"/>
      <c r="J236" s="103"/>
      <c r="K236" s="103"/>
      <c r="L236" s="103"/>
      <c r="M236" s="103"/>
      <c r="N236" s="103"/>
      <c r="O236" s="103"/>
      <c r="P236" s="103"/>
      <c r="Q236" s="103"/>
      <c r="R236" s="103"/>
      <c r="S236" s="103"/>
      <c r="T236" s="103"/>
      <c r="U236" s="103"/>
    </row>
    <row r="237" spans="1:21" x14ac:dyDescent="0.25">
      <c r="A237" s="103"/>
      <c r="B237" s="103"/>
      <c r="C237" s="103"/>
      <c r="D237" s="103"/>
      <c r="E237" s="103"/>
      <c r="F237" s="103"/>
      <c r="G237" s="103"/>
      <c r="H237" s="103"/>
      <c r="I237" s="103"/>
      <c r="J237" s="103"/>
      <c r="K237" s="103"/>
      <c r="L237" s="103"/>
      <c r="M237" s="103"/>
      <c r="N237" s="103"/>
      <c r="O237" s="103"/>
      <c r="P237" s="103"/>
      <c r="Q237" s="103"/>
      <c r="R237" s="103"/>
      <c r="S237" s="103"/>
      <c r="T237" s="103"/>
      <c r="U237" s="103"/>
    </row>
    <row r="238" spans="1:21" x14ac:dyDescent="0.25">
      <c r="A238" s="103"/>
      <c r="B238" s="103"/>
      <c r="C238" s="103"/>
      <c r="D238" s="103"/>
      <c r="E238" s="103"/>
      <c r="F238" s="103"/>
      <c r="G238" s="103"/>
      <c r="H238" s="103"/>
      <c r="I238" s="103"/>
      <c r="J238" s="103"/>
      <c r="K238" s="103"/>
      <c r="L238" s="103"/>
      <c r="M238" s="103"/>
      <c r="N238" s="103"/>
      <c r="O238" s="103"/>
      <c r="P238" s="103"/>
      <c r="Q238" s="103"/>
      <c r="R238" s="103"/>
      <c r="S238" s="103"/>
      <c r="T238" s="103"/>
      <c r="U238" s="103"/>
    </row>
    <row r="239" spans="1:21" x14ac:dyDescent="0.25">
      <c r="A239" s="103"/>
      <c r="B239" s="103"/>
      <c r="C239" s="103"/>
      <c r="D239" s="103"/>
      <c r="E239" s="103"/>
      <c r="F239" s="103"/>
      <c r="G239" s="103"/>
      <c r="H239" s="103"/>
      <c r="I239" s="103"/>
      <c r="J239" s="103"/>
      <c r="K239" s="103"/>
      <c r="L239" s="103"/>
      <c r="M239" s="103"/>
      <c r="N239" s="103"/>
      <c r="O239" s="103"/>
      <c r="P239" s="103"/>
      <c r="Q239" s="103"/>
      <c r="R239" s="103"/>
      <c r="S239" s="103"/>
      <c r="T239" s="103"/>
      <c r="U239" s="103"/>
    </row>
    <row r="240" spans="1:21" x14ac:dyDescent="0.25">
      <c r="A240" s="103"/>
      <c r="B240" s="103"/>
      <c r="C240" s="103"/>
      <c r="D240" s="103"/>
      <c r="E240" s="103"/>
      <c r="F240" s="103"/>
      <c r="G240" s="103"/>
      <c r="H240" s="103"/>
      <c r="I240" s="103"/>
      <c r="J240" s="103"/>
      <c r="K240" s="103"/>
      <c r="L240" s="103"/>
      <c r="M240" s="103"/>
      <c r="N240" s="103"/>
      <c r="O240" s="103"/>
      <c r="P240" s="103"/>
      <c r="Q240" s="103"/>
      <c r="R240" s="103"/>
      <c r="S240" s="103"/>
      <c r="T240" s="103"/>
      <c r="U240" s="103"/>
    </row>
    <row r="241" spans="1:21" x14ac:dyDescent="0.25">
      <c r="A241" s="103"/>
      <c r="B241" s="103"/>
      <c r="C241" s="103"/>
      <c r="D241" s="103"/>
      <c r="E241" s="103"/>
      <c r="F241" s="103"/>
      <c r="G241" s="103"/>
      <c r="H241" s="103"/>
      <c r="I241" s="103"/>
      <c r="J241" s="103"/>
      <c r="K241" s="103"/>
      <c r="L241" s="103"/>
      <c r="M241" s="103"/>
      <c r="N241" s="103"/>
      <c r="O241" s="103"/>
      <c r="P241" s="103"/>
      <c r="Q241" s="103"/>
      <c r="R241" s="103"/>
      <c r="S241" s="103"/>
      <c r="T241" s="103"/>
      <c r="U241" s="103"/>
    </row>
    <row r="242" spans="1:21" x14ac:dyDescent="0.25">
      <c r="A242" s="103"/>
      <c r="B242" s="103"/>
      <c r="C242" s="103"/>
      <c r="D242" s="103"/>
      <c r="E242" s="103"/>
      <c r="F242" s="103"/>
      <c r="G242" s="103"/>
      <c r="H242" s="103"/>
      <c r="I242" s="103"/>
      <c r="J242" s="103"/>
      <c r="K242" s="103"/>
      <c r="L242" s="103"/>
      <c r="M242" s="103"/>
      <c r="N242" s="103"/>
      <c r="O242" s="103"/>
      <c r="P242" s="103"/>
      <c r="Q242" s="103"/>
      <c r="R242" s="103"/>
      <c r="S242" s="103"/>
      <c r="T242" s="103"/>
      <c r="U242" s="103"/>
    </row>
    <row r="243" spans="1:21" x14ac:dyDescent="0.25">
      <c r="A243" s="103"/>
      <c r="B243" s="103"/>
      <c r="C243" s="103"/>
      <c r="D243" s="103"/>
      <c r="E243" s="103"/>
      <c r="F243" s="103"/>
      <c r="G243" s="103"/>
      <c r="H243" s="103"/>
      <c r="I243" s="103"/>
      <c r="J243" s="103"/>
      <c r="K243" s="103"/>
      <c r="L243" s="103"/>
      <c r="M243" s="103"/>
      <c r="N243" s="103"/>
      <c r="O243" s="103"/>
      <c r="P243" s="103"/>
      <c r="Q243" s="103"/>
      <c r="R243" s="103"/>
      <c r="S243" s="103"/>
      <c r="T243" s="103"/>
      <c r="U243" s="103"/>
    </row>
    <row r="244" spans="1:21" x14ac:dyDescent="0.25">
      <c r="A244" s="103"/>
      <c r="B244" s="103"/>
      <c r="C244" s="103"/>
      <c r="D244" s="103"/>
      <c r="E244" s="103"/>
      <c r="F244" s="103"/>
      <c r="G244" s="103"/>
      <c r="H244" s="103"/>
      <c r="I244" s="103"/>
      <c r="J244" s="103"/>
      <c r="K244" s="103"/>
      <c r="L244" s="103"/>
      <c r="M244" s="103"/>
      <c r="N244" s="103"/>
      <c r="O244" s="103"/>
      <c r="P244" s="103"/>
      <c r="Q244" s="103"/>
      <c r="R244" s="103"/>
      <c r="S244" s="103"/>
      <c r="T244" s="103"/>
      <c r="U244" s="103"/>
    </row>
    <row r="245" spans="1:21" x14ac:dyDescent="0.25">
      <c r="A245" s="103"/>
      <c r="B245" s="103"/>
      <c r="C245" s="103"/>
      <c r="D245" s="103"/>
      <c r="E245" s="103"/>
      <c r="F245" s="103"/>
      <c r="G245" s="103"/>
      <c r="H245" s="103"/>
      <c r="I245" s="103"/>
      <c r="J245" s="103"/>
      <c r="K245" s="103"/>
      <c r="L245" s="103"/>
      <c r="M245" s="103"/>
      <c r="N245" s="103"/>
      <c r="O245" s="103"/>
      <c r="P245" s="103"/>
      <c r="Q245" s="103"/>
      <c r="R245" s="103"/>
      <c r="S245" s="103"/>
      <c r="T245" s="103"/>
      <c r="U245" s="103"/>
    </row>
    <row r="246" spans="1:21" x14ac:dyDescent="0.25">
      <c r="A246" s="103"/>
      <c r="B246" s="103"/>
      <c r="C246" s="103"/>
      <c r="D246" s="103"/>
      <c r="E246" s="103"/>
      <c r="F246" s="103"/>
      <c r="G246" s="103"/>
      <c r="H246" s="103"/>
      <c r="I246" s="103"/>
      <c r="J246" s="103"/>
      <c r="K246" s="103"/>
      <c r="L246" s="103"/>
      <c r="M246" s="103"/>
      <c r="N246" s="103"/>
      <c r="O246" s="103"/>
      <c r="P246" s="103"/>
      <c r="Q246" s="103"/>
      <c r="R246" s="103"/>
      <c r="S246" s="103"/>
      <c r="T246" s="103"/>
      <c r="U246" s="103"/>
    </row>
    <row r="247" spans="1:21" x14ac:dyDescent="0.25">
      <c r="A247" s="103"/>
      <c r="B247" s="103"/>
      <c r="C247" s="103"/>
      <c r="D247" s="103"/>
      <c r="E247" s="103"/>
      <c r="F247" s="103"/>
      <c r="G247" s="103"/>
      <c r="H247" s="103"/>
      <c r="I247" s="103"/>
      <c r="J247" s="103"/>
      <c r="K247" s="103"/>
      <c r="L247" s="103"/>
      <c r="M247" s="103"/>
      <c r="N247" s="103"/>
      <c r="O247" s="103"/>
      <c r="P247" s="103"/>
      <c r="Q247" s="103"/>
      <c r="R247" s="103"/>
      <c r="S247" s="103"/>
      <c r="T247" s="103"/>
      <c r="U247" s="103"/>
    </row>
    <row r="248" spans="1:21" x14ac:dyDescent="0.25">
      <c r="A248" s="103"/>
      <c r="B248" s="103"/>
      <c r="C248" s="103"/>
      <c r="D248" s="103"/>
      <c r="E248" s="103"/>
      <c r="F248" s="103"/>
      <c r="G248" s="103"/>
      <c r="H248" s="103"/>
      <c r="I248" s="103"/>
      <c r="J248" s="103"/>
      <c r="K248" s="103"/>
      <c r="L248" s="103"/>
      <c r="M248" s="103"/>
      <c r="N248" s="103"/>
      <c r="O248" s="103"/>
      <c r="P248" s="103"/>
      <c r="Q248" s="103"/>
      <c r="R248" s="103"/>
      <c r="S248" s="103"/>
      <c r="T248" s="103"/>
      <c r="U248" s="103"/>
    </row>
    <row r="249" spans="1:21" x14ac:dyDescent="0.25">
      <c r="A249" s="103"/>
      <c r="B249" s="103"/>
      <c r="C249" s="103"/>
      <c r="D249" s="103"/>
      <c r="E249" s="103"/>
      <c r="F249" s="103"/>
      <c r="G249" s="103"/>
      <c r="H249" s="103"/>
      <c r="I249" s="103"/>
      <c r="J249" s="103"/>
      <c r="K249" s="103"/>
      <c r="L249" s="103"/>
      <c r="M249" s="103"/>
      <c r="N249" s="103"/>
      <c r="O249" s="103"/>
      <c r="P249" s="103"/>
      <c r="Q249" s="103"/>
      <c r="R249" s="103"/>
      <c r="S249" s="103"/>
      <c r="T249" s="103"/>
      <c r="U249" s="103"/>
    </row>
    <row r="250" spans="1:21" x14ac:dyDescent="0.25">
      <c r="A250" s="103"/>
      <c r="B250" s="103"/>
      <c r="C250" s="103"/>
      <c r="D250" s="103"/>
      <c r="E250" s="103"/>
      <c r="F250" s="103"/>
      <c r="G250" s="103"/>
      <c r="H250" s="103"/>
      <c r="I250" s="103"/>
      <c r="J250" s="103"/>
      <c r="K250" s="103"/>
      <c r="L250" s="103"/>
      <c r="M250" s="103"/>
      <c r="N250" s="103"/>
      <c r="O250" s="103"/>
      <c r="P250" s="103"/>
      <c r="Q250" s="103"/>
      <c r="R250" s="103"/>
      <c r="S250" s="103"/>
      <c r="T250" s="103"/>
      <c r="U250" s="103"/>
    </row>
    <row r="251" spans="1:21" x14ac:dyDescent="0.25">
      <c r="A251" s="103"/>
      <c r="B251" s="103"/>
      <c r="C251" s="103"/>
      <c r="D251" s="103"/>
      <c r="E251" s="103"/>
      <c r="F251" s="103"/>
      <c r="G251" s="103"/>
      <c r="H251" s="103"/>
      <c r="I251" s="103"/>
      <c r="J251" s="103"/>
      <c r="K251" s="103"/>
      <c r="L251" s="103"/>
      <c r="M251" s="103"/>
      <c r="N251" s="103"/>
      <c r="O251" s="103"/>
      <c r="P251" s="103"/>
      <c r="Q251" s="103"/>
      <c r="R251" s="103"/>
      <c r="S251" s="103"/>
      <c r="T251" s="103"/>
      <c r="U251" s="103"/>
    </row>
    <row r="252" spans="1:21" x14ac:dyDescent="0.25">
      <c r="A252" s="103"/>
      <c r="B252" s="103"/>
      <c r="C252" s="103"/>
      <c r="D252" s="103"/>
      <c r="E252" s="103"/>
      <c r="F252" s="103"/>
      <c r="G252" s="103"/>
      <c r="H252" s="103"/>
      <c r="I252" s="103"/>
      <c r="J252" s="103"/>
      <c r="K252" s="103"/>
      <c r="L252" s="103"/>
      <c r="M252" s="103"/>
      <c r="N252" s="103"/>
      <c r="O252" s="103"/>
      <c r="P252" s="103"/>
      <c r="Q252" s="103"/>
      <c r="R252" s="103"/>
      <c r="S252" s="103"/>
      <c r="T252" s="103"/>
      <c r="U252" s="103"/>
    </row>
    <row r="253" spans="1:2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row>
    <row r="254" spans="1:21" x14ac:dyDescent="0.25">
      <c r="A254" s="103"/>
      <c r="B254" s="103"/>
      <c r="C254" s="103"/>
      <c r="D254" s="103"/>
      <c r="E254" s="103"/>
      <c r="F254" s="103"/>
      <c r="G254" s="103"/>
      <c r="H254" s="103"/>
      <c r="I254" s="103"/>
      <c r="J254" s="103"/>
      <c r="K254" s="103"/>
      <c r="L254" s="103"/>
      <c r="M254" s="103"/>
      <c r="N254" s="103"/>
      <c r="O254" s="103"/>
      <c r="P254" s="103"/>
      <c r="Q254" s="103"/>
      <c r="R254" s="103"/>
      <c r="S254" s="103"/>
      <c r="T254" s="103"/>
      <c r="U254" s="103"/>
    </row>
    <row r="255" spans="1:2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row>
    <row r="256" spans="1:2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row>
    <row r="257" spans="1:21" x14ac:dyDescent="0.25">
      <c r="A257" s="103"/>
      <c r="B257" s="103"/>
      <c r="C257" s="103"/>
      <c r="D257" s="103"/>
      <c r="E257" s="103"/>
      <c r="F257" s="103"/>
      <c r="G257" s="103"/>
      <c r="H257" s="103"/>
      <c r="I257" s="103"/>
      <c r="J257" s="103"/>
      <c r="K257" s="103"/>
      <c r="L257" s="103"/>
      <c r="M257" s="103"/>
      <c r="N257" s="103"/>
      <c r="O257" s="103"/>
      <c r="P257" s="103"/>
      <c r="Q257" s="103"/>
      <c r="R257" s="103"/>
      <c r="S257" s="103"/>
      <c r="T257" s="103"/>
      <c r="U257" s="103"/>
    </row>
    <row r="258" spans="1:2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row>
    <row r="259" spans="1:2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row>
    <row r="260" spans="1:2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row>
    <row r="261" spans="1:2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row>
    <row r="262" spans="1:2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row>
    <row r="263" spans="1:2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row>
    <row r="264" spans="1:2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row>
    <row r="265" spans="1:2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row>
    <row r="266" spans="1:2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row>
    <row r="267" spans="1:2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row>
    <row r="268" spans="1:2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row>
    <row r="269" spans="1:2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row>
    <row r="270" spans="1:2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row>
    <row r="271" spans="1:21" x14ac:dyDescent="0.25">
      <c r="A271" s="103"/>
      <c r="B271" s="103"/>
      <c r="C271" s="103"/>
      <c r="D271" s="103"/>
      <c r="E271" s="103"/>
      <c r="F271" s="103"/>
      <c r="G271" s="103"/>
      <c r="H271" s="103"/>
      <c r="I271" s="103"/>
      <c r="J271" s="103"/>
      <c r="K271" s="103"/>
      <c r="L271" s="103"/>
      <c r="M271" s="103"/>
      <c r="N271" s="103"/>
      <c r="O271" s="103"/>
      <c r="P271" s="103"/>
      <c r="Q271" s="103"/>
      <c r="R271" s="103"/>
      <c r="S271" s="103"/>
      <c r="T271" s="103"/>
      <c r="U271" s="103"/>
    </row>
    <row r="272" spans="1:21" x14ac:dyDescent="0.25">
      <c r="A272" s="103"/>
      <c r="B272" s="103"/>
      <c r="C272" s="103"/>
      <c r="D272" s="103"/>
      <c r="E272" s="103"/>
      <c r="F272" s="103"/>
      <c r="G272" s="103"/>
      <c r="H272" s="103"/>
      <c r="I272" s="103"/>
      <c r="J272" s="103"/>
      <c r="K272" s="103"/>
      <c r="L272" s="103"/>
      <c r="M272" s="103"/>
      <c r="N272" s="103"/>
      <c r="O272" s="103"/>
      <c r="P272" s="103"/>
      <c r="Q272" s="103"/>
      <c r="R272" s="103"/>
      <c r="S272" s="103"/>
      <c r="T272" s="103"/>
      <c r="U272" s="103"/>
    </row>
    <row r="273" spans="1:21" x14ac:dyDescent="0.25">
      <c r="A273" s="103"/>
      <c r="B273" s="103"/>
      <c r="C273" s="103"/>
      <c r="D273" s="103"/>
      <c r="E273" s="103"/>
      <c r="F273" s="103"/>
      <c r="G273" s="103"/>
      <c r="H273" s="103"/>
      <c r="I273" s="103"/>
      <c r="J273" s="103"/>
      <c r="K273" s="103"/>
      <c r="L273" s="103"/>
      <c r="M273" s="103"/>
      <c r="N273" s="103"/>
      <c r="O273" s="103"/>
      <c r="P273" s="103"/>
      <c r="Q273" s="103"/>
      <c r="R273" s="103"/>
      <c r="S273" s="103"/>
      <c r="T273" s="103"/>
      <c r="U273" s="103"/>
    </row>
    <row r="274" spans="1:21" x14ac:dyDescent="0.25">
      <c r="A274" s="103"/>
      <c r="B274" s="103"/>
      <c r="C274" s="103"/>
      <c r="D274" s="103"/>
      <c r="E274" s="103"/>
      <c r="F274" s="103"/>
      <c r="G274" s="103"/>
      <c r="H274" s="103"/>
      <c r="I274" s="103"/>
      <c r="J274" s="103"/>
      <c r="K274" s="103"/>
      <c r="L274" s="103"/>
      <c r="M274" s="103"/>
      <c r="N274" s="103"/>
      <c r="O274" s="103"/>
      <c r="P274" s="103"/>
      <c r="Q274" s="103"/>
      <c r="R274" s="103"/>
      <c r="S274" s="103"/>
      <c r="T274" s="103"/>
      <c r="U274" s="103"/>
    </row>
    <row r="275" spans="1:21" x14ac:dyDescent="0.25">
      <c r="A275" s="103"/>
      <c r="B275" s="103"/>
      <c r="C275" s="103"/>
      <c r="D275" s="103"/>
      <c r="E275" s="103"/>
      <c r="F275" s="103"/>
      <c r="G275" s="103"/>
      <c r="H275" s="103"/>
      <c r="I275" s="103"/>
      <c r="J275" s="103"/>
      <c r="K275" s="103"/>
      <c r="L275" s="103"/>
      <c r="M275" s="103"/>
      <c r="N275" s="103"/>
      <c r="O275" s="103"/>
      <c r="P275" s="103"/>
      <c r="Q275" s="103"/>
      <c r="R275" s="103"/>
      <c r="S275" s="103"/>
      <c r="T275" s="103"/>
      <c r="U275" s="103"/>
    </row>
    <row r="276" spans="1:21" x14ac:dyDescent="0.25">
      <c r="A276" s="103"/>
      <c r="B276" s="103"/>
      <c r="C276" s="103"/>
      <c r="D276" s="103"/>
      <c r="E276" s="103"/>
      <c r="F276" s="103"/>
      <c r="G276" s="103"/>
      <c r="H276" s="103"/>
      <c r="I276" s="103"/>
      <c r="J276" s="103"/>
      <c r="K276" s="103"/>
      <c r="L276" s="103"/>
      <c r="M276" s="103"/>
      <c r="N276" s="103"/>
      <c r="O276" s="103"/>
      <c r="P276" s="103"/>
      <c r="Q276" s="103"/>
      <c r="R276" s="103"/>
      <c r="S276" s="103"/>
      <c r="T276" s="103"/>
      <c r="U276" s="103"/>
    </row>
    <row r="277" spans="1:21" x14ac:dyDescent="0.25">
      <c r="A277" s="103"/>
      <c r="B277" s="103"/>
      <c r="C277" s="103"/>
      <c r="D277" s="103"/>
      <c r="E277" s="103"/>
      <c r="F277" s="103"/>
      <c r="G277" s="103"/>
      <c r="H277" s="103"/>
      <c r="I277" s="103"/>
      <c r="J277" s="103"/>
      <c r="K277" s="103"/>
      <c r="L277" s="103"/>
      <c r="M277" s="103"/>
      <c r="N277" s="103"/>
      <c r="O277" s="103"/>
      <c r="P277" s="103"/>
      <c r="Q277" s="103"/>
      <c r="R277" s="103"/>
      <c r="S277" s="103"/>
      <c r="T277" s="103"/>
      <c r="U277" s="103"/>
    </row>
    <row r="278" spans="1:21" x14ac:dyDescent="0.25">
      <c r="A278" s="103"/>
      <c r="B278" s="103"/>
      <c r="C278" s="103"/>
      <c r="D278" s="103"/>
      <c r="E278" s="103"/>
      <c r="F278" s="103"/>
      <c r="G278" s="103"/>
      <c r="H278" s="103"/>
      <c r="I278" s="103"/>
      <c r="J278" s="103"/>
      <c r="K278" s="103"/>
      <c r="L278" s="103"/>
      <c r="M278" s="103"/>
      <c r="N278" s="103"/>
      <c r="O278" s="103"/>
      <c r="P278" s="103"/>
      <c r="Q278" s="103"/>
      <c r="R278" s="103"/>
      <c r="S278" s="103"/>
      <c r="T278" s="103"/>
      <c r="U278" s="103"/>
    </row>
    <row r="279" spans="1:21" x14ac:dyDescent="0.25">
      <c r="A279" s="103"/>
      <c r="B279" s="103"/>
      <c r="C279" s="103"/>
      <c r="D279" s="103"/>
      <c r="E279" s="103"/>
      <c r="F279" s="103"/>
      <c r="G279" s="103"/>
      <c r="H279" s="103"/>
      <c r="I279" s="103"/>
      <c r="J279" s="103"/>
      <c r="K279" s="103"/>
      <c r="L279" s="103"/>
      <c r="M279" s="103"/>
      <c r="N279" s="103"/>
      <c r="O279" s="103"/>
      <c r="P279" s="103"/>
      <c r="Q279" s="103"/>
      <c r="R279" s="103"/>
      <c r="S279" s="103"/>
      <c r="T279" s="103"/>
      <c r="U279" s="103"/>
    </row>
    <row r="280" spans="1:21" x14ac:dyDescent="0.25">
      <c r="A280" s="103"/>
      <c r="B280" s="103"/>
      <c r="C280" s="103"/>
      <c r="D280" s="103"/>
      <c r="E280" s="103"/>
      <c r="F280" s="103"/>
      <c r="G280" s="103"/>
      <c r="H280" s="103"/>
      <c r="I280" s="103"/>
      <c r="J280" s="103"/>
      <c r="K280" s="103"/>
      <c r="L280" s="103"/>
      <c r="M280" s="103"/>
      <c r="N280" s="103"/>
      <c r="O280" s="103"/>
      <c r="P280" s="103"/>
      <c r="Q280" s="103"/>
      <c r="R280" s="103"/>
      <c r="S280" s="103"/>
      <c r="T280" s="103"/>
      <c r="U280" s="103"/>
    </row>
    <row r="281" spans="1:21" x14ac:dyDescent="0.25">
      <c r="A281" s="103"/>
      <c r="B281" s="103"/>
      <c r="C281" s="103"/>
      <c r="D281" s="103"/>
      <c r="E281" s="103"/>
      <c r="F281" s="103"/>
      <c r="G281" s="103"/>
      <c r="H281" s="103"/>
      <c r="I281" s="103"/>
      <c r="J281" s="103"/>
      <c r="K281" s="103"/>
      <c r="L281" s="103"/>
      <c r="M281" s="103"/>
      <c r="N281" s="103"/>
      <c r="O281" s="103"/>
      <c r="P281" s="103"/>
      <c r="Q281" s="103"/>
      <c r="R281" s="103"/>
      <c r="S281" s="103"/>
      <c r="T281" s="103"/>
      <c r="U281" s="103"/>
    </row>
    <row r="282" spans="1:21" x14ac:dyDescent="0.25">
      <c r="A282" s="103"/>
      <c r="B282" s="103"/>
      <c r="C282" s="103"/>
      <c r="D282" s="103"/>
      <c r="E282" s="103"/>
      <c r="F282" s="103"/>
      <c r="G282" s="103"/>
      <c r="H282" s="103"/>
      <c r="I282" s="103"/>
      <c r="J282" s="103"/>
      <c r="K282" s="103"/>
      <c r="L282" s="103"/>
      <c r="M282" s="103"/>
      <c r="N282" s="103"/>
      <c r="O282" s="103"/>
      <c r="P282" s="103"/>
      <c r="Q282" s="103"/>
      <c r="R282" s="103"/>
      <c r="S282" s="103"/>
      <c r="T282" s="103"/>
      <c r="U282" s="103"/>
    </row>
    <row r="283" spans="1:21" x14ac:dyDescent="0.25">
      <c r="A283" s="103"/>
      <c r="B283" s="103"/>
      <c r="C283" s="103"/>
      <c r="D283" s="103"/>
      <c r="E283" s="103"/>
      <c r="F283" s="103"/>
      <c r="G283" s="103"/>
      <c r="H283" s="103"/>
      <c r="I283" s="103"/>
      <c r="J283" s="103"/>
      <c r="K283" s="103"/>
      <c r="L283" s="103"/>
      <c r="M283" s="103"/>
      <c r="N283" s="103"/>
      <c r="O283" s="103"/>
      <c r="P283" s="103"/>
      <c r="Q283" s="103"/>
      <c r="R283" s="103"/>
      <c r="S283" s="103"/>
      <c r="T283" s="103"/>
      <c r="U283" s="103"/>
    </row>
    <row r="284" spans="1:21" x14ac:dyDescent="0.25">
      <c r="A284" s="103"/>
      <c r="B284" s="103"/>
      <c r="C284" s="103"/>
      <c r="D284" s="103"/>
      <c r="E284" s="103"/>
      <c r="F284" s="103"/>
      <c r="G284" s="103"/>
      <c r="H284" s="103"/>
      <c r="I284" s="103"/>
      <c r="J284" s="103"/>
      <c r="K284" s="103"/>
      <c r="L284" s="103"/>
      <c r="M284" s="103"/>
      <c r="N284" s="103"/>
      <c r="O284" s="103"/>
      <c r="P284" s="103"/>
      <c r="Q284" s="103"/>
      <c r="R284" s="103"/>
      <c r="S284" s="103"/>
      <c r="T284" s="103"/>
      <c r="U284" s="103"/>
    </row>
    <row r="285" spans="1:21" x14ac:dyDescent="0.25">
      <c r="A285" s="103"/>
      <c r="B285" s="103"/>
      <c r="C285" s="103"/>
      <c r="D285" s="103"/>
      <c r="E285" s="103"/>
      <c r="F285" s="103"/>
      <c r="G285" s="103"/>
      <c r="H285" s="103"/>
      <c r="I285" s="103"/>
      <c r="J285" s="103"/>
      <c r="K285" s="103"/>
      <c r="L285" s="103"/>
      <c r="M285" s="103"/>
      <c r="N285" s="103"/>
      <c r="O285" s="103"/>
      <c r="P285" s="103"/>
      <c r="Q285" s="103"/>
      <c r="R285" s="103"/>
      <c r="S285" s="103"/>
      <c r="T285" s="103"/>
      <c r="U285" s="103"/>
    </row>
    <row r="286" spans="1:21" x14ac:dyDescent="0.25">
      <c r="A286" s="103"/>
      <c r="B286" s="103"/>
      <c r="C286" s="103"/>
      <c r="D286" s="103"/>
      <c r="E286" s="103"/>
      <c r="F286" s="103"/>
      <c r="G286" s="103"/>
      <c r="H286" s="103"/>
      <c r="I286" s="103"/>
      <c r="J286" s="103"/>
      <c r="K286" s="103"/>
      <c r="L286" s="103"/>
      <c r="M286" s="103"/>
      <c r="N286" s="103"/>
      <c r="O286" s="103"/>
      <c r="P286" s="103"/>
      <c r="Q286" s="103"/>
      <c r="R286" s="103"/>
      <c r="S286" s="103"/>
      <c r="T286" s="103"/>
      <c r="U286" s="103"/>
    </row>
    <row r="287" spans="1:21" x14ac:dyDescent="0.25">
      <c r="A287" s="103"/>
      <c r="B287" s="103"/>
      <c r="C287" s="103"/>
      <c r="D287" s="103"/>
      <c r="E287" s="103"/>
      <c r="F287" s="103"/>
      <c r="G287" s="103"/>
      <c r="H287" s="103"/>
      <c r="I287" s="103"/>
      <c r="J287" s="103"/>
      <c r="K287" s="103"/>
      <c r="L287" s="103"/>
      <c r="M287" s="103"/>
      <c r="N287" s="103"/>
      <c r="O287" s="103"/>
      <c r="P287" s="103"/>
      <c r="Q287" s="103"/>
      <c r="R287" s="103"/>
      <c r="S287" s="103"/>
      <c r="T287" s="103"/>
      <c r="U287" s="103"/>
    </row>
    <row r="288" spans="1:21" x14ac:dyDescent="0.25">
      <c r="A288" s="103"/>
      <c r="B288" s="103"/>
      <c r="C288" s="103"/>
      <c r="D288" s="103"/>
      <c r="E288" s="103"/>
      <c r="F288" s="103"/>
      <c r="G288" s="103"/>
      <c r="H288" s="103"/>
      <c r="I288" s="103"/>
      <c r="J288" s="103"/>
      <c r="K288" s="103"/>
      <c r="L288" s="103"/>
      <c r="M288" s="103"/>
      <c r="N288" s="103"/>
      <c r="O288" s="103"/>
      <c r="P288" s="103"/>
      <c r="Q288" s="103"/>
      <c r="R288" s="103"/>
      <c r="S288" s="103"/>
      <c r="T288" s="103"/>
      <c r="U288" s="103"/>
    </row>
    <row r="289" spans="1:21" x14ac:dyDescent="0.25">
      <c r="A289" s="103"/>
      <c r="B289" s="103"/>
      <c r="C289" s="103"/>
      <c r="D289" s="103"/>
      <c r="E289" s="103"/>
      <c r="F289" s="103"/>
      <c r="G289" s="103"/>
      <c r="H289" s="103"/>
      <c r="I289" s="103"/>
      <c r="J289" s="103"/>
      <c r="K289" s="103"/>
      <c r="L289" s="103"/>
      <c r="M289" s="103"/>
      <c r="N289" s="103"/>
      <c r="O289" s="103"/>
      <c r="P289" s="103"/>
      <c r="Q289" s="103"/>
      <c r="R289" s="103"/>
      <c r="S289" s="103"/>
      <c r="T289" s="103"/>
      <c r="U289" s="103"/>
    </row>
    <row r="290" spans="1:21" x14ac:dyDescent="0.25">
      <c r="A290" s="103"/>
      <c r="B290" s="103"/>
      <c r="C290" s="103"/>
      <c r="D290" s="103"/>
      <c r="E290" s="103"/>
      <c r="F290" s="103"/>
      <c r="G290" s="103"/>
      <c r="H290" s="103"/>
      <c r="I290" s="103"/>
      <c r="J290" s="103"/>
      <c r="K290" s="103"/>
      <c r="L290" s="103"/>
      <c r="M290" s="103"/>
      <c r="N290" s="103"/>
      <c r="O290" s="103"/>
      <c r="P290" s="103"/>
      <c r="Q290" s="103"/>
      <c r="R290" s="103"/>
      <c r="S290" s="103"/>
      <c r="T290" s="103"/>
      <c r="U290" s="103"/>
    </row>
    <row r="291" spans="1:21" x14ac:dyDescent="0.25">
      <c r="A291" s="103"/>
      <c r="B291" s="103"/>
      <c r="C291" s="103"/>
      <c r="D291" s="103"/>
      <c r="E291" s="103"/>
      <c r="F291" s="103"/>
      <c r="G291" s="103"/>
      <c r="H291" s="103"/>
      <c r="I291" s="103"/>
      <c r="J291" s="103"/>
      <c r="K291" s="103"/>
      <c r="L291" s="103"/>
      <c r="M291" s="103"/>
      <c r="N291" s="103"/>
      <c r="O291" s="103"/>
      <c r="P291" s="103"/>
      <c r="Q291" s="103"/>
      <c r="R291" s="103"/>
      <c r="S291" s="103"/>
      <c r="T291" s="103"/>
      <c r="U291" s="103"/>
    </row>
    <row r="292" spans="1:21" x14ac:dyDescent="0.25">
      <c r="A292" s="103"/>
      <c r="B292" s="103"/>
      <c r="C292" s="103"/>
      <c r="D292" s="103"/>
      <c r="E292" s="103"/>
      <c r="F292" s="103"/>
      <c r="G292" s="103"/>
      <c r="H292" s="103"/>
      <c r="I292" s="103"/>
      <c r="J292" s="103"/>
      <c r="K292" s="103"/>
      <c r="L292" s="103"/>
      <c r="M292" s="103"/>
      <c r="N292" s="103"/>
      <c r="O292" s="103"/>
      <c r="P292" s="103"/>
      <c r="Q292" s="103"/>
      <c r="R292" s="103"/>
      <c r="S292" s="103"/>
      <c r="T292" s="103"/>
      <c r="U292" s="103"/>
    </row>
    <row r="293" spans="1:21" x14ac:dyDescent="0.25">
      <c r="A293" s="103"/>
      <c r="B293" s="103"/>
      <c r="C293" s="103"/>
      <c r="D293" s="103"/>
      <c r="E293" s="103"/>
      <c r="F293" s="103"/>
      <c r="G293" s="103"/>
      <c r="H293" s="103"/>
      <c r="I293" s="103"/>
      <c r="J293" s="103"/>
      <c r="K293" s="103"/>
      <c r="L293" s="103"/>
      <c r="M293" s="103"/>
      <c r="N293" s="103"/>
      <c r="O293" s="103"/>
      <c r="P293" s="103"/>
      <c r="Q293" s="103"/>
      <c r="R293" s="103"/>
      <c r="S293" s="103"/>
      <c r="T293" s="103"/>
      <c r="U293" s="103"/>
    </row>
    <row r="294" spans="1:21" x14ac:dyDescent="0.25">
      <c r="A294" s="103"/>
      <c r="B294" s="103"/>
      <c r="C294" s="103"/>
      <c r="D294" s="103"/>
      <c r="E294" s="103"/>
      <c r="F294" s="103"/>
      <c r="G294" s="103"/>
      <c r="H294" s="103"/>
      <c r="I294" s="103"/>
      <c r="J294" s="103"/>
      <c r="K294" s="103"/>
      <c r="L294" s="103"/>
      <c r="M294" s="103"/>
      <c r="N294" s="103"/>
      <c r="O294" s="103"/>
      <c r="P294" s="103"/>
      <c r="Q294" s="103"/>
      <c r="R294" s="103"/>
      <c r="S294" s="103"/>
      <c r="T294" s="103"/>
      <c r="U294" s="103"/>
    </row>
    <row r="295" spans="1:21" x14ac:dyDescent="0.25">
      <c r="A295" s="103"/>
      <c r="B295" s="103"/>
      <c r="C295" s="103"/>
      <c r="D295" s="103"/>
      <c r="E295" s="103"/>
      <c r="F295" s="103"/>
      <c r="G295" s="103"/>
      <c r="H295" s="103"/>
      <c r="I295" s="103"/>
      <c r="J295" s="103"/>
      <c r="K295" s="103"/>
      <c r="L295" s="103"/>
      <c r="M295" s="103"/>
      <c r="N295" s="103"/>
      <c r="O295" s="103"/>
      <c r="P295" s="103"/>
      <c r="Q295" s="103"/>
      <c r="R295" s="103"/>
      <c r="S295" s="103"/>
      <c r="T295" s="103"/>
      <c r="U295" s="103"/>
    </row>
    <row r="296" spans="1:21" x14ac:dyDescent="0.25">
      <c r="A296" s="103"/>
      <c r="B296" s="103"/>
      <c r="C296" s="103"/>
      <c r="D296" s="103"/>
      <c r="E296" s="103"/>
      <c r="F296" s="103"/>
      <c r="G296" s="103"/>
      <c r="H296" s="103"/>
      <c r="I296" s="103"/>
      <c r="J296" s="103"/>
      <c r="K296" s="103"/>
      <c r="L296" s="103"/>
      <c r="M296" s="103"/>
      <c r="N296" s="103"/>
      <c r="O296" s="103"/>
      <c r="P296" s="103"/>
      <c r="Q296" s="103"/>
      <c r="R296" s="103"/>
      <c r="S296" s="103"/>
      <c r="T296" s="103"/>
      <c r="U296" s="103"/>
    </row>
    <row r="297" spans="1:21" x14ac:dyDescent="0.25">
      <c r="A297" s="103"/>
      <c r="B297" s="103"/>
      <c r="C297" s="103"/>
      <c r="D297" s="103"/>
      <c r="E297" s="103"/>
      <c r="F297" s="103"/>
      <c r="G297" s="103"/>
      <c r="H297" s="103"/>
      <c r="I297" s="103"/>
      <c r="J297" s="103"/>
      <c r="K297" s="103"/>
      <c r="L297" s="103"/>
      <c r="M297" s="103"/>
      <c r="N297" s="103"/>
      <c r="O297" s="103"/>
      <c r="P297" s="103"/>
      <c r="Q297" s="103"/>
      <c r="R297" s="103"/>
      <c r="S297" s="103"/>
      <c r="T297" s="103"/>
      <c r="U297" s="103"/>
    </row>
    <row r="298" spans="1:21" x14ac:dyDescent="0.25">
      <c r="A298" s="103"/>
      <c r="B298" s="103"/>
      <c r="C298" s="103"/>
      <c r="D298" s="103"/>
      <c r="E298" s="103"/>
      <c r="F298" s="103"/>
      <c r="G298" s="103"/>
      <c r="H298" s="103"/>
      <c r="I298" s="103"/>
      <c r="J298" s="103"/>
      <c r="K298" s="103"/>
      <c r="L298" s="103"/>
      <c r="M298" s="103"/>
      <c r="N298" s="103"/>
      <c r="O298" s="103"/>
      <c r="P298" s="103"/>
      <c r="Q298" s="103"/>
      <c r="R298" s="103"/>
      <c r="S298" s="103"/>
      <c r="T298" s="103"/>
      <c r="U298" s="103"/>
    </row>
    <row r="299" spans="1:21" x14ac:dyDescent="0.25">
      <c r="A299" s="103"/>
      <c r="B299" s="103"/>
      <c r="C299" s="103"/>
      <c r="D299" s="103"/>
      <c r="E299" s="103"/>
      <c r="F299" s="103"/>
      <c r="G299" s="103"/>
      <c r="H299" s="103"/>
      <c r="I299" s="103"/>
      <c r="J299" s="103"/>
      <c r="K299" s="103"/>
      <c r="L299" s="103"/>
      <c r="M299" s="103"/>
      <c r="N299" s="103"/>
      <c r="O299" s="103"/>
      <c r="P299" s="103"/>
      <c r="Q299" s="103"/>
      <c r="R299" s="103"/>
      <c r="S299" s="103"/>
      <c r="T299" s="103"/>
      <c r="U299" s="103"/>
    </row>
    <row r="300" spans="1:21" x14ac:dyDescent="0.25">
      <c r="A300" s="103"/>
      <c r="B300" s="103"/>
      <c r="C300" s="103"/>
      <c r="D300" s="103"/>
      <c r="E300" s="103"/>
      <c r="F300" s="103"/>
      <c r="G300" s="103"/>
      <c r="H300" s="103"/>
      <c r="I300" s="103"/>
      <c r="J300" s="103"/>
      <c r="K300" s="103"/>
      <c r="L300" s="103"/>
      <c r="M300" s="103"/>
      <c r="N300" s="103"/>
      <c r="O300" s="103"/>
      <c r="P300" s="103"/>
      <c r="Q300" s="103"/>
      <c r="R300" s="103"/>
      <c r="S300" s="103"/>
      <c r="T300" s="103"/>
      <c r="U300" s="103"/>
    </row>
    <row r="301" spans="1:21" x14ac:dyDescent="0.25">
      <c r="A301" s="103"/>
      <c r="B301" s="103"/>
      <c r="C301" s="103"/>
      <c r="D301" s="103"/>
      <c r="E301" s="103"/>
      <c r="F301" s="103"/>
      <c r="G301" s="103"/>
      <c r="H301" s="103"/>
      <c r="I301" s="103"/>
      <c r="J301" s="103"/>
      <c r="K301" s="103"/>
      <c r="L301" s="103"/>
      <c r="M301" s="103"/>
      <c r="N301" s="103"/>
      <c r="O301" s="103"/>
      <c r="P301" s="103"/>
      <c r="Q301" s="103"/>
      <c r="R301" s="103"/>
      <c r="S301" s="103"/>
      <c r="T301" s="103"/>
      <c r="U301" s="103"/>
    </row>
    <row r="302" spans="1:21" x14ac:dyDescent="0.25">
      <c r="A302" s="103"/>
      <c r="B302" s="103"/>
      <c r="C302" s="103"/>
      <c r="D302" s="103"/>
      <c r="E302" s="103"/>
      <c r="F302" s="103"/>
      <c r="G302" s="103"/>
      <c r="H302" s="103"/>
      <c r="I302" s="103"/>
      <c r="J302" s="103"/>
      <c r="K302" s="103"/>
      <c r="L302" s="103"/>
      <c r="M302" s="103"/>
      <c r="N302" s="103"/>
      <c r="O302" s="103"/>
      <c r="P302" s="103"/>
      <c r="Q302" s="103"/>
      <c r="R302" s="103"/>
      <c r="S302" s="103"/>
      <c r="T302" s="103"/>
      <c r="U302" s="103"/>
    </row>
    <row r="303" spans="1:21" x14ac:dyDescent="0.25">
      <c r="A303" s="103"/>
      <c r="B303" s="103"/>
      <c r="C303" s="103"/>
      <c r="D303" s="103"/>
      <c r="E303" s="103"/>
      <c r="F303" s="103"/>
      <c r="G303" s="103"/>
      <c r="H303" s="103"/>
      <c r="I303" s="103"/>
      <c r="J303" s="103"/>
      <c r="K303" s="103"/>
      <c r="L303" s="103"/>
      <c r="M303" s="103"/>
      <c r="N303" s="103"/>
      <c r="O303" s="103"/>
      <c r="P303" s="103"/>
      <c r="Q303" s="103"/>
      <c r="R303" s="103"/>
      <c r="S303" s="103"/>
      <c r="T303" s="103"/>
      <c r="U303" s="103"/>
    </row>
    <row r="304" spans="1:21" x14ac:dyDescent="0.25">
      <c r="A304" s="103"/>
      <c r="B304" s="103"/>
      <c r="C304" s="103"/>
      <c r="D304" s="103"/>
      <c r="E304" s="103"/>
      <c r="F304" s="103"/>
      <c r="G304" s="103"/>
      <c r="H304" s="103"/>
      <c r="I304" s="103"/>
      <c r="J304" s="103"/>
      <c r="K304" s="103"/>
      <c r="L304" s="103"/>
      <c r="M304" s="103"/>
      <c r="N304" s="103"/>
      <c r="O304" s="103"/>
      <c r="P304" s="103"/>
      <c r="Q304" s="103"/>
      <c r="R304" s="103"/>
      <c r="S304" s="103"/>
      <c r="T304" s="103"/>
      <c r="U304" s="103"/>
    </row>
    <row r="305" spans="1:21" x14ac:dyDescent="0.25">
      <c r="A305" s="103"/>
      <c r="B305" s="103"/>
      <c r="C305" s="103"/>
      <c r="D305" s="103"/>
      <c r="E305" s="103"/>
      <c r="F305" s="103"/>
      <c r="G305" s="103"/>
      <c r="H305" s="103"/>
      <c r="I305" s="103"/>
      <c r="J305" s="103"/>
      <c r="K305" s="103"/>
      <c r="L305" s="103"/>
      <c r="M305" s="103"/>
      <c r="N305" s="103"/>
      <c r="O305" s="103"/>
      <c r="P305" s="103"/>
      <c r="Q305" s="103"/>
      <c r="R305" s="103"/>
      <c r="S305" s="103"/>
      <c r="T305" s="103"/>
      <c r="U305" s="103"/>
    </row>
    <row r="306" spans="1:21" x14ac:dyDescent="0.25">
      <c r="A306" s="103"/>
      <c r="B306" s="103"/>
      <c r="C306" s="103"/>
      <c r="D306" s="103"/>
      <c r="E306" s="103"/>
      <c r="F306" s="103"/>
      <c r="G306" s="103"/>
      <c r="H306" s="103"/>
      <c r="I306" s="103"/>
      <c r="J306" s="103"/>
      <c r="K306" s="103"/>
      <c r="L306" s="103"/>
      <c r="M306" s="103"/>
      <c r="N306" s="103"/>
      <c r="O306" s="103"/>
      <c r="P306" s="103"/>
      <c r="Q306" s="103"/>
      <c r="R306" s="103"/>
      <c r="S306" s="103"/>
      <c r="T306" s="103"/>
      <c r="U306" s="103"/>
    </row>
    <row r="307" spans="1:21" x14ac:dyDescent="0.25">
      <c r="A307" s="103"/>
      <c r="B307" s="103"/>
      <c r="C307" s="103"/>
      <c r="D307" s="103"/>
      <c r="E307" s="103"/>
      <c r="F307" s="103"/>
      <c r="G307" s="103"/>
      <c r="H307" s="103"/>
      <c r="I307" s="103"/>
      <c r="J307" s="103"/>
      <c r="K307" s="103"/>
      <c r="L307" s="103"/>
      <c r="M307" s="103"/>
      <c r="N307" s="103"/>
      <c r="O307" s="103"/>
      <c r="P307" s="103"/>
      <c r="Q307" s="103"/>
      <c r="R307" s="103"/>
      <c r="S307" s="103"/>
      <c r="T307" s="103"/>
      <c r="U307" s="103"/>
    </row>
    <row r="308" spans="1:21" x14ac:dyDescent="0.25">
      <c r="A308" s="103"/>
      <c r="B308" s="103"/>
      <c r="C308" s="103"/>
      <c r="D308" s="103"/>
      <c r="E308" s="103"/>
      <c r="F308" s="103"/>
      <c r="G308" s="103"/>
      <c r="H308" s="103"/>
      <c r="I308" s="103"/>
      <c r="J308" s="103"/>
      <c r="K308" s="103"/>
      <c r="L308" s="103"/>
      <c r="M308" s="103"/>
      <c r="N308" s="103"/>
      <c r="O308" s="103"/>
      <c r="P308" s="103"/>
      <c r="Q308" s="103"/>
      <c r="R308" s="103"/>
      <c r="S308" s="103"/>
      <c r="T308" s="103"/>
      <c r="U308" s="103"/>
    </row>
    <row r="309" spans="1:21" x14ac:dyDescent="0.25">
      <c r="A309" s="103"/>
      <c r="B309" s="103"/>
      <c r="C309" s="103"/>
      <c r="D309" s="103"/>
      <c r="E309" s="103"/>
      <c r="F309" s="103"/>
      <c r="G309" s="103"/>
      <c r="H309" s="103"/>
      <c r="I309" s="103"/>
      <c r="J309" s="103"/>
      <c r="K309" s="103"/>
      <c r="L309" s="103"/>
      <c r="M309" s="103"/>
      <c r="N309" s="103"/>
      <c r="O309" s="103"/>
      <c r="P309" s="103"/>
      <c r="Q309" s="103"/>
      <c r="R309" s="103"/>
      <c r="S309" s="103"/>
      <c r="T309" s="103"/>
      <c r="U309" s="103"/>
    </row>
    <row r="310" spans="1:21" x14ac:dyDescent="0.25">
      <c r="A310" s="103"/>
      <c r="B310" s="103"/>
      <c r="C310" s="103"/>
      <c r="D310" s="103"/>
      <c r="E310" s="103"/>
      <c r="F310" s="103"/>
      <c r="G310" s="103"/>
      <c r="H310" s="103"/>
      <c r="I310" s="103"/>
      <c r="J310" s="103"/>
      <c r="K310" s="103"/>
      <c r="L310" s="103"/>
      <c r="M310" s="103"/>
      <c r="N310" s="103"/>
      <c r="O310" s="103"/>
      <c r="P310" s="103"/>
      <c r="Q310" s="103"/>
      <c r="R310" s="103"/>
      <c r="S310" s="103"/>
      <c r="T310" s="103"/>
      <c r="U310" s="103"/>
    </row>
    <row r="311" spans="1:21" x14ac:dyDescent="0.25">
      <c r="A311" s="103"/>
      <c r="B311" s="103"/>
      <c r="C311" s="103"/>
      <c r="D311" s="103"/>
      <c r="E311" s="103"/>
      <c r="F311" s="103"/>
      <c r="G311" s="103"/>
      <c r="H311" s="103"/>
      <c r="I311" s="103"/>
      <c r="J311" s="103"/>
      <c r="K311" s="103"/>
      <c r="L311" s="103"/>
      <c r="M311" s="103"/>
      <c r="N311" s="103"/>
      <c r="O311" s="103"/>
      <c r="P311" s="103"/>
      <c r="Q311" s="103"/>
      <c r="R311" s="103"/>
      <c r="S311" s="103"/>
      <c r="T311" s="103"/>
      <c r="U311" s="103"/>
    </row>
    <row r="312" spans="1:21" x14ac:dyDescent="0.25">
      <c r="A312" s="103"/>
      <c r="B312" s="103"/>
      <c r="C312" s="103"/>
      <c r="D312" s="103"/>
      <c r="E312" s="103"/>
      <c r="F312" s="103"/>
      <c r="G312" s="103"/>
      <c r="H312" s="103"/>
      <c r="I312" s="103"/>
      <c r="J312" s="103"/>
      <c r="K312" s="103"/>
      <c r="L312" s="103"/>
      <c r="M312" s="103"/>
      <c r="N312" s="103"/>
      <c r="O312" s="103"/>
      <c r="P312" s="103"/>
      <c r="Q312" s="103"/>
      <c r="R312" s="103"/>
      <c r="S312" s="103"/>
      <c r="T312" s="103"/>
      <c r="U312" s="103"/>
    </row>
    <row r="313" spans="1:21" x14ac:dyDescent="0.25">
      <c r="A313" s="103"/>
      <c r="B313" s="103"/>
      <c r="C313" s="103"/>
      <c r="D313" s="103"/>
      <c r="E313" s="103"/>
      <c r="F313" s="103"/>
      <c r="G313" s="103"/>
      <c r="H313" s="103"/>
      <c r="I313" s="103"/>
      <c r="J313" s="103"/>
      <c r="K313" s="103"/>
      <c r="L313" s="103"/>
      <c r="M313" s="103"/>
      <c r="N313" s="103"/>
      <c r="O313" s="103"/>
      <c r="P313" s="103"/>
      <c r="Q313" s="103"/>
      <c r="R313" s="103"/>
      <c r="S313" s="103"/>
      <c r="T313" s="103"/>
      <c r="U313" s="103"/>
    </row>
    <row r="314" spans="1:21" x14ac:dyDescent="0.25">
      <c r="A314" s="103"/>
      <c r="B314" s="103"/>
      <c r="C314" s="103"/>
      <c r="D314" s="103"/>
      <c r="E314" s="103"/>
      <c r="F314" s="103"/>
      <c r="G314" s="103"/>
      <c r="H314" s="103"/>
      <c r="I314" s="103"/>
      <c r="J314" s="103"/>
      <c r="K314" s="103"/>
      <c r="L314" s="103"/>
      <c r="M314" s="103"/>
      <c r="N314" s="103"/>
      <c r="O314" s="103"/>
      <c r="P314" s="103"/>
      <c r="Q314" s="103"/>
      <c r="R314" s="103"/>
      <c r="S314" s="103"/>
      <c r="T314" s="103"/>
      <c r="U314" s="103"/>
    </row>
    <row r="315" spans="1:21" x14ac:dyDescent="0.25">
      <c r="A315" s="103"/>
      <c r="B315" s="103"/>
      <c r="C315" s="103"/>
      <c r="D315" s="103"/>
      <c r="E315" s="103"/>
      <c r="F315" s="103"/>
      <c r="G315" s="103"/>
      <c r="H315" s="103"/>
      <c r="I315" s="103"/>
      <c r="J315" s="103"/>
      <c r="K315" s="103"/>
      <c r="L315" s="103"/>
      <c r="M315" s="103"/>
      <c r="N315" s="103"/>
      <c r="O315" s="103"/>
      <c r="P315" s="103"/>
      <c r="Q315" s="103"/>
      <c r="R315" s="103"/>
      <c r="S315" s="103"/>
      <c r="T315" s="103"/>
      <c r="U315" s="103"/>
    </row>
    <row r="316" spans="1:21" x14ac:dyDescent="0.25">
      <c r="A316" s="103"/>
      <c r="B316" s="103"/>
      <c r="C316" s="103"/>
      <c r="D316" s="103"/>
      <c r="E316" s="103"/>
      <c r="F316" s="103"/>
      <c r="G316" s="103"/>
      <c r="H316" s="103"/>
      <c r="I316" s="103"/>
      <c r="J316" s="103"/>
      <c r="K316" s="103"/>
      <c r="L316" s="103"/>
      <c r="M316" s="103"/>
      <c r="N316" s="103"/>
      <c r="O316" s="103"/>
      <c r="P316" s="103"/>
      <c r="Q316" s="103"/>
      <c r="R316" s="103"/>
      <c r="S316" s="103"/>
      <c r="T316" s="103"/>
      <c r="U316" s="103"/>
    </row>
    <row r="317" spans="1:21" x14ac:dyDescent="0.25">
      <c r="A317" s="103"/>
      <c r="B317" s="103"/>
      <c r="C317" s="103"/>
      <c r="D317" s="103"/>
      <c r="E317" s="103"/>
      <c r="F317" s="103"/>
      <c r="G317" s="103"/>
      <c r="H317" s="103"/>
      <c r="I317" s="103"/>
      <c r="J317" s="103"/>
      <c r="K317" s="103"/>
      <c r="L317" s="103"/>
      <c r="M317" s="103"/>
      <c r="N317" s="103"/>
      <c r="O317" s="103"/>
      <c r="P317" s="103"/>
      <c r="Q317" s="103"/>
      <c r="R317" s="103"/>
      <c r="S317" s="103"/>
      <c r="T317" s="103"/>
      <c r="U317" s="103"/>
    </row>
    <row r="318" spans="1:21" x14ac:dyDescent="0.25">
      <c r="A318" s="103"/>
      <c r="B318" s="103"/>
      <c r="C318" s="103"/>
      <c r="D318" s="103"/>
      <c r="E318" s="103"/>
      <c r="F318" s="103"/>
      <c r="G318" s="103"/>
      <c r="H318" s="103"/>
      <c r="I318" s="103"/>
      <c r="J318" s="103"/>
      <c r="K318" s="103"/>
      <c r="L318" s="103"/>
      <c r="M318" s="103"/>
      <c r="N318" s="103"/>
      <c r="O318" s="103"/>
      <c r="P318" s="103"/>
      <c r="Q318" s="103"/>
      <c r="R318" s="103"/>
      <c r="S318" s="103"/>
      <c r="T318" s="103"/>
      <c r="U318" s="103"/>
    </row>
    <row r="319" spans="1:21" x14ac:dyDescent="0.25">
      <c r="A319" s="103"/>
      <c r="B319" s="103"/>
      <c r="C319" s="103"/>
      <c r="D319" s="103"/>
      <c r="E319" s="103"/>
      <c r="F319" s="103"/>
      <c r="G319" s="103"/>
      <c r="H319" s="103"/>
      <c r="I319" s="103"/>
      <c r="J319" s="103"/>
      <c r="K319" s="103"/>
      <c r="L319" s="103"/>
      <c r="M319" s="103"/>
      <c r="N319" s="103"/>
      <c r="O319" s="103"/>
      <c r="P319" s="103"/>
      <c r="Q319" s="103"/>
      <c r="R319" s="103"/>
      <c r="S319" s="103"/>
      <c r="T319" s="103"/>
      <c r="U319" s="103"/>
    </row>
    <row r="320" spans="1:21" x14ac:dyDescent="0.25">
      <c r="A320" s="103"/>
      <c r="B320" s="103"/>
      <c r="C320" s="103"/>
      <c r="D320" s="103"/>
      <c r="E320" s="103"/>
      <c r="F320" s="103"/>
      <c r="G320" s="103"/>
      <c r="H320" s="103"/>
      <c r="I320" s="103"/>
      <c r="J320" s="103"/>
      <c r="K320" s="103"/>
      <c r="L320" s="103"/>
      <c r="M320" s="103"/>
      <c r="N320" s="103"/>
      <c r="O320" s="103"/>
      <c r="P320" s="103"/>
      <c r="Q320" s="103"/>
      <c r="R320" s="103"/>
      <c r="S320" s="103"/>
      <c r="T320" s="103"/>
      <c r="U320" s="103"/>
    </row>
    <row r="321" spans="1:21" x14ac:dyDescent="0.25">
      <c r="A321" s="103"/>
      <c r="B321" s="103"/>
      <c r="C321" s="103"/>
      <c r="D321" s="103"/>
      <c r="E321" s="103"/>
      <c r="F321" s="103"/>
      <c r="G321" s="103"/>
      <c r="H321" s="103"/>
      <c r="I321" s="103"/>
      <c r="J321" s="103"/>
      <c r="K321" s="103"/>
      <c r="L321" s="103"/>
      <c r="M321" s="103"/>
      <c r="N321" s="103"/>
      <c r="O321" s="103"/>
      <c r="P321" s="103"/>
      <c r="Q321" s="103"/>
      <c r="R321" s="103"/>
      <c r="S321" s="103"/>
      <c r="T321" s="103"/>
      <c r="U321" s="103"/>
    </row>
    <row r="322" spans="1:21" x14ac:dyDescent="0.25">
      <c r="A322" s="103"/>
      <c r="B322" s="103"/>
      <c r="C322" s="103"/>
      <c r="D322" s="103"/>
      <c r="E322" s="103"/>
      <c r="F322" s="103"/>
      <c r="G322" s="103"/>
      <c r="H322" s="103"/>
      <c r="I322" s="103"/>
      <c r="J322" s="103"/>
      <c r="K322" s="103"/>
      <c r="L322" s="103"/>
      <c r="M322" s="103"/>
      <c r="N322" s="103"/>
      <c r="O322" s="103"/>
      <c r="P322" s="103"/>
      <c r="Q322" s="103"/>
      <c r="R322" s="103"/>
      <c r="S322" s="103"/>
      <c r="T322" s="103"/>
      <c r="U322" s="103"/>
    </row>
    <row r="323" spans="1:21" x14ac:dyDescent="0.25">
      <c r="A323" s="103"/>
      <c r="B323" s="103"/>
      <c r="C323" s="103"/>
      <c r="D323" s="103"/>
      <c r="E323" s="103"/>
      <c r="F323" s="103"/>
      <c r="G323" s="103"/>
      <c r="H323" s="103"/>
      <c r="I323" s="103"/>
      <c r="J323" s="103"/>
      <c r="K323" s="103"/>
      <c r="L323" s="103"/>
      <c r="M323" s="103"/>
      <c r="N323" s="103"/>
      <c r="O323" s="103"/>
      <c r="P323" s="103"/>
      <c r="Q323" s="103"/>
      <c r="R323" s="103"/>
      <c r="S323" s="103"/>
      <c r="T323" s="103"/>
      <c r="U323" s="103"/>
    </row>
    <row r="324" spans="1:21" x14ac:dyDescent="0.25">
      <c r="A324" s="103"/>
      <c r="B324" s="103"/>
      <c r="C324" s="103"/>
      <c r="D324" s="103"/>
      <c r="E324" s="103"/>
      <c r="F324" s="103"/>
      <c r="G324" s="103"/>
      <c r="H324" s="103"/>
      <c r="I324" s="103"/>
      <c r="J324" s="103"/>
      <c r="K324" s="103"/>
      <c r="L324" s="103"/>
      <c r="M324" s="103"/>
      <c r="N324" s="103"/>
      <c r="O324" s="103"/>
      <c r="P324" s="103"/>
      <c r="Q324" s="103"/>
      <c r="R324" s="103"/>
      <c r="S324" s="103"/>
      <c r="T324" s="103"/>
      <c r="U324" s="103"/>
    </row>
    <row r="325" spans="1:21" x14ac:dyDescent="0.25">
      <c r="A325" s="103"/>
      <c r="B325" s="103"/>
      <c r="C325" s="103"/>
      <c r="D325" s="103"/>
      <c r="E325" s="103"/>
      <c r="F325" s="103"/>
      <c r="G325" s="103"/>
      <c r="H325" s="103"/>
      <c r="I325" s="103"/>
      <c r="J325" s="103"/>
      <c r="K325" s="103"/>
      <c r="L325" s="103"/>
      <c r="M325" s="103"/>
      <c r="N325" s="103"/>
      <c r="O325" s="103"/>
      <c r="P325" s="103"/>
      <c r="Q325" s="103"/>
      <c r="R325" s="103"/>
      <c r="S325" s="103"/>
      <c r="T325" s="103"/>
      <c r="U325" s="103"/>
    </row>
    <row r="326" spans="1:21" x14ac:dyDescent="0.25">
      <c r="A326" s="103"/>
      <c r="B326" s="103"/>
      <c r="C326" s="103"/>
      <c r="D326" s="103"/>
      <c r="E326" s="103"/>
      <c r="F326" s="103"/>
      <c r="G326" s="103"/>
      <c r="H326" s="103"/>
      <c r="I326" s="103"/>
      <c r="J326" s="103"/>
      <c r="K326" s="103"/>
      <c r="L326" s="103"/>
      <c r="M326" s="103"/>
      <c r="N326" s="103"/>
      <c r="O326" s="103"/>
      <c r="P326" s="103"/>
      <c r="Q326" s="103"/>
      <c r="R326" s="103"/>
      <c r="S326" s="103"/>
      <c r="T326" s="103"/>
      <c r="U326" s="103"/>
    </row>
    <row r="327" spans="1:21" x14ac:dyDescent="0.25">
      <c r="A327" s="103"/>
      <c r="B327" s="103"/>
      <c r="C327" s="103"/>
      <c r="D327" s="103"/>
      <c r="E327" s="103"/>
      <c r="F327" s="103"/>
      <c r="G327" s="103"/>
      <c r="H327" s="103"/>
      <c r="I327" s="103"/>
      <c r="J327" s="103"/>
      <c r="K327" s="103"/>
      <c r="L327" s="103"/>
      <c r="M327" s="103"/>
      <c r="N327" s="103"/>
      <c r="O327" s="103"/>
      <c r="P327" s="103"/>
      <c r="Q327" s="103"/>
      <c r="R327" s="103"/>
      <c r="S327" s="103"/>
      <c r="T327" s="103"/>
      <c r="U327" s="103"/>
    </row>
    <row r="328" spans="1:21" x14ac:dyDescent="0.25">
      <c r="A328" s="103"/>
      <c r="B328" s="103"/>
      <c r="C328" s="103"/>
      <c r="D328" s="103"/>
      <c r="E328" s="103"/>
      <c r="F328" s="103"/>
      <c r="G328" s="103"/>
      <c r="H328" s="103"/>
      <c r="I328" s="103"/>
      <c r="J328" s="103"/>
      <c r="K328" s="103"/>
      <c r="L328" s="103"/>
      <c r="M328" s="103"/>
      <c r="N328" s="103"/>
      <c r="O328" s="103"/>
      <c r="P328" s="103"/>
      <c r="Q328" s="103"/>
      <c r="R328" s="103"/>
      <c r="S328" s="103"/>
      <c r="T328" s="103"/>
      <c r="U328" s="103"/>
    </row>
    <row r="329" spans="1:21" x14ac:dyDescent="0.25">
      <c r="A329" s="103"/>
      <c r="B329" s="103"/>
      <c r="C329" s="103"/>
      <c r="D329" s="103"/>
      <c r="E329" s="103"/>
      <c r="F329" s="103"/>
      <c r="G329" s="103"/>
      <c r="H329" s="103"/>
      <c r="I329" s="103"/>
      <c r="J329" s="103"/>
      <c r="K329" s="103"/>
      <c r="L329" s="103"/>
      <c r="M329" s="103"/>
      <c r="N329" s="103"/>
      <c r="O329" s="103"/>
      <c r="P329" s="103"/>
      <c r="Q329" s="103"/>
      <c r="R329" s="103"/>
      <c r="S329" s="103"/>
      <c r="T329" s="103"/>
      <c r="U329" s="103"/>
    </row>
    <row r="330" spans="1:21" x14ac:dyDescent="0.25">
      <c r="A330" s="103"/>
      <c r="B330" s="103"/>
      <c r="C330" s="103"/>
      <c r="D330" s="103"/>
      <c r="E330" s="103"/>
      <c r="F330" s="103"/>
      <c r="G330" s="103"/>
      <c r="H330" s="103"/>
      <c r="I330" s="103"/>
      <c r="J330" s="103"/>
      <c r="K330" s="103"/>
      <c r="L330" s="103"/>
      <c r="M330" s="103"/>
      <c r="N330" s="103"/>
      <c r="O330" s="103"/>
      <c r="P330" s="103"/>
      <c r="Q330" s="103"/>
      <c r="R330" s="103"/>
      <c r="S330" s="103"/>
      <c r="T330" s="103"/>
      <c r="U330" s="103"/>
    </row>
    <row r="331" spans="1:21" x14ac:dyDescent="0.25">
      <c r="A331" s="103"/>
      <c r="B331" s="103"/>
      <c r="C331" s="103"/>
      <c r="D331" s="103"/>
      <c r="E331" s="103"/>
      <c r="F331" s="103"/>
      <c r="G331" s="103"/>
      <c r="H331" s="103"/>
      <c r="I331" s="103"/>
      <c r="J331" s="103"/>
      <c r="K331" s="103"/>
      <c r="L331" s="103"/>
      <c r="M331" s="103"/>
      <c r="N331" s="103"/>
      <c r="O331" s="103"/>
      <c r="P331" s="103"/>
      <c r="Q331" s="103"/>
      <c r="R331" s="103"/>
      <c r="S331" s="103"/>
      <c r="T331" s="103"/>
      <c r="U331" s="103"/>
    </row>
    <row r="332" spans="1:21" x14ac:dyDescent="0.25">
      <c r="A332" s="103"/>
      <c r="B332" s="103"/>
      <c r="C332" s="103"/>
      <c r="D332" s="103"/>
      <c r="E332" s="103"/>
      <c r="F332" s="103"/>
      <c r="G332" s="103"/>
      <c r="H332" s="103"/>
      <c r="I332" s="103"/>
      <c r="J332" s="103"/>
      <c r="K332" s="103"/>
      <c r="L332" s="103"/>
      <c r="M332" s="103"/>
      <c r="N332" s="103"/>
      <c r="O332" s="103"/>
      <c r="P332" s="103"/>
      <c r="Q332" s="103"/>
      <c r="R332" s="103"/>
      <c r="S332" s="103"/>
      <c r="T332" s="103"/>
      <c r="U332" s="103"/>
    </row>
    <row r="333" spans="1:21" x14ac:dyDescent="0.25">
      <c r="A333" s="103"/>
      <c r="B333" s="103"/>
      <c r="C333" s="103"/>
      <c r="D333" s="103"/>
      <c r="E333" s="103"/>
      <c r="F333" s="103"/>
      <c r="G333" s="103"/>
      <c r="H333" s="103"/>
      <c r="I333" s="103"/>
      <c r="J333" s="103"/>
      <c r="K333" s="103"/>
      <c r="L333" s="103"/>
      <c r="M333" s="103"/>
      <c r="N333" s="103"/>
      <c r="O333" s="103"/>
      <c r="P333" s="103"/>
      <c r="Q333" s="103"/>
      <c r="R333" s="103"/>
      <c r="S333" s="103"/>
      <c r="T333" s="103"/>
      <c r="U333" s="103"/>
    </row>
    <row r="334" spans="1:21" x14ac:dyDescent="0.25">
      <c r="A334" s="103"/>
      <c r="B334" s="103"/>
      <c r="C334" s="103"/>
      <c r="D334" s="103"/>
      <c r="E334" s="103"/>
      <c r="F334" s="103"/>
      <c r="G334" s="103"/>
      <c r="H334" s="103"/>
      <c r="I334" s="103"/>
      <c r="J334" s="103"/>
      <c r="K334" s="103"/>
      <c r="L334" s="103"/>
      <c r="M334" s="103"/>
      <c r="N334" s="103"/>
      <c r="O334" s="103"/>
      <c r="P334" s="103"/>
      <c r="Q334" s="103"/>
      <c r="R334" s="103"/>
      <c r="S334" s="103"/>
      <c r="T334" s="103"/>
      <c r="U334" s="103"/>
    </row>
    <row r="335" spans="1:21" x14ac:dyDescent="0.25">
      <c r="A335" s="103"/>
      <c r="B335" s="103"/>
      <c r="C335" s="103"/>
      <c r="D335" s="103"/>
      <c r="E335" s="103"/>
      <c r="F335" s="103"/>
      <c r="G335" s="103"/>
      <c r="H335" s="103"/>
      <c r="I335" s="103"/>
      <c r="J335" s="103"/>
      <c r="K335" s="103"/>
      <c r="L335" s="103"/>
      <c r="M335" s="103"/>
      <c r="N335" s="103"/>
      <c r="O335" s="103"/>
      <c r="P335" s="103"/>
      <c r="Q335" s="103"/>
      <c r="R335" s="103"/>
      <c r="S335" s="103"/>
      <c r="T335" s="103"/>
      <c r="U335" s="103"/>
    </row>
    <row r="336" spans="1:21" x14ac:dyDescent="0.25">
      <c r="A336" s="103"/>
      <c r="B336" s="103"/>
      <c r="C336" s="103"/>
      <c r="D336" s="103"/>
      <c r="E336" s="103"/>
      <c r="F336" s="103"/>
      <c r="G336" s="103"/>
      <c r="H336" s="103"/>
      <c r="I336" s="103"/>
      <c r="J336" s="103"/>
      <c r="K336" s="103"/>
      <c r="L336" s="103"/>
      <c r="M336" s="103"/>
      <c r="N336" s="103"/>
      <c r="O336" s="103"/>
      <c r="P336" s="103"/>
      <c r="Q336" s="103"/>
      <c r="R336" s="103"/>
      <c r="S336" s="103"/>
      <c r="T336" s="103"/>
      <c r="U336" s="103"/>
    </row>
    <row r="337" spans="1:21" x14ac:dyDescent="0.25">
      <c r="A337" s="103"/>
      <c r="B337" s="103"/>
      <c r="C337" s="103"/>
      <c r="D337" s="103"/>
      <c r="E337" s="103"/>
      <c r="F337" s="103"/>
      <c r="G337" s="103"/>
      <c r="H337" s="103"/>
      <c r="I337" s="103"/>
      <c r="J337" s="103"/>
      <c r="K337" s="103"/>
      <c r="L337" s="103"/>
      <c r="M337" s="103"/>
      <c r="N337" s="103"/>
      <c r="O337" s="103"/>
      <c r="P337" s="103"/>
      <c r="Q337" s="103"/>
      <c r="R337" s="103"/>
      <c r="S337" s="103"/>
      <c r="T337" s="103"/>
      <c r="U337" s="103"/>
    </row>
    <row r="338" spans="1:21" x14ac:dyDescent="0.25">
      <c r="A338" s="103"/>
      <c r="B338" s="103"/>
      <c r="C338" s="103"/>
      <c r="D338" s="103"/>
      <c r="E338" s="103"/>
      <c r="F338" s="103"/>
      <c r="G338" s="103"/>
      <c r="H338" s="103"/>
      <c r="I338" s="103"/>
      <c r="J338" s="103"/>
      <c r="K338" s="103"/>
      <c r="L338" s="103"/>
      <c r="M338" s="103"/>
      <c r="N338" s="103"/>
      <c r="O338" s="103"/>
      <c r="P338" s="103"/>
      <c r="Q338" s="103"/>
      <c r="R338" s="103"/>
      <c r="S338" s="103"/>
      <c r="T338" s="103"/>
      <c r="U338" s="103"/>
    </row>
    <row r="339" spans="1:21" x14ac:dyDescent="0.25">
      <c r="A339" s="103"/>
      <c r="B339" s="103"/>
      <c r="C339" s="103"/>
      <c r="D339" s="103"/>
      <c r="E339" s="103"/>
      <c r="F339" s="103"/>
      <c r="G339" s="103"/>
      <c r="H339" s="103"/>
      <c r="I339" s="103"/>
      <c r="J339" s="103"/>
      <c r="K339" s="103"/>
      <c r="L339" s="103"/>
      <c r="M339" s="103"/>
      <c r="N339" s="103"/>
      <c r="O339" s="103"/>
      <c r="P339" s="103"/>
      <c r="Q339" s="103"/>
      <c r="R339" s="103"/>
      <c r="S339" s="103"/>
      <c r="T339" s="103"/>
      <c r="U339" s="103"/>
    </row>
    <row r="340" spans="1:21" x14ac:dyDescent="0.25">
      <c r="A340" s="103"/>
      <c r="B340" s="103"/>
      <c r="C340" s="103"/>
      <c r="D340" s="103"/>
      <c r="E340" s="103"/>
      <c r="F340" s="103"/>
      <c r="G340" s="103"/>
      <c r="H340" s="103"/>
      <c r="I340" s="103"/>
      <c r="J340" s="103"/>
      <c r="K340" s="103"/>
      <c r="L340" s="103"/>
      <c r="M340" s="103"/>
      <c r="N340" s="103"/>
      <c r="O340" s="103"/>
      <c r="P340" s="103"/>
      <c r="Q340" s="103"/>
      <c r="R340" s="103"/>
      <c r="S340" s="103"/>
      <c r="T340" s="103"/>
      <c r="U340" s="103"/>
    </row>
    <row r="341" spans="1:21" x14ac:dyDescent="0.25">
      <c r="A341" s="103"/>
      <c r="B341" s="103"/>
      <c r="C341" s="103"/>
      <c r="D341" s="103"/>
      <c r="E341" s="103"/>
      <c r="F341" s="103"/>
      <c r="G341" s="103"/>
      <c r="H341" s="103"/>
      <c r="I341" s="103"/>
      <c r="J341" s="103"/>
      <c r="K341" s="103"/>
      <c r="L341" s="103"/>
      <c r="M341" s="103"/>
      <c r="N341" s="103"/>
      <c r="O341" s="103"/>
      <c r="P341" s="103"/>
      <c r="Q341" s="103"/>
      <c r="R341" s="103"/>
      <c r="S341" s="103"/>
      <c r="T341" s="103"/>
      <c r="U341" s="103"/>
    </row>
    <row r="342" spans="1:21" x14ac:dyDescent="0.25">
      <c r="A342" s="103"/>
      <c r="B342" s="103"/>
      <c r="C342" s="103"/>
      <c r="D342" s="103"/>
      <c r="E342" s="103"/>
      <c r="F342" s="103"/>
      <c r="G342" s="103"/>
      <c r="H342" s="103"/>
      <c r="I342" s="103"/>
      <c r="J342" s="103"/>
      <c r="K342" s="103"/>
      <c r="L342" s="103"/>
      <c r="M342" s="103"/>
      <c r="N342" s="103"/>
      <c r="O342" s="103"/>
      <c r="P342" s="103"/>
      <c r="Q342" s="103"/>
      <c r="R342" s="103"/>
      <c r="S342" s="103"/>
      <c r="T342" s="103"/>
      <c r="U342" s="103"/>
    </row>
    <row r="343" spans="1:21" x14ac:dyDescent="0.25">
      <c r="A343" s="103"/>
      <c r="B343" s="103"/>
      <c r="C343" s="103"/>
      <c r="D343" s="103"/>
      <c r="E343" s="103"/>
      <c r="F343" s="103"/>
      <c r="G343" s="103"/>
      <c r="H343" s="103"/>
      <c r="I343" s="103"/>
      <c r="J343" s="103"/>
      <c r="K343" s="103"/>
      <c r="L343" s="103"/>
      <c r="M343" s="103"/>
      <c r="N343" s="103"/>
      <c r="O343" s="103"/>
      <c r="P343" s="103"/>
      <c r="Q343" s="103"/>
      <c r="R343" s="103"/>
      <c r="S343" s="103"/>
      <c r="T343" s="103"/>
      <c r="U343" s="103"/>
    </row>
    <row r="344" spans="1:21" x14ac:dyDescent="0.25">
      <c r="A344" s="103"/>
      <c r="B344" s="103"/>
      <c r="C344" s="103"/>
      <c r="D344" s="103"/>
      <c r="E344" s="103"/>
      <c r="F344" s="103"/>
      <c r="G344" s="103"/>
      <c r="H344" s="103"/>
      <c r="I344" s="103"/>
      <c r="J344" s="103"/>
      <c r="K344" s="103"/>
      <c r="L344" s="103"/>
      <c r="M344" s="103"/>
      <c r="N344" s="103"/>
      <c r="O344" s="103"/>
      <c r="P344" s="103"/>
      <c r="Q344" s="103"/>
      <c r="R344" s="103"/>
      <c r="S344" s="103"/>
      <c r="T344" s="103"/>
      <c r="U344" s="103"/>
    </row>
    <row r="345" spans="1:21" x14ac:dyDescent="0.25">
      <c r="A345" s="103"/>
      <c r="B345" s="103"/>
      <c r="C345" s="103"/>
      <c r="D345" s="103"/>
      <c r="E345" s="103"/>
      <c r="F345" s="103"/>
      <c r="G345" s="103"/>
      <c r="H345" s="103"/>
      <c r="I345" s="103"/>
      <c r="J345" s="103"/>
      <c r="K345" s="103"/>
      <c r="L345" s="103"/>
      <c r="M345" s="103"/>
      <c r="N345" s="103"/>
      <c r="O345" s="103"/>
      <c r="P345" s="103"/>
      <c r="Q345" s="103"/>
      <c r="R345" s="103"/>
      <c r="S345" s="103"/>
      <c r="T345" s="103"/>
      <c r="U345" s="103"/>
    </row>
    <row r="346" spans="1:21" x14ac:dyDescent="0.25">
      <c r="A346" s="103"/>
      <c r="B346" s="103"/>
      <c r="C346" s="103"/>
      <c r="D346" s="103"/>
      <c r="E346" s="103"/>
      <c r="F346" s="103"/>
      <c r="G346" s="103"/>
      <c r="H346" s="103"/>
      <c r="I346" s="103"/>
      <c r="J346" s="103"/>
      <c r="K346" s="103"/>
      <c r="L346" s="103"/>
      <c r="M346" s="103"/>
      <c r="N346" s="103"/>
      <c r="O346" s="103"/>
      <c r="P346" s="103"/>
      <c r="Q346" s="103"/>
      <c r="R346" s="103"/>
      <c r="S346" s="103"/>
      <c r="T346" s="103"/>
      <c r="U346" s="103"/>
    </row>
    <row r="347" spans="1:21" x14ac:dyDescent="0.25">
      <c r="A347" s="103"/>
      <c r="B347" s="103"/>
      <c r="C347" s="103"/>
      <c r="D347" s="103"/>
      <c r="E347" s="103"/>
      <c r="F347" s="103"/>
      <c r="G347" s="103"/>
      <c r="H347" s="103"/>
      <c r="I347" s="103"/>
      <c r="J347" s="103"/>
      <c r="K347" s="103"/>
      <c r="L347" s="103"/>
      <c r="M347" s="103"/>
      <c r="N347" s="103"/>
      <c r="O347" s="103"/>
      <c r="P347" s="103"/>
      <c r="Q347" s="103"/>
      <c r="R347" s="103"/>
      <c r="S347" s="103"/>
      <c r="T347" s="103"/>
      <c r="U347" s="103"/>
    </row>
    <row r="348" spans="1:21" x14ac:dyDescent="0.25">
      <c r="A348" s="103"/>
      <c r="B348" s="103"/>
      <c r="C348" s="103"/>
      <c r="D348" s="103"/>
      <c r="E348" s="103"/>
      <c r="F348" s="103"/>
      <c r="G348" s="103"/>
      <c r="H348" s="103"/>
      <c r="I348" s="103"/>
      <c r="J348" s="103"/>
      <c r="K348" s="103"/>
      <c r="L348" s="103"/>
      <c r="M348" s="103"/>
      <c r="N348" s="103"/>
      <c r="O348" s="103"/>
      <c r="P348" s="103"/>
      <c r="Q348" s="103"/>
      <c r="R348" s="103"/>
      <c r="S348" s="103"/>
      <c r="T348" s="103"/>
      <c r="U348" s="103"/>
    </row>
    <row r="349" spans="1:21" x14ac:dyDescent="0.25">
      <c r="A349" s="103"/>
      <c r="B349" s="103"/>
      <c r="C349" s="103"/>
      <c r="D349" s="103"/>
      <c r="E349" s="103"/>
      <c r="F349" s="103"/>
      <c r="G349" s="103"/>
      <c r="H349" s="103"/>
      <c r="I349" s="103"/>
      <c r="J349" s="103"/>
      <c r="K349" s="103"/>
      <c r="L349" s="103"/>
      <c r="M349" s="103"/>
      <c r="N349" s="103"/>
      <c r="O349" s="103"/>
      <c r="P349" s="103"/>
      <c r="Q349" s="103"/>
      <c r="R349" s="103"/>
      <c r="S349" s="103"/>
      <c r="T349" s="103"/>
      <c r="U349" s="103"/>
    </row>
    <row r="350" spans="1:21" x14ac:dyDescent="0.25">
      <c r="A350" s="103"/>
      <c r="B350" s="103"/>
      <c r="C350" s="103"/>
      <c r="D350" s="103"/>
      <c r="E350" s="103"/>
      <c r="F350" s="103"/>
      <c r="G350" s="103"/>
      <c r="H350" s="103"/>
      <c r="I350" s="103"/>
      <c r="J350" s="103"/>
      <c r="K350" s="103"/>
      <c r="L350" s="103"/>
      <c r="M350" s="103"/>
      <c r="N350" s="103"/>
      <c r="O350" s="103"/>
      <c r="P350" s="103"/>
      <c r="Q350" s="103"/>
      <c r="R350" s="103"/>
      <c r="S350" s="103"/>
      <c r="T350" s="103"/>
      <c r="U350" s="103"/>
    </row>
    <row r="351" spans="1:21" x14ac:dyDescent="0.25">
      <c r="A351" s="103"/>
      <c r="B351" s="103"/>
      <c r="C351" s="103"/>
      <c r="D351" s="103"/>
      <c r="E351" s="103"/>
      <c r="F351" s="103"/>
      <c r="G351" s="103"/>
      <c r="H351" s="103"/>
      <c r="I351" s="103"/>
      <c r="J351" s="103"/>
      <c r="K351" s="103"/>
      <c r="L351" s="103"/>
      <c r="M351" s="103"/>
      <c r="N351" s="103"/>
      <c r="O351" s="103"/>
      <c r="P351" s="103"/>
      <c r="Q351" s="103"/>
      <c r="R351" s="103"/>
      <c r="S351" s="103"/>
      <c r="T351" s="103"/>
      <c r="U351" s="103"/>
    </row>
    <row r="352" spans="1:21" x14ac:dyDescent="0.25">
      <c r="A352" s="103"/>
      <c r="B352" s="103"/>
      <c r="C352" s="103"/>
      <c r="D352" s="103"/>
      <c r="E352" s="103"/>
      <c r="F352" s="103"/>
      <c r="G352" s="103"/>
      <c r="H352" s="103"/>
      <c r="I352" s="103"/>
      <c r="J352" s="103"/>
      <c r="K352" s="103"/>
      <c r="L352" s="103"/>
      <c r="M352" s="103"/>
      <c r="N352" s="103"/>
      <c r="O352" s="103"/>
      <c r="P352" s="103"/>
      <c r="Q352" s="103"/>
      <c r="R352" s="103"/>
      <c r="S352" s="103"/>
      <c r="T352" s="103"/>
      <c r="U352" s="103"/>
    </row>
    <row r="353" spans="1:21" x14ac:dyDescent="0.25">
      <c r="A353" s="103"/>
      <c r="B353" s="103"/>
      <c r="C353" s="103"/>
      <c r="D353" s="103"/>
      <c r="E353" s="103"/>
      <c r="F353" s="103"/>
      <c r="G353" s="103"/>
      <c r="H353" s="103"/>
      <c r="I353" s="103"/>
      <c r="J353" s="103"/>
      <c r="K353" s="103"/>
      <c r="L353" s="103"/>
      <c r="M353" s="103"/>
      <c r="N353" s="103"/>
      <c r="O353" s="103"/>
      <c r="P353" s="103"/>
      <c r="Q353" s="103"/>
      <c r="R353" s="103"/>
      <c r="S353" s="103"/>
      <c r="T353" s="103"/>
      <c r="U353" s="103"/>
    </row>
    <row r="354" spans="1:21" x14ac:dyDescent="0.25">
      <c r="A354" s="103"/>
      <c r="B354" s="103"/>
      <c r="C354" s="103"/>
      <c r="D354" s="103"/>
      <c r="E354" s="103"/>
      <c r="F354" s="103"/>
      <c r="G354" s="103"/>
      <c r="H354" s="103"/>
      <c r="I354" s="103"/>
      <c r="J354" s="103"/>
      <c r="K354" s="103"/>
      <c r="L354" s="103"/>
      <c r="M354" s="103"/>
      <c r="N354" s="103"/>
      <c r="O354" s="103"/>
      <c r="P354" s="103"/>
      <c r="Q354" s="103"/>
      <c r="R354" s="103"/>
      <c r="S354" s="103"/>
      <c r="T354" s="103"/>
      <c r="U354" s="103"/>
    </row>
    <row r="355" spans="1:21" x14ac:dyDescent="0.25">
      <c r="A355" s="103"/>
      <c r="B355" s="103"/>
      <c r="C355" s="103"/>
      <c r="D355" s="103"/>
      <c r="E355" s="103"/>
      <c r="F355" s="103"/>
      <c r="G355" s="103"/>
      <c r="H355" s="103"/>
      <c r="I355" s="103"/>
      <c r="J355" s="103"/>
      <c r="K355" s="103"/>
      <c r="L355" s="103"/>
      <c r="M355" s="103"/>
      <c r="N355" s="103"/>
      <c r="O355" s="103"/>
      <c r="P355" s="103"/>
      <c r="Q355" s="103"/>
      <c r="R355" s="103"/>
      <c r="S355" s="103"/>
      <c r="T355" s="103"/>
      <c r="U355" s="103"/>
    </row>
    <row r="356" spans="1:21" x14ac:dyDescent="0.25">
      <c r="A356" s="103"/>
      <c r="B356" s="103"/>
      <c r="C356" s="103"/>
      <c r="D356" s="103"/>
      <c r="E356" s="103"/>
      <c r="F356" s="103"/>
      <c r="G356" s="103"/>
      <c r="H356" s="103"/>
      <c r="I356" s="103"/>
      <c r="J356" s="103"/>
      <c r="K356" s="103"/>
      <c r="L356" s="103"/>
      <c r="M356" s="103"/>
      <c r="N356" s="103"/>
      <c r="O356" s="103"/>
      <c r="P356" s="103"/>
      <c r="Q356" s="103"/>
      <c r="R356" s="103"/>
      <c r="S356" s="103"/>
      <c r="T356" s="103"/>
      <c r="U356" s="103"/>
    </row>
    <row r="357" spans="1:21" x14ac:dyDescent="0.25">
      <c r="A357" s="103"/>
      <c r="B357" s="103"/>
      <c r="C357" s="103"/>
      <c r="D357" s="103"/>
      <c r="E357" s="103"/>
      <c r="F357" s="103"/>
      <c r="G357" s="103"/>
      <c r="H357" s="103"/>
      <c r="I357" s="103"/>
      <c r="J357" s="103"/>
      <c r="K357" s="103"/>
      <c r="L357" s="103"/>
      <c r="M357" s="103"/>
      <c r="N357" s="103"/>
      <c r="O357" s="103"/>
      <c r="P357" s="103"/>
      <c r="Q357" s="103"/>
      <c r="R357" s="103"/>
      <c r="S357" s="103"/>
      <c r="T357" s="103"/>
      <c r="U357" s="103"/>
    </row>
    <row r="358" spans="1:21" x14ac:dyDescent="0.25">
      <c r="A358" s="103"/>
      <c r="B358" s="103"/>
      <c r="C358" s="103"/>
      <c r="D358" s="103"/>
      <c r="E358" s="103"/>
      <c r="F358" s="103"/>
      <c r="G358" s="103"/>
      <c r="H358" s="103"/>
      <c r="I358" s="103"/>
      <c r="J358" s="103"/>
      <c r="K358" s="103"/>
      <c r="L358" s="103"/>
      <c r="M358" s="103"/>
      <c r="N358" s="103"/>
      <c r="O358" s="103"/>
      <c r="P358" s="103"/>
      <c r="Q358" s="103"/>
      <c r="R358" s="103"/>
      <c r="S358" s="103"/>
      <c r="T358" s="103"/>
      <c r="U358" s="103"/>
    </row>
    <row r="359" spans="1:21" x14ac:dyDescent="0.25">
      <c r="A359" s="103"/>
      <c r="B359" s="103"/>
      <c r="C359" s="103"/>
      <c r="D359" s="103"/>
      <c r="E359" s="103"/>
      <c r="F359" s="103"/>
      <c r="G359" s="103"/>
      <c r="H359" s="103"/>
      <c r="I359" s="103"/>
      <c r="J359" s="103"/>
      <c r="K359" s="103"/>
      <c r="L359" s="103"/>
      <c r="M359" s="103"/>
      <c r="N359" s="103"/>
      <c r="O359" s="103"/>
      <c r="P359" s="103"/>
      <c r="Q359" s="103"/>
      <c r="R359" s="103"/>
      <c r="S359" s="103"/>
      <c r="T359" s="103"/>
      <c r="U359" s="103"/>
    </row>
    <row r="360" spans="1:21" x14ac:dyDescent="0.25">
      <c r="A360" s="103"/>
      <c r="B360" s="103"/>
      <c r="C360" s="103"/>
      <c r="D360" s="103"/>
      <c r="E360" s="103"/>
      <c r="F360" s="103"/>
      <c r="G360" s="103"/>
      <c r="H360" s="103"/>
      <c r="I360" s="103"/>
      <c r="J360" s="103"/>
      <c r="K360" s="103"/>
      <c r="L360" s="103"/>
      <c r="M360" s="103"/>
      <c r="N360" s="103"/>
      <c r="O360" s="103"/>
      <c r="P360" s="103"/>
      <c r="Q360" s="103"/>
      <c r="R360" s="103"/>
      <c r="S360" s="103"/>
      <c r="T360" s="103"/>
      <c r="U360" s="103"/>
    </row>
    <row r="361" spans="1:21" x14ac:dyDescent="0.25">
      <c r="A361" s="103"/>
      <c r="B361" s="103"/>
      <c r="C361" s="103"/>
      <c r="D361" s="103"/>
      <c r="E361" s="103"/>
      <c r="F361" s="103"/>
      <c r="G361" s="103"/>
      <c r="H361" s="103"/>
      <c r="I361" s="103"/>
      <c r="J361" s="103"/>
      <c r="K361" s="103"/>
      <c r="L361" s="103"/>
      <c r="M361" s="103"/>
      <c r="N361" s="103"/>
      <c r="O361" s="103"/>
      <c r="P361" s="103"/>
      <c r="Q361" s="103"/>
      <c r="R361" s="103"/>
      <c r="S361" s="103"/>
      <c r="T361" s="103"/>
      <c r="U361" s="103"/>
    </row>
    <row r="362" spans="1:21" x14ac:dyDescent="0.25">
      <c r="A362" s="103"/>
      <c r="B362" s="103"/>
      <c r="C362" s="103"/>
      <c r="D362" s="103"/>
      <c r="E362" s="103"/>
      <c r="F362" s="103"/>
      <c r="G362" s="103"/>
      <c r="H362" s="103"/>
      <c r="I362" s="103"/>
      <c r="J362" s="103"/>
      <c r="K362" s="103"/>
      <c r="L362" s="103"/>
      <c r="M362" s="103"/>
      <c r="N362" s="103"/>
      <c r="O362" s="103"/>
      <c r="P362" s="103"/>
      <c r="Q362" s="103"/>
      <c r="R362" s="103"/>
      <c r="S362" s="103"/>
      <c r="T362" s="103"/>
      <c r="U362" s="103"/>
    </row>
    <row r="363" spans="1:21" x14ac:dyDescent="0.25">
      <c r="A363" s="103"/>
      <c r="B363" s="103"/>
      <c r="C363" s="103"/>
      <c r="D363" s="103"/>
      <c r="E363" s="103"/>
      <c r="F363" s="103"/>
      <c r="G363" s="103"/>
      <c r="H363" s="103"/>
      <c r="I363" s="103"/>
      <c r="J363" s="103"/>
      <c r="K363" s="103"/>
      <c r="L363" s="103"/>
      <c r="M363" s="103"/>
      <c r="N363" s="103"/>
      <c r="O363" s="103"/>
      <c r="P363" s="103"/>
      <c r="Q363" s="103"/>
      <c r="R363" s="103"/>
      <c r="S363" s="103"/>
      <c r="T363" s="103"/>
      <c r="U363" s="103"/>
    </row>
    <row r="364" spans="1:21" x14ac:dyDescent="0.25">
      <c r="A364" s="103"/>
      <c r="B364" s="103"/>
      <c r="C364" s="103"/>
      <c r="D364" s="103"/>
      <c r="E364" s="103"/>
      <c r="F364" s="103"/>
      <c r="G364" s="103"/>
      <c r="H364" s="103"/>
      <c r="I364" s="103"/>
      <c r="J364" s="103"/>
      <c r="K364" s="103"/>
      <c r="L364" s="103"/>
      <c r="M364" s="103"/>
      <c r="N364" s="103"/>
      <c r="O364" s="103"/>
      <c r="P364" s="103"/>
      <c r="Q364" s="103"/>
      <c r="R364" s="103"/>
      <c r="S364" s="103"/>
      <c r="T364" s="103"/>
      <c r="U364" s="103"/>
    </row>
    <row r="365" spans="1:21" x14ac:dyDescent="0.25">
      <c r="A365" s="103"/>
      <c r="B365" s="103"/>
      <c r="C365" s="103"/>
      <c r="D365" s="103"/>
      <c r="E365" s="103"/>
      <c r="F365" s="103"/>
      <c r="G365" s="103"/>
      <c r="H365" s="103"/>
      <c r="I365" s="103"/>
      <c r="J365" s="103"/>
      <c r="K365" s="103"/>
      <c r="L365" s="103"/>
      <c r="M365" s="103"/>
      <c r="N365" s="103"/>
      <c r="O365" s="103"/>
      <c r="P365" s="103"/>
      <c r="Q365" s="103"/>
      <c r="R365" s="103"/>
      <c r="S365" s="103"/>
      <c r="T365" s="103"/>
      <c r="U365" s="103"/>
    </row>
    <row r="366" spans="1:21" x14ac:dyDescent="0.25">
      <c r="A366" s="103"/>
      <c r="B366" s="103"/>
      <c r="C366" s="103"/>
      <c r="D366" s="103"/>
      <c r="E366" s="103"/>
      <c r="F366" s="103"/>
      <c r="G366" s="103"/>
      <c r="H366" s="103"/>
      <c r="I366" s="103"/>
      <c r="J366" s="103"/>
      <c r="K366" s="103"/>
      <c r="L366" s="103"/>
      <c r="M366" s="103"/>
      <c r="N366" s="103"/>
      <c r="O366" s="103"/>
      <c r="P366" s="103"/>
      <c r="Q366" s="103"/>
      <c r="R366" s="103"/>
      <c r="S366" s="103"/>
      <c r="T366" s="103"/>
      <c r="U366" s="103"/>
    </row>
    <row r="367" spans="1:21" x14ac:dyDescent="0.25">
      <c r="A367" s="103"/>
      <c r="B367" s="103"/>
      <c r="C367" s="103"/>
      <c r="D367" s="103"/>
      <c r="E367" s="103"/>
      <c r="F367" s="103"/>
      <c r="G367" s="103"/>
      <c r="H367" s="103"/>
      <c r="I367" s="103"/>
      <c r="J367" s="103"/>
      <c r="K367" s="103"/>
      <c r="L367" s="103"/>
      <c r="M367" s="103"/>
      <c r="N367" s="103"/>
      <c r="O367" s="103"/>
      <c r="P367" s="103"/>
      <c r="Q367" s="103"/>
      <c r="R367" s="103"/>
      <c r="S367" s="103"/>
      <c r="T367" s="103"/>
      <c r="U367" s="103"/>
    </row>
    <row r="368" spans="1:21" x14ac:dyDescent="0.25">
      <c r="A368" s="103"/>
      <c r="B368" s="103"/>
      <c r="C368" s="103"/>
      <c r="D368" s="103"/>
      <c r="E368" s="103"/>
      <c r="F368" s="103"/>
      <c r="G368" s="103"/>
      <c r="H368" s="103"/>
      <c r="I368" s="103"/>
      <c r="J368" s="103"/>
      <c r="K368" s="103"/>
      <c r="L368" s="103"/>
      <c r="M368" s="103"/>
      <c r="N368" s="103"/>
      <c r="O368" s="103"/>
      <c r="P368" s="103"/>
      <c r="Q368" s="103"/>
      <c r="R368" s="103"/>
      <c r="S368" s="103"/>
      <c r="T368" s="103"/>
      <c r="U368" s="103"/>
    </row>
    <row r="369" spans="1:21" x14ac:dyDescent="0.25">
      <c r="A369" s="103"/>
      <c r="B369" s="103"/>
      <c r="C369" s="103"/>
      <c r="D369" s="103"/>
      <c r="E369" s="103"/>
      <c r="F369" s="103"/>
      <c r="G369" s="103"/>
      <c r="H369" s="103"/>
      <c r="I369" s="103"/>
      <c r="J369" s="103"/>
      <c r="K369" s="103"/>
      <c r="L369" s="103"/>
      <c r="M369" s="103"/>
      <c r="N369" s="103"/>
      <c r="O369" s="103"/>
      <c r="P369" s="103"/>
      <c r="Q369" s="103"/>
      <c r="R369" s="103"/>
      <c r="S369" s="103"/>
      <c r="T369" s="103"/>
      <c r="U369" s="103"/>
    </row>
    <row r="370" spans="1:21" x14ac:dyDescent="0.25">
      <c r="A370" s="103"/>
      <c r="B370" s="103"/>
      <c r="C370" s="103"/>
      <c r="D370" s="103"/>
      <c r="E370" s="103"/>
      <c r="F370" s="103"/>
      <c r="G370" s="103"/>
      <c r="H370" s="103"/>
      <c r="I370" s="103"/>
      <c r="J370" s="103"/>
      <c r="K370" s="103"/>
      <c r="L370" s="103"/>
      <c r="M370" s="103"/>
      <c r="N370" s="103"/>
      <c r="O370" s="103"/>
      <c r="P370" s="103"/>
      <c r="Q370" s="103"/>
      <c r="R370" s="103"/>
      <c r="S370" s="103"/>
      <c r="T370" s="103"/>
      <c r="U370" s="103"/>
    </row>
    <row r="371" spans="1:21" x14ac:dyDescent="0.25">
      <c r="A371" s="103"/>
      <c r="B371" s="103"/>
      <c r="C371" s="103"/>
      <c r="D371" s="103"/>
      <c r="E371" s="103"/>
      <c r="F371" s="103"/>
      <c r="G371" s="103"/>
      <c r="H371" s="103"/>
      <c r="I371" s="103"/>
      <c r="J371" s="103"/>
      <c r="K371" s="103"/>
      <c r="L371" s="103"/>
      <c r="M371" s="103"/>
      <c r="N371" s="103"/>
      <c r="O371" s="103"/>
      <c r="P371" s="103"/>
      <c r="Q371" s="103"/>
      <c r="R371" s="103"/>
      <c r="S371" s="103"/>
      <c r="T371" s="103"/>
      <c r="U371" s="103"/>
    </row>
    <row r="372" spans="1:21" x14ac:dyDescent="0.25">
      <c r="A372" s="103"/>
      <c r="B372" s="103"/>
      <c r="C372" s="103"/>
      <c r="D372" s="103"/>
      <c r="E372" s="103"/>
      <c r="F372" s="103"/>
      <c r="G372" s="103"/>
      <c r="H372" s="103"/>
      <c r="I372" s="103"/>
      <c r="J372" s="103"/>
      <c r="K372" s="103"/>
      <c r="L372" s="103"/>
      <c r="M372" s="103"/>
      <c r="N372" s="103"/>
      <c r="O372" s="103"/>
      <c r="P372" s="103"/>
      <c r="Q372" s="103"/>
      <c r="R372" s="103"/>
      <c r="S372" s="103"/>
      <c r="T372" s="103"/>
      <c r="U372" s="103"/>
    </row>
    <row r="373" spans="1:21" x14ac:dyDescent="0.25">
      <c r="A373" s="103"/>
      <c r="B373" s="103"/>
      <c r="C373" s="103"/>
      <c r="D373" s="103"/>
      <c r="E373" s="103"/>
      <c r="F373" s="103"/>
      <c r="G373" s="103"/>
      <c r="H373" s="103"/>
      <c r="I373" s="103"/>
      <c r="J373" s="103"/>
      <c r="K373" s="103"/>
      <c r="L373" s="103"/>
      <c r="M373" s="103"/>
      <c r="N373" s="103"/>
      <c r="O373" s="103"/>
      <c r="P373" s="103"/>
      <c r="Q373" s="103"/>
      <c r="R373" s="103"/>
      <c r="S373" s="103"/>
      <c r="T373" s="103"/>
      <c r="U373" s="103"/>
    </row>
    <row r="374" spans="1:21" x14ac:dyDescent="0.25">
      <c r="A374" s="103"/>
      <c r="B374" s="103"/>
      <c r="C374" s="103"/>
      <c r="D374" s="103"/>
      <c r="E374" s="103"/>
      <c r="F374" s="103"/>
      <c r="G374" s="103"/>
      <c r="H374" s="103"/>
      <c r="I374" s="103"/>
      <c r="J374" s="103"/>
      <c r="K374" s="103"/>
      <c r="L374" s="103"/>
      <c r="M374" s="103"/>
      <c r="N374" s="103"/>
      <c r="O374" s="103"/>
      <c r="P374" s="103"/>
      <c r="Q374" s="103"/>
      <c r="R374" s="103"/>
      <c r="S374" s="103"/>
      <c r="T374" s="103"/>
      <c r="U374" s="103"/>
    </row>
    <row r="375" spans="1:21" x14ac:dyDescent="0.25">
      <c r="A375" s="103"/>
      <c r="B375" s="103"/>
      <c r="C375" s="103"/>
      <c r="D375" s="103"/>
      <c r="E375" s="103"/>
      <c r="F375" s="103"/>
      <c r="G375" s="103"/>
      <c r="H375" s="103"/>
      <c r="I375" s="103"/>
      <c r="J375" s="103"/>
      <c r="K375" s="103"/>
      <c r="L375" s="103"/>
      <c r="M375" s="103"/>
      <c r="N375" s="103"/>
      <c r="O375" s="103"/>
      <c r="P375" s="103"/>
      <c r="Q375" s="103"/>
      <c r="R375" s="103"/>
      <c r="S375" s="103"/>
      <c r="T375" s="103"/>
      <c r="U375" s="103"/>
    </row>
    <row r="376" spans="1:21" x14ac:dyDescent="0.25">
      <c r="A376" s="103"/>
      <c r="B376" s="103"/>
      <c r="C376" s="103"/>
      <c r="D376" s="103"/>
      <c r="E376" s="103"/>
      <c r="F376" s="103"/>
      <c r="G376" s="103"/>
      <c r="H376" s="103"/>
      <c r="I376" s="103"/>
      <c r="J376" s="103"/>
      <c r="K376" s="103"/>
      <c r="L376" s="103"/>
      <c r="M376" s="103"/>
      <c r="N376" s="103"/>
      <c r="O376" s="103"/>
      <c r="P376" s="103"/>
      <c r="Q376" s="103"/>
      <c r="R376" s="103"/>
      <c r="S376" s="103"/>
      <c r="T376" s="103"/>
      <c r="U376" s="103"/>
    </row>
    <row r="377" spans="1:21" x14ac:dyDescent="0.25">
      <c r="A377" s="103"/>
      <c r="B377" s="103"/>
      <c r="C377" s="103"/>
      <c r="D377" s="103"/>
      <c r="E377" s="103"/>
      <c r="F377" s="103"/>
      <c r="G377" s="103"/>
      <c r="H377" s="103"/>
      <c r="I377" s="103"/>
      <c r="J377" s="103"/>
      <c r="K377" s="103"/>
      <c r="L377" s="103"/>
      <c r="M377" s="103"/>
      <c r="N377" s="103"/>
      <c r="O377" s="103"/>
      <c r="P377" s="103"/>
      <c r="Q377" s="103"/>
      <c r="R377" s="103"/>
      <c r="S377" s="103"/>
      <c r="T377" s="103"/>
      <c r="U377" s="103"/>
    </row>
    <row r="378" spans="1:21" x14ac:dyDescent="0.25">
      <c r="A378" s="103"/>
      <c r="B378" s="103"/>
      <c r="C378" s="103"/>
      <c r="D378" s="103"/>
      <c r="E378" s="103"/>
      <c r="F378" s="103"/>
      <c r="G378" s="103"/>
      <c r="H378" s="103"/>
      <c r="I378" s="103"/>
      <c r="J378" s="103"/>
      <c r="K378" s="103"/>
      <c r="L378" s="103"/>
      <c r="M378" s="103"/>
      <c r="N378" s="103"/>
      <c r="O378" s="103"/>
      <c r="P378" s="103"/>
      <c r="Q378" s="103"/>
      <c r="R378" s="103"/>
      <c r="S378" s="103"/>
      <c r="T378" s="103"/>
      <c r="U378" s="103"/>
    </row>
    <row r="379" spans="1:21" x14ac:dyDescent="0.25">
      <c r="A379" s="103"/>
      <c r="B379" s="103"/>
      <c r="C379" s="103"/>
      <c r="D379" s="103"/>
      <c r="E379" s="103"/>
      <c r="F379" s="103"/>
      <c r="G379" s="103"/>
      <c r="H379" s="103"/>
      <c r="I379" s="103"/>
      <c r="J379" s="103"/>
      <c r="K379" s="103"/>
      <c r="L379" s="103"/>
      <c r="M379" s="103"/>
      <c r="N379" s="103"/>
      <c r="O379" s="103"/>
      <c r="P379" s="103"/>
      <c r="Q379" s="103"/>
      <c r="R379" s="103"/>
      <c r="S379" s="103"/>
      <c r="T379" s="103"/>
      <c r="U379" s="103"/>
    </row>
    <row r="380" spans="1:21" x14ac:dyDescent="0.25">
      <c r="A380" s="103"/>
      <c r="B380" s="103"/>
      <c r="C380" s="103"/>
      <c r="D380" s="103"/>
      <c r="E380" s="103"/>
      <c r="F380" s="103"/>
      <c r="G380" s="103"/>
      <c r="H380" s="103"/>
      <c r="I380" s="103"/>
      <c r="J380" s="103"/>
      <c r="K380" s="103"/>
      <c r="L380" s="103"/>
      <c r="M380" s="103"/>
      <c r="N380" s="103"/>
      <c r="O380" s="103"/>
      <c r="P380" s="103"/>
      <c r="Q380" s="103"/>
      <c r="R380" s="103"/>
      <c r="S380" s="103"/>
      <c r="T380" s="103"/>
      <c r="U380" s="103"/>
    </row>
    <row r="381" spans="1:21" x14ac:dyDescent="0.25">
      <c r="A381" s="103"/>
      <c r="B381" s="103"/>
      <c r="C381" s="103"/>
      <c r="D381" s="103"/>
      <c r="E381" s="103"/>
      <c r="F381" s="103"/>
      <c r="G381" s="103"/>
      <c r="H381" s="103"/>
      <c r="I381" s="103"/>
      <c r="J381" s="103"/>
      <c r="K381" s="103"/>
      <c r="L381" s="103"/>
      <c r="M381" s="103"/>
      <c r="N381" s="103"/>
      <c r="O381" s="103"/>
      <c r="P381" s="103"/>
      <c r="Q381" s="103"/>
      <c r="R381" s="103"/>
      <c r="S381" s="103"/>
      <c r="T381" s="103"/>
      <c r="U381" s="103"/>
    </row>
    <row r="382" spans="1:21" x14ac:dyDescent="0.25">
      <c r="A382" s="103"/>
      <c r="B382" s="103"/>
      <c r="C382" s="103"/>
      <c r="D382" s="103"/>
      <c r="E382" s="103"/>
      <c r="F382" s="103"/>
      <c r="G382" s="103"/>
      <c r="H382" s="103"/>
      <c r="I382" s="103"/>
      <c r="J382" s="103"/>
      <c r="K382" s="103"/>
      <c r="L382" s="103"/>
      <c r="M382" s="103"/>
      <c r="N382" s="103"/>
      <c r="O382" s="103"/>
      <c r="P382" s="103"/>
      <c r="Q382" s="103"/>
      <c r="R382" s="103"/>
      <c r="S382" s="103"/>
      <c r="T382" s="103"/>
      <c r="U382" s="103"/>
    </row>
    <row r="383" spans="1:21" x14ac:dyDescent="0.25">
      <c r="A383" s="103"/>
      <c r="B383" s="103"/>
      <c r="C383" s="103"/>
      <c r="D383" s="103"/>
      <c r="E383" s="103"/>
      <c r="F383" s="103"/>
      <c r="G383" s="103"/>
      <c r="H383" s="103"/>
      <c r="I383" s="103"/>
      <c r="J383" s="103"/>
      <c r="K383" s="103"/>
      <c r="L383" s="103"/>
      <c r="M383" s="103"/>
      <c r="N383" s="103"/>
      <c r="O383" s="103"/>
      <c r="P383" s="103"/>
      <c r="Q383" s="103"/>
      <c r="R383" s="103"/>
      <c r="S383" s="103"/>
      <c r="T383" s="103"/>
      <c r="U383" s="103"/>
    </row>
    <row r="384" spans="1:21" x14ac:dyDescent="0.25">
      <c r="A384" s="103"/>
      <c r="B384" s="103"/>
      <c r="C384" s="103"/>
      <c r="D384" s="103"/>
      <c r="E384" s="103"/>
      <c r="F384" s="103"/>
      <c r="G384" s="103"/>
      <c r="H384" s="103"/>
      <c r="I384" s="103"/>
      <c r="J384" s="103"/>
      <c r="K384" s="103"/>
      <c r="L384" s="103"/>
      <c r="M384" s="103"/>
      <c r="N384" s="103"/>
      <c r="O384" s="103"/>
      <c r="P384" s="103"/>
      <c r="Q384" s="103"/>
      <c r="R384" s="103"/>
      <c r="S384" s="103"/>
      <c r="T384" s="103"/>
      <c r="U384" s="103"/>
    </row>
    <row r="385" spans="1:21" x14ac:dyDescent="0.25">
      <c r="A385" s="103"/>
      <c r="B385" s="103"/>
      <c r="C385" s="103"/>
      <c r="D385" s="103"/>
      <c r="E385" s="103"/>
      <c r="F385" s="103"/>
      <c r="G385" s="103"/>
      <c r="H385" s="103"/>
      <c r="I385" s="103"/>
      <c r="J385" s="103"/>
      <c r="K385" s="103"/>
      <c r="L385" s="103"/>
      <c r="M385" s="103"/>
      <c r="N385" s="103"/>
      <c r="O385" s="103"/>
      <c r="P385" s="103"/>
      <c r="Q385" s="103"/>
      <c r="R385" s="103"/>
      <c r="S385" s="103"/>
      <c r="T385" s="103"/>
      <c r="U385" s="103"/>
    </row>
    <row r="386" spans="1:21" x14ac:dyDescent="0.25">
      <c r="A386" s="103"/>
      <c r="B386" s="103"/>
      <c r="C386" s="103"/>
      <c r="D386" s="103"/>
      <c r="E386" s="103"/>
      <c r="F386" s="103"/>
      <c r="G386" s="103"/>
      <c r="H386" s="103"/>
      <c r="I386" s="103"/>
      <c r="J386" s="103"/>
      <c r="K386" s="103"/>
      <c r="L386" s="103"/>
      <c r="M386" s="103"/>
      <c r="N386" s="103"/>
      <c r="O386" s="103"/>
      <c r="P386" s="103"/>
      <c r="Q386" s="103"/>
      <c r="R386" s="103"/>
      <c r="S386" s="103"/>
      <c r="T386" s="103"/>
      <c r="U386" s="103"/>
    </row>
    <row r="387" spans="1:21" x14ac:dyDescent="0.25">
      <c r="A387" s="103"/>
      <c r="B387" s="103"/>
      <c r="C387" s="103"/>
      <c r="D387" s="103"/>
      <c r="E387" s="103"/>
      <c r="F387" s="103"/>
      <c r="G387" s="103"/>
      <c r="H387" s="103"/>
      <c r="I387" s="103"/>
      <c r="J387" s="103"/>
      <c r="K387" s="103"/>
      <c r="L387" s="103"/>
      <c r="M387" s="103"/>
      <c r="N387" s="103"/>
      <c r="O387" s="103"/>
      <c r="P387" s="103"/>
      <c r="Q387" s="103"/>
      <c r="R387" s="103"/>
      <c r="S387" s="103"/>
      <c r="T387" s="103"/>
      <c r="U387" s="103"/>
    </row>
    <row r="388" spans="1:21" x14ac:dyDescent="0.25">
      <c r="A388" s="103"/>
      <c r="B388" s="103"/>
      <c r="C388" s="103"/>
      <c r="D388" s="103"/>
      <c r="E388" s="103"/>
      <c r="F388" s="103"/>
      <c r="G388" s="103"/>
      <c r="H388" s="103"/>
      <c r="I388" s="103"/>
      <c r="J388" s="103"/>
      <c r="K388" s="103"/>
      <c r="L388" s="103"/>
      <c r="M388" s="103"/>
      <c r="N388" s="103"/>
      <c r="O388" s="103"/>
      <c r="P388" s="103"/>
      <c r="Q388" s="103"/>
      <c r="R388" s="103"/>
      <c r="S388" s="103"/>
      <c r="T388" s="103"/>
      <c r="U388" s="103"/>
    </row>
    <row r="389" spans="1:21" x14ac:dyDescent="0.25">
      <c r="A389" s="103"/>
      <c r="B389" s="103"/>
      <c r="C389" s="103"/>
      <c r="D389" s="103"/>
      <c r="E389" s="103"/>
      <c r="F389" s="103"/>
      <c r="G389" s="103"/>
      <c r="H389" s="103"/>
      <c r="I389" s="103"/>
      <c r="J389" s="103"/>
      <c r="K389" s="103"/>
      <c r="L389" s="103"/>
      <c r="M389" s="103"/>
      <c r="N389" s="103"/>
      <c r="O389" s="103"/>
      <c r="P389" s="103"/>
      <c r="Q389" s="103"/>
      <c r="R389" s="103"/>
      <c r="S389" s="103"/>
      <c r="T389" s="103"/>
      <c r="U389" s="103"/>
    </row>
    <row r="390" spans="1:21" x14ac:dyDescent="0.25">
      <c r="A390" s="103"/>
      <c r="B390" s="103"/>
      <c r="C390" s="103"/>
      <c r="D390" s="103"/>
      <c r="E390" s="103"/>
      <c r="F390" s="103"/>
      <c r="G390" s="103"/>
      <c r="H390" s="103"/>
      <c r="I390" s="103"/>
      <c r="J390" s="103"/>
      <c r="K390" s="103"/>
      <c r="L390" s="103"/>
      <c r="M390" s="103"/>
      <c r="N390" s="103"/>
      <c r="O390" s="103"/>
      <c r="P390" s="103"/>
      <c r="Q390" s="103"/>
      <c r="R390" s="103"/>
      <c r="S390" s="103"/>
      <c r="T390" s="103"/>
      <c r="U390" s="103"/>
    </row>
    <row r="391" spans="1:21" x14ac:dyDescent="0.25">
      <c r="A391" s="103"/>
      <c r="B391" s="103"/>
      <c r="C391" s="103"/>
      <c r="D391" s="103"/>
      <c r="E391" s="103"/>
      <c r="F391" s="103"/>
      <c r="G391" s="103"/>
      <c r="H391" s="103"/>
      <c r="I391" s="103"/>
      <c r="J391" s="103"/>
      <c r="K391" s="103"/>
      <c r="L391" s="103"/>
      <c r="M391" s="103"/>
      <c r="N391" s="103"/>
      <c r="O391" s="103"/>
      <c r="P391" s="103"/>
      <c r="Q391" s="103"/>
      <c r="R391" s="103"/>
      <c r="S391" s="103"/>
      <c r="T391" s="103"/>
      <c r="U391" s="103"/>
    </row>
    <row r="392" spans="1:21" x14ac:dyDescent="0.25">
      <c r="A392" s="103"/>
      <c r="B392" s="103"/>
      <c r="C392" s="103"/>
      <c r="D392" s="103"/>
      <c r="E392" s="103"/>
      <c r="F392" s="103"/>
      <c r="G392" s="103"/>
      <c r="H392" s="103"/>
      <c r="I392" s="103"/>
      <c r="J392" s="103"/>
      <c r="K392" s="103"/>
      <c r="L392" s="103"/>
      <c r="M392" s="103"/>
      <c r="N392" s="103"/>
      <c r="O392" s="103"/>
      <c r="P392" s="103"/>
      <c r="Q392" s="103"/>
      <c r="R392" s="103"/>
      <c r="S392" s="103"/>
      <c r="T392" s="103"/>
      <c r="U392" s="103"/>
    </row>
    <row r="393" spans="1:21" x14ac:dyDescent="0.25">
      <c r="A393" s="103"/>
      <c r="B393" s="103"/>
      <c r="C393" s="103"/>
      <c r="D393" s="103"/>
      <c r="E393" s="103"/>
      <c r="F393" s="103"/>
      <c r="G393" s="103"/>
      <c r="H393" s="103"/>
      <c r="I393" s="103"/>
      <c r="J393" s="103"/>
      <c r="K393" s="103"/>
      <c r="L393" s="103"/>
      <c r="M393" s="103"/>
      <c r="N393" s="103"/>
      <c r="O393" s="103"/>
      <c r="P393" s="103"/>
      <c r="Q393" s="103"/>
      <c r="R393" s="103"/>
      <c r="S393" s="103"/>
      <c r="T393" s="103"/>
      <c r="U393" s="103"/>
    </row>
    <row r="394" spans="1:21" x14ac:dyDescent="0.25">
      <c r="A394" s="103"/>
      <c r="B394" s="103"/>
      <c r="C394" s="103"/>
      <c r="D394" s="103"/>
      <c r="E394" s="103"/>
      <c r="F394" s="103"/>
      <c r="G394" s="103"/>
      <c r="H394" s="103"/>
      <c r="I394" s="103"/>
      <c r="J394" s="103"/>
      <c r="K394" s="103"/>
      <c r="L394" s="103"/>
      <c r="M394" s="103"/>
      <c r="N394" s="103"/>
      <c r="O394" s="103"/>
      <c r="P394" s="103"/>
      <c r="Q394" s="103"/>
      <c r="R394" s="103"/>
      <c r="S394" s="103"/>
      <c r="T394" s="103"/>
      <c r="U394" s="103"/>
    </row>
    <row r="395" spans="1:21" x14ac:dyDescent="0.25">
      <c r="A395" s="103"/>
      <c r="B395" s="103"/>
      <c r="C395" s="103"/>
      <c r="D395" s="103"/>
      <c r="E395" s="103"/>
      <c r="F395" s="103"/>
      <c r="G395" s="103"/>
      <c r="H395" s="103"/>
      <c r="I395" s="103"/>
      <c r="J395" s="103"/>
      <c r="K395" s="103"/>
      <c r="L395" s="103"/>
      <c r="M395" s="103"/>
      <c r="N395" s="103"/>
      <c r="O395" s="103"/>
      <c r="P395" s="103"/>
      <c r="Q395" s="103"/>
      <c r="R395" s="103"/>
      <c r="S395" s="103"/>
      <c r="T395" s="103"/>
      <c r="U395" s="103"/>
    </row>
    <row r="396" spans="1:21" x14ac:dyDescent="0.25">
      <c r="A396" s="103"/>
      <c r="B396" s="103"/>
      <c r="C396" s="103"/>
      <c r="D396" s="103"/>
      <c r="E396" s="103"/>
      <c r="F396" s="103"/>
      <c r="G396" s="103"/>
      <c r="H396" s="103"/>
      <c r="I396" s="103"/>
      <c r="J396" s="103"/>
      <c r="K396" s="103"/>
      <c r="L396" s="103"/>
      <c r="M396" s="103"/>
      <c r="N396" s="103"/>
      <c r="O396" s="103"/>
      <c r="P396" s="103"/>
      <c r="Q396" s="103"/>
      <c r="R396" s="103"/>
      <c r="S396" s="103"/>
      <c r="T396" s="103"/>
      <c r="U396" s="103"/>
    </row>
    <row r="397" spans="1:21" x14ac:dyDescent="0.25">
      <c r="A397" s="103"/>
      <c r="B397" s="103"/>
      <c r="C397" s="103"/>
      <c r="D397" s="103"/>
      <c r="E397" s="103"/>
      <c r="F397" s="103"/>
      <c r="G397" s="103"/>
      <c r="H397" s="103"/>
      <c r="I397" s="103"/>
      <c r="J397" s="103"/>
      <c r="K397" s="103"/>
      <c r="L397" s="103"/>
      <c r="M397" s="103"/>
      <c r="N397" s="103"/>
      <c r="O397" s="103"/>
      <c r="P397" s="103"/>
      <c r="Q397" s="103"/>
      <c r="R397" s="103"/>
      <c r="S397" s="103"/>
      <c r="T397" s="103"/>
      <c r="U397" s="103"/>
    </row>
    <row r="398" spans="1:21" x14ac:dyDescent="0.25">
      <c r="A398" s="103"/>
      <c r="B398" s="103"/>
      <c r="C398" s="103"/>
      <c r="D398" s="103"/>
      <c r="E398" s="103"/>
      <c r="F398" s="103"/>
      <c r="G398" s="103"/>
      <c r="H398" s="103"/>
      <c r="I398" s="103"/>
      <c r="J398" s="103"/>
      <c r="K398" s="103"/>
      <c r="L398" s="103"/>
      <c r="M398" s="103"/>
      <c r="N398" s="103"/>
      <c r="O398" s="103"/>
      <c r="P398" s="103"/>
      <c r="Q398" s="103"/>
      <c r="R398" s="103"/>
      <c r="S398" s="103"/>
      <c r="T398" s="103"/>
      <c r="U398" s="103"/>
    </row>
    <row r="399" spans="1:21" x14ac:dyDescent="0.25">
      <c r="A399" s="103"/>
      <c r="B399" s="103"/>
      <c r="C399" s="103"/>
      <c r="D399" s="103"/>
      <c r="E399" s="103"/>
      <c r="F399" s="103"/>
      <c r="G399" s="103"/>
      <c r="H399" s="103"/>
      <c r="I399" s="103"/>
      <c r="J399" s="103"/>
      <c r="K399" s="103"/>
      <c r="L399" s="103"/>
      <c r="M399" s="103"/>
      <c r="N399" s="103"/>
      <c r="O399" s="103"/>
      <c r="P399" s="103"/>
      <c r="Q399" s="103"/>
      <c r="R399" s="103"/>
      <c r="S399" s="103"/>
      <c r="T399" s="103"/>
      <c r="U399" s="103"/>
    </row>
    <row r="400" spans="1:21" x14ac:dyDescent="0.25">
      <c r="A400" s="103"/>
      <c r="B400" s="103"/>
      <c r="C400" s="103"/>
      <c r="D400" s="103"/>
      <c r="E400" s="103"/>
      <c r="F400" s="103"/>
      <c r="G400" s="103"/>
      <c r="H400" s="103"/>
      <c r="I400" s="103"/>
      <c r="J400" s="103"/>
      <c r="K400" s="103"/>
      <c r="L400" s="103"/>
      <c r="M400" s="103"/>
      <c r="N400" s="103"/>
      <c r="O400" s="103"/>
      <c r="P400" s="103"/>
      <c r="Q400" s="103"/>
      <c r="R400" s="103"/>
      <c r="S400" s="103"/>
      <c r="T400" s="103"/>
      <c r="U400" s="103"/>
    </row>
    <row r="401" spans="1:21" x14ac:dyDescent="0.25">
      <c r="A401" s="103"/>
      <c r="B401" s="103"/>
      <c r="C401" s="103"/>
      <c r="D401" s="103"/>
      <c r="E401" s="103"/>
      <c r="F401" s="103"/>
      <c r="G401" s="103"/>
      <c r="H401" s="103"/>
      <c r="I401" s="103"/>
      <c r="J401" s="103"/>
      <c r="K401" s="103"/>
      <c r="L401" s="103"/>
      <c r="M401" s="103"/>
      <c r="N401" s="103"/>
      <c r="O401" s="103"/>
      <c r="P401" s="103"/>
      <c r="Q401" s="103"/>
      <c r="R401" s="103"/>
      <c r="S401" s="103"/>
      <c r="T401" s="103"/>
      <c r="U401" s="103"/>
    </row>
    <row r="402" spans="1:21" x14ac:dyDescent="0.25">
      <c r="A402" s="103"/>
      <c r="B402" s="103"/>
      <c r="C402" s="103"/>
      <c r="D402" s="103"/>
      <c r="E402" s="103"/>
      <c r="F402" s="103"/>
      <c r="G402" s="103"/>
      <c r="H402" s="103"/>
      <c r="I402" s="103"/>
      <c r="J402" s="103"/>
      <c r="K402" s="103"/>
      <c r="L402" s="103"/>
      <c r="M402" s="103"/>
      <c r="N402" s="103"/>
      <c r="O402" s="103"/>
      <c r="P402" s="103"/>
      <c r="Q402" s="103"/>
      <c r="R402" s="103"/>
      <c r="S402" s="103"/>
      <c r="T402" s="103"/>
      <c r="U402" s="103"/>
    </row>
    <row r="403" spans="1:21" x14ac:dyDescent="0.25">
      <c r="A403" s="103"/>
      <c r="B403" s="103"/>
      <c r="C403" s="103"/>
      <c r="D403" s="103"/>
      <c r="E403" s="103"/>
      <c r="F403" s="103"/>
      <c r="G403" s="103"/>
      <c r="H403" s="103"/>
      <c r="I403" s="103"/>
      <c r="J403" s="103"/>
      <c r="K403" s="103"/>
      <c r="L403" s="103"/>
      <c r="M403" s="103"/>
      <c r="N403" s="103"/>
      <c r="O403" s="103"/>
      <c r="P403" s="103"/>
      <c r="Q403" s="103"/>
      <c r="R403" s="103"/>
      <c r="S403" s="103"/>
      <c r="T403" s="103"/>
      <c r="U403" s="103"/>
    </row>
    <row r="404" spans="1:21" x14ac:dyDescent="0.25">
      <c r="A404" s="103"/>
      <c r="B404" s="103"/>
      <c r="C404" s="103"/>
      <c r="D404" s="103"/>
      <c r="E404" s="103"/>
      <c r="F404" s="103"/>
      <c r="G404" s="103"/>
      <c r="H404" s="103"/>
      <c r="I404" s="103"/>
      <c r="J404" s="103"/>
      <c r="K404" s="103"/>
      <c r="L404" s="103"/>
      <c r="M404" s="103"/>
      <c r="N404" s="103"/>
      <c r="O404" s="103"/>
      <c r="P404" s="103"/>
      <c r="Q404" s="103"/>
      <c r="R404" s="103"/>
      <c r="S404" s="103"/>
      <c r="T404" s="103"/>
      <c r="U404" s="103"/>
    </row>
    <row r="405" spans="1:21" x14ac:dyDescent="0.25">
      <c r="A405" s="103"/>
      <c r="B405" s="103"/>
      <c r="C405" s="103"/>
      <c r="D405" s="103"/>
      <c r="E405" s="103"/>
      <c r="F405" s="103"/>
      <c r="G405" s="103"/>
      <c r="H405" s="103"/>
      <c r="I405" s="103"/>
      <c r="J405" s="103"/>
      <c r="K405" s="103"/>
      <c r="L405" s="103"/>
      <c r="M405" s="103"/>
      <c r="N405" s="103"/>
      <c r="O405" s="103"/>
      <c r="P405" s="103"/>
      <c r="Q405" s="103"/>
      <c r="R405" s="103"/>
      <c r="S405" s="103"/>
      <c r="T405" s="103"/>
      <c r="U405" s="103"/>
    </row>
    <row r="406" spans="1:21" x14ac:dyDescent="0.25">
      <c r="A406" s="103"/>
      <c r="B406" s="103"/>
      <c r="C406" s="103"/>
      <c r="D406" s="103"/>
      <c r="E406" s="103"/>
      <c r="F406" s="103"/>
      <c r="G406" s="103"/>
      <c r="H406" s="103"/>
      <c r="I406" s="103"/>
      <c r="J406" s="103"/>
      <c r="K406" s="103"/>
      <c r="L406" s="103"/>
      <c r="M406" s="103"/>
      <c r="N406" s="103"/>
      <c r="O406" s="103"/>
      <c r="P406" s="103"/>
      <c r="Q406" s="103"/>
      <c r="R406" s="103"/>
      <c r="S406" s="103"/>
      <c r="T406" s="103"/>
      <c r="U406" s="103"/>
    </row>
    <row r="407" spans="1:21" x14ac:dyDescent="0.25">
      <c r="A407" s="103"/>
      <c r="B407" s="103"/>
      <c r="C407" s="103"/>
      <c r="D407" s="103"/>
      <c r="E407" s="103"/>
      <c r="F407" s="103"/>
      <c r="G407" s="103"/>
      <c r="H407" s="103"/>
      <c r="I407" s="103"/>
      <c r="J407" s="103"/>
      <c r="K407" s="103"/>
      <c r="L407" s="103"/>
      <c r="M407" s="103"/>
      <c r="N407" s="103"/>
      <c r="O407" s="103"/>
      <c r="P407" s="103"/>
      <c r="Q407" s="103"/>
      <c r="R407" s="103"/>
      <c r="S407" s="103"/>
      <c r="T407" s="103"/>
      <c r="U407" s="103"/>
    </row>
    <row r="408" spans="1:21" x14ac:dyDescent="0.25">
      <c r="A408" s="103"/>
      <c r="B408" s="103"/>
      <c r="C408" s="103"/>
      <c r="D408" s="103"/>
      <c r="E408" s="103"/>
      <c r="F408" s="103"/>
      <c r="G408" s="103"/>
      <c r="H408" s="103"/>
      <c r="I408" s="103"/>
      <c r="J408" s="103"/>
      <c r="K408" s="103"/>
      <c r="L408" s="103"/>
      <c r="M408" s="103"/>
      <c r="N408" s="103"/>
      <c r="O408" s="103"/>
      <c r="P408" s="103"/>
      <c r="Q408" s="103"/>
      <c r="R408" s="103"/>
      <c r="S408" s="103"/>
      <c r="T408" s="103"/>
      <c r="U408" s="103"/>
    </row>
    <row r="409" spans="1:21" x14ac:dyDescent="0.25">
      <c r="A409" s="103"/>
      <c r="B409" s="103"/>
      <c r="C409" s="103"/>
      <c r="D409" s="103"/>
      <c r="E409" s="103"/>
      <c r="F409" s="103"/>
      <c r="G409" s="103"/>
      <c r="H409" s="103"/>
      <c r="I409" s="103"/>
      <c r="J409" s="103"/>
      <c r="K409" s="103"/>
      <c r="L409" s="103"/>
      <c r="M409" s="103"/>
      <c r="N409" s="103"/>
      <c r="O409" s="103"/>
      <c r="P409" s="103"/>
      <c r="Q409" s="103"/>
      <c r="R409" s="103"/>
      <c r="S409" s="103"/>
      <c r="T409" s="103"/>
      <c r="U409" s="103"/>
    </row>
    <row r="410" spans="1:21" x14ac:dyDescent="0.25">
      <c r="A410" s="103"/>
      <c r="B410" s="103"/>
      <c r="C410" s="103"/>
      <c r="D410" s="103"/>
      <c r="E410" s="103"/>
      <c r="F410" s="103"/>
      <c r="G410" s="103"/>
      <c r="H410" s="103"/>
      <c r="I410" s="103"/>
      <c r="J410" s="103"/>
      <c r="K410" s="103"/>
      <c r="L410" s="103"/>
      <c r="M410" s="103"/>
      <c r="N410" s="103"/>
      <c r="O410" s="103"/>
      <c r="P410" s="103"/>
      <c r="Q410" s="103"/>
      <c r="R410" s="103"/>
      <c r="S410" s="103"/>
      <c r="T410" s="103"/>
      <c r="U410" s="103"/>
    </row>
    <row r="411" spans="1:21" x14ac:dyDescent="0.25">
      <c r="A411" s="103"/>
      <c r="B411" s="103"/>
      <c r="C411" s="103"/>
      <c r="D411" s="103"/>
      <c r="E411" s="103"/>
      <c r="F411" s="103"/>
      <c r="G411" s="103"/>
      <c r="H411" s="103"/>
      <c r="I411" s="103"/>
      <c r="J411" s="103"/>
      <c r="K411" s="103"/>
      <c r="L411" s="103"/>
      <c r="M411" s="103"/>
      <c r="N411" s="103"/>
      <c r="O411" s="103"/>
      <c r="P411" s="103"/>
      <c r="Q411" s="103"/>
      <c r="R411" s="103"/>
      <c r="S411" s="103"/>
      <c r="T411" s="103"/>
      <c r="U411" s="103"/>
    </row>
    <row r="412" spans="1:21" x14ac:dyDescent="0.25">
      <c r="A412" s="103"/>
      <c r="B412" s="103"/>
      <c r="C412" s="103"/>
      <c r="D412" s="103"/>
      <c r="E412" s="103"/>
      <c r="F412" s="103"/>
      <c r="G412" s="103"/>
      <c r="H412" s="103"/>
      <c r="I412" s="103"/>
      <c r="J412" s="103"/>
      <c r="K412" s="103"/>
      <c r="L412" s="103"/>
      <c r="M412" s="103"/>
      <c r="N412" s="103"/>
      <c r="O412" s="103"/>
      <c r="P412" s="103"/>
      <c r="Q412" s="103"/>
      <c r="R412" s="103"/>
      <c r="S412" s="103"/>
      <c r="T412" s="103"/>
      <c r="U412" s="103"/>
    </row>
    <row r="413" spans="1:21" x14ac:dyDescent="0.25">
      <c r="A413" s="103"/>
      <c r="B413" s="103"/>
      <c r="C413" s="103"/>
      <c r="D413" s="103"/>
      <c r="E413" s="103"/>
      <c r="F413" s="103"/>
      <c r="G413" s="103"/>
      <c r="H413" s="103"/>
      <c r="I413" s="103"/>
      <c r="J413" s="103"/>
      <c r="K413" s="103"/>
      <c r="L413" s="103"/>
      <c r="M413" s="103"/>
      <c r="N413" s="103"/>
      <c r="O413" s="103"/>
      <c r="P413" s="103"/>
      <c r="Q413" s="103"/>
      <c r="R413" s="103"/>
      <c r="S413" s="103"/>
      <c r="T413" s="103"/>
      <c r="U413" s="103"/>
    </row>
    <row r="414" spans="1:21" x14ac:dyDescent="0.25">
      <c r="A414" s="103"/>
      <c r="B414" s="103"/>
      <c r="C414" s="103"/>
      <c r="D414" s="103"/>
      <c r="E414" s="103"/>
      <c r="F414" s="103"/>
      <c r="G414" s="103"/>
      <c r="H414" s="103"/>
      <c r="I414" s="103"/>
      <c r="J414" s="103"/>
      <c r="K414" s="103"/>
      <c r="L414" s="103"/>
      <c r="M414" s="103"/>
      <c r="N414" s="103"/>
      <c r="O414" s="103"/>
      <c r="P414" s="103"/>
      <c r="Q414" s="103"/>
      <c r="R414" s="103"/>
      <c r="S414" s="103"/>
      <c r="T414" s="103"/>
      <c r="U414" s="103"/>
    </row>
    <row r="415" spans="1:21" x14ac:dyDescent="0.25">
      <c r="A415" s="103"/>
      <c r="B415" s="103"/>
      <c r="C415" s="103"/>
      <c r="D415" s="103"/>
      <c r="E415" s="103"/>
      <c r="F415" s="103"/>
      <c r="G415" s="103"/>
      <c r="H415" s="103"/>
      <c r="I415" s="103"/>
      <c r="J415" s="103"/>
      <c r="K415" s="103"/>
      <c r="L415" s="103"/>
      <c r="M415" s="103"/>
      <c r="N415" s="103"/>
      <c r="O415" s="103"/>
      <c r="P415" s="103"/>
      <c r="Q415" s="103"/>
      <c r="R415" s="103"/>
      <c r="S415" s="103"/>
      <c r="T415" s="103"/>
      <c r="U415" s="103"/>
    </row>
    <row r="416" spans="1:21" x14ac:dyDescent="0.25">
      <c r="A416" s="103"/>
      <c r="B416" s="103"/>
      <c r="C416" s="103"/>
      <c r="D416" s="103"/>
      <c r="E416" s="103"/>
      <c r="F416" s="103"/>
      <c r="G416" s="103"/>
      <c r="H416" s="103"/>
      <c r="I416" s="103"/>
      <c r="J416" s="103"/>
      <c r="K416" s="103"/>
      <c r="L416" s="103"/>
      <c r="M416" s="103"/>
      <c r="N416" s="103"/>
      <c r="O416" s="103"/>
      <c r="P416" s="103"/>
      <c r="Q416" s="103"/>
      <c r="R416" s="103"/>
      <c r="S416" s="103"/>
      <c r="T416" s="103"/>
      <c r="U416" s="103"/>
    </row>
    <row r="417" spans="1:21" x14ac:dyDescent="0.25">
      <c r="A417" s="103"/>
      <c r="B417" s="103"/>
      <c r="C417" s="103"/>
      <c r="D417" s="103"/>
      <c r="E417" s="103"/>
      <c r="F417" s="103"/>
      <c r="G417" s="103"/>
      <c r="H417" s="103"/>
      <c r="I417" s="103"/>
      <c r="J417" s="103"/>
      <c r="K417" s="103"/>
      <c r="L417" s="103"/>
      <c r="M417" s="103"/>
      <c r="N417" s="103"/>
      <c r="O417" s="103"/>
      <c r="P417" s="103"/>
      <c r="Q417" s="103"/>
      <c r="R417" s="103"/>
      <c r="S417" s="103"/>
      <c r="T417" s="103"/>
      <c r="U417" s="103"/>
    </row>
    <row r="418" spans="1:21" x14ac:dyDescent="0.25">
      <c r="A418" s="103"/>
      <c r="B418" s="103"/>
      <c r="C418" s="103"/>
      <c r="D418" s="103"/>
      <c r="E418" s="103"/>
      <c r="F418" s="103"/>
      <c r="G418" s="103"/>
      <c r="H418" s="103"/>
      <c r="I418" s="103"/>
      <c r="J418" s="103"/>
      <c r="K418" s="103"/>
      <c r="L418" s="103"/>
      <c r="M418" s="103"/>
      <c r="N418" s="103"/>
      <c r="O418" s="103"/>
      <c r="P418" s="103"/>
      <c r="Q418" s="103"/>
      <c r="R418" s="103"/>
      <c r="S418" s="103"/>
      <c r="T418" s="103"/>
      <c r="U418" s="103"/>
    </row>
    <row r="419" spans="1:21" x14ac:dyDescent="0.25">
      <c r="A419" s="103"/>
      <c r="B419" s="103"/>
      <c r="C419" s="103"/>
      <c r="D419" s="103"/>
      <c r="E419" s="103"/>
      <c r="F419" s="103"/>
      <c r="G419" s="103"/>
      <c r="H419" s="103"/>
      <c r="I419" s="103"/>
      <c r="J419" s="103"/>
      <c r="K419" s="103"/>
      <c r="L419" s="103"/>
      <c r="M419" s="103"/>
      <c r="N419" s="103"/>
      <c r="O419" s="103"/>
      <c r="P419" s="103"/>
      <c r="Q419" s="103"/>
      <c r="R419" s="103"/>
      <c r="S419" s="103"/>
      <c r="T419" s="103"/>
      <c r="U419" s="103"/>
    </row>
    <row r="420" spans="1:21" x14ac:dyDescent="0.25">
      <c r="A420" s="103"/>
      <c r="B420" s="103"/>
      <c r="C420" s="103"/>
      <c r="D420" s="103"/>
      <c r="E420" s="103"/>
      <c r="F420" s="103"/>
      <c r="G420" s="103"/>
      <c r="H420" s="103"/>
      <c r="I420" s="103"/>
      <c r="J420" s="103"/>
      <c r="K420" s="103"/>
      <c r="L420" s="103"/>
      <c r="M420" s="103"/>
      <c r="N420" s="103"/>
      <c r="O420" s="103"/>
      <c r="P420" s="103"/>
      <c r="Q420" s="103"/>
      <c r="R420" s="103"/>
      <c r="S420" s="103"/>
      <c r="T420" s="103"/>
      <c r="U420" s="103"/>
    </row>
    <row r="421" spans="1:21" x14ac:dyDescent="0.25">
      <c r="A421" s="103"/>
      <c r="B421" s="103"/>
      <c r="C421" s="103"/>
      <c r="D421" s="103"/>
      <c r="E421" s="103"/>
      <c r="F421" s="103"/>
      <c r="G421" s="103"/>
      <c r="H421" s="103"/>
      <c r="I421" s="103"/>
      <c r="J421" s="103"/>
      <c r="K421" s="103"/>
      <c r="L421" s="103"/>
      <c r="M421" s="103"/>
      <c r="N421" s="103"/>
      <c r="O421" s="103"/>
      <c r="P421" s="103"/>
      <c r="Q421" s="103"/>
      <c r="R421" s="103"/>
      <c r="S421" s="103"/>
      <c r="T421" s="103"/>
      <c r="U421" s="103"/>
    </row>
    <row r="422" spans="1:21" x14ac:dyDescent="0.25">
      <c r="A422" s="103"/>
      <c r="B422" s="103"/>
      <c r="C422" s="103"/>
      <c r="D422" s="103"/>
      <c r="E422" s="103"/>
      <c r="F422" s="103"/>
      <c r="G422" s="103"/>
      <c r="H422" s="103"/>
      <c r="I422" s="103"/>
      <c r="J422" s="103"/>
      <c r="K422" s="103"/>
      <c r="L422" s="103"/>
      <c r="M422" s="103"/>
      <c r="N422" s="103"/>
      <c r="O422" s="103"/>
      <c r="P422" s="103"/>
      <c r="Q422" s="103"/>
      <c r="R422" s="103"/>
      <c r="S422" s="103"/>
      <c r="T422" s="103"/>
      <c r="U422" s="103"/>
    </row>
    <row r="423" spans="1:21" x14ac:dyDescent="0.25">
      <c r="A423" s="103"/>
      <c r="B423" s="103"/>
      <c r="C423" s="103"/>
      <c r="D423" s="103"/>
      <c r="E423" s="103"/>
      <c r="F423" s="103"/>
      <c r="G423" s="103"/>
      <c r="H423" s="103"/>
      <c r="I423" s="103"/>
      <c r="J423" s="103"/>
      <c r="K423" s="103"/>
      <c r="L423" s="103"/>
      <c r="M423" s="103"/>
      <c r="N423" s="103"/>
      <c r="O423" s="103"/>
      <c r="P423" s="103"/>
      <c r="Q423" s="103"/>
      <c r="R423" s="103"/>
      <c r="S423" s="103"/>
      <c r="T423" s="103"/>
      <c r="U423" s="103"/>
    </row>
    <row r="424" spans="1:21" x14ac:dyDescent="0.25">
      <c r="A424" s="103"/>
      <c r="B424" s="103"/>
      <c r="C424" s="103"/>
      <c r="D424" s="103"/>
      <c r="E424" s="103"/>
      <c r="F424" s="103"/>
      <c r="G424" s="103"/>
      <c r="H424" s="103"/>
      <c r="I424" s="103"/>
      <c r="J424" s="103"/>
      <c r="K424" s="103"/>
      <c r="L424" s="103"/>
      <c r="M424" s="103"/>
      <c r="N424" s="103"/>
      <c r="O424" s="103"/>
      <c r="P424" s="103"/>
      <c r="Q424" s="103"/>
      <c r="R424" s="103"/>
      <c r="S424" s="103"/>
      <c r="T424" s="103"/>
      <c r="U424" s="103"/>
    </row>
    <row r="425" spans="1:21" x14ac:dyDescent="0.25">
      <c r="A425" s="103"/>
      <c r="B425" s="103"/>
      <c r="C425" s="103"/>
      <c r="D425" s="103"/>
      <c r="E425" s="103"/>
      <c r="F425" s="103"/>
      <c r="G425" s="103"/>
      <c r="H425" s="103"/>
      <c r="I425" s="103"/>
      <c r="J425" s="103"/>
      <c r="K425" s="103"/>
      <c r="L425" s="103"/>
      <c r="M425" s="103"/>
      <c r="N425" s="103"/>
      <c r="O425" s="103"/>
      <c r="P425" s="103"/>
      <c r="Q425" s="103"/>
      <c r="R425" s="103"/>
      <c r="S425" s="103"/>
      <c r="T425" s="103"/>
      <c r="U425" s="103"/>
    </row>
    <row r="426" spans="1:21" x14ac:dyDescent="0.25">
      <c r="A426" s="103"/>
      <c r="B426" s="103"/>
      <c r="C426" s="103"/>
      <c r="D426" s="103"/>
      <c r="E426" s="103"/>
      <c r="F426" s="103"/>
      <c r="G426" s="103"/>
      <c r="H426" s="103"/>
      <c r="I426" s="103"/>
      <c r="J426" s="103"/>
      <c r="K426" s="103"/>
      <c r="L426" s="103"/>
      <c r="M426" s="103"/>
      <c r="N426" s="103"/>
      <c r="O426" s="103"/>
      <c r="P426" s="103"/>
      <c r="Q426" s="103"/>
      <c r="R426" s="103"/>
      <c r="S426" s="103"/>
      <c r="T426" s="103"/>
      <c r="U426" s="103"/>
    </row>
    <row r="427" spans="1:21" x14ac:dyDescent="0.25">
      <c r="A427" s="103"/>
      <c r="B427" s="103"/>
      <c r="C427" s="103"/>
      <c r="D427" s="103"/>
      <c r="E427" s="103"/>
      <c r="F427" s="103"/>
      <c r="G427" s="103"/>
      <c r="H427" s="103"/>
      <c r="I427" s="103"/>
      <c r="J427" s="103"/>
      <c r="K427" s="103"/>
      <c r="L427" s="103"/>
      <c r="M427" s="103"/>
      <c r="N427" s="103"/>
      <c r="O427" s="103"/>
      <c r="P427" s="103"/>
      <c r="Q427" s="103"/>
      <c r="R427" s="103"/>
      <c r="S427" s="103"/>
      <c r="T427" s="103"/>
      <c r="U427" s="103"/>
    </row>
    <row r="428" spans="1:21" x14ac:dyDescent="0.25">
      <c r="A428" s="103"/>
      <c r="B428" s="103"/>
      <c r="C428" s="103"/>
      <c r="D428" s="103"/>
      <c r="E428" s="103"/>
      <c r="F428" s="103"/>
      <c r="G428" s="103"/>
      <c r="H428" s="103"/>
      <c r="I428" s="103"/>
      <c r="J428" s="103"/>
      <c r="K428" s="103"/>
      <c r="L428" s="103"/>
      <c r="M428" s="103"/>
      <c r="N428" s="103"/>
      <c r="O428" s="103"/>
      <c r="P428" s="103"/>
      <c r="Q428" s="103"/>
      <c r="R428" s="103"/>
      <c r="S428" s="103"/>
      <c r="T428" s="103"/>
      <c r="U428" s="103"/>
    </row>
    <row r="429" spans="1:21" x14ac:dyDescent="0.25">
      <c r="A429" s="103"/>
      <c r="B429" s="103"/>
      <c r="C429" s="103"/>
      <c r="D429" s="103"/>
      <c r="E429" s="103"/>
      <c r="F429" s="103"/>
      <c r="G429" s="103"/>
      <c r="H429" s="103"/>
      <c r="I429" s="103"/>
      <c r="J429" s="103"/>
      <c r="K429" s="103"/>
      <c r="L429" s="103"/>
      <c r="M429" s="103"/>
      <c r="N429" s="103"/>
      <c r="O429" s="103"/>
      <c r="P429" s="103"/>
      <c r="Q429" s="103"/>
      <c r="R429" s="103"/>
      <c r="S429" s="103"/>
      <c r="T429" s="103"/>
      <c r="U429" s="103"/>
    </row>
    <row r="430" spans="1:21" x14ac:dyDescent="0.25">
      <c r="A430" s="103"/>
      <c r="B430" s="103"/>
      <c r="C430" s="103"/>
      <c r="D430" s="103"/>
      <c r="E430" s="103"/>
      <c r="F430" s="103"/>
      <c r="G430" s="103"/>
      <c r="H430" s="103"/>
      <c r="I430" s="103"/>
      <c r="J430" s="103"/>
      <c r="K430" s="103"/>
      <c r="L430" s="103"/>
      <c r="M430" s="103"/>
      <c r="N430" s="103"/>
      <c r="O430" s="103"/>
      <c r="P430" s="103"/>
      <c r="Q430" s="103"/>
      <c r="R430" s="103"/>
      <c r="S430" s="103"/>
      <c r="T430" s="103"/>
      <c r="U430" s="103"/>
    </row>
    <row r="431" spans="1:21" x14ac:dyDescent="0.25">
      <c r="A431" s="103"/>
      <c r="B431" s="103"/>
      <c r="C431" s="103"/>
      <c r="D431" s="103"/>
      <c r="E431" s="103"/>
      <c r="F431" s="103"/>
      <c r="G431" s="103"/>
      <c r="H431" s="103"/>
      <c r="I431" s="103"/>
      <c r="J431" s="103"/>
      <c r="K431" s="103"/>
      <c r="L431" s="103"/>
      <c r="M431" s="103"/>
      <c r="N431" s="103"/>
      <c r="O431" s="103"/>
      <c r="P431" s="103"/>
      <c r="Q431" s="103"/>
      <c r="R431" s="103"/>
      <c r="S431" s="103"/>
      <c r="T431" s="103"/>
      <c r="U431" s="103"/>
    </row>
    <row r="432" spans="1:21" x14ac:dyDescent="0.25">
      <c r="A432" s="103"/>
      <c r="B432" s="103"/>
      <c r="C432" s="103"/>
      <c r="D432" s="103"/>
      <c r="E432" s="103"/>
      <c r="F432" s="103"/>
      <c r="G432" s="103"/>
      <c r="H432" s="103"/>
      <c r="I432" s="103"/>
      <c r="J432" s="103"/>
      <c r="K432" s="103"/>
      <c r="L432" s="103"/>
      <c r="M432" s="103"/>
      <c r="N432" s="103"/>
      <c r="O432" s="103"/>
      <c r="P432" s="103"/>
      <c r="Q432" s="103"/>
      <c r="R432" s="103"/>
      <c r="S432" s="103"/>
      <c r="T432" s="103"/>
      <c r="U432" s="103"/>
    </row>
    <row r="433" spans="1:21" x14ac:dyDescent="0.25">
      <c r="A433" s="103"/>
      <c r="B433" s="103"/>
      <c r="C433" s="103"/>
      <c r="D433" s="103"/>
      <c r="E433" s="103"/>
      <c r="F433" s="103"/>
      <c r="G433" s="103"/>
      <c r="H433" s="103"/>
      <c r="I433" s="103"/>
      <c r="J433" s="103"/>
      <c r="K433" s="103"/>
      <c r="L433" s="103"/>
      <c r="M433" s="103"/>
      <c r="N433" s="103"/>
      <c r="O433" s="103"/>
      <c r="P433" s="103"/>
      <c r="Q433" s="103"/>
      <c r="R433" s="103"/>
      <c r="S433" s="103"/>
      <c r="T433" s="103"/>
      <c r="U433" s="103"/>
    </row>
    <row r="434" spans="1:21" x14ac:dyDescent="0.25">
      <c r="A434" s="103"/>
      <c r="B434" s="103"/>
      <c r="C434" s="103"/>
      <c r="D434" s="103"/>
      <c r="E434" s="103"/>
      <c r="F434" s="103"/>
      <c r="G434" s="103"/>
      <c r="H434" s="103"/>
      <c r="I434" s="103"/>
      <c r="J434" s="103"/>
      <c r="K434" s="103"/>
      <c r="L434" s="103"/>
      <c r="M434" s="103"/>
      <c r="N434" s="103"/>
      <c r="O434" s="103"/>
      <c r="P434" s="103"/>
      <c r="Q434" s="103"/>
      <c r="R434" s="103"/>
      <c r="S434" s="103"/>
      <c r="T434" s="103"/>
      <c r="U434" s="103"/>
    </row>
    <row r="435" spans="1:21" x14ac:dyDescent="0.25">
      <c r="A435" s="103"/>
      <c r="B435" s="103"/>
      <c r="C435" s="103"/>
      <c r="D435" s="103"/>
      <c r="E435" s="103"/>
      <c r="F435" s="103"/>
      <c r="G435" s="103"/>
      <c r="H435" s="103"/>
      <c r="I435" s="103"/>
      <c r="J435" s="103"/>
      <c r="K435" s="103"/>
      <c r="L435" s="103"/>
      <c r="M435" s="103"/>
      <c r="N435" s="103"/>
      <c r="O435" s="103"/>
      <c r="P435" s="103"/>
      <c r="Q435" s="103"/>
      <c r="R435" s="103"/>
      <c r="S435" s="103"/>
      <c r="T435" s="103"/>
      <c r="U435" s="103"/>
    </row>
    <row r="436" spans="1:21" x14ac:dyDescent="0.25">
      <c r="A436" s="103"/>
      <c r="B436" s="103"/>
      <c r="C436" s="103"/>
      <c r="D436" s="103"/>
      <c r="E436" s="103"/>
      <c r="F436" s="103"/>
      <c r="G436" s="103"/>
      <c r="H436" s="103"/>
      <c r="I436" s="103"/>
      <c r="J436" s="103"/>
      <c r="K436" s="103"/>
      <c r="L436" s="103"/>
      <c r="M436" s="103"/>
      <c r="N436" s="103"/>
      <c r="O436" s="103"/>
      <c r="P436" s="103"/>
      <c r="Q436" s="103"/>
      <c r="R436" s="103"/>
      <c r="S436" s="103"/>
      <c r="T436" s="103"/>
      <c r="U436" s="103"/>
    </row>
    <row r="437" spans="1:21" x14ac:dyDescent="0.25">
      <c r="A437" s="103"/>
      <c r="B437" s="103"/>
      <c r="C437" s="103"/>
      <c r="D437" s="103"/>
      <c r="E437" s="103"/>
      <c r="F437" s="103"/>
      <c r="G437" s="103"/>
      <c r="H437" s="103"/>
      <c r="I437" s="103"/>
      <c r="J437" s="103"/>
      <c r="K437" s="103"/>
      <c r="L437" s="103"/>
      <c r="M437" s="103"/>
      <c r="N437" s="103"/>
      <c r="O437" s="103"/>
      <c r="P437" s="103"/>
      <c r="Q437" s="103"/>
      <c r="R437" s="103"/>
      <c r="S437" s="103"/>
      <c r="T437" s="103"/>
      <c r="U437" s="103"/>
    </row>
    <row r="438" spans="1:21" x14ac:dyDescent="0.25">
      <c r="A438" s="103"/>
      <c r="B438" s="103"/>
      <c r="C438" s="103"/>
      <c r="D438" s="103"/>
      <c r="E438" s="103"/>
      <c r="F438" s="103"/>
      <c r="G438" s="103"/>
      <c r="H438" s="103"/>
      <c r="I438" s="103"/>
      <c r="J438" s="103"/>
      <c r="K438" s="103"/>
      <c r="L438" s="103"/>
      <c r="M438" s="103"/>
      <c r="N438" s="103"/>
      <c r="O438" s="103"/>
      <c r="P438" s="103"/>
      <c r="Q438" s="103"/>
      <c r="R438" s="103"/>
      <c r="S438" s="103"/>
      <c r="T438" s="103"/>
      <c r="U438" s="103"/>
    </row>
    <row r="439" spans="1:21" x14ac:dyDescent="0.25">
      <c r="A439" s="103"/>
      <c r="B439" s="103"/>
      <c r="C439" s="103"/>
      <c r="D439" s="103"/>
      <c r="E439" s="103"/>
      <c r="F439" s="103"/>
      <c r="G439" s="103"/>
      <c r="H439" s="103"/>
      <c r="I439" s="103"/>
      <c r="J439" s="103"/>
      <c r="K439" s="103"/>
      <c r="L439" s="103"/>
      <c r="M439" s="103"/>
      <c r="N439" s="103"/>
      <c r="O439" s="103"/>
      <c r="P439" s="103"/>
      <c r="Q439" s="103"/>
      <c r="R439" s="103"/>
      <c r="S439" s="103"/>
      <c r="T439" s="103"/>
      <c r="U439" s="103"/>
    </row>
    <row r="440" spans="1:21" x14ac:dyDescent="0.25">
      <c r="A440" s="103"/>
      <c r="B440" s="103"/>
      <c r="C440" s="103"/>
      <c r="D440" s="103"/>
      <c r="E440" s="103"/>
      <c r="F440" s="103"/>
      <c r="G440" s="103"/>
      <c r="H440" s="103"/>
      <c r="I440" s="103"/>
      <c r="J440" s="103"/>
      <c r="K440" s="103"/>
      <c r="L440" s="103"/>
      <c r="M440" s="103"/>
      <c r="N440" s="103"/>
      <c r="O440" s="103"/>
      <c r="P440" s="103"/>
      <c r="Q440" s="103"/>
      <c r="R440" s="103"/>
      <c r="S440" s="103"/>
      <c r="T440" s="103"/>
      <c r="U440" s="103"/>
    </row>
    <row r="441" spans="1:21" x14ac:dyDescent="0.25">
      <c r="A441" s="103"/>
      <c r="B441" s="103"/>
      <c r="C441" s="103"/>
      <c r="D441" s="103"/>
      <c r="E441" s="103"/>
      <c r="F441" s="103"/>
      <c r="G441" s="103"/>
      <c r="H441" s="103"/>
      <c r="I441" s="103"/>
      <c r="J441" s="103"/>
      <c r="K441" s="103"/>
      <c r="L441" s="103"/>
      <c r="M441" s="103"/>
      <c r="N441" s="103"/>
      <c r="O441" s="103"/>
      <c r="P441" s="103"/>
      <c r="Q441" s="103"/>
      <c r="R441" s="103"/>
      <c r="S441" s="103"/>
      <c r="T441" s="103"/>
      <c r="U441" s="103"/>
    </row>
    <row r="442" spans="1:21" x14ac:dyDescent="0.25">
      <c r="A442" s="103"/>
      <c r="B442" s="103"/>
      <c r="C442" s="103"/>
      <c r="D442" s="103"/>
      <c r="E442" s="103"/>
      <c r="F442" s="103"/>
      <c r="G442" s="103"/>
      <c r="H442" s="103"/>
      <c r="I442" s="103"/>
      <c r="J442" s="103"/>
      <c r="K442" s="103"/>
      <c r="L442" s="103"/>
      <c r="M442" s="103"/>
      <c r="N442" s="103"/>
      <c r="O442" s="103"/>
      <c r="P442" s="103"/>
      <c r="Q442" s="103"/>
      <c r="R442" s="103"/>
      <c r="S442" s="103"/>
      <c r="T442" s="103"/>
      <c r="U442" s="103"/>
    </row>
    <row r="443" spans="1:21" x14ac:dyDescent="0.25">
      <c r="A443" s="103"/>
      <c r="B443" s="103"/>
      <c r="C443" s="103"/>
      <c r="D443" s="103"/>
      <c r="E443" s="103"/>
      <c r="F443" s="103"/>
      <c r="G443" s="103"/>
      <c r="H443" s="103"/>
      <c r="I443" s="103"/>
      <c r="J443" s="103"/>
      <c r="K443" s="103"/>
      <c r="L443" s="103"/>
      <c r="M443" s="103"/>
      <c r="N443" s="103"/>
      <c r="O443" s="103"/>
      <c r="P443" s="103"/>
      <c r="Q443" s="103"/>
      <c r="R443" s="103"/>
      <c r="S443" s="103"/>
      <c r="T443" s="103"/>
      <c r="U443" s="103"/>
    </row>
    <row r="444" spans="1:21" x14ac:dyDescent="0.25">
      <c r="A444" s="103"/>
      <c r="B444" s="103"/>
      <c r="C444" s="103"/>
      <c r="D444" s="103"/>
      <c r="E444" s="103"/>
      <c r="F444" s="103"/>
      <c r="G444" s="103"/>
      <c r="H444" s="103"/>
      <c r="I444" s="103"/>
      <c r="J444" s="103"/>
      <c r="K444" s="103"/>
      <c r="L444" s="103"/>
      <c r="M444" s="103"/>
      <c r="N444" s="103"/>
      <c r="O444" s="103"/>
      <c r="P444" s="103"/>
      <c r="Q444" s="103"/>
      <c r="R444" s="103"/>
      <c r="S444" s="103"/>
      <c r="T444" s="103"/>
      <c r="U444" s="103"/>
    </row>
    <row r="445" spans="1:21" x14ac:dyDescent="0.25">
      <c r="A445" s="103"/>
      <c r="B445" s="103"/>
      <c r="C445" s="103"/>
      <c r="D445" s="103"/>
      <c r="E445" s="103"/>
      <c r="F445" s="103"/>
      <c r="G445" s="103"/>
      <c r="H445" s="103"/>
      <c r="I445" s="103"/>
      <c r="J445" s="103"/>
      <c r="K445" s="103"/>
      <c r="L445" s="103"/>
      <c r="M445" s="103"/>
      <c r="N445" s="103"/>
      <c r="O445" s="103"/>
      <c r="P445" s="103"/>
      <c r="Q445" s="103"/>
      <c r="R445" s="103"/>
      <c r="S445" s="103"/>
      <c r="T445" s="103"/>
      <c r="U445" s="103"/>
    </row>
    <row r="446" spans="1:21" x14ac:dyDescent="0.25">
      <c r="A446" s="103"/>
      <c r="B446" s="103"/>
      <c r="C446" s="103"/>
      <c r="D446" s="103"/>
      <c r="E446" s="103"/>
      <c r="F446" s="103"/>
      <c r="G446" s="103"/>
      <c r="H446" s="103"/>
      <c r="I446" s="103"/>
      <c r="J446" s="103"/>
      <c r="K446" s="103"/>
      <c r="L446" s="103"/>
      <c r="M446" s="103"/>
      <c r="N446" s="103"/>
      <c r="O446" s="103"/>
      <c r="P446" s="103"/>
      <c r="Q446" s="103"/>
      <c r="R446" s="103"/>
      <c r="S446" s="103"/>
      <c r="T446" s="103"/>
      <c r="U446" s="103"/>
    </row>
    <row r="447" spans="1:21" x14ac:dyDescent="0.25">
      <c r="A447" s="103"/>
      <c r="B447" s="103"/>
      <c r="C447" s="103"/>
      <c r="D447" s="103"/>
      <c r="E447" s="103"/>
      <c r="F447" s="103"/>
      <c r="G447" s="103"/>
      <c r="H447" s="103"/>
      <c r="I447" s="103"/>
      <c r="J447" s="103"/>
      <c r="K447" s="103"/>
      <c r="L447" s="103"/>
      <c r="M447" s="103"/>
      <c r="N447" s="103"/>
      <c r="O447" s="103"/>
      <c r="P447" s="103"/>
      <c r="Q447" s="103"/>
      <c r="R447" s="103"/>
      <c r="S447" s="103"/>
      <c r="T447" s="103"/>
      <c r="U447" s="103"/>
    </row>
    <row r="448" spans="1:21" x14ac:dyDescent="0.25">
      <c r="A448" s="103"/>
      <c r="B448" s="103"/>
      <c r="C448" s="103"/>
      <c r="D448" s="103"/>
      <c r="E448" s="103"/>
      <c r="F448" s="103"/>
      <c r="G448" s="103"/>
      <c r="H448" s="103"/>
      <c r="I448" s="103"/>
      <c r="J448" s="103"/>
      <c r="K448" s="103"/>
      <c r="L448" s="103"/>
      <c r="M448" s="103"/>
      <c r="N448" s="103"/>
      <c r="O448" s="103"/>
      <c r="P448" s="103"/>
      <c r="Q448" s="103"/>
      <c r="R448" s="103"/>
      <c r="S448" s="103"/>
      <c r="T448" s="103"/>
      <c r="U448" s="103"/>
    </row>
    <row r="449" spans="1:21" x14ac:dyDescent="0.25">
      <c r="A449" s="103"/>
      <c r="B449" s="103"/>
      <c r="C449" s="103"/>
      <c r="D449" s="103"/>
      <c r="E449" s="103"/>
      <c r="F449" s="103"/>
      <c r="G449" s="103"/>
      <c r="H449" s="103"/>
      <c r="I449" s="103"/>
      <c r="J449" s="103"/>
      <c r="K449" s="103"/>
      <c r="L449" s="103"/>
      <c r="M449" s="103"/>
      <c r="N449" s="103"/>
      <c r="O449" s="103"/>
      <c r="P449" s="103"/>
      <c r="Q449" s="103"/>
      <c r="R449" s="103"/>
      <c r="S449" s="103"/>
      <c r="T449" s="103"/>
      <c r="U449" s="103"/>
    </row>
    <row r="450" spans="1:21" x14ac:dyDescent="0.25">
      <c r="A450" s="103"/>
      <c r="B450" s="103"/>
      <c r="C450" s="103"/>
      <c r="D450" s="103"/>
      <c r="E450" s="103"/>
      <c r="F450" s="103"/>
      <c r="G450" s="103"/>
      <c r="H450" s="103"/>
      <c r="I450" s="103"/>
      <c r="J450" s="103"/>
      <c r="K450" s="103"/>
      <c r="L450" s="103"/>
      <c r="M450" s="103"/>
      <c r="N450" s="103"/>
      <c r="O450" s="103"/>
      <c r="P450" s="103"/>
      <c r="Q450" s="103"/>
      <c r="R450" s="103"/>
      <c r="S450" s="103"/>
      <c r="T450" s="103"/>
      <c r="U450" s="103"/>
    </row>
    <row r="451" spans="1:21" x14ac:dyDescent="0.25">
      <c r="A451" s="103"/>
      <c r="B451" s="103"/>
      <c r="C451" s="103"/>
      <c r="D451" s="103"/>
      <c r="E451" s="103"/>
      <c r="F451" s="103"/>
      <c r="G451" s="103"/>
      <c r="H451" s="103"/>
      <c r="I451" s="103"/>
      <c r="J451" s="103"/>
      <c r="K451" s="103"/>
      <c r="L451" s="103"/>
      <c r="M451" s="103"/>
      <c r="N451" s="103"/>
      <c r="O451" s="103"/>
      <c r="P451" s="103"/>
      <c r="Q451" s="103"/>
      <c r="R451" s="103"/>
      <c r="S451" s="103"/>
      <c r="T451" s="103"/>
      <c r="U451" s="103"/>
    </row>
    <row r="452" spans="1:21" x14ac:dyDescent="0.25">
      <c r="A452" s="103"/>
      <c r="B452" s="103"/>
      <c r="C452" s="103"/>
      <c r="D452" s="103"/>
      <c r="E452" s="103"/>
      <c r="F452" s="103"/>
      <c r="G452" s="103"/>
      <c r="H452" s="103"/>
      <c r="I452" s="103"/>
      <c r="J452" s="103"/>
      <c r="K452" s="103"/>
      <c r="L452" s="103"/>
      <c r="M452" s="103"/>
      <c r="N452" s="103"/>
      <c r="O452" s="103"/>
      <c r="P452" s="103"/>
      <c r="Q452" s="103"/>
      <c r="R452" s="103"/>
      <c r="S452" s="103"/>
      <c r="T452" s="103"/>
      <c r="U452" s="103"/>
    </row>
    <row r="453" spans="1:21" x14ac:dyDescent="0.25">
      <c r="A453" s="103"/>
      <c r="B453" s="103"/>
      <c r="C453" s="103"/>
      <c r="D453" s="103"/>
      <c r="E453" s="103"/>
      <c r="F453" s="103"/>
      <c r="G453" s="103"/>
      <c r="H453" s="103"/>
      <c r="I453" s="103"/>
      <c r="J453" s="103"/>
      <c r="K453" s="103"/>
      <c r="L453" s="103"/>
      <c r="M453" s="103"/>
      <c r="N453" s="103"/>
      <c r="O453" s="103"/>
      <c r="P453" s="103"/>
      <c r="Q453" s="103"/>
      <c r="R453" s="103"/>
      <c r="S453" s="103"/>
      <c r="T453" s="103"/>
      <c r="U453" s="103"/>
    </row>
    <row r="454" spans="1:21" x14ac:dyDescent="0.25">
      <c r="A454" s="103"/>
      <c r="B454" s="103"/>
      <c r="C454" s="103"/>
      <c r="D454" s="103"/>
      <c r="E454" s="103"/>
      <c r="F454" s="103"/>
      <c r="G454" s="103"/>
      <c r="H454" s="103"/>
      <c r="I454" s="103"/>
      <c r="J454" s="103"/>
      <c r="K454" s="103"/>
      <c r="L454" s="103"/>
      <c r="M454" s="103"/>
      <c r="N454" s="103"/>
      <c r="O454" s="103"/>
      <c r="P454" s="103"/>
      <c r="Q454" s="103"/>
      <c r="R454" s="103"/>
      <c r="S454" s="103"/>
      <c r="T454" s="103"/>
      <c r="U454" s="103"/>
    </row>
    <row r="455" spans="1:21" x14ac:dyDescent="0.25">
      <c r="A455" s="103"/>
      <c r="B455" s="103"/>
      <c r="C455" s="103"/>
      <c r="D455" s="103"/>
      <c r="E455" s="103"/>
      <c r="F455" s="103"/>
      <c r="G455" s="103"/>
      <c r="H455" s="103"/>
      <c r="I455" s="103"/>
      <c r="J455" s="103"/>
      <c r="K455" s="103"/>
      <c r="L455" s="103"/>
      <c r="M455" s="103"/>
      <c r="N455" s="103"/>
      <c r="O455" s="103"/>
      <c r="P455" s="103"/>
      <c r="Q455" s="103"/>
      <c r="R455" s="103"/>
      <c r="S455" s="103"/>
      <c r="T455" s="103"/>
      <c r="U455" s="103"/>
    </row>
    <row r="456" spans="1:21" x14ac:dyDescent="0.25">
      <c r="A456" s="103"/>
      <c r="B456" s="103"/>
      <c r="C456" s="103"/>
      <c r="D456" s="103"/>
      <c r="E456" s="103"/>
      <c r="F456" s="103"/>
      <c r="G456" s="103"/>
      <c r="H456" s="103"/>
      <c r="I456" s="103"/>
      <c r="J456" s="103"/>
      <c r="K456" s="103"/>
      <c r="L456" s="103"/>
      <c r="M456" s="103"/>
      <c r="N456" s="103"/>
      <c r="O456" s="103"/>
      <c r="P456" s="103"/>
      <c r="Q456" s="103"/>
      <c r="R456" s="103"/>
      <c r="S456" s="103"/>
      <c r="T456" s="103"/>
      <c r="U456" s="103"/>
    </row>
    <row r="457" spans="1:21" x14ac:dyDescent="0.25">
      <c r="A457" s="103"/>
      <c r="B457" s="103"/>
      <c r="C457" s="103"/>
      <c r="D457" s="103"/>
      <c r="E457" s="103"/>
      <c r="F457" s="103"/>
      <c r="G457" s="103"/>
      <c r="H457" s="103"/>
      <c r="I457" s="103"/>
      <c r="J457" s="103"/>
      <c r="K457" s="103"/>
      <c r="L457" s="103"/>
      <c r="M457" s="103"/>
      <c r="N457" s="103"/>
      <c r="O457" s="103"/>
      <c r="P457" s="103"/>
      <c r="Q457" s="103"/>
      <c r="R457" s="103"/>
      <c r="S457" s="103"/>
      <c r="T457" s="103"/>
      <c r="U457" s="103"/>
    </row>
    <row r="458" spans="1:21" x14ac:dyDescent="0.25">
      <c r="A458" s="103"/>
      <c r="B458" s="103"/>
      <c r="C458" s="103"/>
      <c r="D458" s="103"/>
      <c r="E458" s="103"/>
      <c r="F458" s="103"/>
      <c r="G458" s="103"/>
      <c r="H458" s="103"/>
      <c r="I458" s="103"/>
      <c r="J458" s="103"/>
      <c r="K458" s="103"/>
      <c r="L458" s="103"/>
      <c r="M458" s="103"/>
      <c r="N458" s="103"/>
      <c r="O458" s="103"/>
      <c r="P458" s="103"/>
      <c r="Q458" s="103"/>
      <c r="R458" s="103"/>
      <c r="S458" s="103"/>
      <c r="T458" s="103"/>
      <c r="U458" s="103"/>
    </row>
    <row r="459" spans="1:21" x14ac:dyDescent="0.25">
      <c r="A459" s="103"/>
      <c r="B459" s="103"/>
      <c r="C459" s="103"/>
      <c r="D459" s="103"/>
      <c r="E459" s="103"/>
      <c r="F459" s="103"/>
      <c r="G459" s="103"/>
      <c r="H459" s="103"/>
      <c r="I459" s="103"/>
      <c r="J459" s="103"/>
      <c r="K459" s="103"/>
      <c r="L459" s="103"/>
      <c r="M459" s="103"/>
      <c r="N459" s="103"/>
      <c r="O459" s="103"/>
      <c r="P459" s="103"/>
      <c r="Q459" s="103"/>
      <c r="R459" s="103"/>
      <c r="S459" s="103"/>
      <c r="T459" s="103"/>
      <c r="U459" s="103"/>
    </row>
    <row r="460" spans="1:21" x14ac:dyDescent="0.25">
      <c r="A460" s="103"/>
      <c r="B460" s="103"/>
      <c r="C460" s="103"/>
      <c r="D460" s="103"/>
      <c r="E460" s="103"/>
      <c r="F460" s="103"/>
      <c r="G460" s="103"/>
      <c r="H460" s="103"/>
      <c r="I460" s="103"/>
      <c r="J460" s="103"/>
      <c r="K460" s="103"/>
      <c r="L460" s="103"/>
      <c r="M460" s="103"/>
      <c r="N460" s="103"/>
      <c r="O460" s="103"/>
      <c r="P460" s="103"/>
      <c r="Q460" s="103"/>
      <c r="R460" s="103"/>
      <c r="S460" s="103"/>
      <c r="T460" s="103"/>
      <c r="U460" s="103"/>
    </row>
    <row r="461" spans="1:21" x14ac:dyDescent="0.25">
      <c r="A461" s="103"/>
      <c r="B461" s="103"/>
      <c r="C461" s="103"/>
      <c r="D461" s="103"/>
      <c r="E461" s="103"/>
      <c r="F461" s="103"/>
      <c r="G461" s="103"/>
      <c r="H461" s="103"/>
      <c r="I461" s="103"/>
      <c r="J461" s="103"/>
      <c r="K461" s="103"/>
      <c r="L461" s="103"/>
      <c r="M461" s="103"/>
      <c r="N461" s="103"/>
      <c r="O461" s="103"/>
      <c r="P461" s="103"/>
      <c r="Q461" s="103"/>
      <c r="R461" s="103"/>
      <c r="S461" s="103"/>
      <c r="T461" s="103"/>
      <c r="U461" s="103"/>
    </row>
    <row r="462" spans="1:21" x14ac:dyDescent="0.25">
      <c r="A462" s="103"/>
      <c r="B462" s="103"/>
      <c r="C462" s="103"/>
      <c r="D462" s="103"/>
      <c r="E462" s="103"/>
      <c r="F462" s="103"/>
      <c r="G462" s="103"/>
      <c r="H462" s="103"/>
      <c r="I462" s="103"/>
      <c r="J462" s="103"/>
      <c r="K462" s="103"/>
      <c r="L462" s="103"/>
      <c r="M462" s="103"/>
      <c r="N462" s="103"/>
      <c r="O462" s="103"/>
      <c r="P462" s="103"/>
      <c r="Q462" s="103"/>
      <c r="R462" s="103"/>
      <c r="S462" s="103"/>
      <c r="T462" s="103"/>
      <c r="U462" s="103"/>
    </row>
    <row r="463" spans="1:21" x14ac:dyDescent="0.25">
      <c r="A463" s="103"/>
      <c r="B463" s="103"/>
      <c r="C463" s="103"/>
      <c r="D463" s="103"/>
      <c r="E463" s="103"/>
      <c r="F463" s="103"/>
      <c r="G463" s="103"/>
      <c r="H463" s="103"/>
      <c r="I463" s="103"/>
      <c r="J463" s="103"/>
      <c r="K463" s="103"/>
      <c r="L463" s="103"/>
      <c r="M463" s="103"/>
      <c r="N463" s="103"/>
      <c r="O463" s="103"/>
      <c r="P463" s="103"/>
      <c r="Q463" s="103"/>
      <c r="R463" s="103"/>
      <c r="S463" s="103"/>
      <c r="T463" s="103"/>
      <c r="U463" s="103"/>
    </row>
    <row r="464" spans="1:21" x14ac:dyDescent="0.25">
      <c r="A464" s="103"/>
      <c r="B464" s="103"/>
      <c r="C464" s="103"/>
      <c r="D464" s="103"/>
      <c r="E464" s="103"/>
      <c r="F464" s="103"/>
      <c r="G464" s="103"/>
      <c r="H464" s="103"/>
      <c r="I464" s="103"/>
      <c r="J464" s="103"/>
      <c r="K464" s="103"/>
      <c r="L464" s="103"/>
      <c r="M464" s="103"/>
      <c r="N464" s="103"/>
      <c r="O464" s="103"/>
      <c r="P464" s="103"/>
      <c r="Q464" s="103"/>
      <c r="R464" s="103"/>
      <c r="S464" s="103"/>
      <c r="T464" s="103"/>
      <c r="U464" s="103"/>
    </row>
    <row r="465" spans="1:21" x14ac:dyDescent="0.25">
      <c r="A465" s="103"/>
      <c r="B465" s="103"/>
      <c r="C465" s="103"/>
      <c r="D465" s="103"/>
      <c r="E465" s="103"/>
      <c r="F465" s="103"/>
      <c r="G465" s="103"/>
      <c r="H465" s="103"/>
      <c r="I465" s="103"/>
      <c r="J465" s="103"/>
      <c r="K465" s="103"/>
      <c r="L465" s="103"/>
      <c r="M465" s="103"/>
      <c r="N465" s="103"/>
      <c r="O465" s="103"/>
      <c r="P465" s="103"/>
      <c r="Q465" s="103"/>
      <c r="R465" s="103"/>
      <c r="S465" s="103"/>
      <c r="T465" s="103"/>
      <c r="U465" s="103"/>
    </row>
    <row r="466" spans="1:21" x14ac:dyDescent="0.25">
      <c r="A466" s="103"/>
      <c r="B466" s="103"/>
      <c r="C466" s="103"/>
      <c r="D466" s="103"/>
      <c r="E466" s="103"/>
      <c r="F466" s="103"/>
      <c r="G466" s="103"/>
      <c r="H466" s="103"/>
      <c r="I466" s="103"/>
      <c r="J466" s="103"/>
      <c r="K466" s="103"/>
      <c r="L466" s="103"/>
      <c r="M466" s="103"/>
      <c r="N466" s="103"/>
      <c r="O466" s="103"/>
      <c r="P466" s="103"/>
      <c r="Q466" s="103"/>
      <c r="R466" s="103"/>
      <c r="S466" s="103"/>
      <c r="T466" s="103"/>
      <c r="U466" s="103"/>
    </row>
    <row r="467" spans="1:21" x14ac:dyDescent="0.25">
      <c r="A467" s="103"/>
      <c r="B467" s="103"/>
      <c r="C467" s="103"/>
      <c r="D467" s="103"/>
      <c r="E467" s="103"/>
      <c r="F467" s="103"/>
      <c r="G467" s="103"/>
      <c r="H467" s="103"/>
      <c r="I467" s="103"/>
      <c r="J467" s="103"/>
      <c r="K467" s="103"/>
      <c r="L467" s="103"/>
      <c r="M467" s="103"/>
      <c r="N467" s="103"/>
      <c r="O467" s="103"/>
      <c r="P467" s="103"/>
      <c r="Q467" s="103"/>
      <c r="R467" s="103"/>
      <c r="S467" s="103"/>
      <c r="T467" s="103"/>
      <c r="U467" s="103"/>
    </row>
    <row r="468" spans="1:21" x14ac:dyDescent="0.25">
      <c r="A468" s="103"/>
      <c r="B468" s="103"/>
      <c r="C468" s="103"/>
      <c r="D468" s="103"/>
      <c r="E468" s="103"/>
      <c r="F468" s="103"/>
      <c r="G468" s="103"/>
      <c r="H468" s="103"/>
      <c r="I468" s="103"/>
      <c r="J468" s="103"/>
      <c r="K468" s="103"/>
      <c r="L468" s="103"/>
      <c r="M468" s="103"/>
      <c r="N468" s="103"/>
      <c r="O468" s="103"/>
      <c r="P468" s="103"/>
      <c r="Q468" s="103"/>
      <c r="R468" s="103"/>
      <c r="S468" s="103"/>
      <c r="T468" s="103"/>
      <c r="U468" s="103"/>
    </row>
    <row r="469" spans="1:21" x14ac:dyDescent="0.25">
      <c r="A469" s="103"/>
      <c r="B469" s="103"/>
      <c r="C469" s="103"/>
      <c r="D469" s="103"/>
      <c r="E469" s="103"/>
      <c r="F469" s="103"/>
      <c r="G469" s="103"/>
      <c r="H469" s="103"/>
      <c r="I469" s="103"/>
      <c r="J469" s="103"/>
      <c r="K469" s="103"/>
      <c r="L469" s="103"/>
      <c r="M469" s="103"/>
      <c r="N469" s="103"/>
      <c r="O469" s="103"/>
      <c r="P469" s="103"/>
      <c r="Q469" s="103"/>
      <c r="R469" s="103"/>
      <c r="S469" s="103"/>
      <c r="T469" s="103"/>
      <c r="U469" s="103"/>
    </row>
    <row r="470" spans="1:21" x14ac:dyDescent="0.25">
      <c r="A470" s="103"/>
      <c r="B470" s="103"/>
      <c r="C470" s="103"/>
      <c r="D470" s="103"/>
      <c r="E470" s="103"/>
      <c r="F470" s="103"/>
      <c r="G470" s="103"/>
      <c r="H470" s="103"/>
      <c r="I470" s="103"/>
      <c r="J470" s="103"/>
      <c r="K470" s="103"/>
      <c r="L470" s="103"/>
      <c r="M470" s="103"/>
      <c r="N470" s="103"/>
      <c r="O470" s="103"/>
      <c r="P470" s="103"/>
      <c r="Q470" s="103"/>
      <c r="R470" s="103"/>
      <c r="S470" s="103"/>
      <c r="T470" s="103"/>
      <c r="U470" s="103"/>
    </row>
    <row r="471" spans="1:21" x14ac:dyDescent="0.25">
      <c r="A471" s="103"/>
      <c r="B471" s="103"/>
      <c r="C471" s="103"/>
      <c r="D471" s="103"/>
      <c r="E471" s="103"/>
      <c r="F471" s="103"/>
      <c r="G471" s="103"/>
      <c r="H471" s="103"/>
      <c r="I471" s="103"/>
      <c r="J471" s="103"/>
      <c r="K471" s="103"/>
      <c r="L471" s="103"/>
      <c r="M471" s="103"/>
      <c r="N471" s="103"/>
      <c r="O471" s="103"/>
      <c r="P471" s="103"/>
      <c r="Q471" s="103"/>
      <c r="R471" s="103"/>
      <c r="S471" s="103"/>
      <c r="T471" s="103"/>
      <c r="U471" s="103"/>
    </row>
    <row r="472" spans="1:21" x14ac:dyDescent="0.25">
      <c r="A472" s="103"/>
      <c r="B472" s="103"/>
      <c r="C472" s="103"/>
      <c r="D472" s="103"/>
      <c r="E472" s="103"/>
      <c r="F472" s="103"/>
      <c r="G472" s="103"/>
      <c r="H472" s="103"/>
      <c r="I472" s="103"/>
      <c r="J472" s="103"/>
      <c r="K472" s="103"/>
      <c r="L472" s="103"/>
      <c r="M472" s="103"/>
      <c r="N472" s="103"/>
      <c r="O472" s="103"/>
      <c r="P472" s="103"/>
      <c r="Q472" s="103"/>
      <c r="R472" s="103"/>
      <c r="S472" s="103"/>
      <c r="T472" s="103"/>
      <c r="U472" s="103"/>
    </row>
    <row r="473" spans="1:21" x14ac:dyDescent="0.25">
      <c r="A473" s="103"/>
      <c r="B473" s="103"/>
      <c r="C473" s="103"/>
      <c r="D473" s="103"/>
      <c r="E473" s="103"/>
      <c r="F473" s="103"/>
      <c r="G473" s="103"/>
      <c r="H473" s="103"/>
      <c r="I473" s="103"/>
      <c r="J473" s="103"/>
      <c r="K473" s="103"/>
      <c r="L473" s="103"/>
      <c r="M473" s="103"/>
      <c r="N473" s="103"/>
      <c r="O473" s="103"/>
      <c r="P473" s="103"/>
      <c r="Q473" s="103"/>
      <c r="R473" s="103"/>
      <c r="S473" s="103"/>
      <c r="T473" s="103"/>
      <c r="U473" s="103"/>
    </row>
    <row r="474" spans="1:21" x14ac:dyDescent="0.25">
      <c r="A474" s="103"/>
      <c r="B474" s="103"/>
      <c r="C474" s="103"/>
      <c r="D474" s="103"/>
      <c r="E474" s="103"/>
      <c r="F474" s="103"/>
      <c r="G474" s="103"/>
      <c r="H474" s="103"/>
      <c r="I474" s="103"/>
      <c r="J474" s="103"/>
      <c r="K474" s="103"/>
      <c r="L474" s="103"/>
      <c r="M474" s="103"/>
      <c r="N474" s="103"/>
      <c r="O474" s="103"/>
      <c r="P474" s="103"/>
      <c r="Q474" s="103"/>
      <c r="R474" s="103"/>
      <c r="S474" s="103"/>
      <c r="T474" s="103"/>
      <c r="U474" s="103"/>
    </row>
    <row r="475" spans="1:21" x14ac:dyDescent="0.25">
      <c r="A475" s="103"/>
      <c r="B475" s="103"/>
      <c r="C475" s="103"/>
      <c r="D475" s="103"/>
      <c r="E475" s="103"/>
      <c r="F475" s="103"/>
      <c r="G475" s="103"/>
      <c r="H475" s="103"/>
      <c r="I475" s="103"/>
      <c r="J475" s="103"/>
      <c r="K475" s="103"/>
      <c r="L475" s="103"/>
      <c r="M475" s="103"/>
      <c r="N475" s="103"/>
      <c r="O475" s="103"/>
      <c r="P475" s="103"/>
      <c r="Q475" s="103"/>
      <c r="R475" s="103"/>
      <c r="S475" s="103"/>
      <c r="T475" s="103"/>
      <c r="U475" s="103"/>
    </row>
    <row r="476" spans="1:21" x14ac:dyDescent="0.25">
      <c r="A476" s="103"/>
      <c r="B476" s="103"/>
      <c r="C476" s="103"/>
      <c r="D476" s="103"/>
      <c r="E476" s="103"/>
      <c r="F476" s="103"/>
      <c r="G476" s="103"/>
      <c r="H476" s="103"/>
      <c r="I476" s="103"/>
      <c r="J476" s="103"/>
      <c r="K476" s="103"/>
      <c r="L476" s="103"/>
      <c r="M476" s="103"/>
      <c r="N476" s="103"/>
      <c r="O476" s="103"/>
      <c r="P476" s="103"/>
      <c r="Q476" s="103"/>
      <c r="R476" s="103"/>
      <c r="S476" s="103"/>
      <c r="T476" s="103"/>
      <c r="U476" s="103"/>
    </row>
    <row r="477" spans="1:21" x14ac:dyDescent="0.25">
      <c r="A477" s="103"/>
      <c r="B477" s="103"/>
      <c r="C477" s="103"/>
      <c r="D477" s="103"/>
      <c r="E477" s="103"/>
      <c r="F477" s="103"/>
      <c r="G477" s="103"/>
      <c r="H477" s="103"/>
      <c r="I477" s="103"/>
      <c r="J477" s="103"/>
      <c r="K477" s="103"/>
      <c r="L477" s="103"/>
      <c r="M477" s="103"/>
      <c r="N477" s="103"/>
      <c r="O477" s="103"/>
      <c r="P477" s="103"/>
      <c r="Q477" s="103"/>
      <c r="R477" s="103"/>
      <c r="S477" s="103"/>
      <c r="T477" s="103"/>
      <c r="U477" s="103"/>
    </row>
    <row r="478" spans="1:21" x14ac:dyDescent="0.25">
      <c r="A478" s="103"/>
      <c r="B478" s="103"/>
      <c r="C478" s="103"/>
      <c r="D478" s="103"/>
      <c r="E478" s="103"/>
      <c r="F478" s="103"/>
      <c r="G478" s="103"/>
      <c r="H478" s="103"/>
      <c r="I478" s="103"/>
      <c r="J478" s="103"/>
      <c r="K478" s="103"/>
      <c r="L478" s="103"/>
      <c r="M478" s="103"/>
      <c r="N478" s="103"/>
      <c r="O478" s="103"/>
      <c r="P478" s="103"/>
      <c r="Q478" s="103"/>
      <c r="R478" s="103"/>
      <c r="S478" s="103"/>
      <c r="T478" s="103"/>
      <c r="U478" s="103"/>
    </row>
    <row r="479" spans="1:21" x14ac:dyDescent="0.25">
      <c r="A479" s="103"/>
      <c r="B479" s="103"/>
      <c r="C479" s="103"/>
      <c r="D479" s="103"/>
      <c r="E479" s="103"/>
      <c r="F479" s="103"/>
      <c r="G479" s="103"/>
      <c r="H479" s="103"/>
      <c r="I479" s="103"/>
      <c r="J479" s="103"/>
      <c r="K479" s="103"/>
      <c r="L479" s="103"/>
      <c r="M479" s="103"/>
      <c r="N479" s="103"/>
      <c r="O479" s="103"/>
      <c r="P479" s="103"/>
      <c r="Q479" s="103"/>
      <c r="R479" s="103"/>
      <c r="S479" s="103"/>
      <c r="T479" s="103"/>
      <c r="U479" s="103"/>
    </row>
    <row r="480" spans="1:21" x14ac:dyDescent="0.25">
      <c r="A480" s="103"/>
      <c r="B480" s="103"/>
      <c r="C480" s="103"/>
      <c r="D480" s="103"/>
      <c r="E480" s="103"/>
      <c r="F480" s="103"/>
      <c r="G480" s="103"/>
      <c r="H480" s="103"/>
      <c r="I480" s="103"/>
      <c r="J480" s="103"/>
      <c r="K480" s="103"/>
      <c r="L480" s="103"/>
      <c r="M480" s="103"/>
      <c r="N480" s="103"/>
      <c r="O480" s="103"/>
      <c r="P480" s="103"/>
      <c r="Q480" s="103"/>
      <c r="R480" s="103"/>
      <c r="S480" s="103"/>
      <c r="T480" s="103"/>
      <c r="U480" s="103"/>
    </row>
    <row r="481" spans="1:21" x14ac:dyDescent="0.25">
      <c r="A481" s="103"/>
      <c r="B481" s="103"/>
      <c r="C481" s="103"/>
      <c r="D481" s="103"/>
      <c r="E481" s="103"/>
      <c r="F481" s="103"/>
      <c r="G481" s="103"/>
      <c r="H481" s="103"/>
      <c r="I481" s="103"/>
      <c r="J481" s="103"/>
      <c r="K481" s="103"/>
      <c r="L481" s="103"/>
      <c r="M481" s="103"/>
      <c r="N481" s="103"/>
      <c r="O481" s="103"/>
      <c r="P481" s="103"/>
      <c r="Q481" s="103"/>
      <c r="R481" s="103"/>
      <c r="S481" s="103"/>
      <c r="T481" s="103"/>
      <c r="U481" s="103"/>
    </row>
    <row r="482" spans="1:21" x14ac:dyDescent="0.25">
      <c r="A482" s="103"/>
      <c r="B482" s="103"/>
      <c r="C482" s="103"/>
      <c r="D482" s="103"/>
      <c r="E482" s="103"/>
      <c r="F482" s="103"/>
      <c r="G482" s="103"/>
      <c r="H482" s="103"/>
      <c r="I482" s="103"/>
      <c r="J482" s="103"/>
      <c r="K482" s="103"/>
      <c r="L482" s="103"/>
      <c r="M482" s="103"/>
      <c r="N482" s="103"/>
      <c r="O482" s="103"/>
      <c r="P482" s="103"/>
      <c r="Q482" s="103"/>
      <c r="R482" s="103"/>
      <c r="S482" s="103"/>
      <c r="T482" s="103"/>
      <c r="U482" s="103"/>
    </row>
    <row r="483" spans="1:21" x14ac:dyDescent="0.25">
      <c r="A483" s="103"/>
      <c r="B483" s="103"/>
      <c r="C483" s="103"/>
      <c r="D483" s="103"/>
      <c r="E483" s="103"/>
      <c r="F483" s="103"/>
      <c r="G483" s="103"/>
      <c r="H483" s="103"/>
      <c r="I483" s="103"/>
      <c r="J483" s="103"/>
      <c r="K483" s="103"/>
      <c r="L483" s="103"/>
      <c r="M483" s="103"/>
      <c r="N483" s="103"/>
      <c r="O483" s="103"/>
      <c r="P483" s="103"/>
      <c r="Q483" s="103"/>
      <c r="R483" s="103"/>
      <c r="S483" s="103"/>
      <c r="T483" s="103"/>
      <c r="U483" s="103"/>
    </row>
    <row r="484" spans="1:21" x14ac:dyDescent="0.25">
      <c r="A484" s="103"/>
      <c r="B484" s="103"/>
      <c r="C484" s="103"/>
      <c r="D484" s="103"/>
      <c r="E484" s="103"/>
      <c r="F484" s="103"/>
      <c r="G484" s="103"/>
      <c r="H484" s="103"/>
      <c r="I484" s="103"/>
      <c r="J484" s="103"/>
      <c r="K484" s="103"/>
      <c r="L484" s="103"/>
      <c r="M484" s="103"/>
      <c r="N484" s="103"/>
      <c r="O484" s="103"/>
      <c r="P484" s="103"/>
      <c r="Q484" s="103"/>
      <c r="R484" s="103"/>
      <c r="S484" s="103"/>
      <c r="T484" s="103"/>
      <c r="U484" s="103"/>
    </row>
    <row r="485" spans="1:21" x14ac:dyDescent="0.25">
      <c r="A485" s="103"/>
      <c r="B485" s="103"/>
      <c r="C485" s="103"/>
      <c r="D485" s="103"/>
      <c r="E485" s="103"/>
      <c r="F485" s="103"/>
      <c r="G485" s="103"/>
      <c r="H485" s="103"/>
      <c r="I485" s="103"/>
      <c r="J485" s="103"/>
      <c r="K485" s="103"/>
      <c r="L485" s="103"/>
      <c r="M485" s="103"/>
      <c r="N485" s="103"/>
      <c r="O485" s="103"/>
      <c r="P485" s="103"/>
      <c r="Q485" s="103"/>
      <c r="R485" s="103"/>
      <c r="S485" s="103"/>
      <c r="T485" s="103"/>
      <c r="U485" s="103"/>
    </row>
    <row r="486" spans="1:21" x14ac:dyDescent="0.25">
      <c r="A486" s="103"/>
      <c r="B486" s="103"/>
      <c r="C486" s="103"/>
      <c r="D486" s="103"/>
      <c r="E486" s="103"/>
      <c r="F486" s="103"/>
      <c r="G486" s="103"/>
      <c r="H486" s="103"/>
      <c r="I486" s="103"/>
      <c r="J486" s="103"/>
      <c r="K486" s="103"/>
      <c r="L486" s="103"/>
      <c r="M486" s="103"/>
      <c r="N486" s="103"/>
      <c r="O486" s="103"/>
      <c r="P486" s="103"/>
      <c r="Q486" s="103"/>
      <c r="R486" s="103"/>
      <c r="S486" s="103"/>
      <c r="T486" s="103"/>
      <c r="U486" s="103"/>
    </row>
    <row r="487" spans="1:21" x14ac:dyDescent="0.25">
      <c r="A487" s="103"/>
      <c r="B487" s="103"/>
      <c r="C487" s="103"/>
      <c r="D487" s="103"/>
      <c r="E487" s="103"/>
      <c r="F487" s="103"/>
      <c r="G487" s="103"/>
      <c r="H487" s="103"/>
      <c r="I487" s="103"/>
      <c r="J487" s="103"/>
      <c r="K487" s="103"/>
      <c r="L487" s="103"/>
      <c r="M487" s="103"/>
      <c r="N487" s="103"/>
      <c r="O487" s="103"/>
      <c r="P487" s="103"/>
      <c r="Q487" s="103"/>
      <c r="R487" s="103"/>
      <c r="S487" s="103"/>
      <c r="T487" s="103"/>
      <c r="U487" s="103"/>
    </row>
    <row r="488" spans="1:21" x14ac:dyDescent="0.25">
      <c r="A488" s="103"/>
      <c r="B488" s="103"/>
      <c r="C488" s="103"/>
      <c r="D488" s="103"/>
      <c r="E488" s="103"/>
      <c r="F488" s="103"/>
      <c r="G488" s="103"/>
      <c r="H488" s="103"/>
      <c r="I488" s="103"/>
      <c r="J488" s="103"/>
      <c r="K488" s="103"/>
      <c r="L488" s="103"/>
      <c r="M488" s="103"/>
      <c r="N488" s="103"/>
      <c r="O488" s="103"/>
      <c r="P488" s="103"/>
      <c r="Q488" s="103"/>
      <c r="R488" s="103"/>
      <c r="S488" s="103"/>
      <c r="T488" s="103"/>
      <c r="U488" s="103"/>
    </row>
    <row r="489" spans="1:21" x14ac:dyDescent="0.25">
      <c r="A489" s="103"/>
      <c r="B489" s="103"/>
      <c r="C489" s="103"/>
      <c r="D489" s="103"/>
      <c r="E489" s="103"/>
      <c r="F489" s="103"/>
      <c r="G489" s="103"/>
      <c r="H489" s="103"/>
      <c r="I489" s="103"/>
      <c r="J489" s="103"/>
      <c r="K489" s="103"/>
      <c r="L489" s="103"/>
      <c r="M489" s="103"/>
      <c r="N489" s="103"/>
      <c r="O489" s="103"/>
      <c r="P489" s="103"/>
      <c r="Q489" s="103"/>
      <c r="R489" s="103"/>
      <c r="S489" s="103"/>
      <c r="T489" s="103"/>
      <c r="U489" s="103"/>
    </row>
    <row r="490" spans="1:21" x14ac:dyDescent="0.25">
      <c r="A490" s="103"/>
      <c r="B490" s="103"/>
      <c r="C490" s="103"/>
      <c r="D490" s="103"/>
      <c r="E490" s="103"/>
      <c r="F490" s="103"/>
      <c r="G490" s="103"/>
      <c r="H490" s="103"/>
      <c r="I490" s="103"/>
      <c r="J490" s="103"/>
      <c r="K490" s="103"/>
      <c r="L490" s="103"/>
      <c r="M490" s="103"/>
      <c r="N490" s="103"/>
      <c r="O490" s="103"/>
      <c r="P490" s="103"/>
      <c r="Q490" s="103"/>
      <c r="R490" s="103"/>
      <c r="S490" s="103"/>
      <c r="T490" s="103"/>
      <c r="U490" s="103"/>
    </row>
    <row r="491" spans="1:21" x14ac:dyDescent="0.25">
      <c r="A491" s="103"/>
      <c r="B491" s="103"/>
      <c r="C491" s="103"/>
      <c r="D491" s="103"/>
      <c r="E491" s="103"/>
      <c r="F491" s="103"/>
      <c r="G491" s="103"/>
      <c r="H491" s="103"/>
      <c r="I491" s="103"/>
      <c r="J491" s="103"/>
      <c r="K491" s="103"/>
      <c r="L491" s="103"/>
      <c r="M491" s="103"/>
      <c r="N491" s="103"/>
      <c r="O491" s="103"/>
      <c r="P491" s="103"/>
      <c r="Q491" s="103"/>
      <c r="R491" s="103"/>
      <c r="S491" s="103"/>
      <c r="T491" s="103"/>
      <c r="U491" s="103"/>
    </row>
    <row r="492" spans="1:21" x14ac:dyDescent="0.25">
      <c r="A492" s="103"/>
      <c r="B492" s="103"/>
      <c r="C492" s="103"/>
      <c r="D492" s="103"/>
      <c r="E492" s="103"/>
      <c r="F492" s="103"/>
      <c r="G492" s="103"/>
      <c r="H492" s="103"/>
      <c r="I492" s="103"/>
      <c r="J492" s="103"/>
      <c r="K492" s="103"/>
      <c r="L492" s="103"/>
      <c r="M492" s="103"/>
      <c r="N492" s="103"/>
      <c r="O492" s="103"/>
      <c r="P492" s="103"/>
      <c r="Q492" s="103"/>
      <c r="R492" s="103"/>
      <c r="S492" s="103"/>
      <c r="T492" s="103"/>
      <c r="U492" s="103"/>
    </row>
    <row r="493" spans="1:21" x14ac:dyDescent="0.25">
      <c r="A493" s="103"/>
      <c r="B493" s="103"/>
      <c r="C493" s="103"/>
      <c r="D493" s="103"/>
      <c r="E493" s="103"/>
      <c r="F493" s="103"/>
      <c r="G493" s="103"/>
      <c r="H493" s="103"/>
      <c r="I493" s="103"/>
      <c r="J493" s="103"/>
      <c r="K493" s="103"/>
      <c r="L493" s="103"/>
      <c r="M493" s="103"/>
      <c r="N493" s="103"/>
      <c r="O493" s="103"/>
      <c r="P493" s="103"/>
      <c r="Q493" s="103"/>
      <c r="R493" s="103"/>
      <c r="S493" s="103"/>
      <c r="T493" s="103"/>
      <c r="U493" s="103"/>
    </row>
    <row r="494" spans="1:21" x14ac:dyDescent="0.25">
      <c r="A494" s="103"/>
      <c r="B494" s="103"/>
      <c r="C494" s="103"/>
      <c r="D494" s="103"/>
      <c r="E494" s="103"/>
      <c r="F494" s="103"/>
      <c r="G494" s="103"/>
      <c r="H494" s="103"/>
      <c r="I494" s="103"/>
      <c r="J494" s="103"/>
      <c r="K494" s="103"/>
      <c r="L494" s="103"/>
      <c r="M494" s="103"/>
      <c r="N494" s="103"/>
      <c r="O494" s="103"/>
      <c r="P494" s="103"/>
      <c r="Q494" s="103"/>
      <c r="R494" s="103"/>
      <c r="S494" s="103"/>
      <c r="T494" s="103"/>
      <c r="U494" s="103"/>
    </row>
    <row r="495" spans="1:21" x14ac:dyDescent="0.25">
      <c r="A495" s="103"/>
      <c r="B495" s="103"/>
      <c r="C495" s="103"/>
      <c r="D495" s="103"/>
      <c r="E495" s="103"/>
      <c r="F495" s="103"/>
      <c r="G495" s="103"/>
      <c r="H495" s="103"/>
      <c r="I495" s="103"/>
      <c r="J495" s="103"/>
      <c r="K495" s="103"/>
      <c r="L495" s="103"/>
      <c r="M495" s="103"/>
      <c r="N495" s="103"/>
      <c r="O495" s="103"/>
      <c r="P495" s="103"/>
      <c r="Q495" s="103"/>
      <c r="R495" s="103"/>
      <c r="S495" s="103"/>
      <c r="T495" s="103"/>
      <c r="U495" s="103"/>
    </row>
    <row r="496" spans="1:21" x14ac:dyDescent="0.25">
      <c r="A496" s="103"/>
      <c r="B496" s="103"/>
      <c r="C496" s="103"/>
      <c r="D496" s="103"/>
      <c r="E496" s="103"/>
      <c r="F496" s="103"/>
      <c r="G496" s="103"/>
      <c r="H496" s="103"/>
      <c r="I496" s="103"/>
      <c r="J496" s="103"/>
      <c r="K496" s="103"/>
      <c r="L496" s="103"/>
      <c r="M496" s="103"/>
      <c r="N496" s="103"/>
      <c r="O496" s="103"/>
      <c r="P496" s="103"/>
      <c r="Q496" s="103"/>
      <c r="R496" s="103"/>
      <c r="S496" s="103"/>
      <c r="T496" s="103"/>
      <c r="U496" s="103"/>
    </row>
    <row r="497" spans="1:21" x14ac:dyDescent="0.25">
      <c r="A497" s="103"/>
      <c r="B497" s="103"/>
      <c r="C497" s="103"/>
      <c r="D497" s="103"/>
      <c r="E497" s="103"/>
      <c r="F497" s="103"/>
      <c r="G497" s="103"/>
      <c r="H497" s="103"/>
      <c r="I497" s="103"/>
      <c r="J497" s="103"/>
      <c r="K497" s="103"/>
      <c r="L497" s="103"/>
      <c r="M497" s="103"/>
      <c r="N497" s="103"/>
      <c r="O497" s="103"/>
      <c r="P497" s="103"/>
      <c r="Q497" s="103"/>
      <c r="R497" s="103"/>
      <c r="S497" s="103"/>
      <c r="T497" s="103"/>
      <c r="U497" s="103"/>
    </row>
    <row r="498" spans="1:21" x14ac:dyDescent="0.25">
      <c r="A498" s="103"/>
      <c r="B498" s="103"/>
      <c r="C498" s="103"/>
      <c r="D498" s="103"/>
      <c r="E498" s="103"/>
      <c r="F498" s="103"/>
      <c r="G498" s="103"/>
      <c r="H498" s="103"/>
      <c r="I498" s="103"/>
      <c r="J498" s="103"/>
      <c r="K498" s="103"/>
      <c r="L498" s="103"/>
      <c r="M498" s="103"/>
      <c r="N498" s="103"/>
      <c r="O498" s="103"/>
      <c r="P498" s="103"/>
      <c r="Q498" s="103"/>
      <c r="R498" s="103"/>
      <c r="S498" s="103"/>
      <c r="T498" s="103"/>
      <c r="U498" s="103"/>
    </row>
    <row r="499" spans="1:21" x14ac:dyDescent="0.25">
      <c r="A499" s="103"/>
      <c r="B499" s="103"/>
      <c r="C499" s="103"/>
      <c r="D499" s="103"/>
      <c r="E499" s="103"/>
      <c r="F499" s="103"/>
      <c r="G499" s="103"/>
      <c r="H499" s="103"/>
      <c r="I499" s="103"/>
      <c r="J499" s="103"/>
      <c r="K499" s="103"/>
      <c r="L499" s="103"/>
      <c r="M499" s="103"/>
      <c r="N499" s="103"/>
      <c r="O499" s="103"/>
      <c r="P499" s="103"/>
      <c r="Q499" s="103"/>
      <c r="R499" s="103"/>
      <c r="S499" s="103"/>
      <c r="T499" s="103"/>
      <c r="U499" s="103"/>
    </row>
    <row r="500" spans="1:21" x14ac:dyDescent="0.25">
      <c r="A500" s="103"/>
      <c r="B500" s="103"/>
      <c r="C500" s="103"/>
      <c r="D500" s="103"/>
      <c r="E500" s="103"/>
      <c r="F500" s="103"/>
      <c r="G500" s="103"/>
      <c r="H500" s="103"/>
      <c r="I500" s="103"/>
      <c r="J500" s="103"/>
      <c r="K500" s="103"/>
      <c r="L500" s="103"/>
      <c r="M500" s="103"/>
      <c r="N500" s="103"/>
      <c r="O500" s="103"/>
      <c r="P500" s="103"/>
      <c r="Q500" s="103"/>
      <c r="R500" s="103"/>
      <c r="S500" s="103"/>
      <c r="T500" s="103"/>
      <c r="U500" s="103"/>
    </row>
    <row r="501" spans="1:21" x14ac:dyDescent="0.25">
      <c r="A501" s="103"/>
      <c r="B501" s="103"/>
      <c r="C501" s="103"/>
      <c r="D501" s="103"/>
      <c r="E501" s="103"/>
      <c r="F501" s="103"/>
      <c r="G501" s="103"/>
      <c r="H501" s="103"/>
      <c r="I501" s="103"/>
      <c r="J501" s="103"/>
      <c r="K501" s="103"/>
      <c r="L501" s="103"/>
      <c r="M501" s="103"/>
      <c r="N501" s="103"/>
      <c r="O501" s="103"/>
      <c r="P501" s="103"/>
      <c r="Q501" s="103"/>
      <c r="R501" s="103"/>
      <c r="S501" s="103"/>
      <c r="T501" s="103"/>
      <c r="U501" s="103"/>
    </row>
    <row r="502" spans="1:21" x14ac:dyDescent="0.25">
      <c r="A502" s="103"/>
      <c r="B502" s="103"/>
      <c r="C502" s="103"/>
      <c r="D502" s="103"/>
      <c r="E502" s="103"/>
      <c r="F502" s="103"/>
      <c r="G502" s="103"/>
      <c r="H502" s="103"/>
      <c r="I502" s="103"/>
      <c r="J502" s="103"/>
      <c r="K502" s="103"/>
      <c r="L502" s="103"/>
      <c r="M502" s="103"/>
      <c r="N502" s="103"/>
      <c r="O502" s="103"/>
      <c r="P502" s="103"/>
      <c r="Q502" s="103"/>
      <c r="R502" s="103"/>
      <c r="S502" s="103"/>
      <c r="T502" s="103"/>
      <c r="U502" s="103"/>
    </row>
    <row r="503" spans="1:21" x14ac:dyDescent="0.25">
      <c r="A503" s="103"/>
      <c r="B503" s="103"/>
      <c r="C503" s="103"/>
      <c r="D503" s="103"/>
      <c r="E503" s="103"/>
      <c r="F503" s="103"/>
      <c r="G503" s="103"/>
      <c r="H503" s="103"/>
      <c r="I503" s="103"/>
      <c r="J503" s="103"/>
      <c r="K503" s="103"/>
      <c r="L503" s="103"/>
      <c r="M503" s="103"/>
      <c r="N503" s="103"/>
      <c r="O503" s="103"/>
      <c r="P503" s="103"/>
      <c r="Q503" s="103"/>
      <c r="R503" s="103"/>
      <c r="S503" s="103"/>
      <c r="T503" s="103"/>
      <c r="U503" s="103"/>
    </row>
    <row r="504" spans="1:21" x14ac:dyDescent="0.25">
      <c r="A504" s="103"/>
      <c r="B504" s="103"/>
      <c r="C504" s="103"/>
      <c r="D504" s="103"/>
      <c r="E504" s="103"/>
      <c r="F504" s="103"/>
      <c r="G504" s="103"/>
      <c r="H504" s="103"/>
      <c r="I504" s="103"/>
      <c r="J504" s="103"/>
      <c r="K504" s="103"/>
      <c r="L504" s="103"/>
      <c r="M504" s="103"/>
      <c r="N504" s="103"/>
      <c r="O504" s="103"/>
      <c r="P504" s="103"/>
      <c r="Q504" s="103"/>
      <c r="R504" s="103"/>
      <c r="S504" s="103"/>
      <c r="T504" s="103"/>
      <c r="U504" s="103"/>
    </row>
    <row r="505" spans="1:21" x14ac:dyDescent="0.25">
      <c r="A505" s="103"/>
      <c r="B505" s="103"/>
      <c r="C505" s="103"/>
      <c r="D505" s="103"/>
      <c r="E505" s="103"/>
      <c r="F505" s="103"/>
      <c r="G505" s="103"/>
      <c r="H505" s="103"/>
      <c r="I505" s="103"/>
      <c r="J505" s="103"/>
      <c r="K505" s="103"/>
      <c r="L505" s="103"/>
      <c r="M505" s="103"/>
      <c r="N505" s="103"/>
      <c r="O505" s="103"/>
      <c r="P505" s="103"/>
      <c r="Q505" s="103"/>
      <c r="R505" s="103"/>
      <c r="S505" s="103"/>
      <c r="T505" s="103"/>
      <c r="U505" s="103"/>
    </row>
    <row r="506" spans="1:21" x14ac:dyDescent="0.25">
      <c r="A506" s="103"/>
      <c r="B506" s="103"/>
      <c r="C506" s="103"/>
      <c r="D506" s="103"/>
      <c r="E506" s="103"/>
      <c r="F506" s="103"/>
      <c r="G506" s="103"/>
      <c r="H506" s="103"/>
      <c r="I506" s="103"/>
      <c r="J506" s="103"/>
      <c r="K506" s="103"/>
      <c r="L506" s="103"/>
      <c r="M506" s="103"/>
      <c r="N506" s="103"/>
      <c r="O506" s="103"/>
      <c r="P506" s="103"/>
      <c r="Q506" s="103"/>
      <c r="R506" s="103"/>
      <c r="S506" s="103"/>
      <c r="T506" s="103"/>
      <c r="U506" s="103"/>
    </row>
    <row r="507" spans="1:21" x14ac:dyDescent="0.25">
      <c r="A507" s="103"/>
      <c r="B507" s="103"/>
      <c r="C507" s="103"/>
      <c r="D507" s="103"/>
      <c r="E507" s="103"/>
      <c r="F507" s="103"/>
      <c r="G507" s="103"/>
      <c r="H507" s="103"/>
      <c r="I507" s="103"/>
      <c r="J507" s="103"/>
      <c r="K507" s="103"/>
      <c r="L507" s="103"/>
      <c r="M507" s="103"/>
      <c r="N507" s="103"/>
      <c r="O507" s="103"/>
      <c r="P507" s="103"/>
      <c r="Q507" s="103"/>
      <c r="R507" s="103"/>
      <c r="S507" s="103"/>
      <c r="T507" s="103"/>
      <c r="U507" s="103"/>
    </row>
    <row r="508" spans="1:21" x14ac:dyDescent="0.25">
      <c r="A508" s="103"/>
      <c r="B508" s="103"/>
      <c r="C508" s="103"/>
      <c r="D508" s="103"/>
      <c r="E508" s="103"/>
      <c r="F508" s="103"/>
      <c r="G508" s="103"/>
      <c r="H508" s="103"/>
      <c r="I508" s="103"/>
      <c r="J508" s="103"/>
      <c r="K508" s="103"/>
      <c r="L508" s="103"/>
      <c r="M508" s="103"/>
      <c r="N508" s="103"/>
      <c r="O508" s="103"/>
      <c r="P508" s="103"/>
      <c r="Q508" s="103"/>
      <c r="R508" s="103"/>
      <c r="S508" s="103"/>
      <c r="T508" s="103"/>
      <c r="U508" s="103"/>
    </row>
    <row r="509" spans="1:21" x14ac:dyDescent="0.25">
      <c r="A509" s="103"/>
      <c r="B509" s="103"/>
      <c r="C509" s="103"/>
      <c r="D509" s="103"/>
      <c r="E509" s="103"/>
      <c r="F509" s="103"/>
      <c r="G509" s="103"/>
      <c r="H509" s="103"/>
      <c r="I509" s="103"/>
      <c r="J509" s="103"/>
      <c r="K509" s="103"/>
      <c r="L509" s="103"/>
      <c r="M509" s="103"/>
      <c r="N509" s="103"/>
      <c r="O509" s="103"/>
      <c r="P509" s="103"/>
      <c r="Q509" s="103"/>
      <c r="R509" s="103"/>
      <c r="S509" s="103"/>
      <c r="T509" s="103"/>
      <c r="U509" s="103"/>
    </row>
    <row r="510" spans="1:21" x14ac:dyDescent="0.25">
      <c r="A510" s="103"/>
      <c r="B510" s="103"/>
      <c r="C510" s="103"/>
      <c r="D510" s="103"/>
      <c r="E510" s="103"/>
      <c r="F510" s="103"/>
      <c r="G510" s="103"/>
      <c r="H510" s="103"/>
      <c r="I510" s="103"/>
      <c r="J510" s="103"/>
      <c r="K510" s="103"/>
      <c r="L510" s="103"/>
      <c r="M510" s="103"/>
      <c r="N510" s="103"/>
      <c r="O510" s="103"/>
      <c r="P510" s="103"/>
      <c r="Q510" s="103"/>
      <c r="R510" s="103"/>
      <c r="S510" s="103"/>
      <c r="T510" s="103"/>
      <c r="U510" s="103"/>
    </row>
    <row r="511" spans="1:21" x14ac:dyDescent="0.25">
      <c r="A511" s="103"/>
      <c r="B511" s="103"/>
      <c r="C511" s="103"/>
      <c r="D511" s="103"/>
      <c r="E511" s="103"/>
      <c r="F511" s="103"/>
      <c r="G511" s="103"/>
      <c r="H511" s="103"/>
      <c r="I511" s="103"/>
      <c r="J511" s="103"/>
      <c r="K511" s="103"/>
      <c r="L511" s="103"/>
      <c r="M511" s="103"/>
      <c r="N511" s="103"/>
      <c r="O511" s="103"/>
      <c r="P511" s="103"/>
      <c r="Q511" s="103"/>
      <c r="R511" s="103"/>
      <c r="S511" s="103"/>
      <c r="T511" s="103"/>
      <c r="U511" s="103"/>
    </row>
    <row r="512" spans="1:21" x14ac:dyDescent="0.25">
      <c r="A512" s="103"/>
      <c r="B512" s="103"/>
      <c r="C512" s="103"/>
      <c r="D512" s="103"/>
      <c r="E512" s="103"/>
      <c r="F512" s="103"/>
      <c r="G512" s="103"/>
      <c r="H512" s="103"/>
      <c r="I512" s="103"/>
      <c r="J512" s="103"/>
      <c r="K512" s="103"/>
      <c r="L512" s="103"/>
      <c r="M512" s="103"/>
      <c r="N512" s="103"/>
      <c r="O512" s="103"/>
      <c r="P512" s="103"/>
      <c r="Q512" s="103"/>
      <c r="R512" s="103"/>
      <c r="S512" s="103"/>
      <c r="T512" s="103"/>
      <c r="U512" s="103"/>
    </row>
    <row r="513" spans="1:21" x14ac:dyDescent="0.25">
      <c r="A513" s="103"/>
      <c r="B513" s="103"/>
      <c r="C513" s="103"/>
      <c r="D513" s="103"/>
      <c r="E513" s="103"/>
      <c r="F513" s="103"/>
      <c r="G513" s="103"/>
      <c r="H513" s="103"/>
      <c r="I513" s="103"/>
      <c r="J513" s="103"/>
      <c r="K513" s="103"/>
      <c r="L513" s="103"/>
      <c r="M513" s="103"/>
      <c r="N513" s="103"/>
      <c r="O513" s="103"/>
      <c r="P513" s="103"/>
      <c r="Q513" s="103"/>
      <c r="R513" s="103"/>
      <c r="S513" s="103"/>
      <c r="T513" s="103"/>
      <c r="U513" s="103"/>
    </row>
    <row r="514" spans="1:21" x14ac:dyDescent="0.25">
      <c r="A514" s="103"/>
      <c r="B514" s="103"/>
      <c r="C514" s="103"/>
      <c r="D514" s="103"/>
      <c r="E514" s="103"/>
      <c r="F514" s="103"/>
      <c r="G514" s="103"/>
      <c r="H514" s="103"/>
      <c r="I514" s="103"/>
      <c r="J514" s="103"/>
      <c r="K514" s="103"/>
      <c r="L514" s="103"/>
      <c r="M514" s="103"/>
      <c r="N514" s="103"/>
      <c r="O514" s="103"/>
      <c r="P514" s="103"/>
      <c r="Q514" s="103"/>
      <c r="R514" s="103"/>
      <c r="S514" s="103"/>
      <c r="T514" s="103"/>
      <c r="U514" s="103"/>
    </row>
    <row r="515" spans="1:21" x14ac:dyDescent="0.25">
      <c r="A515" s="103"/>
      <c r="B515" s="103"/>
      <c r="C515" s="103"/>
      <c r="D515" s="103"/>
      <c r="E515" s="103"/>
      <c r="F515" s="103"/>
      <c r="G515" s="103"/>
      <c r="H515" s="103"/>
      <c r="I515" s="103"/>
      <c r="J515" s="103"/>
      <c r="K515" s="103"/>
      <c r="L515" s="103"/>
      <c r="M515" s="103"/>
      <c r="N515" s="103"/>
      <c r="O515" s="103"/>
      <c r="P515" s="103"/>
      <c r="Q515" s="103"/>
      <c r="R515" s="103"/>
      <c r="S515" s="103"/>
      <c r="T515" s="103"/>
      <c r="U515" s="103"/>
    </row>
    <row r="516" spans="1:21" x14ac:dyDescent="0.25">
      <c r="A516" s="103"/>
      <c r="B516" s="103"/>
      <c r="C516" s="103"/>
      <c r="D516" s="103"/>
      <c r="E516" s="103"/>
      <c r="F516" s="103"/>
      <c r="G516" s="103"/>
      <c r="H516" s="103"/>
      <c r="I516" s="103"/>
      <c r="J516" s="103"/>
      <c r="K516" s="103"/>
      <c r="L516" s="103"/>
      <c r="M516" s="103"/>
      <c r="N516" s="103"/>
      <c r="O516" s="103"/>
      <c r="P516" s="103"/>
      <c r="Q516" s="103"/>
      <c r="R516" s="103"/>
      <c r="S516" s="103"/>
      <c r="T516" s="103"/>
      <c r="U516" s="103"/>
    </row>
    <row r="517" spans="1:21" x14ac:dyDescent="0.25">
      <c r="A517" s="103"/>
      <c r="B517" s="103"/>
      <c r="C517" s="103"/>
      <c r="D517" s="103"/>
      <c r="E517" s="103"/>
      <c r="F517" s="103"/>
      <c r="G517" s="103"/>
      <c r="H517" s="103"/>
      <c r="I517" s="103"/>
      <c r="J517" s="103"/>
      <c r="K517" s="103"/>
      <c r="L517" s="103"/>
      <c r="M517" s="103"/>
      <c r="N517" s="103"/>
      <c r="O517" s="103"/>
      <c r="P517" s="103"/>
      <c r="Q517" s="103"/>
      <c r="R517" s="103"/>
      <c r="S517" s="103"/>
      <c r="T517" s="103"/>
      <c r="U517" s="103"/>
    </row>
    <row r="518" spans="1:21" x14ac:dyDescent="0.25">
      <c r="A518" s="103"/>
      <c r="B518" s="103"/>
      <c r="C518" s="103"/>
      <c r="D518" s="103"/>
      <c r="E518" s="103"/>
      <c r="F518" s="103"/>
      <c r="G518" s="103"/>
      <c r="H518" s="103"/>
      <c r="I518" s="103"/>
      <c r="J518" s="103"/>
      <c r="K518" s="103"/>
      <c r="L518" s="103"/>
      <c r="M518" s="103"/>
      <c r="N518" s="103"/>
      <c r="O518" s="103"/>
      <c r="P518" s="103"/>
      <c r="Q518" s="103"/>
      <c r="R518" s="103"/>
      <c r="S518" s="103"/>
      <c r="T518" s="103"/>
      <c r="U518" s="103"/>
    </row>
    <row r="519" spans="1:21" x14ac:dyDescent="0.25">
      <c r="A519" s="103"/>
      <c r="B519" s="103"/>
      <c r="C519" s="103"/>
      <c r="D519" s="103"/>
      <c r="E519" s="103"/>
      <c r="F519" s="103"/>
      <c r="G519" s="103"/>
      <c r="H519" s="103"/>
      <c r="I519" s="103"/>
      <c r="J519" s="103"/>
      <c r="K519" s="103"/>
      <c r="L519" s="103"/>
      <c r="M519" s="103"/>
      <c r="N519" s="103"/>
      <c r="O519" s="103"/>
      <c r="P519" s="103"/>
      <c r="Q519" s="103"/>
      <c r="R519" s="103"/>
      <c r="S519" s="103"/>
      <c r="T519" s="103"/>
      <c r="U519" s="103"/>
    </row>
    <row r="520" spans="1:21" x14ac:dyDescent="0.25">
      <c r="A520" s="103"/>
      <c r="B520" s="103"/>
      <c r="C520" s="103"/>
      <c r="D520" s="103"/>
      <c r="E520" s="103"/>
      <c r="F520" s="103"/>
      <c r="G520" s="103"/>
      <c r="H520" s="103"/>
      <c r="I520" s="103"/>
      <c r="J520" s="103"/>
      <c r="K520" s="103"/>
      <c r="L520" s="103"/>
      <c r="M520" s="103"/>
      <c r="N520" s="103"/>
      <c r="O520" s="103"/>
      <c r="P520" s="103"/>
      <c r="Q520" s="103"/>
      <c r="R520" s="103"/>
      <c r="S520" s="103"/>
      <c r="T520" s="103"/>
      <c r="U520" s="103"/>
    </row>
    <row r="521" spans="1:21" x14ac:dyDescent="0.25">
      <c r="A521" s="103"/>
      <c r="B521" s="103"/>
      <c r="C521" s="103"/>
      <c r="D521" s="103"/>
      <c r="E521" s="103"/>
      <c r="F521" s="103"/>
      <c r="G521" s="103"/>
      <c r="H521" s="103"/>
      <c r="I521" s="103"/>
      <c r="J521" s="103"/>
      <c r="K521" s="103"/>
      <c r="L521" s="103"/>
      <c r="M521" s="103"/>
      <c r="N521" s="103"/>
      <c r="O521" s="103"/>
      <c r="P521" s="103"/>
      <c r="Q521" s="103"/>
      <c r="R521" s="103"/>
      <c r="S521" s="103"/>
      <c r="T521" s="103"/>
      <c r="U521" s="103"/>
    </row>
    <row r="522" spans="1:21" x14ac:dyDescent="0.25">
      <c r="A522" s="103"/>
      <c r="B522" s="103"/>
      <c r="C522" s="103"/>
      <c r="D522" s="103"/>
      <c r="E522" s="103"/>
      <c r="F522" s="103"/>
      <c r="G522" s="103"/>
      <c r="H522" s="103"/>
      <c r="I522" s="103"/>
      <c r="J522" s="103"/>
      <c r="K522" s="103"/>
      <c r="L522" s="103"/>
      <c r="M522" s="103"/>
      <c r="N522" s="103"/>
      <c r="O522" s="103"/>
      <c r="P522" s="103"/>
      <c r="Q522" s="103"/>
      <c r="R522" s="103"/>
      <c r="S522" s="103"/>
      <c r="T522" s="103"/>
      <c r="U522" s="103"/>
    </row>
    <row r="523" spans="1:21" x14ac:dyDescent="0.25">
      <c r="A523" s="103"/>
      <c r="B523" s="103"/>
      <c r="C523" s="103"/>
      <c r="D523" s="103"/>
      <c r="E523" s="103"/>
      <c r="F523" s="103"/>
      <c r="G523" s="103"/>
      <c r="H523" s="103"/>
      <c r="I523" s="103"/>
      <c r="J523" s="103"/>
      <c r="K523" s="103"/>
      <c r="L523" s="103"/>
      <c r="M523" s="103"/>
      <c r="N523" s="103"/>
      <c r="O523" s="103"/>
      <c r="P523" s="103"/>
      <c r="Q523" s="103"/>
      <c r="R523" s="103"/>
      <c r="S523" s="103"/>
      <c r="T523" s="103"/>
      <c r="U523" s="103"/>
    </row>
    <row r="524" spans="1:21" x14ac:dyDescent="0.25">
      <c r="A524" s="103"/>
      <c r="B524" s="103"/>
      <c r="C524" s="103"/>
      <c r="D524" s="103"/>
      <c r="E524" s="103"/>
      <c r="F524" s="103"/>
      <c r="G524" s="103"/>
      <c r="H524" s="103"/>
      <c r="I524" s="103"/>
      <c r="J524" s="103"/>
      <c r="K524" s="103"/>
      <c r="L524" s="103"/>
      <c r="M524" s="103"/>
      <c r="N524" s="103"/>
      <c r="O524" s="103"/>
      <c r="P524" s="103"/>
      <c r="Q524" s="103"/>
      <c r="R524" s="103"/>
      <c r="S524" s="103"/>
      <c r="T524" s="103"/>
      <c r="U524" s="103"/>
    </row>
    <row r="525" spans="1:21" x14ac:dyDescent="0.25">
      <c r="A525" s="103"/>
      <c r="B525" s="103"/>
      <c r="C525" s="103"/>
      <c r="D525" s="103"/>
      <c r="E525" s="103"/>
      <c r="F525" s="103"/>
      <c r="G525" s="103"/>
      <c r="H525" s="103"/>
      <c r="I525" s="103"/>
      <c r="J525" s="103"/>
      <c r="K525" s="103"/>
      <c r="L525" s="103"/>
      <c r="M525" s="103"/>
      <c r="N525" s="103"/>
      <c r="O525" s="103"/>
      <c r="P525" s="103"/>
      <c r="Q525" s="103"/>
      <c r="R525" s="103"/>
      <c r="S525" s="103"/>
      <c r="T525" s="103"/>
      <c r="U525" s="103"/>
    </row>
    <row r="526" spans="1:21" x14ac:dyDescent="0.25">
      <c r="A526" s="103"/>
      <c r="B526" s="103"/>
      <c r="C526" s="103"/>
      <c r="D526" s="103"/>
      <c r="E526" s="103"/>
      <c r="F526" s="103"/>
      <c r="G526" s="103"/>
      <c r="H526" s="103"/>
      <c r="I526" s="103"/>
      <c r="J526" s="103"/>
      <c r="K526" s="103"/>
      <c r="L526" s="103"/>
      <c r="M526" s="103"/>
      <c r="N526" s="103"/>
      <c r="O526" s="103"/>
      <c r="P526" s="103"/>
      <c r="Q526" s="103"/>
      <c r="R526" s="103"/>
      <c r="S526" s="103"/>
      <c r="T526" s="103"/>
      <c r="U526" s="103"/>
    </row>
    <row r="527" spans="1:21" x14ac:dyDescent="0.25">
      <c r="A527" s="103"/>
      <c r="B527" s="103"/>
      <c r="C527" s="103"/>
      <c r="D527" s="103"/>
      <c r="E527" s="103"/>
      <c r="F527" s="103"/>
      <c r="G527" s="103"/>
      <c r="H527" s="103"/>
      <c r="I527" s="103"/>
      <c r="J527" s="103"/>
      <c r="K527" s="103"/>
      <c r="L527" s="103"/>
      <c r="M527" s="103"/>
      <c r="N527" s="103"/>
      <c r="O527" s="103"/>
      <c r="P527" s="103"/>
      <c r="Q527" s="103"/>
      <c r="R527" s="103"/>
      <c r="S527" s="103"/>
      <c r="T527" s="103"/>
      <c r="U527" s="103"/>
    </row>
    <row r="528" spans="1:21" x14ac:dyDescent="0.25">
      <c r="A528" s="103"/>
      <c r="B528" s="103"/>
      <c r="C528" s="103"/>
      <c r="D528" s="103"/>
      <c r="E528" s="103"/>
      <c r="F528" s="103"/>
      <c r="G528" s="103"/>
      <c r="H528" s="103"/>
      <c r="I528" s="103"/>
      <c r="J528" s="103"/>
      <c r="K528" s="103"/>
      <c r="L528" s="103"/>
      <c r="M528" s="103"/>
      <c r="N528" s="103"/>
      <c r="O528" s="103"/>
      <c r="P528" s="103"/>
      <c r="Q528" s="103"/>
      <c r="R528" s="103"/>
      <c r="S528" s="103"/>
      <c r="T528" s="103"/>
      <c r="U528" s="103"/>
    </row>
    <row r="529" spans="1:21" x14ac:dyDescent="0.25">
      <c r="A529" s="103"/>
      <c r="B529" s="103"/>
      <c r="C529" s="103"/>
      <c r="D529" s="103"/>
      <c r="E529" s="103"/>
      <c r="F529" s="103"/>
      <c r="G529" s="103"/>
      <c r="H529" s="103"/>
      <c r="I529" s="103"/>
      <c r="J529" s="103"/>
      <c r="K529" s="103"/>
      <c r="L529" s="103"/>
      <c r="M529" s="103"/>
      <c r="N529" s="103"/>
      <c r="O529" s="103"/>
      <c r="P529" s="103"/>
      <c r="Q529" s="103"/>
      <c r="R529" s="103"/>
      <c r="S529" s="103"/>
      <c r="T529" s="103"/>
      <c r="U529" s="103"/>
    </row>
    <row r="530" spans="1:21" x14ac:dyDescent="0.25">
      <c r="A530" s="103"/>
      <c r="B530" s="103"/>
      <c r="C530" s="103"/>
      <c r="D530" s="103"/>
      <c r="E530" s="103"/>
      <c r="F530" s="103"/>
      <c r="G530" s="103"/>
      <c r="H530" s="103"/>
      <c r="I530" s="103"/>
      <c r="J530" s="103"/>
      <c r="K530" s="103"/>
      <c r="L530" s="103"/>
      <c r="M530" s="103"/>
      <c r="N530" s="103"/>
      <c r="O530" s="103"/>
      <c r="P530" s="103"/>
      <c r="Q530" s="103"/>
      <c r="R530" s="103"/>
      <c r="S530" s="103"/>
      <c r="T530" s="103"/>
      <c r="U530" s="103"/>
    </row>
    <row r="531" spans="1:21" x14ac:dyDescent="0.25">
      <c r="A531" s="103"/>
      <c r="B531" s="103"/>
      <c r="C531" s="103"/>
      <c r="D531" s="103"/>
      <c r="E531" s="103"/>
      <c r="F531" s="103"/>
      <c r="G531" s="103"/>
      <c r="H531" s="103"/>
      <c r="I531" s="103"/>
      <c r="J531" s="103"/>
      <c r="K531" s="103"/>
      <c r="L531" s="103"/>
      <c r="M531" s="103"/>
      <c r="N531" s="103"/>
      <c r="O531" s="103"/>
      <c r="P531" s="103"/>
      <c r="Q531" s="103"/>
      <c r="R531" s="103"/>
      <c r="S531" s="103"/>
      <c r="T531" s="103"/>
      <c r="U531" s="103"/>
    </row>
    <row r="532" spans="1:21" x14ac:dyDescent="0.25">
      <c r="A532" s="103"/>
      <c r="B532" s="103"/>
      <c r="C532" s="103"/>
      <c r="D532" s="103"/>
      <c r="E532" s="103"/>
      <c r="F532" s="103"/>
      <c r="G532" s="103"/>
      <c r="H532" s="103"/>
      <c r="I532" s="103"/>
      <c r="J532" s="103"/>
      <c r="K532" s="103"/>
      <c r="L532" s="103"/>
      <c r="M532" s="103"/>
      <c r="N532" s="103"/>
      <c r="O532" s="103"/>
      <c r="P532" s="103"/>
      <c r="Q532" s="103"/>
      <c r="R532" s="103"/>
      <c r="S532" s="103"/>
      <c r="T532" s="103"/>
      <c r="U532" s="103"/>
    </row>
    <row r="533" spans="1:21" x14ac:dyDescent="0.25">
      <c r="A533" s="103"/>
      <c r="B533" s="103"/>
      <c r="C533" s="103"/>
      <c r="D533" s="103"/>
      <c r="E533" s="103"/>
      <c r="F533" s="103"/>
      <c r="G533" s="103"/>
      <c r="H533" s="103"/>
      <c r="I533" s="103"/>
      <c r="J533" s="103"/>
      <c r="K533" s="103"/>
      <c r="L533" s="103"/>
      <c r="M533" s="103"/>
      <c r="N533" s="103"/>
      <c r="O533" s="103"/>
      <c r="P533" s="103"/>
      <c r="Q533" s="103"/>
      <c r="R533" s="103"/>
      <c r="S533" s="103"/>
      <c r="T533" s="103"/>
      <c r="U533" s="103"/>
    </row>
    <row r="534" spans="1:21" x14ac:dyDescent="0.25">
      <c r="A534" s="103"/>
      <c r="B534" s="103"/>
      <c r="C534" s="103"/>
      <c r="D534" s="103"/>
      <c r="E534" s="103"/>
      <c r="F534" s="103"/>
      <c r="G534" s="103"/>
      <c r="H534" s="103"/>
      <c r="I534" s="103"/>
      <c r="J534" s="103"/>
      <c r="K534" s="103"/>
      <c r="L534" s="103"/>
      <c r="M534" s="103"/>
      <c r="N534" s="103"/>
      <c r="O534" s="103"/>
      <c r="P534" s="103"/>
      <c r="Q534" s="103"/>
      <c r="R534" s="103"/>
      <c r="S534" s="103"/>
      <c r="T534" s="103"/>
      <c r="U534" s="103"/>
    </row>
    <row r="535" spans="1:21" x14ac:dyDescent="0.25">
      <c r="A535" s="103"/>
      <c r="B535" s="103"/>
      <c r="C535" s="103"/>
      <c r="D535" s="103"/>
      <c r="E535" s="103"/>
      <c r="F535" s="103"/>
      <c r="G535" s="103"/>
      <c r="H535" s="103"/>
      <c r="I535" s="103"/>
      <c r="J535" s="103"/>
      <c r="K535" s="103"/>
      <c r="L535" s="103"/>
      <c r="M535" s="103"/>
      <c r="N535" s="103"/>
      <c r="O535" s="103"/>
      <c r="P535" s="103"/>
      <c r="Q535" s="103"/>
      <c r="R535" s="103"/>
      <c r="S535" s="103"/>
      <c r="T535" s="103"/>
      <c r="U535" s="103"/>
    </row>
    <row r="536" spans="1:21" x14ac:dyDescent="0.25">
      <c r="A536" s="103"/>
      <c r="B536" s="103"/>
      <c r="C536" s="103"/>
      <c r="D536" s="103"/>
      <c r="E536" s="103"/>
      <c r="F536" s="103"/>
      <c r="G536" s="103"/>
      <c r="H536" s="103"/>
      <c r="I536" s="103"/>
      <c r="J536" s="103"/>
      <c r="K536" s="103"/>
      <c r="L536" s="103"/>
      <c r="M536" s="103"/>
      <c r="N536" s="103"/>
      <c r="O536" s="103"/>
      <c r="P536" s="103"/>
      <c r="Q536" s="103"/>
      <c r="R536" s="103"/>
      <c r="S536" s="103"/>
      <c r="T536" s="103"/>
      <c r="U536" s="103"/>
    </row>
    <row r="537" spans="1:21" x14ac:dyDescent="0.25">
      <c r="A537" s="103"/>
      <c r="B537" s="103"/>
      <c r="C537" s="103"/>
      <c r="D537" s="103"/>
      <c r="E537" s="103"/>
      <c r="F537" s="103"/>
      <c r="G537" s="103"/>
      <c r="H537" s="103"/>
      <c r="I537" s="103"/>
      <c r="J537" s="103"/>
      <c r="K537" s="103"/>
      <c r="L537" s="103"/>
      <c r="M537" s="103"/>
      <c r="N537" s="103"/>
      <c r="O537" s="103"/>
      <c r="P537" s="103"/>
      <c r="Q537" s="103"/>
      <c r="R537" s="103"/>
      <c r="S537" s="103"/>
      <c r="T537" s="103"/>
      <c r="U537" s="103"/>
    </row>
    <row r="538" spans="1:21" x14ac:dyDescent="0.25">
      <c r="A538" s="103"/>
      <c r="B538" s="103"/>
      <c r="C538" s="103"/>
      <c r="D538" s="103"/>
      <c r="E538" s="103"/>
      <c r="F538" s="103"/>
      <c r="G538" s="103"/>
      <c r="H538" s="103"/>
      <c r="I538" s="103"/>
      <c r="J538" s="103"/>
      <c r="K538" s="103"/>
      <c r="L538" s="103"/>
      <c r="M538" s="103"/>
      <c r="N538" s="103"/>
      <c r="O538" s="103"/>
      <c r="P538" s="103"/>
      <c r="Q538" s="103"/>
      <c r="R538" s="103"/>
      <c r="S538" s="103"/>
      <c r="T538" s="103"/>
      <c r="U538" s="103"/>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4:C15"/>
    <mergeCell ref="L14:S14"/>
    <mergeCell ref="L15:M15"/>
    <mergeCell ref="A11:S12"/>
    <mergeCell ref="N16:O16"/>
    <mergeCell ref="P16:Q16"/>
    <mergeCell ref="R16:S16"/>
    <mergeCell ref="L16:M16"/>
    <mergeCell ref="N15:O15"/>
    <mergeCell ref="P15:Q15"/>
    <mergeCell ref="R15:S15"/>
    <mergeCell ref="D14:G15"/>
    <mergeCell ref="P119:S119"/>
    <mergeCell ref="D119:E119"/>
    <mergeCell ref="F119:G119"/>
    <mergeCell ref="H119:I119"/>
    <mergeCell ref="J119:K119"/>
    <mergeCell ref="L119:O119"/>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s>
  <conditionalFormatting sqref="B18">
    <cfRule type="expression" dxfId="645" priority="6">
      <formula>"AND($B$5=""1 Lane"",$B$6=""1 Lane"")"</formula>
    </cfRule>
  </conditionalFormatting>
  <conditionalFormatting sqref="B19">
    <cfRule type="expression" dxfId="644" priority="5">
      <formula>"AND($B$5=""2 or More Lanes"",$B$6=""1 Lane"")"</formula>
    </cfRule>
  </conditionalFormatting>
  <conditionalFormatting sqref="B21 D21:S21">
    <cfRule type="expression" dxfId="643" priority="4">
      <formula>AND($B$6="2 or More Lanes",$B$5="1 Lane")</formula>
    </cfRule>
  </conditionalFormatting>
  <conditionalFormatting sqref="B20:S20">
    <cfRule type="expression" dxfId="642" priority="3">
      <formula>AND($B$5="2 or More Lanes",B6="2 or More Lanes")</formula>
    </cfRule>
  </conditionalFormatting>
  <conditionalFormatting sqref="B19:S19">
    <cfRule type="expression" dxfId="641" priority="2">
      <formula>AND($B$5="2 or More Lanes",$B$6="1 Lane")</formula>
    </cfRule>
  </conditionalFormatting>
  <conditionalFormatting sqref="B18:S18">
    <cfRule type="expression" dxfId="640" priority="1">
      <formula>AND($B$5="1 Lane",$B$6="1 Lane")</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200"/>
  <sheetViews>
    <sheetView showGridLines="0" zoomScaleNormal="100" zoomScalePageLayoutView="90" workbookViewId="0">
      <selection activeCell="B171" sqref="B171"/>
    </sheetView>
  </sheetViews>
  <sheetFormatPr defaultColWidth="9.21875" defaultRowHeight="13.2" x14ac:dyDescent="0.25"/>
  <cols>
    <col min="1" max="1" width="13.77734375" style="27" customWidth="1"/>
    <col min="2" max="5" width="9.5546875" style="27" customWidth="1"/>
    <col min="6" max="6" width="8.77734375" style="27" customWidth="1"/>
    <col min="7" max="8" width="8.77734375" style="27" hidden="1" customWidth="1"/>
    <col min="9" max="9" width="9.5546875" style="27" customWidth="1"/>
    <col min="10" max="10" width="9.21875" style="27"/>
    <col min="11" max="11" width="8.77734375" style="27" customWidth="1"/>
    <col min="12" max="58" width="8.77734375" style="27" hidden="1" customWidth="1"/>
    <col min="59" max="62" width="9.21875" style="27"/>
    <col min="63" max="63" width="8.5546875" style="27" customWidth="1"/>
    <col min="64" max="64" width="9.21875" style="27"/>
    <col min="65" max="66" width="11.21875" style="27" bestFit="1" customWidth="1"/>
    <col min="67" max="67" width="6.21875" style="27" customWidth="1"/>
    <col min="68" max="16384" width="9.21875" style="27"/>
  </cols>
  <sheetData>
    <row r="1" spans="1:68" ht="12.75" customHeight="1" x14ac:dyDescent="0.4">
      <c r="A1" s="557" t="s">
        <v>314</v>
      </c>
      <c r="B1" s="557"/>
      <c r="C1" s="557"/>
      <c r="D1" s="557"/>
      <c r="E1" s="557"/>
      <c r="F1" s="557"/>
      <c r="G1" s="557"/>
      <c r="H1" s="557"/>
      <c r="I1" s="557"/>
      <c r="J1" s="557"/>
      <c r="K1" s="557"/>
      <c r="L1" s="178"/>
      <c r="M1" s="178"/>
      <c r="N1" s="178"/>
      <c r="O1" s="178"/>
      <c r="AB1" s="52"/>
      <c r="AC1" s="52"/>
      <c r="AD1" s="52"/>
      <c r="BG1" s="105"/>
      <c r="BH1" s="105"/>
      <c r="BI1" s="105"/>
      <c r="BJ1" s="105"/>
      <c r="BK1" s="105"/>
      <c r="BL1" s="105"/>
      <c r="BM1" s="105"/>
      <c r="BN1" s="105"/>
      <c r="BO1" s="105"/>
      <c r="BP1" s="105"/>
    </row>
    <row r="2" spans="1:68" ht="12.75" customHeight="1" x14ac:dyDescent="0.4">
      <c r="A2" s="557"/>
      <c r="B2" s="557"/>
      <c r="C2" s="557"/>
      <c r="D2" s="557"/>
      <c r="E2" s="557"/>
      <c r="F2" s="557"/>
      <c r="G2" s="557"/>
      <c r="H2" s="557"/>
      <c r="I2" s="557"/>
      <c r="J2" s="557"/>
      <c r="K2" s="557"/>
      <c r="L2" s="178"/>
      <c r="M2" s="178"/>
      <c r="N2" s="178"/>
      <c r="O2" s="178"/>
      <c r="AB2" s="52"/>
      <c r="AC2" s="52"/>
      <c r="AD2" s="547"/>
      <c r="AE2" s="547"/>
      <c r="BG2" s="105"/>
      <c r="BH2" s="105"/>
      <c r="BI2" s="105"/>
      <c r="BJ2" s="105"/>
      <c r="BK2" s="105"/>
      <c r="BL2" s="105"/>
      <c r="BM2" s="105"/>
      <c r="BN2" s="105"/>
      <c r="BO2" s="105"/>
      <c r="BP2" s="105"/>
    </row>
    <row r="3" spans="1:68" ht="4.5" customHeight="1" x14ac:dyDescent="0.25">
      <c r="A3" s="105"/>
      <c r="B3" s="105"/>
      <c r="C3" s="105"/>
      <c r="D3" s="105"/>
      <c r="E3" s="105"/>
      <c r="F3" s="105"/>
      <c r="G3" s="105"/>
      <c r="H3" s="105"/>
      <c r="I3" s="105"/>
      <c r="J3" s="105"/>
      <c r="K3" s="105"/>
      <c r="L3" s="105"/>
      <c r="M3" s="105"/>
      <c r="N3" s="105"/>
      <c r="O3" s="105"/>
      <c r="AD3" s="547"/>
      <c r="AE3" s="547"/>
      <c r="BG3" s="105"/>
      <c r="BH3" s="105"/>
      <c r="BI3" s="105"/>
      <c r="BJ3" s="105"/>
      <c r="BK3" s="105"/>
      <c r="BL3" s="105"/>
      <c r="BM3" s="105"/>
      <c r="BN3" s="105"/>
      <c r="BO3" s="105"/>
      <c r="BP3" s="105"/>
    </row>
    <row r="4" spans="1:68" ht="12.75" customHeight="1" x14ac:dyDescent="0.25">
      <c r="A4" s="566" t="s">
        <v>223</v>
      </c>
      <c r="B4" s="567"/>
      <c r="C4" s="568"/>
      <c r="D4" s="578" t="s">
        <v>319</v>
      </c>
      <c r="E4" s="578"/>
      <c r="F4" s="578"/>
      <c r="G4" s="578"/>
      <c r="H4" s="578"/>
      <c r="I4" s="578"/>
      <c r="J4" s="578"/>
      <c r="K4" s="607">
        <f>COUNTIF(J14:J109,"Met")</f>
        <v>12</v>
      </c>
      <c r="L4" s="186"/>
      <c r="M4" s="186"/>
      <c r="N4" s="186"/>
      <c r="O4" s="186"/>
      <c r="AB4" s="53"/>
      <c r="AD4" s="211"/>
      <c r="AE4" s="211"/>
      <c r="BG4" s="105"/>
      <c r="BH4" s="105"/>
      <c r="BI4" s="105"/>
      <c r="BJ4" s="105"/>
      <c r="BK4" s="105"/>
      <c r="BL4" s="105"/>
      <c r="BM4" s="105"/>
      <c r="BN4" s="105"/>
      <c r="BO4" s="105"/>
      <c r="BP4" s="105"/>
    </row>
    <row r="5" spans="1:68" ht="12.75" customHeight="1" x14ac:dyDescent="0.25">
      <c r="A5" s="575"/>
      <c r="B5" s="576"/>
      <c r="C5" s="577"/>
      <c r="D5" s="578"/>
      <c r="E5" s="578"/>
      <c r="F5" s="578"/>
      <c r="G5" s="578"/>
      <c r="H5" s="578"/>
      <c r="I5" s="578"/>
      <c r="J5" s="578"/>
      <c r="K5" s="607"/>
      <c r="L5" s="186"/>
      <c r="M5" s="186"/>
      <c r="N5" s="186"/>
      <c r="O5" s="186"/>
      <c r="AB5" s="53"/>
      <c r="AD5" s="212"/>
      <c r="AE5" s="212"/>
      <c r="BG5" s="105"/>
      <c r="BH5" s="105"/>
      <c r="BI5" s="105"/>
      <c r="BJ5" s="105"/>
      <c r="BK5" s="105"/>
      <c r="BL5" s="105"/>
      <c r="BM5" s="105"/>
      <c r="BN5" s="105"/>
      <c r="BO5" s="105"/>
      <c r="BP5" s="105"/>
    </row>
    <row r="6" spans="1:68" ht="12.75" customHeight="1" x14ac:dyDescent="0.25">
      <c r="A6" s="151" t="s">
        <v>318</v>
      </c>
      <c r="B6" s="131" t="str">
        <f>IF('Input &amp; Findings'!$G$31=1, "1 Lane","2 or More Lanes")</f>
        <v>2 or More Lanes</v>
      </c>
      <c r="C6" s="294"/>
      <c r="D6" s="578" t="s">
        <v>322</v>
      </c>
      <c r="E6" s="578"/>
      <c r="F6" s="578"/>
      <c r="G6" s="578"/>
      <c r="H6" s="578"/>
      <c r="I6" s="578"/>
      <c r="J6" s="578"/>
      <c r="K6" s="607">
        <f>COUNTIF(K14:K109,"Met")</f>
        <v>12</v>
      </c>
      <c r="L6" s="186"/>
      <c r="M6" s="186"/>
      <c r="N6" s="186"/>
      <c r="O6" s="186"/>
      <c r="AD6" s="212"/>
      <c r="AE6" s="212"/>
      <c r="BG6" s="105"/>
      <c r="BH6" s="105"/>
      <c r="BI6" s="105"/>
      <c r="BJ6" s="105"/>
      <c r="BK6" s="105"/>
      <c r="BL6" s="105"/>
      <c r="BM6" s="105"/>
      <c r="BN6" s="105"/>
      <c r="BO6" s="105"/>
      <c r="BP6" s="105"/>
    </row>
    <row r="7" spans="1:68" ht="12.75" customHeight="1" x14ac:dyDescent="0.25">
      <c r="A7" s="151" t="s">
        <v>225</v>
      </c>
      <c r="B7" s="131" t="str">
        <f>IF('Input &amp; Findings'!$G$47=1, "1 Lane","2 or More Lanes")</f>
        <v>2 or More Lanes</v>
      </c>
      <c r="C7" s="150"/>
      <c r="D7" s="578"/>
      <c r="E7" s="578"/>
      <c r="F7" s="578"/>
      <c r="G7" s="578"/>
      <c r="H7" s="578"/>
      <c r="I7" s="578"/>
      <c r="J7" s="578"/>
      <c r="K7" s="607"/>
      <c r="L7" s="186"/>
      <c r="M7" s="186"/>
      <c r="N7" s="186"/>
      <c r="O7" s="186"/>
      <c r="X7" s="91"/>
      <c r="AD7" s="212"/>
      <c r="AE7" s="212"/>
      <c r="BG7" s="105"/>
      <c r="BH7" s="105"/>
      <c r="BI7" s="105"/>
      <c r="BJ7" s="105"/>
      <c r="BK7" s="105"/>
      <c r="BL7" s="105"/>
      <c r="BM7" s="105"/>
      <c r="BN7" s="105"/>
      <c r="BO7" s="105"/>
      <c r="BP7" s="105"/>
    </row>
    <row r="8" spans="1:68" ht="4.5" customHeight="1" x14ac:dyDescent="0.25">
      <c r="A8" s="105"/>
      <c r="B8" s="105"/>
      <c r="C8" s="105"/>
      <c r="D8" s="105"/>
      <c r="E8" s="105"/>
      <c r="F8" s="105"/>
      <c r="G8" s="105"/>
      <c r="H8" s="105"/>
      <c r="I8" s="105"/>
      <c r="J8" s="105"/>
      <c r="K8" s="106"/>
      <c r="L8" s="106"/>
      <c r="M8" s="106"/>
      <c r="N8" s="106"/>
      <c r="O8" s="106"/>
      <c r="X8" s="91"/>
      <c r="BG8" s="105"/>
      <c r="BH8" s="105"/>
      <c r="BI8" s="105"/>
      <c r="BJ8" s="105"/>
      <c r="BK8" s="105"/>
      <c r="BL8" s="105"/>
      <c r="BM8" s="105"/>
      <c r="BN8" s="105"/>
      <c r="BO8" s="105"/>
      <c r="BP8" s="105"/>
    </row>
    <row r="9" spans="1:68" ht="12.75" customHeight="1" x14ac:dyDescent="0.25">
      <c r="A9" s="579" t="s">
        <v>568</v>
      </c>
      <c r="B9" s="579"/>
      <c r="C9" s="579"/>
      <c r="D9" s="579"/>
      <c r="E9" s="579"/>
      <c r="F9" s="579"/>
      <c r="G9" s="579"/>
      <c r="H9" s="579"/>
      <c r="I9" s="579"/>
      <c r="J9" s="579"/>
      <c r="K9" s="152"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106"/>
      <c r="M9" s="106"/>
      <c r="N9" s="106"/>
      <c r="O9" s="106"/>
      <c r="Y9" s="210"/>
      <c r="Z9" s="210"/>
      <c r="AA9" s="210"/>
      <c r="AB9" s="210"/>
      <c r="AC9" s="210"/>
      <c r="AD9" s="210"/>
      <c r="AE9" s="210"/>
      <c r="AF9" s="210"/>
      <c r="AG9" s="210"/>
      <c r="AH9" s="210"/>
      <c r="AI9" s="210"/>
      <c r="BG9" s="105"/>
      <c r="BH9" s="105"/>
      <c r="BI9" s="105"/>
      <c r="BJ9" s="105"/>
      <c r="BK9" s="105"/>
      <c r="BL9" s="105"/>
      <c r="BM9" s="105"/>
      <c r="BN9" s="105"/>
      <c r="BO9" s="105"/>
      <c r="BP9" s="105"/>
    </row>
    <row r="10" spans="1:68" ht="4.5" customHeight="1" x14ac:dyDescent="0.25">
      <c r="A10" s="107"/>
      <c r="B10" s="107"/>
      <c r="C10" s="107"/>
      <c r="D10" s="107"/>
      <c r="E10" s="107"/>
      <c r="F10" s="107"/>
      <c r="G10" s="107"/>
      <c r="H10" s="107"/>
      <c r="I10" s="107"/>
      <c r="J10" s="107"/>
      <c r="K10" s="107"/>
      <c r="L10" s="583" t="s">
        <v>502</v>
      </c>
      <c r="M10" s="583" t="s">
        <v>497</v>
      </c>
      <c r="N10" s="583" t="s">
        <v>482</v>
      </c>
      <c r="O10" s="583" t="s">
        <v>482</v>
      </c>
      <c r="P10" s="583" t="s">
        <v>479</v>
      </c>
      <c r="Q10" s="583" t="s">
        <v>518</v>
      </c>
      <c r="R10" s="583" t="s">
        <v>478</v>
      </c>
      <c r="S10" s="583" t="s">
        <v>484</v>
      </c>
      <c r="T10" s="583" t="s">
        <v>483</v>
      </c>
      <c r="U10" s="583" t="s">
        <v>483</v>
      </c>
      <c r="V10" s="583" t="s">
        <v>485</v>
      </c>
      <c r="W10" s="583" t="s">
        <v>520</v>
      </c>
      <c r="X10" s="583" t="s">
        <v>487</v>
      </c>
      <c r="Y10" s="583" t="s">
        <v>488</v>
      </c>
      <c r="Z10" s="583" t="s">
        <v>489</v>
      </c>
      <c r="AA10" s="583" t="s">
        <v>489</v>
      </c>
      <c r="AB10" s="583" t="s">
        <v>490</v>
      </c>
      <c r="AC10" s="583" t="s">
        <v>519</v>
      </c>
      <c r="AD10" s="583" t="s">
        <v>492</v>
      </c>
      <c r="AE10" s="583" t="s">
        <v>493</v>
      </c>
      <c r="AF10" s="583" t="s">
        <v>494</v>
      </c>
      <c r="AG10" s="583" t="s">
        <v>494</v>
      </c>
      <c r="AH10" s="586" t="s">
        <v>434</v>
      </c>
      <c r="AI10" s="583" t="s">
        <v>502</v>
      </c>
      <c r="AJ10" s="583" t="s">
        <v>497</v>
      </c>
      <c r="AK10" s="583" t="s">
        <v>482</v>
      </c>
      <c r="AL10" s="583" t="s">
        <v>482</v>
      </c>
      <c r="AM10" s="583" t="s">
        <v>479</v>
      </c>
      <c r="AN10" s="583" t="s">
        <v>518</v>
      </c>
      <c r="AO10" s="583" t="s">
        <v>478</v>
      </c>
      <c r="AP10" s="583" t="s">
        <v>484</v>
      </c>
      <c r="AQ10" s="583" t="s">
        <v>483</v>
      </c>
      <c r="AR10" s="583" t="s">
        <v>483</v>
      </c>
      <c r="AS10" s="583" t="s">
        <v>485</v>
      </c>
      <c r="AT10" s="583" t="s">
        <v>520</v>
      </c>
      <c r="AU10" s="583" t="s">
        <v>487</v>
      </c>
      <c r="AV10" s="583" t="s">
        <v>488</v>
      </c>
      <c r="AW10" s="583" t="s">
        <v>489</v>
      </c>
      <c r="AX10" s="583" t="s">
        <v>489</v>
      </c>
      <c r="AY10" s="583" t="s">
        <v>490</v>
      </c>
      <c r="AZ10" s="583" t="s">
        <v>519</v>
      </c>
      <c r="BA10" s="583" t="s">
        <v>492</v>
      </c>
      <c r="BB10" s="583" t="s">
        <v>493</v>
      </c>
      <c r="BC10" s="583" t="s">
        <v>494</v>
      </c>
      <c r="BD10" s="583" t="s">
        <v>494</v>
      </c>
      <c r="BE10" s="580" t="s">
        <v>345</v>
      </c>
      <c r="BG10" s="105"/>
      <c r="BH10" s="105"/>
      <c r="BI10" s="105"/>
      <c r="BJ10" s="105"/>
      <c r="BK10" s="105"/>
      <c r="BL10" s="105"/>
      <c r="BM10" s="105"/>
      <c r="BN10" s="105"/>
      <c r="BO10" s="105"/>
      <c r="BP10" s="105"/>
    </row>
    <row r="11" spans="1:68" ht="11.25" customHeight="1" x14ac:dyDescent="0.25">
      <c r="A11" s="605" t="s">
        <v>345</v>
      </c>
      <c r="B11" s="606" t="s">
        <v>26</v>
      </c>
      <c r="C11" s="606"/>
      <c r="D11" s="606"/>
      <c r="E11" s="606"/>
      <c r="F11" s="604" t="s">
        <v>27</v>
      </c>
      <c r="G11" s="604" t="s">
        <v>702</v>
      </c>
      <c r="H11" s="604" t="s">
        <v>703</v>
      </c>
      <c r="I11" s="604" t="s">
        <v>433</v>
      </c>
      <c r="J11" s="604" t="s">
        <v>320</v>
      </c>
      <c r="K11" s="604" t="s">
        <v>321</v>
      </c>
      <c r="L11" s="584"/>
      <c r="M11" s="584"/>
      <c r="N11" s="585"/>
      <c r="O11" s="585"/>
      <c r="P11" s="584"/>
      <c r="Q11" s="584"/>
      <c r="R11" s="584"/>
      <c r="S11" s="584"/>
      <c r="T11" s="585"/>
      <c r="U11" s="585"/>
      <c r="V11" s="584"/>
      <c r="W11" s="584"/>
      <c r="X11" s="584"/>
      <c r="Y11" s="584"/>
      <c r="Z11" s="585"/>
      <c r="AA11" s="585"/>
      <c r="AB11" s="584"/>
      <c r="AC11" s="584"/>
      <c r="AD11" s="584"/>
      <c r="AE11" s="584"/>
      <c r="AF11" s="585"/>
      <c r="AG11" s="585"/>
      <c r="AH11" s="587"/>
      <c r="AI11" s="584"/>
      <c r="AJ11" s="584"/>
      <c r="AK11" s="585"/>
      <c r="AL11" s="585"/>
      <c r="AM11" s="584"/>
      <c r="AN11" s="584"/>
      <c r="AO11" s="584"/>
      <c r="AP11" s="584"/>
      <c r="AQ11" s="585"/>
      <c r="AR11" s="585"/>
      <c r="AS11" s="584"/>
      <c r="AT11" s="584"/>
      <c r="AU11" s="584"/>
      <c r="AV11" s="584"/>
      <c r="AW11" s="585"/>
      <c r="AX11" s="585"/>
      <c r="AY11" s="584"/>
      <c r="AZ11" s="584"/>
      <c r="BA11" s="584"/>
      <c r="BB11" s="584"/>
      <c r="BC11" s="585"/>
      <c r="BD11" s="585"/>
      <c r="BE11" s="581"/>
      <c r="BG11" s="105"/>
      <c r="BH11" s="105"/>
      <c r="BI11" s="105"/>
      <c r="BJ11" s="105"/>
      <c r="BK11" s="105"/>
      <c r="BL11" s="105"/>
      <c r="BM11" s="105"/>
      <c r="BN11" s="105"/>
      <c r="BO11" s="105"/>
      <c r="BP11" s="105"/>
    </row>
    <row r="12" spans="1:68" ht="11.25" customHeight="1" x14ac:dyDescent="0.25">
      <c r="A12" s="605"/>
      <c r="B12" s="606" t="str">
        <f>IF(OR('Input &amp; Findings'!G28='Drop Down Lists'!E2,'Input &amp; Findings'!G28='Drop Down Lists'!E4),CONCATENATE("Major - ",'Input &amp; Findings'!F26),CONCATENATE("Minor - ",'Input &amp; Findings'!F38))</f>
        <v>Major - Princeton Glendale Rd, SR-747</v>
      </c>
      <c r="C12" s="606"/>
      <c r="D12" s="606" t="str">
        <f>IF(OR('Input &amp; Findings'!G39='Drop Down Lists'!E3,'Input &amp; Findings'!G39='Drop Down Lists'!E5),CONCATENATE("Minor - ",'Input &amp; Findings'!F38),CONCATENATE("Major - ",'Input &amp; Findings'!F26))</f>
        <v>Minor - Butler County Veterans Hwy EB, SR-129</v>
      </c>
      <c r="E12" s="606"/>
      <c r="F12" s="604"/>
      <c r="G12" s="604"/>
      <c r="H12" s="604"/>
      <c r="I12" s="604"/>
      <c r="J12" s="604"/>
      <c r="K12" s="604"/>
      <c r="L12" s="584"/>
      <c r="M12" s="584"/>
      <c r="N12" s="204" t="s">
        <v>18</v>
      </c>
      <c r="O12" s="204" t="s">
        <v>18</v>
      </c>
      <c r="P12" s="584"/>
      <c r="Q12" s="584"/>
      <c r="R12" s="584"/>
      <c r="S12" s="584"/>
      <c r="T12" s="204" t="s">
        <v>18</v>
      </c>
      <c r="U12" s="204" t="s">
        <v>18</v>
      </c>
      <c r="V12" s="584"/>
      <c r="W12" s="584"/>
      <c r="X12" s="584"/>
      <c r="Y12" s="584"/>
      <c r="Z12" s="206" t="s">
        <v>18</v>
      </c>
      <c r="AA12" s="204" t="s">
        <v>18</v>
      </c>
      <c r="AB12" s="584"/>
      <c r="AC12" s="584"/>
      <c r="AD12" s="584"/>
      <c r="AE12" s="584"/>
      <c r="AF12" s="206" t="s">
        <v>18</v>
      </c>
      <c r="AG12" s="204" t="s">
        <v>18</v>
      </c>
      <c r="AH12" s="587"/>
      <c r="AI12" s="584"/>
      <c r="AJ12" s="584"/>
      <c r="AK12" s="260" t="s">
        <v>22</v>
      </c>
      <c r="AL12" s="260" t="s">
        <v>22</v>
      </c>
      <c r="AM12" s="584"/>
      <c r="AN12" s="584"/>
      <c r="AO12" s="584"/>
      <c r="AP12" s="584"/>
      <c r="AQ12" s="260" t="s">
        <v>22</v>
      </c>
      <c r="AR12" s="260" t="s">
        <v>22</v>
      </c>
      <c r="AS12" s="584"/>
      <c r="AT12" s="584"/>
      <c r="AU12" s="584"/>
      <c r="AV12" s="584"/>
      <c r="AW12" s="262" t="s">
        <v>22</v>
      </c>
      <c r="AX12" s="260" t="s">
        <v>22</v>
      </c>
      <c r="AY12" s="584"/>
      <c r="AZ12" s="584"/>
      <c r="BA12" s="584"/>
      <c r="BB12" s="584"/>
      <c r="BC12" s="262" t="s">
        <v>22</v>
      </c>
      <c r="BD12" s="260" t="s">
        <v>22</v>
      </c>
      <c r="BE12" s="581"/>
      <c r="BG12" s="105"/>
      <c r="BH12" s="105"/>
      <c r="BI12" s="105"/>
      <c r="BJ12" s="105"/>
      <c r="BK12" s="105"/>
      <c r="BL12" s="105"/>
      <c r="BM12" s="105"/>
      <c r="BN12" s="105"/>
      <c r="BO12" s="105"/>
      <c r="BP12" s="105"/>
    </row>
    <row r="13" spans="1:68" ht="13.5" customHeight="1" x14ac:dyDescent="0.25">
      <c r="A13" s="605"/>
      <c r="B13" s="295" t="str">
        <f>'Drop Down Lists'!E2</f>
        <v>N-Bound</v>
      </c>
      <c r="C13" s="295" t="s">
        <v>207</v>
      </c>
      <c r="D13" s="295" t="s">
        <v>208</v>
      </c>
      <c r="E13" s="295" t="s">
        <v>206</v>
      </c>
      <c r="F13" s="604"/>
      <c r="G13" s="604"/>
      <c r="H13" s="604"/>
      <c r="I13" s="604"/>
      <c r="J13" s="604"/>
      <c r="K13" s="604"/>
      <c r="L13" s="585"/>
      <c r="M13" s="585"/>
      <c r="N13" s="205" t="s">
        <v>476</v>
      </c>
      <c r="O13" s="205" t="s">
        <v>477</v>
      </c>
      <c r="P13" s="585"/>
      <c r="Q13" s="585"/>
      <c r="R13" s="585"/>
      <c r="S13" s="585"/>
      <c r="T13" s="205" t="s">
        <v>476</v>
      </c>
      <c r="U13" s="205" t="s">
        <v>477</v>
      </c>
      <c r="V13" s="585"/>
      <c r="W13" s="585"/>
      <c r="X13" s="585"/>
      <c r="Y13" s="585"/>
      <c r="Z13" s="207" t="s">
        <v>476</v>
      </c>
      <c r="AA13" s="205" t="s">
        <v>477</v>
      </c>
      <c r="AB13" s="585"/>
      <c r="AC13" s="585"/>
      <c r="AD13" s="585"/>
      <c r="AE13" s="585"/>
      <c r="AF13" s="207" t="s">
        <v>476</v>
      </c>
      <c r="AG13" s="205" t="s">
        <v>477</v>
      </c>
      <c r="AH13" s="588">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80</v>
      </c>
      <c r="AI13" s="585"/>
      <c r="AJ13" s="585"/>
      <c r="AK13" s="261" t="s">
        <v>476</v>
      </c>
      <c r="AL13" s="261" t="s">
        <v>477</v>
      </c>
      <c r="AM13" s="585"/>
      <c r="AN13" s="585"/>
      <c r="AO13" s="585"/>
      <c r="AP13" s="585"/>
      <c r="AQ13" s="261" t="s">
        <v>476</v>
      </c>
      <c r="AR13" s="261" t="s">
        <v>477</v>
      </c>
      <c r="AS13" s="585"/>
      <c r="AT13" s="585"/>
      <c r="AU13" s="585"/>
      <c r="AV13" s="585"/>
      <c r="AW13" s="263" t="s">
        <v>476</v>
      </c>
      <c r="AX13" s="261" t="s">
        <v>477</v>
      </c>
      <c r="AY13" s="585"/>
      <c r="AZ13" s="585"/>
      <c r="BA13" s="585"/>
      <c r="BB13" s="585"/>
      <c r="BC13" s="263" t="s">
        <v>476</v>
      </c>
      <c r="BD13" s="261" t="s">
        <v>477</v>
      </c>
      <c r="BE13" s="582"/>
      <c r="BG13" s="105"/>
      <c r="BH13" s="105"/>
      <c r="BI13" s="105"/>
      <c r="BJ13" s="105"/>
      <c r="BK13" s="105"/>
      <c r="BL13" s="105"/>
      <c r="BM13" s="105"/>
      <c r="BN13" s="105"/>
      <c r="BO13" s="105"/>
      <c r="BP13" s="105"/>
    </row>
    <row r="14" spans="1:68" ht="13.05" hidden="1" customHeight="1" x14ac:dyDescent="0.25">
      <c r="A14" s="153">
        <v>0</v>
      </c>
      <c r="B14" s="177">
        <f>'Data with RTF'!U4</f>
        <v>0</v>
      </c>
      <c r="C14" s="177">
        <f>'Data with RTF'!G4</f>
        <v>0</v>
      </c>
      <c r="D14" s="177">
        <f>'Data with RTF'!N4</f>
        <v>0</v>
      </c>
      <c r="E14" s="177">
        <f>'Data with RTF'!AB4</f>
        <v>0</v>
      </c>
      <c r="F14" s="155">
        <f>IF(OR('Input &amp; Findings'!$G$28='Drop Down Lists'!$E$2,'Input &amp; Findings'!$G$28='Drop Down Lists'!$E$4),SUM(B14:C14),SUM(D14:E14))</f>
        <v>0</v>
      </c>
      <c r="G14" s="155">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879.23222799999996</v>
      </c>
      <c r="H14" s="155">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613.77772474000005</v>
      </c>
      <c r="I14" s="155">
        <f>IF(OR('Input &amp; Findings'!$G$39='Drop Down Lists'!$E$3,'Input &amp; Findings'!$G$39='Drop Down Lists'!$E$5),MAX(D14:E14),MAX(B14:C14))</f>
        <v>0</v>
      </c>
      <c r="J14" s="156" t="str">
        <f>IF(G14&lt;$I$14,"Met","")</f>
        <v/>
      </c>
      <c r="K14" s="156" t="str">
        <f>IF(H14&lt;$I$14,"Met","")</f>
        <v/>
      </c>
      <c r="L14" s="176">
        <f t="shared" ref="L14:L37" si="2">IF(J14="Met",I14-G14,I14-G14-10000)</f>
        <v>-10879.232228000001</v>
      </c>
      <c r="M14" s="176">
        <f>IF(L14=MAX($L$14:$L$109),F14,0)</f>
        <v>0</v>
      </c>
      <c r="N14" s="176">
        <f>IF(M14=MAX($M$14:$M$109),M14,0)</f>
        <v>0</v>
      </c>
      <c r="O14" s="176">
        <f>IF(N14=MAX($N$14:$N$109),I14,0)</f>
        <v>0</v>
      </c>
      <c r="P14" s="176">
        <f>IF(AND(N14=0,N15=0,N16=0,N17=0),F14,"")</f>
        <v>0</v>
      </c>
      <c r="Q14" s="176">
        <f>IF(AND(N14=0,N15=0,N16=0,N17=0),I14,"")</f>
        <v>0</v>
      </c>
      <c r="R14" s="176">
        <f t="shared" ref="R14:R37" si="3">IF(Q14="",L14-10000,L14)</f>
        <v>-10879.232228000001</v>
      </c>
      <c r="S14" s="176">
        <f>IF(R14=MAX($R$14:$R$109),F14,0)</f>
        <v>0</v>
      </c>
      <c r="T14" s="176">
        <f>IF(S14=MAX($S$14:$S$109),S14,0)</f>
        <v>0</v>
      </c>
      <c r="U14" s="176">
        <f>IF(T14=MAX($T$14:$T$109),I14,0)</f>
        <v>0</v>
      </c>
      <c r="V14" s="176">
        <f>IF(AND(T14=0,T15=0,T16=0,T17=0),P14,"")</f>
        <v>0</v>
      </c>
      <c r="W14" s="176">
        <f>IF(AND(T14=0,T15=0,T16=0,T17=0),Q14,"")</f>
        <v>0</v>
      </c>
      <c r="X14" s="176">
        <f t="shared" ref="X14:X37" si="4">IF(W14="",R14-10000,R14)</f>
        <v>-10879.232228000001</v>
      </c>
      <c r="Y14" s="176">
        <f>IF(X14=MAX($X$14:$X$109),V14,0)</f>
        <v>0</v>
      </c>
      <c r="Z14" s="176">
        <f>IF(Y14=MAX($Y$14:$Y$109),Y14,0)</f>
        <v>0</v>
      </c>
      <c r="AA14" s="176">
        <f>IF(Z14=MAX($Z$14:$Z$109),W14,0)</f>
        <v>0</v>
      </c>
      <c r="AB14" s="176">
        <f>IF(AND(Z14=0,Z15=0,Z16=0,Z17=0),V14,"")</f>
        <v>0</v>
      </c>
      <c r="AC14" s="176">
        <f>IF(AND(Z14=0,Z15=0,Z16=0,Z17=0),W14,"")</f>
        <v>0</v>
      </c>
      <c r="AD14" s="176">
        <f t="shared" ref="AD14:AD37" si="5">IF(AC14="",X14-10000,X14)</f>
        <v>-10879.232228000001</v>
      </c>
      <c r="AE14" s="176">
        <f>IF(AD14=MAX($AD$14:$AD$109),AB14,0)</f>
        <v>0</v>
      </c>
      <c r="AF14" s="176">
        <f>IF(AE14=MAX($AE$14:$AE$109),AE14,0)</f>
        <v>0</v>
      </c>
      <c r="AG14" s="176">
        <f>IF(AF14=MAX($AF$14:$AF$109),AC14,0)</f>
        <v>0</v>
      </c>
      <c r="AH14" s="155">
        <f t="shared" si="0"/>
        <v>627.26</v>
      </c>
      <c r="AI14" s="176">
        <f t="shared" ref="AI14:AI37" si="6">IF(K14="Met",I14-G14,I14-G14-10000)</f>
        <v>-10879.232228000001</v>
      </c>
      <c r="AJ14" s="176">
        <f t="shared" ref="AJ14:AJ45" si="7">IF(AI14=MAX($AI$14:$AI$109),F14,0)</f>
        <v>0</v>
      </c>
      <c r="AK14" s="176">
        <f>IF(AJ14=MAX($AJ$14:$AJ$109),AJ14,0)</f>
        <v>0</v>
      </c>
      <c r="AL14" s="176">
        <f>IF(AK14=MAX($AK$14:$AK$109),I14,0)</f>
        <v>0</v>
      </c>
      <c r="AM14" s="176">
        <f>IF(AND(AK14=0,AK15=0,AK16=0,AK17=0),F14,"")</f>
        <v>0</v>
      </c>
      <c r="AN14" s="176">
        <f>IF(AND(AK14=0,AK15=0,AK16=0,AK17=0),I14,"")</f>
        <v>0</v>
      </c>
      <c r="AO14" s="176">
        <f t="shared" ref="AO14:AO37" si="8">IF(AN14="",AI14-10000,AI14)</f>
        <v>-10879.232228000001</v>
      </c>
      <c r="AP14" s="176">
        <f>IF(AO14=MAX($AO$14:$AO$109),AM14,0)</f>
        <v>0</v>
      </c>
      <c r="AQ14" s="176">
        <f>IF(AP14=MAX($AP$14:$AP$109),AP14,0)</f>
        <v>0</v>
      </c>
      <c r="AR14" s="176">
        <f>IF(AQ14=MAX($AQ$14:$AQ$109),AN14,0)</f>
        <v>0</v>
      </c>
      <c r="AS14" s="176">
        <f>IF(AND(AQ14=0,AQ15=0,AQ16=0,AQ17=0),AM14,"")</f>
        <v>0</v>
      </c>
      <c r="AT14" s="176">
        <f>IF(AND(AQ14=0,AQ15=0,AQ16=0,AQ17=0),AN14,"")</f>
        <v>0</v>
      </c>
      <c r="AU14" s="176">
        <f t="shared" ref="AU14:AU37" si="9">IF(AT14="",AO14-10000,AO14)</f>
        <v>-10879.232228000001</v>
      </c>
      <c r="AV14" s="176">
        <f>IF(AU14=MAX($AU$14:$AU$109),AS14,0)</f>
        <v>0</v>
      </c>
      <c r="AW14" s="176">
        <f>IF(AV14=MAX($AV$14:$AV$109),AV14,0)</f>
        <v>0</v>
      </c>
      <c r="AX14" s="176">
        <f>IF(AW14=MAX($AW$14:$AW$109),AT14,0)</f>
        <v>0</v>
      </c>
      <c r="AY14" s="176">
        <f>IF(AND(AW14=0,AW15=0,AW16=0,AW17=0),AS14,"")</f>
        <v>0</v>
      </c>
      <c r="AZ14" s="176">
        <f>IF(AND(AW14=0,AW15=0,AW16=0,AW17=0),AT14,"")</f>
        <v>0</v>
      </c>
      <c r="BA14" s="176">
        <f t="shared" ref="BA14:BA37" si="10">IF(AZ14="",AU14-10000,AU14)</f>
        <v>-10879.232228000001</v>
      </c>
      <c r="BB14" s="176">
        <f>IF(BA14=MAX($BA$14:$BA$109),AY14,0)</f>
        <v>0</v>
      </c>
      <c r="BC14" s="176">
        <f>IF(BB14=MAX($BB$14:$BB$109),BB14,0)</f>
        <v>0</v>
      </c>
      <c r="BD14" s="176">
        <f>IF(BC14=MAX($BC$14:$BC$109),AZ14,0)</f>
        <v>0</v>
      </c>
      <c r="BE14" s="153">
        <v>0</v>
      </c>
      <c r="BG14" s="105"/>
      <c r="BH14" s="105"/>
      <c r="BI14" s="105"/>
      <c r="BJ14" s="105"/>
      <c r="BK14" s="105"/>
      <c r="BL14" s="105"/>
      <c r="BM14" s="105"/>
      <c r="BN14" s="105"/>
      <c r="BO14" s="105"/>
      <c r="BP14" s="105"/>
    </row>
    <row r="15" spans="1:68" ht="13.05" hidden="1" customHeight="1" x14ac:dyDescent="0.25">
      <c r="A15" s="153">
        <v>1.0416666666666666E-2</v>
      </c>
      <c r="B15" s="177">
        <f>'Data with RTF'!U5</f>
        <v>0</v>
      </c>
      <c r="C15" s="177">
        <f>'Data with RTF'!G5</f>
        <v>0</v>
      </c>
      <c r="D15" s="177">
        <f>'Data with RTF'!N5</f>
        <v>0</v>
      </c>
      <c r="E15" s="177">
        <f>'Data with RTF'!AB5</f>
        <v>0</v>
      </c>
      <c r="F15" s="155">
        <f>IF(OR('Input &amp; Findings'!$G$28='Drop Down Lists'!$E$2,'Input &amp; Findings'!$G$28='Drop Down Lists'!$E$4),SUM(B15:C15),SUM(D15:E15))</f>
        <v>0</v>
      </c>
      <c r="G15" s="155">
        <f t="shared" ref="G15:G78" si="11">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879.23222799999996</v>
      </c>
      <c r="H15" s="155">
        <f t="shared" si="1"/>
        <v>613.77772474000005</v>
      </c>
      <c r="I15" s="155">
        <f>IF(OR('Input &amp; Findings'!$G$39='Drop Down Lists'!$E$3,'Input &amp; Findings'!$G$39='Drop Down Lists'!$E$5),MAX(D15:E15),MAX(B15:C15))</f>
        <v>0</v>
      </c>
      <c r="J15" s="156" t="str">
        <f>IF(AND(G15&lt;I15,J14=""),"Met","")</f>
        <v/>
      </c>
      <c r="K15" s="156" t="str">
        <f>IF(AND(H15&lt;I15,K14=""),"Met","")</f>
        <v/>
      </c>
      <c r="L15" s="176">
        <f t="shared" si="2"/>
        <v>-10879.232228000001</v>
      </c>
      <c r="M15" s="176">
        <f t="shared" ref="M15:M78" si="12">IF(L15=MAX($L$14:$L$109),F15,0)</f>
        <v>0</v>
      </c>
      <c r="N15" s="176">
        <f>IF(AND(M15=MAX($M$14:$M$109),(SUM($N$14:N14)=0)),M15,0)</f>
        <v>0</v>
      </c>
      <c r="O15" s="176">
        <f t="shared" ref="O15:O78" si="13">IF(N15=MAX($N$14:$N$109),I15,0)</f>
        <v>0</v>
      </c>
      <c r="P15" s="176">
        <f>IF(AND(N15=0,N16=0,N17=0,N18=0,N14=0),F15,"")</f>
        <v>0</v>
      </c>
      <c r="Q15" s="176">
        <f>IF(AND(N15=0,N16=0,N17=0,N18=0,N14=0),I15,"")</f>
        <v>0</v>
      </c>
      <c r="R15" s="176">
        <f t="shared" si="3"/>
        <v>-10879.232228000001</v>
      </c>
      <c r="S15" s="176">
        <f t="shared" ref="S15:S78" si="14">IF(R15=MAX($R$14:$R$109),F15,0)</f>
        <v>0</v>
      </c>
      <c r="T15" s="176">
        <f>IF(AND(S15=MAX($S$14:$S$109),(SUM($T$14:T14)=0)),S15,0)</f>
        <v>0</v>
      </c>
      <c r="U15" s="176">
        <f t="shared" ref="U15:U78" si="15">IF(T15=MAX($T$14:$T$109),I15,0)</f>
        <v>0</v>
      </c>
      <c r="V15" s="176">
        <f>IF(AND(T15=0,T16=0,T17=0,T18=0,T14=0),P15,"")</f>
        <v>0</v>
      </c>
      <c r="W15" s="176">
        <f>IF(AND(T15=0,T16=0,T17=0,T18=0,T14=0),Q15,"")</f>
        <v>0</v>
      </c>
      <c r="X15" s="176">
        <f t="shared" si="4"/>
        <v>-10879.232228000001</v>
      </c>
      <c r="Y15" s="176">
        <f t="shared" ref="Y15:Y78" si="16">IF(X15=MAX($X$14:$X$109),V15,0)</f>
        <v>0</v>
      </c>
      <c r="Z15" s="176">
        <f>IF(AND(Y15=MAX($Y$14:$Y$109),(SUM($Z$14:Z14)=0)),Y15,0)</f>
        <v>0</v>
      </c>
      <c r="AA15" s="176">
        <f t="shared" ref="AA15:AA78" si="17">IF(Z15=MAX($Z$14:$Z$109),W15,0)</f>
        <v>0</v>
      </c>
      <c r="AB15" s="176">
        <f>IF(AND(Z15=0,Z16=0,Z17=0,Z18=0,Z14=0),V15,"")</f>
        <v>0</v>
      </c>
      <c r="AC15" s="176">
        <f>IF(AND(Z15=0,Z16=0,Z17=0,Z18=0,Z14=0),W15,"")</f>
        <v>0</v>
      </c>
      <c r="AD15" s="176">
        <f t="shared" si="5"/>
        <v>-10879.232228000001</v>
      </c>
      <c r="AE15" s="176">
        <f t="shared" ref="AE15:AE78" si="18">IF(AD15=MAX($AD$14:$AD$109),AB15,0)</f>
        <v>0</v>
      </c>
      <c r="AF15" s="176">
        <f>IF(AND(AE15=MAX($AE$14:$AE$109),(SUM($AF$14:AF14)=0)),AE15,0)</f>
        <v>0</v>
      </c>
      <c r="AG15" s="176">
        <f t="shared" ref="AG15:AG78" si="19">IF(AF15=MAX($AF$14:$AF$109),AC15,0)</f>
        <v>0</v>
      </c>
      <c r="AH15" s="155">
        <f t="shared" si="0"/>
        <v>627.26</v>
      </c>
      <c r="AI15" s="176">
        <f t="shared" si="6"/>
        <v>-10879.232228000001</v>
      </c>
      <c r="AJ15" s="176">
        <f t="shared" si="7"/>
        <v>0</v>
      </c>
      <c r="AK15" s="176">
        <f>IF(AND(AJ15=MAX($AJ$14:$AJ$109),(SUM($AK$14:AK14)=0)),AJ15,0)</f>
        <v>0</v>
      </c>
      <c r="AL15" s="176">
        <f>IF(AK15=MAX($AK$14:$AK$109),I15,0)</f>
        <v>0</v>
      </c>
      <c r="AM15" s="176">
        <f>IF(AND(AK15=0,AK16=0,AK17=0,AK18=0,AK14=0),F15,"")</f>
        <v>0</v>
      </c>
      <c r="AN15" s="176">
        <f>IF(AND(AK15=0,AK16=0,AK17=0,AK18=0,AK14=0),I15,"")</f>
        <v>0</v>
      </c>
      <c r="AO15" s="176">
        <f t="shared" si="8"/>
        <v>-10879.232228000001</v>
      </c>
      <c r="AP15" s="176">
        <f t="shared" ref="AP15:AP78" si="20">IF(AO15=MAX($AO$14:$AO$109),AM15,0)</f>
        <v>0</v>
      </c>
      <c r="AQ15" s="176">
        <f>IF(AND(AP15=MAX($AP$14:$AP$109),(SUM($AQ$14:AQ14)=0)),AP15,0)</f>
        <v>0</v>
      </c>
      <c r="AR15" s="176">
        <f t="shared" ref="AR15:AR78" si="21">IF(AQ15=MAX($AQ$14:$AQ$109),AN15,0)</f>
        <v>0</v>
      </c>
      <c r="AS15" s="176">
        <f>IF(AND(AQ15=0,AQ16=0,AQ17=0,AQ18=0,AQ14=0),AM15,"")</f>
        <v>0</v>
      </c>
      <c r="AT15" s="176">
        <f>IF(AND(AQ15=0,AQ16=0,AQ17=0,AQ18=0,AQ14=0),AN15,"")</f>
        <v>0</v>
      </c>
      <c r="AU15" s="176">
        <f t="shared" si="9"/>
        <v>-10879.232228000001</v>
      </c>
      <c r="AV15" s="176">
        <f t="shared" ref="AV15:AV78" si="22">IF(AU15=MAX($AU$14:$AU$109),AS15,0)</f>
        <v>0</v>
      </c>
      <c r="AW15" s="176">
        <f>IF(AND(AV15=MAX($AV$14:$AV$109),(SUM($AW$14:AW14)=0)),AV15,0)</f>
        <v>0</v>
      </c>
      <c r="AX15" s="176">
        <f t="shared" ref="AX15:AX78" si="23">IF(AW15=MAX($AW$14:$AW$109),AT15,0)</f>
        <v>0</v>
      </c>
      <c r="AY15" s="176">
        <f>IF(AND(AW15=0,AW16=0,AW17=0,AW18=0,AW14=0),AS15,"")</f>
        <v>0</v>
      </c>
      <c r="AZ15" s="176">
        <f>IF(AND(AW15=0,AW16=0,AW17=0,AW18=0,AW14=0),AT15,"")</f>
        <v>0</v>
      </c>
      <c r="BA15" s="176">
        <f t="shared" si="10"/>
        <v>-10879.232228000001</v>
      </c>
      <c r="BB15" s="176">
        <f t="shared" ref="BB15:BB78" si="24">IF(BA15=MAX($BA$14:$BA$109),AY15,0)</f>
        <v>0</v>
      </c>
      <c r="BC15" s="176">
        <f>IF(AND(BB15=MAX($BB$14:$BB$109),(SUM($BC$14:BC14)=0)),BB15,0)</f>
        <v>0</v>
      </c>
      <c r="BD15" s="176">
        <f t="shared" ref="BD15:BD78" si="25">IF(BC15=MAX($BC$14:$BC$109),AZ15,0)</f>
        <v>0</v>
      </c>
      <c r="BE15" s="153">
        <v>1.0416666666666666E-2</v>
      </c>
      <c r="BG15" s="105"/>
      <c r="BH15" s="105"/>
      <c r="BI15" s="105"/>
      <c r="BJ15" s="105"/>
      <c r="BK15" s="105"/>
      <c r="BL15" s="105"/>
      <c r="BM15" s="105"/>
      <c r="BN15" s="105"/>
      <c r="BO15" s="105"/>
      <c r="BP15" s="105"/>
    </row>
    <row r="16" spans="1:68" ht="13.05" hidden="1" customHeight="1" x14ac:dyDescent="0.25">
      <c r="A16" s="153">
        <v>2.0833333333333301E-2</v>
      </c>
      <c r="B16" s="177">
        <f>'Data with RTF'!U6</f>
        <v>0</v>
      </c>
      <c r="C16" s="177">
        <f>'Data with RTF'!G6</f>
        <v>0</v>
      </c>
      <c r="D16" s="177">
        <f>'Data with RTF'!N6</f>
        <v>0</v>
      </c>
      <c r="E16" s="177">
        <f>'Data with RTF'!AB6</f>
        <v>0</v>
      </c>
      <c r="F16" s="155">
        <f>IF(OR('Input &amp; Findings'!$G$28='Drop Down Lists'!$E$2,'Input &amp; Findings'!$G$28='Drop Down Lists'!$E$4),SUM(B16:C16),SUM(D16:E16))</f>
        <v>0</v>
      </c>
      <c r="G16" s="155">
        <f t="shared" si="11"/>
        <v>879.23222799999996</v>
      </c>
      <c r="H16" s="155">
        <f t="shared" si="1"/>
        <v>613.77772474000005</v>
      </c>
      <c r="I16" s="155">
        <f>IF(OR('Input &amp; Findings'!$G$39='Drop Down Lists'!$E$3,'Input &amp; Findings'!$G$39='Drop Down Lists'!$E$5),MAX(D16:E16),MAX(B16:C16))</f>
        <v>0</v>
      </c>
      <c r="J16" s="156" t="str">
        <f>IF(AND(G16&lt;I16,J15="",J14=""),"Met","")</f>
        <v/>
      </c>
      <c r="K16" s="156" t="str">
        <f>IF(AND(H16&lt;I16,K15="",K14=""),"Met","")</f>
        <v/>
      </c>
      <c r="L16" s="176">
        <f t="shared" si="2"/>
        <v>-10879.232228000001</v>
      </c>
      <c r="M16" s="176">
        <f t="shared" si="12"/>
        <v>0</v>
      </c>
      <c r="N16" s="176">
        <f>IF(AND(M16=MAX($M$14:$M$109),(SUM($N$14:N15)=0)),M16,0)</f>
        <v>0</v>
      </c>
      <c r="O16" s="176">
        <f t="shared" si="13"/>
        <v>0</v>
      </c>
      <c r="P16" s="176">
        <f>IF(AND(N16=0,N17=0,N18=0,N19=0,N15=0,N14=0),F16,"")</f>
        <v>0</v>
      </c>
      <c r="Q16" s="176">
        <f>IF(AND(N16=0,N17=0,N18=0,N19=0,N15=0,N14=0),I16,"")</f>
        <v>0</v>
      </c>
      <c r="R16" s="176">
        <f t="shared" si="3"/>
        <v>-10879.232228000001</v>
      </c>
      <c r="S16" s="176">
        <f t="shared" si="14"/>
        <v>0</v>
      </c>
      <c r="T16" s="176">
        <f>IF(AND(S16=MAX($S$14:$S$109),(SUM($T$14:T15)=0)),S16,0)</f>
        <v>0</v>
      </c>
      <c r="U16" s="176">
        <f t="shared" si="15"/>
        <v>0</v>
      </c>
      <c r="V16" s="176">
        <f>IF(AND(T16=0,T17=0,T18=0,T19=0,T15=0,T14=0),P16,"")</f>
        <v>0</v>
      </c>
      <c r="W16" s="176">
        <f>IF(AND(T16=0,T17=0,T18=0,T19=0,T15=0,T14=0),Q16,"")</f>
        <v>0</v>
      </c>
      <c r="X16" s="176">
        <f t="shared" si="4"/>
        <v>-10879.232228000001</v>
      </c>
      <c r="Y16" s="176">
        <f t="shared" si="16"/>
        <v>0</v>
      </c>
      <c r="Z16" s="176">
        <f>IF(AND(Y16=MAX($Y$14:$Y$109),(SUM($Z$14:Z15)=0)),Y16,0)</f>
        <v>0</v>
      </c>
      <c r="AA16" s="176">
        <f t="shared" si="17"/>
        <v>0</v>
      </c>
      <c r="AB16" s="176">
        <f>IF(AND(AA16=0,AA17=0,AA18=0,AA19=0,AA15=0,AA14=0),V16,"")</f>
        <v>0</v>
      </c>
      <c r="AC16" s="176">
        <f>IF(AND(Z16=0,Z17=0,Z18=0,Z19=0,Z15=0,Z14=0),W16,"")</f>
        <v>0</v>
      </c>
      <c r="AD16" s="176">
        <f t="shared" si="5"/>
        <v>-10879.232228000001</v>
      </c>
      <c r="AE16" s="176">
        <f t="shared" si="18"/>
        <v>0</v>
      </c>
      <c r="AF16" s="176">
        <f>IF(AND(AE16=MAX($AE$14:$AE$109),(SUM($AF$14:AF15)=0)),AE16,0)</f>
        <v>0</v>
      </c>
      <c r="AG16" s="176">
        <f t="shared" si="19"/>
        <v>0</v>
      </c>
      <c r="AH16" s="155">
        <f t="shared" si="0"/>
        <v>627.26</v>
      </c>
      <c r="AI16" s="176">
        <f t="shared" si="6"/>
        <v>-10879.232228000001</v>
      </c>
      <c r="AJ16" s="176">
        <f t="shared" si="7"/>
        <v>0</v>
      </c>
      <c r="AK16" s="176">
        <f>IF(AND(AJ16=MAX($AJ$14:$AJ$109),(SUM($AK$14:AK15)=0)),AJ16,0)</f>
        <v>0</v>
      </c>
      <c r="AL16" s="176">
        <f t="shared" ref="AL16:AL78" si="26">IF(AK16=MAX($AK$14:$AK$109),I16,0)</f>
        <v>0</v>
      </c>
      <c r="AM16" s="176">
        <f>IF(AND(AK16=0,AK17=0,AK18=0,AK19=0,AK15=0,AK14=0),F16,"")</f>
        <v>0</v>
      </c>
      <c r="AN16" s="176">
        <f>IF(AND(AK16=0,AK17=0,AK18=0,AK19=0,AK15=0,AK14=0),I16,"")</f>
        <v>0</v>
      </c>
      <c r="AO16" s="176">
        <f t="shared" si="8"/>
        <v>-10879.232228000001</v>
      </c>
      <c r="AP16" s="176">
        <f t="shared" si="20"/>
        <v>0</v>
      </c>
      <c r="AQ16" s="176">
        <f>IF(AND(AP16=MAX($AP$14:$AP$109),(SUM($AQ$14:AQ15)=0)),AP16,0)</f>
        <v>0</v>
      </c>
      <c r="AR16" s="176">
        <f t="shared" si="21"/>
        <v>0</v>
      </c>
      <c r="AS16" s="176">
        <f>IF(AND(AQ16=0,AQ17=0,AQ18=0,AQ19=0,AQ15=0,AQ14=0),AM16,"")</f>
        <v>0</v>
      </c>
      <c r="AT16" s="176">
        <f>IF(AND(AQ16=0,AQ17=0,AQ18=0,AQ19=0,AQ15=0,AQ14=0),AN16,"")</f>
        <v>0</v>
      </c>
      <c r="AU16" s="176">
        <f t="shared" si="9"/>
        <v>-10879.232228000001</v>
      </c>
      <c r="AV16" s="176">
        <f t="shared" si="22"/>
        <v>0</v>
      </c>
      <c r="AW16" s="176">
        <f>IF(AND(AV16=MAX($AV$14:$AV$109),(SUM($AW$14:AW15)=0)),AV16,0)</f>
        <v>0</v>
      </c>
      <c r="AX16" s="176">
        <f t="shared" si="23"/>
        <v>0</v>
      </c>
      <c r="AY16" s="176">
        <f>IF(AND(AX16=0,AX17=0,AX18=0,AX19=0,AX15=0,AX14=0),AS16,"")</f>
        <v>0</v>
      </c>
      <c r="AZ16" s="176">
        <f>IF(AND(AW16=0,AW17=0,AW18=0,AW19=0,AW15=0,AW14=0),AT16,"")</f>
        <v>0</v>
      </c>
      <c r="BA16" s="176">
        <f t="shared" si="10"/>
        <v>-10879.232228000001</v>
      </c>
      <c r="BB16" s="176">
        <f t="shared" si="24"/>
        <v>0</v>
      </c>
      <c r="BC16" s="176">
        <f>IF(AND(BB16=MAX($BB$14:$BB$109),(SUM($BC$14:BC15)=0)),BB16,0)</f>
        <v>0</v>
      </c>
      <c r="BD16" s="176">
        <f t="shared" si="25"/>
        <v>0</v>
      </c>
      <c r="BE16" s="153">
        <v>2.0833333333333301E-2</v>
      </c>
      <c r="BG16" s="105"/>
      <c r="BH16" s="105"/>
      <c r="BI16" s="105"/>
      <c r="BJ16" s="105"/>
      <c r="BK16" s="105"/>
      <c r="BL16" s="105"/>
      <c r="BM16" s="105"/>
      <c r="BN16" s="105"/>
      <c r="BO16" s="105"/>
      <c r="BP16" s="105"/>
    </row>
    <row r="17" spans="1:68" ht="13.05" hidden="1" customHeight="1" x14ac:dyDescent="0.25">
      <c r="A17" s="153">
        <v>3.125E-2</v>
      </c>
      <c r="B17" s="177">
        <f>'Data with RTF'!U7</f>
        <v>0</v>
      </c>
      <c r="C17" s="177">
        <f>'Data with RTF'!G7</f>
        <v>0</v>
      </c>
      <c r="D17" s="177">
        <f>'Data with RTF'!N7</f>
        <v>0</v>
      </c>
      <c r="E17" s="177">
        <f>'Data with RTF'!AB7</f>
        <v>0</v>
      </c>
      <c r="F17" s="155">
        <f>IF(OR('Input &amp; Findings'!$G$28='Drop Down Lists'!$E$2,'Input &amp; Findings'!$G$28='Drop Down Lists'!$E$4),SUM(B17:C17),SUM(D17:E17))</f>
        <v>0</v>
      </c>
      <c r="G17" s="155">
        <f t="shared" si="11"/>
        <v>879.23222799999996</v>
      </c>
      <c r="H17" s="155">
        <f t="shared" si="1"/>
        <v>613.77772474000005</v>
      </c>
      <c r="I17" s="155">
        <f>IF(OR('Input &amp; Findings'!$G$39='Drop Down Lists'!$E$3,'Input &amp; Findings'!$G$39='Drop Down Lists'!$E$5),MAX(D17:E17),MAX(B17:C17))</f>
        <v>0</v>
      </c>
      <c r="J17" s="156" t="str">
        <f>IF(AND(G17&lt;I17,J16="",J15="",J14=""),"Met","")</f>
        <v/>
      </c>
      <c r="K17" s="156" t="str">
        <f>IF(AND(H17&lt;I17,K16="",K15="",K14=""),"Met","")</f>
        <v/>
      </c>
      <c r="L17" s="176">
        <f t="shared" si="2"/>
        <v>-10879.232228000001</v>
      </c>
      <c r="M17" s="176">
        <f t="shared" si="12"/>
        <v>0</v>
      </c>
      <c r="N17" s="176">
        <f>IF(AND(M17=MAX($M$14:$M$109),(SUM($N$14:N16)=0)),M17,0)</f>
        <v>0</v>
      </c>
      <c r="O17" s="176">
        <f t="shared" si="13"/>
        <v>0</v>
      </c>
      <c r="P17" s="176">
        <f>IF(AND(N17=0,N18=0,N19=0,N20=0,N16=0,N15=0,N14=0),F17,"")</f>
        <v>0</v>
      </c>
      <c r="Q17" s="176">
        <f>IF(AND(N17=0,N18=0,N19=0,N20=0,N16=0,N15=0,N14=0),I17,"")</f>
        <v>0</v>
      </c>
      <c r="R17" s="176">
        <f t="shared" si="3"/>
        <v>-10879.232228000001</v>
      </c>
      <c r="S17" s="176">
        <f t="shared" si="14"/>
        <v>0</v>
      </c>
      <c r="T17" s="176">
        <f>IF(AND(S17=MAX($S$14:$S$109),(SUM($T$14:T16)=0)),S17,0)</f>
        <v>0</v>
      </c>
      <c r="U17" s="176">
        <f t="shared" si="15"/>
        <v>0</v>
      </c>
      <c r="V17" s="176">
        <f>IF(AND(T17=0,T18=0,T19=0,T20=0,T16=0,T15=0,T14=0),P17,"")</f>
        <v>0</v>
      </c>
      <c r="W17" s="176">
        <f t="shared" ref="W17:W80" si="27">IF(AND(T17=0,T18=0,T19=0,T20=0,T16=0,T15=0,T14=0),Q17,"")</f>
        <v>0</v>
      </c>
      <c r="X17" s="176">
        <f t="shared" si="4"/>
        <v>-10879.232228000001</v>
      </c>
      <c r="Y17" s="176">
        <f t="shared" si="16"/>
        <v>0</v>
      </c>
      <c r="Z17" s="176">
        <f>IF(AND(Y17=MAX($Y$14:$Y$109),(SUM($Z$14:Z16)=0)),Y17,0)</f>
        <v>0</v>
      </c>
      <c r="AA17" s="176">
        <f t="shared" si="17"/>
        <v>0</v>
      </c>
      <c r="AB17" s="176">
        <f t="shared" ref="AB17:AB80" si="28">IF(AND(Z17=0,Z18=0,Z19=0,Z20=0,Z16=0,Z15=0,Z14=0),V17,"")</f>
        <v>0</v>
      </c>
      <c r="AC17" s="176">
        <f t="shared" ref="AC17:AC80" si="29">IF(AND(Z17=0,Z18=0,Z19=0,Z20=0,Z16=0,Z15=0,Z14=0),W17,"")</f>
        <v>0</v>
      </c>
      <c r="AD17" s="176">
        <f t="shared" si="5"/>
        <v>-10879.232228000001</v>
      </c>
      <c r="AE17" s="176">
        <f t="shared" si="18"/>
        <v>0</v>
      </c>
      <c r="AF17" s="176">
        <f>IF(AND(AE17=MAX($AE$14:$AE$109),(SUM($AF$14:AF16)=0)),AE17,0)</f>
        <v>0</v>
      </c>
      <c r="AG17" s="176">
        <f t="shared" si="19"/>
        <v>0</v>
      </c>
      <c r="AH17" s="155">
        <f t="shared" si="0"/>
        <v>627.26</v>
      </c>
      <c r="AI17" s="176">
        <f t="shared" si="6"/>
        <v>-10879.232228000001</v>
      </c>
      <c r="AJ17" s="176">
        <f t="shared" si="7"/>
        <v>0</v>
      </c>
      <c r="AK17" s="176">
        <f>IF(AND(AJ17=MAX($AJ$14:$AJ$109),(SUM($AK$14:AK16)=0)),AJ17,0)</f>
        <v>0</v>
      </c>
      <c r="AL17" s="176">
        <f t="shared" si="26"/>
        <v>0</v>
      </c>
      <c r="AM17" s="176">
        <f t="shared" ref="AM17:AM48" si="30">IF(AND(AK17=0,AK18=0,AK19=0,AK20=0,AK16=0,AK15=0,AK14=0),F17,"")</f>
        <v>0</v>
      </c>
      <c r="AN17" s="176">
        <f t="shared" ref="AN17:AN48" si="31">IF(AND(AK17=0,AK18=0,AK19=0,AK20=0,AK16=0,AK15=0,AK14=0),I17,"")</f>
        <v>0</v>
      </c>
      <c r="AO17" s="176">
        <f t="shared" si="8"/>
        <v>-10879.232228000001</v>
      </c>
      <c r="AP17" s="176">
        <f t="shared" si="20"/>
        <v>0</v>
      </c>
      <c r="AQ17" s="176">
        <f>IF(AND(AP17=MAX($AP$14:$AP$109),(SUM($AQ$14:AQ16)=0)),AP17,0)</f>
        <v>0</v>
      </c>
      <c r="AR17" s="176">
        <f t="shared" si="21"/>
        <v>0</v>
      </c>
      <c r="AS17" s="176">
        <f>IF(AND(AQ17=0,AQ18=0,AQ19=0,AQ20=0,AQ16=0,AQ15=0,AQ14=0),AM17,"")</f>
        <v>0</v>
      </c>
      <c r="AT17" s="176">
        <f t="shared" ref="AT17:AT80" si="32">IF(AND(AQ17=0,AQ18=0,AQ19=0,AQ20=0,AQ16=0,AQ15=0,AQ14=0),AN17,"")</f>
        <v>0</v>
      </c>
      <c r="AU17" s="176">
        <f t="shared" si="9"/>
        <v>-10879.232228000001</v>
      </c>
      <c r="AV17" s="176">
        <f t="shared" si="22"/>
        <v>0</v>
      </c>
      <c r="AW17" s="176">
        <f>IF(AND(AV17=MAX($AV$14:$AV$109),(SUM($AW$14:AW16)=0)),AV17,0)</f>
        <v>0</v>
      </c>
      <c r="AX17" s="176">
        <f t="shared" si="23"/>
        <v>0</v>
      </c>
      <c r="AY17" s="176">
        <f t="shared" ref="AY17:AY80" si="33">IF(AND(AW17=0,AW18=0,AW19=0,AW20=0,AW16=0,AW15=0,AW14=0),AS17,"")</f>
        <v>0</v>
      </c>
      <c r="AZ17" s="176">
        <f t="shared" ref="AZ17:AZ80" si="34">IF(AND(AW17=0,AW18=0,AW19=0,AW20=0,AW16=0,AW15=0,AW14=0),AT17,"")</f>
        <v>0</v>
      </c>
      <c r="BA17" s="176">
        <f t="shared" si="10"/>
        <v>-10879.232228000001</v>
      </c>
      <c r="BB17" s="176">
        <f t="shared" si="24"/>
        <v>0</v>
      </c>
      <c r="BC17" s="176">
        <f>IF(AND(BB17=MAX($BB$14:$BB$109),(SUM($BC$14:BC16)=0)),BB17,0)</f>
        <v>0</v>
      </c>
      <c r="BD17" s="176">
        <f t="shared" si="25"/>
        <v>0</v>
      </c>
      <c r="BE17" s="153">
        <v>3.125E-2</v>
      </c>
      <c r="BG17" s="105"/>
      <c r="BH17" s="105"/>
      <c r="BI17" s="105"/>
      <c r="BJ17" s="105"/>
      <c r="BK17" s="105"/>
      <c r="BL17" s="105"/>
      <c r="BM17" s="105"/>
      <c r="BN17" s="105"/>
      <c r="BO17" s="105"/>
      <c r="BP17" s="105"/>
    </row>
    <row r="18" spans="1:68" ht="13.05" hidden="1" customHeight="1" x14ac:dyDescent="0.25">
      <c r="A18" s="153">
        <v>4.1666666666666699E-2</v>
      </c>
      <c r="B18" s="177">
        <f>'Data with RTF'!U8</f>
        <v>0</v>
      </c>
      <c r="C18" s="177">
        <f>'Data with RTF'!G8</f>
        <v>0</v>
      </c>
      <c r="D18" s="177">
        <f>'Data with RTF'!N8</f>
        <v>0</v>
      </c>
      <c r="E18" s="177">
        <f>'Data with RTF'!AB8</f>
        <v>0</v>
      </c>
      <c r="F18" s="155">
        <f>IF(OR('Input &amp; Findings'!$G$28='Drop Down Lists'!$E$2,'Input &amp; Findings'!$G$28='Drop Down Lists'!$E$4),SUM(B18:C18),SUM(D18:E18))</f>
        <v>0</v>
      </c>
      <c r="G18" s="155">
        <f t="shared" si="11"/>
        <v>879.23222799999996</v>
      </c>
      <c r="H18" s="155">
        <f t="shared" si="1"/>
        <v>613.77772474000005</v>
      </c>
      <c r="I18" s="155">
        <f>IF(OR('Input &amp; Findings'!$G$39='Drop Down Lists'!$E$3,'Input &amp; Findings'!$G$39='Drop Down Lists'!$E$5),MAX(D18:E18),MAX(B18:C18))</f>
        <v>0</v>
      </c>
      <c r="J18" s="156" t="str">
        <f>IF(AND(G18&lt;I18,J17="",J16="",J15=""),"Met","")</f>
        <v/>
      </c>
      <c r="K18" s="156" t="str">
        <f t="shared" ref="K18:K81" si="35">IF(AND(H18&lt;I18,K17="",K16="",K15=""),"Met","")</f>
        <v/>
      </c>
      <c r="L18" s="176">
        <f t="shared" si="2"/>
        <v>-10879.232228000001</v>
      </c>
      <c r="M18" s="176">
        <f t="shared" si="12"/>
        <v>0</v>
      </c>
      <c r="N18" s="176">
        <f>IF(AND(M18=MAX($M$14:$M$109),(SUM($N$14:N17)=0)),M18,0)</f>
        <v>0</v>
      </c>
      <c r="O18" s="176">
        <f t="shared" si="13"/>
        <v>0</v>
      </c>
      <c r="P18" s="176">
        <f t="shared" ref="P18:P81" si="36">IF(AND(N18=0,N19=0,N20=0,N21=0,N17=0,N16=0,N15=0),F18,"")</f>
        <v>0</v>
      </c>
      <c r="Q18" s="176">
        <f t="shared" ref="Q18:Q81" si="37">IF(AND(N18=0,N19=0,N20=0,N21=0,N17=0,N16=0,N15=0),I18,"")</f>
        <v>0</v>
      </c>
      <c r="R18" s="176">
        <f t="shared" si="3"/>
        <v>-10879.232228000001</v>
      </c>
      <c r="S18" s="176">
        <f t="shared" si="14"/>
        <v>0</v>
      </c>
      <c r="T18" s="176">
        <f>IF(AND(S18=MAX($S$14:$S$109),(SUM($T$14:T17)=0)),S18,0)</f>
        <v>0</v>
      </c>
      <c r="U18" s="176">
        <f t="shared" si="15"/>
        <v>0</v>
      </c>
      <c r="V18" s="176">
        <f>IF(AND(T18=0,T19=0,T20=0,T21=0,T17=0,T16=0,T15=0),P18,"")</f>
        <v>0</v>
      </c>
      <c r="W18" s="176">
        <f t="shared" si="27"/>
        <v>0</v>
      </c>
      <c r="X18" s="176">
        <f t="shared" si="4"/>
        <v>-10879.232228000001</v>
      </c>
      <c r="Y18" s="176">
        <f t="shared" si="16"/>
        <v>0</v>
      </c>
      <c r="Z18" s="176">
        <f>IF(AND(Y18=MAX($Y$14:$Y$109),(SUM($Z$14:Z17)=0)),Y18,0)</f>
        <v>0</v>
      </c>
      <c r="AA18" s="176">
        <f t="shared" si="17"/>
        <v>0</v>
      </c>
      <c r="AB18" s="176">
        <f t="shared" si="28"/>
        <v>0</v>
      </c>
      <c r="AC18" s="176">
        <f t="shared" si="29"/>
        <v>0</v>
      </c>
      <c r="AD18" s="176">
        <f t="shared" si="5"/>
        <v>-10879.232228000001</v>
      </c>
      <c r="AE18" s="176">
        <f t="shared" si="18"/>
        <v>0</v>
      </c>
      <c r="AF18" s="176">
        <f>IF(AND(AE18=MAX($AE$14:$AE$109),(SUM($AF$14:AF17)=0)),AE18,0)</f>
        <v>0</v>
      </c>
      <c r="AG18" s="176">
        <f t="shared" si="19"/>
        <v>0</v>
      </c>
      <c r="AH18" s="155">
        <f t="shared" si="0"/>
        <v>627.26</v>
      </c>
      <c r="AI18" s="176">
        <f t="shared" si="6"/>
        <v>-10879.232228000001</v>
      </c>
      <c r="AJ18" s="176">
        <f t="shared" si="7"/>
        <v>0</v>
      </c>
      <c r="AK18" s="176">
        <f>IF(AND(AJ18=MAX($AJ$14:$AJ$109),(SUM($AK$14:AK17)=0)),AJ18,0)</f>
        <v>0</v>
      </c>
      <c r="AL18" s="176">
        <f t="shared" si="26"/>
        <v>0</v>
      </c>
      <c r="AM18" s="176">
        <f t="shared" si="30"/>
        <v>0</v>
      </c>
      <c r="AN18" s="176">
        <f t="shared" si="31"/>
        <v>0</v>
      </c>
      <c r="AO18" s="176">
        <f t="shared" si="8"/>
        <v>-10879.232228000001</v>
      </c>
      <c r="AP18" s="176">
        <f t="shared" si="20"/>
        <v>0</v>
      </c>
      <c r="AQ18" s="176">
        <f>IF(AND(AP18=MAX($AP$14:$AP$109),(SUM($AQ$14:AQ17)=0)),AP18,0)</f>
        <v>0</v>
      </c>
      <c r="AR18" s="176">
        <f t="shared" si="21"/>
        <v>0</v>
      </c>
      <c r="AS18" s="176">
        <f>IF(AND(AQ18=0,AQ19=0,AQ20=0,AQ21=0,AQ17=0,AQ16=0,AQ15=0),AM18,"")</f>
        <v>0</v>
      </c>
      <c r="AT18" s="176">
        <f t="shared" si="32"/>
        <v>0</v>
      </c>
      <c r="AU18" s="176">
        <f t="shared" si="9"/>
        <v>-10879.232228000001</v>
      </c>
      <c r="AV18" s="176">
        <f t="shared" si="22"/>
        <v>0</v>
      </c>
      <c r="AW18" s="176">
        <f>IF(AND(AV18=MAX($AV$14:$AV$109),(SUM($AW$14:AW17)=0)),AV18,0)</f>
        <v>0</v>
      </c>
      <c r="AX18" s="176">
        <f t="shared" si="23"/>
        <v>0</v>
      </c>
      <c r="AY18" s="176">
        <f t="shared" si="33"/>
        <v>0</v>
      </c>
      <c r="AZ18" s="176">
        <f t="shared" si="34"/>
        <v>0</v>
      </c>
      <c r="BA18" s="176">
        <f t="shared" si="10"/>
        <v>-10879.232228000001</v>
      </c>
      <c r="BB18" s="176">
        <f t="shared" si="24"/>
        <v>0</v>
      </c>
      <c r="BC18" s="176">
        <f>IF(AND(BB18=MAX($BB$14:$BB$109),(SUM($BC$14:BC17)=0)),BB18,0)</f>
        <v>0</v>
      </c>
      <c r="BD18" s="176">
        <f t="shared" si="25"/>
        <v>0</v>
      </c>
      <c r="BE18" s="153">
        <v>4.1666666666666699E-2</v>
      </c>
      <c r="BG18" s="105"/>
      <c r="BH18" s="105"/>
      <c r="BI18" s="105"/>
      <c r="BJ18" s="105"/>
      <c r="BK18" s="105"/>
      <c r="BL18" s="105"/>
      <c r="BM18" s="105"/>
      <c r="BN18" s="105"/>
      <c r="BO18" s="105"/>
      <c r="BP18" s="105"/>
    </row>
    <row r="19" spans="1:68" ht="13.05" hidden="1" customHeight="1" x14ac:dyDescent="0.25">
      <c r="A19" s="153">
        <v>5.2083333333333301E-2</v>
      </c>
      <c r="B19" s="177">
        <f>'Data with RTF'!U9</f>
        <v>0</v>
      </c>
      <c r="C19" s="177">
        <f>'Data with RTF'!G9</f>
        <v>0</v>
      </c>
      <c r="D19" s="177">
        <f>'Data with RTF'!N9</f>
        <v>0</v>
      </c>
      <c r="E19" s="177">
        <f>'Data with RTF'!AB9</f>
        <v>0</v>
      </c>
      <c r="F19" s="155">
        <f>IF(OR('Input &amp; Findings'!$G$28='Drop Down Lists'!$E$2,'Input &amp; Findings'!$G$28='Drop Down Lists'!$E$4),SUM(B19:C19),SUM(D19:E19))</f>
        <v>0</v>
      </c>
      <c r="G19" s="155">
        <f t="shared" si="11"/>
        <v>879.23222799999996</v>
      </c>
      <c r="H19" s="155">
        <f t="shared" si="1"/>
        <v>613.77772474000005</v>
      </c>
      <c r="I19" s="155">
        <f>IF(OR('Input &amp; Findings'!$G$39='Drop Down Lists'!$E$3,'Input &amp; Findings'!$G$39='Drop Down Lists'!$E$5),MAX(D19:E19),MAX(B19:C19))</f>
        <v>0</v>
      </c>
      <c r="J19" s="156" t="str">
        <f t="shared" ref="J19:J82" si="38">IF(AND(G19&lt;I19,J18="",J17="",J16=""),"Met","")</f>
        <v/>
      </c>
      <c r="K19" s="156" t="str">
        <f t="shared" si="35"/>
        <v/>
      </c>
      <c r="L19" s="176">
        <f t="shared" si="2"/>
        <v>-10879.232228000001</v>
      </c>
      <c r="M19" s="176">
        <f t="shared" si="12"/>
        <v>0</v>
      </c>
      <c r="N19" s="176">
        <f>IF(AND(M19=MAX($M$14:$M$109),(SUM($N$14:N18)=0)),M19,0)</f>
        <v>0</v>
      </c>
      <c r="O19" s="176">
        <f t="shared" si="13"/>
        <v>0</v>
      </c>
      <c r="P19" s="176">
        <f t="shared" si="36"/>
        <v>0</v>
      </c>
      <c r="Q19" s="176">
        <f t="shared" si="37"/>
        <v>0</v>
      </c>
      <c r="R19" s="176">
        <f t="shared" si="3"/>
        <v>-10879.232228000001</v>
      </c>
      <c r="S19" s="176">
        <f t="shared" si="14"/>
        <v>0</v>
      </c>
      <c r="T19" s="176">
        <f>IF(AND(S19=MAX($S$14:$S$109),(SUM($T$14:T18)=0)),S19,0)</f>
        <v>0</v>
      </c>
      <c r="U19" s="176">
        <f t="shared" si="15"/>
        <v>0</v>
      </c>
      <c r="V19" s="176">
        <f t="shared" ref="V19:V82" si="39">IF(AND(T19=0,T20=0,T21=0,T22=0,T18=0,T17=0,T16=0),P19,"")</f>
        <v>0</v>
      </c>
      <c r="W19" s="176">
        <f t="shared" si="27"/>
        <v>0</v>
      </c>
      <c r="X19" s="176">
        <f t="shared" si="4"/>
        <v>-10879.232228000001</v>
      </c>
      <c r="Y19" s="176">
        <f t="shared" si="16"/>
        <v>0</v>
      </c>
      <c r="Z19" s="176">
        <f>IF(AND(Y19=MAX($Y$14:$Y$109),(SUM($Z$14:Z18)=0)),Y19,0)</f>
        <v>0</v>
      </c>
      <c r="AA19" s="176">
        <f t="shared" si="17"/>
        <v>0</v>
      </c>
      <c r="AB19" s="176">
        <f t="shared" si="28"/>
        <v>0</v>
      </c>
      <c r="AC19" s="176">
        <f t="shared" si="29"/>
        <v>0</v>
      </c>
      <c r="AD19" s="176">
        <f t="shared" si="5"/>
        <v>-10879.232228000001</v>
      </c>
      <c r="AE19" s="176">
        <f t="shared" si="18"/>
        <v>0</v>
      </c>
      <c r="AF19" s="176">
        <f>IF(AND(AE19=MAX($AE$14:$AE$109),(SUM($AF$14:AF18)=0)),AE19,0)</f>
        <v>0</v>
      </c>
      <c r="AG19" s="176">
        <f t="shared" si="19"/>
        <v>0</v>
      </c>
      <c r="AH19" s="155">
        <f t="shared" si="0"/>
        <v>627.26</v>
      </c>
      <c r="AI19" s="176">
        <f t="shared" si="6"/>
        <v>-10879.232228000001</v>
      </c>
      <c r="AJ19" s="176">
        <f t="shared" si="7"/>
        <v>0</v>
      </c>
      <c r="AK19" s="176">
        <f>IF(AND(AJ19=MAX($AJ$14:$AJ$109),(SUM($AK$14:AK18)=0)),AJ19,0)</f>
        <v>0</v>
      </c>
      <c r="AL19" s="176">
        <f t="shared" si="26"/>
        <v>0</v>
      </c>
      <c r="AM19" s="176">
        <f t="shared" si="30"/>
        <v>0</v>
      </c>
      <c r="AN19" s="176">
        <f t="shared" si="31"/>
        <v>0</v>
      </c>
      <c r="AO19" s="176">
        <f t="shared" si="8"/>
        <v>-10879.232228000001</v>
      </c>
      <c r="AP19" s="176">
        <f t="shared" si="20"/>
        <v>0</v>
      </c>
      <c r="AQ19" s="176">
        <f>IF(AND(AP19=MAX($AP$14:$AP$109),(SUM($AQ$14:AQ18)=0)),AP19,0)</f>
        <v>0</v>
      </c>
      <c r="AR19" s="176">
        <f t="shared" si="21"/>
        <v>0</v>
      </c>
      <c r="AS19" s="176">
        <f t="shared" ref="AS19:AS82" si="40">IF(AND(AQ19=0,AQ20=0,AQ21=0,AQ22=0,AQ18=0,AQ17=0,AQ16=0),AM19,"")</f>
        <v>0</v>
      </c>
      <c r="AT19" s="176">
        <f t="shared" si="32"/>
        <v>0</v>
      </c>
      <c r="AU19" s="176">
        <f t="shared" si="9"/>
        <v>-10879.232228000001</v>
      </c>
      <c r="AV19" s="176">
        <f t="shared" si="22"/>
        <v>0</v>
      </c>
      <c r="AW19" s="176">
        <f>IF(AND(AV19=MAX($AV$14:$AV$109),(SUM($AW$14:AW18)=0)),AV19,0)</f>
        <v>0</v>
      </c>
      <c r="AX19" s="176">
        <f t="shared" si="23"/>
        <v>0</v>
      </c>
      <c r="AY19" s="176">
        <f t="shared" si="33"/>
        <v>0</v>
      </c>
      <c r="AZ19" s="176">
        <f t="shared" si="34"/>
        <v>0</v>
      </c>
      <c r="BA19" s="176">
        <f t="shared" si="10"/>
        <v>-10879.232228000001</v>
      </c>
      <c r="BB19" s="176">
        <f t="shared" si="24"/>
        <v>0</v>
      </c>
      <c r="BC19" s="176">
        <f>IF(AND(BB19=MAX($BB$14:$BB$109),(SUM($BC$14:BC18)=0)),BB19,0)</f>
        <v>0</v>
      </c>
      <c r="BD19" s="176">
        <f t="shared" si="25"/>
        <v>0</v>
      </c>
      <c r="BE19" s="153">
        <v>5.2083333333333301E-2</v>
      </c>
      <c r="BG19" s="105"/>
      <c r="BH19" s="105"/>
      <c r="BI19" s="105"/>
      <c r="BJ19" s="105"/>
      <c r="BK19" s="105"/>
      <c r="BL19" s="105"/>
      <c r="BM19" s="105"/>
      <c r="BN19" s="105"/>
      <c r="BO19" s="105"/>
      <c r="BP19" s="105"/>
    </row>
    <row r="20" spans="1:68" ht="13.05" hidden="1" customHeight="1" x14ac:dyDescent="0.25">
      <c r="A20" s="153">
        <v>6.25E-2</v>
      </c>
      <c r="B20" s="177">
        <f>'Data with RTF'!U10</f>
        <v>0</v>
      </c>
      <c r="C20" s="177">
        <f>'Data with RTF'!G10</f>
        <v>0</v>
      </c>
      <c r="D20" s="177">
        <f>'Data with RTF'!N10</f>
        <v>0</v>
      </c>
      <c r="E20" s="177">
        <f>'Data with RTF'!AB10</f>
        <v>0</v>
      </c>
      <c r="F20" s="155">
        <f>IF(OR('Input &amp; Findings'!$G$28='Drop Down Lists'!$E$2,'Input &amp; Findings'!$G$28='Drop Down Lists'!$E$4),SUM(B20:C20),SUM(D20:E20))</f>
        <v>0</v>
      </c>
      <c r="G20" s="155">
        <f t="shared" si="11"/>
        <v>879.23222799999996</v>
      </c>
      <c r="H20" s="155">
        <f t="shared" si="1"/>
        <v>613.77772474000005</v>
      </c>
      <c r="I20" s="155">
        <f>IF(OR('Input &amp; Findings'!$G$39='Drop Down Lists'!$E$3,'Input &amp; Findings'!$G$39='Drop Down Lists'!$E$5),MAX(D20:E20),MAX(B20:C20))</f>
        <v>0</v>
      </c>
      <c r="J20" s="156" t="str">
        <f t="shared" si="38"/>
        <v/>
      </c>
      <c r="K20" s="156" t="str">
        <f t="shared" si="35"/>
        <v/>
      </c>
      <c r="L20" s="176">
        <f t="shared" si="2"/>
        <v>-10879.232228000001</v>
      </c>
      <c r="M20" s="176">
        <f t="shared" si="12"/>
        <v>0</v>
      </c>
      <c r="N20" s="176">
        <f>IF(AND(M20=MAX($M$14:$M$109),(SUM($N$14:N19)=0)),M20,0)</f>
        <v>0</v>
      </c>
      <c r="O20" s="176">
        <f t="shared" si="13"/>
        <v>0</v>
      </c>
      <c r="P20" s="176">
        <f t="shared" si="36"/>
        <v>0</v>
      </c>
      <c r="Q20" s="176">
        <f t="shared" si="37"/>
        <v>0</v>
      </c>
      <c r="R20" s="176">
        <f t="shared" si="3"/>
        <v>-10879.232228000001</v>
      </c>
      <c r="S20" s="176">
        <f t="shared" si="14"/>
        <v>0</v>
      </c>
      <c r="T20" s="176">
        <f>IF(AND(S20=MAX($S$14:$S$109),(SUM($T$14:T19)=0)),S20,0)</f>
        <v>0</v>
      </c>
      <c r="U20" s="176">
        <f t="shared" si="15"/>
        <v>0</v>
      </c>
      <c r="V20" s="176">
        <f t="shared" si="39"/>
        <v>0</v>
      </c>
      <c r="W20" s="176">
        <f t="shared" si="27"/>
        <v>0</v>
      </c>
      <c r="X20" s="176">
        <f t="shared" si="4"/>
        <v>-10879.232228000001</v>
      </c>
      <c r="Y20" s="176">
        <f t="shared" si="16"/>
        <v>0</v>
      </c>
      <c r="Z20" s="176">
        <f>IF(AND(Y20=MAX($Y$14:$Y$109),(SUM($Z$14:Z19)=0)),Y20,0)</f>
        <v>0</v>
      </c>
      <c r="AA20" s="176">
        <f t="shared" si="17"/>
        <v>0</v>
      </c>
      <c r="AB20" s="176">
        <f t="shared" si="28"/>
        <v>0</v>
      </c>
      <c r="AC20" s="176">
        <f t="shared" si="29"/>
        <v>0</v>
      </c>
      <c r="AD20" s="176">
        <f t="shared" si="5"/>
        <v>-10879.232228000001</v>
      </c>
      <c r="AE20" s="176">
        <f t="shared" si="18"/>
        <v>0</v>
      </c>
      <c r="AF20" s="176">
        <f>IF(AND(AE20=MAX($AE$14:$AE$109),(SUM($AF$14:AF19)=0)),AE20,0)</f>
        <v>0</v>
      </c>
      <c r="AG20" s="176">
        <f t="shared" si="19"/>
        <v>0</v>
      </c>
      <c r="AH20" s="155">
        <f t="shared" si="0"/>
        <v>627.26</v>
      </c>
      <c r="AI20" s="176">
        <f t="shared" si="6"/>
        <v>-10879.232228000001</v>
      </c>
      <c r="AJ20" s="176">
        <f t="shared" si="7"/>
        <v>0</v>
      </c>
      <c r="AK20" s="176">
        <f>IF(AND(AJ20=MAX($AJ$14:$AJ$109),(SUM($AK$14:AK19)=0)),AJ20,0)</f>
        <v>0</v>
      </c>
      <c r="AL20" s="176">
        <f t="shared" si="26"/>
        <v>0</v>
      </c>
      <c r="AM20" s="176">
        <f t="shared" si="30"/>
        <v>0</v>
      </c>
      <c r="AN20" s="176">
        <f t="shared" si="31"/>
        <v>0</v>
      </c>
      <c r="AO20" s="176">
        <f t="shared" si="8"/>
        <v>-10879.232228000001</v>
      </c>
      <c r="AP20" s="176">
        <f t="shared" si="20"/>
        <v>0</v>
      </c>
      <c r="AQ20" s="176">
        <f>IF(AND(AP20=MAX($AP$14:$AP$109),(SUM($AQ$14:AQ19)=0)),AP20,0)</f>
        <v>0</v>
      </c>
      <c r="AR20" s="176">
        <f t="shared" si="21"/>
        <v>0</v>
      </c>
      <c r="AS20" s="176">
        <f t="shared" si="40"/>
        <v>0</v>
      </c>
      <c r="AT20" s="176">
        <f t="shared" si="32"/>
        <v>0</v>
      </c>
      <c r="AU20" s="176">
        <f t="shared" si="9"/>
        <v>-10879.232228000001</v>
      </c>
      <c r="AV20" s="176">
        <f t="shared" si="22"/>
        <v>0</v>
      </c>
      <c r="AW20" s="176">
        <f>IF(AND(AV20=MAX($AV$14:$AV$109),(SUM($AW$14:AW19)=0)),AV20,0)</f>
        <v>0</v>
      </c>
      <c r="AX20" s="176">
        <f t="shared" si="23"/>
        <v>0</v>
      </c>
      <c r="AY20" s="176">
        <f t="shared" si="33"/>
        <v>0</v>
      </c>
      <c r="AZ20" s="176">
        <f t="shared" si="34"/>
        <v>0</v>
      </c>
      <c r="BA20" s="176">
        <f t="shared" si="10"/>
        <v>-10879.232228000001</v>
      </c>
      <c r="BB20" s="176">
        <f t="shared" si="24"/>
        <v>0</v>
      </c>
      <c r="BC20" s="176">
        <f>IF(AND(BB20=MAX($BB$14:$BB$109),(SUM($BC$14:BC19)=0)),BB20,0)</f>
        <v>0</v>
      </c>
      <c r="BD20" s="176">
        <f t="shared" si="25"/>
        <v>0</v>
      </c>
      <c r="BE20" s="153">
        <v>6.25E-2</v>
      </c>
      <c r="BG20" s="105"/>
      <c r="BH20" s="105"/>
      <c r="BI20" s="105"/>
      <c r="BJ20" s="105"/>
      <c r="BK20" s="105"/>
      <c r="BL20" s="105"/>
      <c r="BM20" s="105"/>
      <c r="BN20" s="105"/>
      <c r="BO20" s="105"/>
      <c r="BP20" s="105"/>
    </row>
    <row r="21" spans="1:68" ht="13.05" hidden="1" customHeight="1" x14ac:dyDescent="0.25">
      <c r="A21" s="153">
        <v>7.2916666666666699E-2</v>
      </c>
      <c r="B21" s="177">
        <f>'Data with RTF'!U11</f>
        <v>0</v>
      </c>
      <c r="C21" s="177">
        <f>'Data with RTF'!G11</f>
        <v>0</v>
      </c>
      <c r="D21" s="177">
        <f>'Data with RTF'!N11</f>
        <v>0</v>
      </c>
      <c r="E21" s="177">
        <f>'Data with RTF'!AB11</f>
        <v>0</v>
      </c>
      <c r="F21" s="155">
        <f>IF(OR('Input &amp; Findings'!$G$28='Drop Down Lists'!$E$2,'Input &amp; Findings'!$G$28='Drop Down Lists'!$E$4),SUM(B21:C21),SUM(D21:E21))</f>
        <v>0</v>
      </c>
      <c r="G21" s="155">
        <f t="shared" si="11"/>
        <v>879.23222799999996</v>
      </c>
      <c r="H21" s="155">
        <f t="shared" si="1"/>
        <v>613.77772474000005</v>
      </c>
      <c r="I21" s="155">
        <f>IF(OR('Input &amp; Findings'!$G$39='Drop Down Lists'!$E$3,'Input &amp; Findings'!$G$39='Drop Down Lists'!$E$5),MAX(D21:E21),MAX(B21:C21))</f>
        <v>0</v>
      </c>
      <c r="J21" s="156" t="str">
        <f t="shared" si="38"/>
        <v/>
      </c>
      <c r="K21" s="156" t="str">
        <f t="shared" si="35"/>
        <v/>
      </c>
      <c r="L21" s="176">
        <f t="shared" si="2"/>
        <v>-10879.232228000001</v>
      </c>
      <c r="M21" s="176">
        <f t="shared" si="12"/>
        <v>0</v>
      </c>
      <c r="N21" s="176">
        <f>IF(AND(M21=MAX($M$14:$M$109),(SUM($N$14:N20)=0)),M21,0)</f>
        <v>0</v>
      </c>
      <c r="O21" s="176">
        <f t="shared" si="13"/>
        <v>0</v>
      </c>
      <c r="P21" s="176">
        <f t="shared" si="36"/>
        <v>0</v>
      </c>
      <c r="Q21" s="176">
        <f t="shared" si="37"/>
        <v>0</v>
      </c>
      <c r="R21" s="176">
        <f t="shared" si="3"/>
        <v>-10879.232228000001</v>
      </c>
      <c r="S21" s="176">
        <f t="shared" si="14"/>
        <v>0</v>
      </c>
      <c r="T21" s="176">
        <f>IF(AND(S21=MAX($S$14:$S$109),(SUM($T$14:T20)=0)),S21,0)</f>
        <v>0</v>
      </c>
      <c r="U21" s="176">
        <f t="shared" si="15"/>
        <v>0</v>
      </c>
      <c r="V21" s="176">
        <f t="shared" si="39"/>
        <v>0</v>
      </c>
      <c r="W21" s="176">
        <f t="shared" si="27"/>
        <v>0</v>
      </c>
      <c r="X21" s="176">
        <f t="shared" si="4"/>
        <v>-10879.232228000001</v>
      </c>
      <c r="Y21" s="176">
        <f t="shared" si="16"/>
        <v>0</v>
      </c>
      <c r="Z21" s="176">
        <f>IF(AND(Y21=MAX($Y$14:$Y$109),(SUM($Z$14:Z20)=0)),Y21,0)</f>
        <v>0</v>
      </c>
      <c r="AA21" s="176">
        <f t="shared" si="17"/>
        <v>0</v>
      </c>
      <c r="AB21" s="176">
        <f t="shared" si="28"/>
        <v>0</v>
      </c>
      <c r="AC21" s="176">
        <f t="shared" si="29"/>
        <v>0</v>
      </c>
      <c r="AD21" s="176">
        <f t="shared" si="5"/>
        <v>-10879.232228000001</v>
      </c>
      <c r="AE21" s="176">
        <f t="shared" si="18"/>
        <v>0</v>
      </c>
      <c r="AF21" s="176">
        <f>IF(AND(AE21=MAX($AE$14:$AE$109),(SUM($AF$14:AF20)=0)),AE21,0)</f>
        <v>0</v>
      </c>
      <c r="AG21" s="176">
        <f t="shared" si="19"/>
        <v>0</v>
      </c>
      <c r="AH21" s="155">
        <f t="shared" si="0"/>
        <v>627.26</v>
      </c>
      <c r="AI21" s="176">
        <f t="shared" si="6"/>
        <v>-10879.232228000001</v>
      </c>
      <c r="AJ21" s="176">
        <f t="shared" si="7"/>
        <v>0</v>
      </c>
      <c r="AK21" s="176">
        <f>IF(AND(AJ21=MAX($AJ$14:$AJ$109),(SUM($AK$14:AK20)=0)),AJ21,0)</f>
        <v>0</v>
      </c>
      <c r="AL21" s="176">
        <f t="shared" si="26"/>
        <v>0</v>
      </c>
      <c r="AM21" s="176">
        <f t="shared" si="30"/>
        <v>0</v>
      </c>
      <c r="AN21" s="176">
        <f t="shared" si="31"/>
        <v>0</v>
      </c>
      <c r="AO21" s="176">
        <f t="shared" si="8"/>
        <v>-10879.232228000001</v>
      </c>
      <c r="AP21" s="176">
        <f t="shared" si="20"/>
        <v>0</v>
      </c>
      <c r="AQ21" s="176">
        <f>IF(AND(AP21=MAX($AP$14:$AP$109),(SUM($AQ$14:AQ20)=0)),AP21,0)</f>
        <v>0</v>
      </c>
      <c r="AR21" s="176">
        <f t="shared" si="21"/>
        <v>0</v>
      </c>
      <c r="AS21" s="176">
        <f t="shared" si="40"/>
        <v>0</v>
      </c>
      <c r="AT21" s="176">
        <f t="shared" si="32"/>
        <v>0</v>
      </c>
      <c r="AU21" s="176">
        <f t="shared" si="9"/>
        <v>-10879.232228000001</v>
      </c>
      <c r="AV21" s="176">
        <f t="shared" si="22"/>
        <v>0</v>
      </c>
      <c r="AW21" s="176">
        <f>IF(AND(AV21=MAX($AV$14:$AV$109),(SUM($AW$14:AW20)=0)),AV21,0)</f>
        <v>0</v>
      </c>
      <c r="AX21" s="176">
        <f t="shared" si="23"/>
        <v>0</v>
      </c>
      <c r="AY21" s="176">
        <f t="shared" si="33"/>
        <v>0</v>
      </c>
      <c r="AZ21" s="176">
        <f t="shared" si="34"/>
        <v>0</v>
      </c>
      <c r="BA21" s="176">
        <f t="shared" si="10"/>
        <v>-10879.232228000001</v>
      </c>
      <c r="BB21" s="176">
        <f t="shared" si="24"/>
        <v>0</v>
      </c>
      <c r="BC21" s="176">
        <f>IF(AND(BB21=MAX($BB$14:$BB$109),(SUM($BC$14:BC20)=0)),BB21,0)</f>
        <v>0</v>
      </c>
      <c r="BD21" s="176">
        <f t="shared" si="25"/>
        <v>0</v>
      </c>
      <c r="BE21" s="153">
        <v>7.2916666666666699E-2</v>
      </c>
      <c r="BG21" s="105"/>
      <c r="BH21" s="105"/>
      <c r="BI21" s="105"/>
      <c r="BJ21" s="105"/>
      <c r="BK21" s="105"/>
      <c r="BL21" s="105"/>
      <c r="BM21" s="105"/>
      <c r="BN21" s="105"/>
      <c r="BO21" s="105"/>
      <c r="BP21" s="105"/>
    </row>
    <row r="22" spans="1:68" ht="13.05" hidden="1" customHeight="1" x14ac:dyDescent="0.25">
      <c r="A22" s="153">
        <v>8.3333333333333301E-2</v>
      </c>
      <c r="B22" s="177">
        <f>'Data with RTF'!U12</f>
        <v>0</v>
      </c>
      <c r="C22" s="177">
        <f>'Data with RTF'!G12</f>
        <v>0</v>
      </c>
      <c r="D22" s="177">
        <f>'Data with RTF'!N12</f>
        <v>0</v>
      </c>
      <c r="E22" s="177">
        <f>'Data with RTF'!AB12</f>
        <v>0</v>
      </c>
      <c r="F22" s="155">
        <f>IF(OR('Input &amp; Findings'!$G$28='Drop Down Lists'!$E$2,'Input &amp; Findings'!$G$28='Drop Down Lists'!$E$4),SUM(B22:C22),SUM(D22:E22))</f>
        <v>0</v>
      </c>
      <c r="G22" s="155">
        <f t="shared" si="11"/>
        <v>879.23222799999996</v>
      </c>
      <c r="H22" s="155">
        <f t="shared" si="1"/>
        <v>613.77772474000005</v>
      </c>
      <c r="I22" s="155">
        <f>IF(OR('Input &amp; Findings'!$G$39='Drop Down Lists'!$E$3,'Input &amp; Findings'!$G$39='Drop Down Lists'!$E$5),MAX(D22:E22),MAX(B22:C22))</f>
        <v>0</v>
      </c>
      <c r="J22" s="156" t="str">
        <f t="shared" si="38"/>
        <v/>
      </c>
      <c r="K22" s="156" t="str">
        <f t="shared" si="35"/>
        <v/>
      </c>
      <c r="L22" s="176">
        <f t="shared" si="2"/>
        <v>-10879.232228000001</v>
      </c>
      <c r="M22" s="176">
        <f t="shared" si="12"/>
        <v>0</v>
      </c>
      <c r="N22" s="176">
        <f>IF(AND(M22=MAX($M$14:$M$109),(SUM($N$14:N21)=0)),M22,0)</f>
        <v>0</v>
      </c>
      <c r="O22" s="176">
        <f t="shared" si="13"/>
        <v>0</v>
      </c>
      <c r="P22" s="176">
        <f t="shared" si="36"/>
        <v>0</v>
      </c>
      <c r="Q22" s="176">
        <f t="shared" si="37"/>
        <v>0</v>
      </c>
      <c r="R22" s="176">
        <f t="shared" si="3"/>
        <v>-10879.232228000001</v>
      </c>
      <c r="S22" s="176">
        <f t="shared" si="14"/>
        <v>0</v>
      </c>
      <c r="T22" s="176">
        <f>IF(AND(S22=MAX($S$14:$S$109),(SUM($T$14:T21)=0)),S22,0)</f>
        <v>0</v>
      </c>
      <c r="U22" s="176">
        <f t="shared" si="15"/>
        <v>0</v>
      </c>
      <c r="V22" s="176">
        <f t="shared" si="39"/>
        <v>0</v>
      </c>
      <c r="W22" s="176">
        <f t="shared" si="27"/>
        <v>0</v>
      </c>
      <c r="X22" s="176">
        <f t="shared" si="4"/>
        <v>-10879.232228000001</v>
      </c>
      <c r="Y22" s="176">
        <f t="shared" si="16"/>
        <v>0</v>
      </c>
      <c r="Z22" s="176">
        <f>IF(AND(Y22=MAX($Y$14:$Y$109),(SUM($Z$14:Z21)=0)),Y22,0)</f>
        <v>0</v>
      </c>
      <c r="AA22" s="176">
        <f t="shared" si="17"/>
        <v>0</v>
      </c>
      <c r="AB22" s="176">
        <f t="shared" si="28"/>
        <v>0</v>
      </c>
      <c r="AC22" s="176">
        <f t="shared" si="29"/>
        <v>0</v>
      </c>
      <c r="AD22" s="176">
        <f t="shared" si="5"/>
        <v>-10879.232228000001</v>
      </c>
      <c r="AE22" s="176">
        <f t="shared" si="18"/>
        <v>0</v>
      </c>
      <c r="AF22" s="176">
        <f>IF(AND(AE22=MAX($AE$14:$AE$109),(SUM($AF$14:AF21)=0)),AE22,0)</f>
        <v>0</v>
      </c>
      <c r="AG22" s="176">
        <f t="shared" si="19"/>
        <v>0</v>
      </c>
      <c r="AH22" s="155">
        <f t="shared" si="0"/>
        <v>627.26</v>
      </c>
      <c r="AI22" s="176">
        <f t="shared" si="6"/>
        <v>-10879.232228000001</v>
      </c>
      <c r="AJ22" s="176">
        <f t="shared" si="7"/>
        <v>0</v>
      </c>
      <c r="AK22" s="176">
        <f>IF(AND(AJ22=MAX($AJ$14:$AJ$109),(SUM($AK$14:AK21)=0)),AJ22,0)</f>
        <v>0</v>
      </c>
      <c r="AL22" s="176">
        <f t="shared" si="26"/>
        <v>0</v>
      </c>
      <c r="AM22" s="176">
        <f t="shared" si="30"/>
        <v>0</v>
      </c>
      <c r="AN22" s="176">
        <f t="shared" si="31"/>
        <v>0</v>
      </c>
      <c r="AO22" s="176">
        <f t="shared" si="8"/>
        <v>-10879.232228000001</v>
      </c>
      <c r="AP22" s="176">
        <f t="shared" si="20"/>
        <v>0</v>
      </c>
      <c r="AQ22" s="176">
        <f>IF(AND(AP22=MAX($AP$14:$AP$109),(SUM($AQ$14:AQ21)=0)),AP22,0)</f>
        <v>0</v>
      </c>
      <c r="AR22" s="176">
        <f t="shared" si="21"/>
        <v>0</v>
      </c>
      <c r="AS22" s="176">
        <f t="shared" si="40"/>
        <v>0</v>
      </c>
      <c r="AT22" s="176">
        <f t="shared" si="32"/>
        <v>0</v>
      </c>
      <c r="AU22" s="176">
        <f t="shared" si="9"/>
        <v>-10879.232228000001</v>
      </c>
      <c r="AV22" s="176">
        <f t="shared" si="22"/>
        <v>0</v>
      </c>
      <c r="AW22" s="176">
        <f>IF(AND(AV22=MAX($AV$14:$AV$109),(SUM($AW$14:AW21)=0)),AV22,0)</f>
        <v>0</v>
      </c>
      <c r="AX22" s="176">
        <f t="shared" si="23"/>
        <v>0</v>
      </c>
      <c r="AY22" s="176">
        <f t="shared" si="33"/>
        <v>0</v>
      </c>
      <c r="AZ22" s="176">
        <f t="shared" si="34"/>
        <v>0</v>
      </c>
      <c r="BA22" s="176">
        <f t="shared" si="10"/>
        <v>-10879.232228000001</v>
      </c>
      <c r="BB22" s="176">
        <f t="shared" si="24"/>
        <v>0</v>
      </c>
      <c r="BC22" s="176">
        <f>IF(AND(BB22=MAX($BB$14:$BB$109),(SUM($BC$14:BC21)=0)),BB22,0)</f>
        <v>0</v>
      </c>
      <c r="BD22" s="176">
        <f t="shared" si="25"/>
        <v>0</v>
      </c>
      <c r="BE22" s="153">
        <v>8.3333333333333301E-2</v>
      </c>
      <c r="BG22" s="105"/>
      <c r="BH22" s="105"/>
      <c r="BI22" s="105"/>
      <c r="BJ22" s="105"/>
      <c r="BK22" s="105"/>
      <c r="BL22" s="105"/>
      <c r="BM22" s="105"/>
      <c r="BN22" s="105"/>
      <c r="BO22" s="105"/>
      <c r="BP22" s="105"/>
    </row>
    <row r="23" spans="1:68" ht="13.05" hidden="1" customHeight="1" x14ac:dyDescent="0.25">
      <c r="A23" s="153">
        <v>9.375E-2</v>
      </c>
      <c r="B23" s="177">
        <f>'Data with RTF'!U13</f>
        <v>0</v>
      </c>
      <c r="C23" s="177">
        <f>'Data with RTF'!G13</f>
        <v>0</v>
      </c>
      <c r="D23" s="177">
        <f>'Data with RTF'!N13</f>
        <v>0</v>
      </c>
      <c r="E23" s="177">
        <f>'Data with RTF'!AB13</f>
        <v>0</v>
      </c>
      <c r="F23" s="155">
        <f>IF(OR('Input &amp; Findings'!$G$28='Drop Down Lists'!$E$2,'Input &amp; Findings'!$G$28='Drop Down Lists'!$E$4),SUM(B23:C23),SUM(D23:E23))</f>
        <v>0</v>
      </c>
      <c r="G23" s="155">
        <f t="shared" si="11"/>
        <v>879.23222799999996</v>
      </c>
      <c r="H23" s="155">
        <f t="shared" si="1"/>
        <v>613.77772474000005</v>
      </c>
      <c r="I23" s="155">
        <f>IF(OR('Input &amp; Findings'!$G$39='Drop Down Lists'!$E$3,'Input &amp; Findings'!$G$39='Drop Down Lists'!$E$5),MAX(D23:E23),MAX(B23:C23))</f>
        <v>0</v>
      </c>
      <c r="J23" s="156" t="str">
        <f t="shared" si="38"/>
        <v/>
      </c>
      <c r="K23" s="156" t="str">
        <f t="shared" si="35"/>
        <v/>
      </c>
      <c r="L23" s="176">
        <f t="shared" si="2"/>
        <v>-10879.232228000001</v>
      </c>
      <c r="M23" s="176">
        <f t="shared" si="12"/>
        <v>0</v>
      </c>
      <c r="N23" s="176">
        <f>IF(AND(M23=MAX($M$14:$M$109),(SUM($N$14:N22)=0)),M23,0)</f>
        <v>0</v>
      </c>
      <c r="O23" s="176">
        <f t="shared" si="13"/>
        <v>0</v>
      </c>
      <c r="P23" s="176">
        <f t="shared" si="36"/>
        <v>0</v>
      </c>
      <c r="Q23" s="176">
        <f t="shared" si="37"/>
        <v>0</v>
      </c>
      <c r="R23" s="176">
        <f t="shared" si="3"/>
        <v>-10879.232228000001</v>
      </c>
      <c r="S23" s="176">
        <f t="shared" si="14"/>
        <v>0</v>
      </c>
      <c r="T23" s="176">
        <f>IF(AND(S23=MAX($S$14:$S$109),(SUM($T$14:T22)=0)),S23,0)</f>
        <v>0</v>
      </c>
      <c r="U23" s="176">
        <f t="shared" si="15"/>
        <v>0</v>
      </c>
      <c r="V23" s="176">
        <f t="shared" si="39"/>
        <v>0</v>
      </c>
      <c r="W23" s="176">
        <f t="shared" si="27"/>
        <v>0</v>
      </c>
      <c r="X23" s="176">
        <f t="shared" si="4"/>
        <v>-10879.232228000001</v>
      </c>
      <c r="Y23" s="176">
        <f t="shared" si="16"/>
        <v>0</v>
      </c>
      <c r="Z23" s="176">
        <f>IF(AND(Y23=MAX($Y$14:$Y$109),(SUM($Z$14:Z22)=0)),Y23,0)</f>
        <v>0</v>
      </c>
      <c r="AA23" s="176">
        <f t="shared" si="17"/>
        <v>0</v>
      </c>
      <c r="AB23" s="176">
        <f t="shared" si="28"/>
        <v>0</v>
      </c>
      <c r="AC23" s="176">
        <f t="shared" si="29"/>
        <v>0</v>
      </c>
      <c r="AD23" s="176">
        <f t="shared" si="5"/>
        <v>-10879.232228000001</v>
      </c>
      <c r="AE23" s="176">
        <f t="shared" si="18"/>
        <v>0</v>
      </c>
      <c r="AF23" s="176">
        <f>IF(AND(AE23=MAX($AE$14:$AE$109),(SUM($AF$14:AF22)=0)),AE23,0)</f>
        <v>0</v>
      </c>
      <c r="AG23" s="176">
        <f t="shared" si="19"/>
        <v>0</v>
      </c>
      <c r="AH23" s="155">
        <f t="shared" si="0"/>
        <v>627.26</v>
      </c>
      <c r="AI23" s="176">
        <f t="shared" si="6"/>
        <v>-10879.232228000001</v>
      </c>
      <c r="AJ23" s="176">
        <f t="shared" si="7"/>
        <v>0</v>
      </c>
      <c r="AK23" s="176">
        <f>IF(AND(AJ23=MAX($AJ$14:$AJ$109),(SUM($AK$14:AK22)=0)),AJ23,0)</f>
        <v>0</v>
      </c>
      <c r="AL23" s="176">
        <f t="shared" si="26"/>
        <v>0</v>
      </c>
      <c r="AM23" s="176">
        <f t="shared" si="30"/>
        <v>0</v>
      </c>
      <c r="AN23" s="176">
        <f t="shared" si="31"/>
        <v>0</v>
      </c>
      <c r="AO23" s="176">
        <f t="shared" si="8"/>
        <v>-10879.232228000001</v>
      </c>
      <c r="AP23" s="176">
        <f t="shared" si="20"/>
        <v>0</v>
      </c>
      <c r="AQ23" s="176">
        <f>IF(AND(AP23=MAX($AP$14:$AP$109),(SUM($AQ$14:AQ22)=0)),AP23,0)</f>
        <v>0</v>
      </c>
      <c r="AR23" s="176">
        <f t="shared" si="21"/>
        <v>0</v>
      </c>
      <c r="AS23" s="176">
        <f t="shared" si="40"/>
        <v>0</v>
      </c>
      <c r="AT23" s="176">
        <f t="shared" si="32"/>
        <v>0</v>
      </c>
      <c r="AU23" s="176">
        <f t="shared" si="9"/>
        <v>-10879.232228000001</v>
      </c>
      <c r="AV23" s="176">
        <f t="shared" si="22"/>
        <v>0</v>
      </c>
      <c r="AW23" s="176">
        <f>IF(AND(AV23=MAX($AV$14:$AV$109),(SUM($AW$14:AW22)=0)),AV23,0)</f>
        <v>0</v>
      </c>
      <c r="AX23" s="176">
        <f t="shared" si="23"/>
        <v>0</v>
      </c>
      <c r="AY23" s="176">
        <f t="shared" si="33"/>
        <v>0</v>
      </c>
      <c r="AZ23" s="176">
        <f t="shared" si="34"/>
        <v>0</v>
      </c>
      <c r="BA23" s="176">
        <f t="shared" si="10"/>
        <v>-10879.232228000001</v>
      </c>
      <c r="BB23" s="176">
        <f t="shared" si="24"/>
        <v>0</v>
      </c>
      <c r="BC23" s="176">
        <f>IF(AND(BB23=MAX($BB$14:$BB$109),(SUM($BC$14:BC22)=0)),BB23,0)</f>
        <v>0</v>
      </c>
      <c r="BD23" s="176">
        <f t="shared" si="25"/>
        <v>0</v>
      </c>
      <c r="BE23" s="153">
        <v>9.375E-2</v>
      </c>
      <c r="BG23" s="105"/>
      <c r="BH23" s="105"/>
      <c r="BI23" s="105"/>
      <c r="BJ23" s="105"/>
      <c r="BK23" s="105"/>
      <c r="BL23" s="105"/>
      <c r="BM23" s="105"/>
      <c r="BN23" s="105"/>
      <c r="BO23" s="105"/>
      <c r="BP23" s="105"/>
    </row>
    <row r="24" spans="1:68" ht="13.05" hidden="1" customHeight="1" x14ac:dyDescent="0.25">
      <c r="A24" s="153">
        <v>0.104166666666667</v>
      </c>
      <c r="B24" s="177">
        <f>'Data with RTF'!U14</f>
        <v>0</v>
      </c>
      <c r="C24" s="177">
        <f>'Data with RTF'!G14</f>
        <v>0</v>
      </c>
      <c r="D24" s="177">
        <f>'Data with RTF'!N14</f>
        <v>0</v>
      </c>
      <c r="E24" s="177">
        <f>'Data with RTF'!AB14</f>
        <v>0</v>
      </c>
      <c r="F24" s="155">
        <f>IF(OR('Input &amp; Findings'!$G$28='Drop Down Lists'!$E$2,'Input &amp; Findings'!$G$28='Drop Down Lists'!$E$4),SUM(B24:C24),SUM(D24:E24))</f>
        <v>0</v>
      </c>
      <c r="G24" s="155">
        <f t="shared" si="11"/>
        <v>879.23222799999996</v>
      </c>
      <c r="H24" s="155">
        <f t="shared" si="1"/>
        <v>613.77772474000005</v>
      </c>
      <c r="I24" s="155">
        <f>IF(OR('Input &amp; Findings'!$G$39='Drop Down Lists'!$E$3,'Input &amp; Findings'!$G$39='Drop Down Lists'!$E$5),MAX(D24:E24),MAX(B24:C24))</f>
        <v>0</v>
      </c>
      <c r="J24" s="156" t="str">
        <f t="shared" si="38"/>
        <v/>
      </c>
      <c r="K24" s="156" t="str">
        <f t="shared" si="35"/>
        <v/>
      </c>
      <c r="L24" s="176">
        <f t="shared" si="2"/>
        <v>-10879.232228000001</v>
      </c>
      <c r="M24" s="176">
        <f t="shared" si="12"/>
        <v>0</v>
      </c>
      <c r="N24" s="176">
        <f>IF(AND(M24=MAX($M$14:$M$109),(SUM($N$14:N23)=0)),M24,0)</f>
        <v>0</v>
      </c>
      <c r="O24" s="176">
        <f t="shared" si="13"/>
        <v>0</v>
      </c>
      <c r="P24" s="176">
        <f t="shared" si="36"/>
        <v>0</v>
      </c>
      <c r="Q24" s="176">
        <f t="shared" si="37"/>
        <v>0</v>
      </c>
      <c r="R24" s="176">
        <f t="shared" si="3"/>
        <v>-10879.232228000001</v>
      </c>
      <c r="S24" s="176">
        <f t="shared" si="14"/>
        <v>0</v>
      </c>
      <c r="T24" s="176">
        <f>IF(AND(S24=MAX($S$14:$S$109),(SUM($T$14:T23)=0)),S24,0)</f>
        <v>0</v>
      </c>
      <c r="U24" s="176">
        <f t="shared" si="15"/>
        <v>0</v>
      </c>
      <c r="V24" s="176">
        <f t="shared" si="39"/>
        <v>0</v>
      </c>
      <c r="W24" s="176">
        <f t="shared" si="27"/>
        <v>0</v>
      </c>
      <c r="X24" s="176">
        <f t="shared" si="4"/>
        <v>-10879.232228000001</v>
      </c>
      <c r="Y24" s="176">
        <f t="shared" si="16"/>
        <v>0</v>
      </c>
      <c r="Z24" s="176">
        <f>IF(AND(Y24=MAX($Y$14:$Y$109),(SUM($Z$14:Z23)=0)),Y24,0)</f>
        <v>0</v>
      </c>
      <c r="AA24" s="176">
        <f t="shared" si="17"/>
        <v>0</v>
      </c>
      <c r="AB24" s="176">
        <f t="shared" si="28"/>
        <v>0</v>
      </c>
      <c r="AC24" s="176">
        <f t="shared" si="29"/>
        <v>0</v>
      </c>
      <c r="AD24" s="176">
        <f t="shared" si="5"/>
        <v>-10879.232228000001</v>
      </c>
      <c r="AE24" s="176">
        <f t="shared" si="18"/>
        <v>0</v>
      </c>
      <c r="AF24" s="176">
        <f>IF(AND(AE24=MAX($AE$14:$AE$109),(SUM($AF$14:AF23)=0)),AE24,0)</f>
        <v>0</v>
      </c>
      <c r="AG24" s="176">
        <f t="shared" si="19"/>
        <v>0</v>
      </c>
      <c r="AH24" s="155">
        <f t="shared" si="0"/>
        <v>627.26</v>
      </c>
      <c r="AI24" s="176">
        <f t="shared" si="6"/>
        <v>-10879.232228000001</v>
      </c>
      <c r="AJ24" s="176">
        <f t="shared" si="7"/>
        <v>0</v>
      </c>
      <c r="AK24" s="176">
        <f>IF(AND(AJ24=MAX($AJ$14:$AJ$109),(SUM($AK$14:AK23)=0)),AJ24,0)</f>
        <v>0</v>
      </c>
      <c r="AL24" s="176">
        <f t="shared" si="26"/>
        <v>0</v>
      </c>
      <c r="AM24" s="176">
        <f t="shared" si="30"/>
        <v>0</v>
      </c>
      <c r="AN24" s="176">
        <f t="shared" si="31"/>
        <v>0</v>
      </c>
      <c r="AO24" s="176">
        <f t="shared" si="8"/>
        <v>-10879.232228000001</v>
      </c>
      <c r="AP24" s="176">
        <f t="shared" si="20"/>
        <v>0</v>
      </c>
      <c r="AQ24" s="176">
        <f>IF(AND(AP24=MAX($AP$14:$AP$109),(SUM($AQ$14:AQ23)=0)),AP24,0)</f>
        <v>0</v>
      </c>
      <c r="AR24" s="176">
        <f t="shared" si="21"/>
        <v>0</v>
      </c>
      <c r="AS24" s="176">
        <f t="shared" si="40"/>
        <v>0</v>
      </c>
      <c r="AT24" s="176">
        <f t="shared" si="32"/>
        <v>0</v>
      </c>
      <c r="AU24" s="176">
        <f t="shared" si="9"/>
        <v>-10879.232228000001</v>
      </c>
      <c r="AV24" s="176">
        <f t="shared" si="22"/>
        <v>0</v>
      </c>
      <c r="AW24" s="176">
        <f>IF(AND(AV24=MAX($AV$14:$AV$109),(SUM($AW$14:AW23)=0)),AV24,0)</f>
        <v>0</v>
      </c>
      <c r="AX24" s="176">
        <f t="shared" si="23"/>
        <v>0</v>
      </c>
      <c r="AY24" s="176">
        <f t="shared" si="33"/>
        <v>0</v>
      </c>
      <c r="AZ24" s="176">
        <f t="shared" si="34"/>
        <v>0</v>
      </c>
      <c r="BA24" s="176">
        <f t="shared" si="10"/>
        <v>-10879.232228000001</v>
      </c>
      <c r="BB24" s="176">
        <f t="shared" si="24"/>
        <v>0</v>
      </c>
      <c r="BC24" s="176">
        <f>IF(AND(BB24=MAX($BB$14:$BB$109),(SUM($BC$14:BC23)=0)),BB24,0)</f>
        <v>0</v>
      </c>
      <c r="BD24" s="176">
        <f t="shared" si="25"/>
        <v>0</v>
      </c>
      <c r="BE24" s="153">
        <v>0.104166666666667</v>
      </c>
      <c r="BG24" s="105"/>
      <c r="BH24" s="105"/>
      <c r="BI24" s="105"/>
      <c r="BJ24" s="105"/>
      <c r="BK24" s="105"/>
      <c r="BL24" s="105"/>
      <c r="BM24" s="105"/>
      <c r="BN24" s="105"/>
      <c r="BO24" s="105"/>
      <c r="BP24" s="105"/>
    </row>
    <row r="25" spans="1:68" ht="13.05" hidden="1" customHeight="1" x14ac:dyDescent="0.25">
      <c r="A25" s="153">
        <v>0.114583333333333</v>
      </c>
      <c r="B25" s="177">
        <f>'Data with RTF'!U15</f>
        <v>0</v>
      </c>
      <c r="C25" s="177">
        <f>'Data with RTF'!G15</f>
        <v>0</v>
      </c>
      <c r="D25" s="177">
        <f>'Data with RTF'!N15</f>
        <v>0</v>
      </c>
      <c r="E25" s="177">
        <f>'Data with RTF'!AB15</f>
        <v>0</v>
      </c>
      <c r="F25" s="155">
        <f>IF(OR('Input &amp; Findings'!$G$28='Drop Down Lists'!$E$2,'Input &amp; Findings'!$G$28='Drop Down Lists'!$E$4),SUM(B25:C25),SUM(D25:E25))</f>
        <v>0</v>
      </c>
      <c r="G25" s="155">
        <f t="shared" si="11"/>
        <v>879.23222799999996</v>
      </c>
      <c r="H25" s="155">
        <f t="shared" si="1"/>
        <v>613.77772474000005</v>
      </c>
      <c r="I25" s="155">
        <f>IF(OR('Input &amp; Findings'!$G$39='Drop Down Lists'!$E$3,'Input &amp; Findings'!$G$39='Drop Down Lists'!$E$5),MAX(D25:E25),MAX(B25:C25))</f>
        <v>0</v>
      </c>
      <c r="J25" s="156" t="str">
        <f t="shared" si="38"/>
        <v/>
      </c>
      <c r="K25" s="156" t="str">
        <f t="shared" si="35"/>
        <v/>
      </c>
      <c r="L25" s="176">
        <f t="shared" si="2"/>
        <v>-10879.232228000001</v>
      </c>
      <c r="M25" s="176">
        <f t="shared" si="12"/>
        <v>0</v>
      </c>
      <c r="N25" s="176">
        <f>IF(AND(M25=MAX($M$14:$M$109),(SUM($N$14:N24)=0)),M25,0)</f>
        <v>0</v>
      </c>
      <c r="O25" s="176">
        <f t="shared" si="13"/>
        <v>0</v>
      </c>
      <c r="P25" s="176">
        <f t="shared" si="36"/>
        <v>0</v>
      </c>
      <c r="Q25" s="176">
        <f t="shared" si="37"/>
        <v>0</v>
      </c>
      <c r="R25" s="176">
        <f t="shared" si="3"/>
        <v>-10879.232228000001</v>
      </c>
      <c r="S25" s="176">
        <f t="shared" si="14"/>
        <v>0</v>
      </c>
      <c r="T25" s="176">
        <f>IF(AND(S25=MAX($S$14:$S$109),(SUM($T$14:T24)=0)),S25,0)</f>
        <v>0</v>
      </c>
      <c r="U25" s="176">
        <f t="shared" si="15"/>
        <v>0</v>
      </c>
      <c r="V25" s="176">
        <f t="shared" si="39"/>
        <v>0</v>
      </c>
      <c r="W25" s="176">
        <f t="shared" si="27"/>
        <v>0</v>
      </c>
      <c r="X25" s="176">
        <f t="shared" si="4"/>
        <v>-10879.232228000001</v>
      </c>
      <c r="Y25" s="176">
        <f t="shared" si="16"/>
        <v>0</v>
      </c>
      <c r="Z25" s="176">
        <f>IF(AND(Y25=MAX($Y$14:$Y$109),(SUM($Z$14:Z24)=0)),Y25,0)</f>
        <v>0</v>
      </c>
      <c r="AA25" s="176">
        <f t="shared" si="17"/>
        <v>0</v>
      </c>
      <c r="AB25" s="176">
        <f t="shared" si="28"/>
        <v>0</v>
      </c>
      <c r="AC25" s="176">
        <f t="shared" si="29"/>
        <v>0</v>
      </c>
      <c r="AD25" s="176">
        <f t="shared" si="5"/>
        <v>-10879.232228000001</v>
      </c>
      <c r="AE25" s="176">
        <f t="shared" si="18"/>
        <v>0</v>
      </c>
      <c r="AF25" s="176">
        <f>IF(AND(AE25=MAX($AE$14:$AE$109),(SUM($AF$14:AF24)=0)),AE25,0)</f>
        <v>0</v>
      </c>
      <c r="AG25" s="176">
        <f t="shared" si="19"/>
        <v>0</v>
      </c>
      <c r="AH25" s="155">
        <f t="shared" si="0"/>
        <v>627.26</v>
      </c>
      <c r="AI25" s="176">
        <f t="shared" si="6"/>
        <v>-10879.232228000001</v>
      </c>
      <c r="AJ25" s="176">
        <f t="shared" si="7"/>
        <v>0</v>
      </c>
      <c r="AK25" s="176">
        <f>IF(AND(AJ25=MAX($AJ$14:$AJ$109),(SUM($AK$14:AK24)=0)),AJ25,0)</f>
        <v>0</v>
      </c>
      <c r="AL25" s="176">
        <f t="shared" si="26"/>
        <v>0</v>
      </c>
      <c r="AM25" s="176">
        <f t="shared" si="30"/>
        <v>0</v>
      </c>
      <c r="AN25" s="176">
        <f t="shared" si="31"/>
        <v>0</v>
      </c>
      <c r="AO25" s="176">
        <f t="shared" si="8"/>
        <v>-10879.232228000001</v>
      </c>
      <c r="AP25" s="176">
        <f t="shared" si="20"/>
        <v>0</v>
      </c>
      <c r="AQ25" s="176">
        <f>IF(AND(AP25=MAX($AP$14:$AP$109),(SUM($AQ$14:AQ24)=0)),AP25,0)</f>
        <v>0</v>
      </c>
      <c r="AR25" s="176">
        <f t="shared" si="21"/>
        <v>0</v>
      </c>
      <c r="AS25" s="176">
        <f t="shared" si="40"/>
        <v>0</v>
      </c>
      <c r="AT25" s="176">
        <f t="shared" si="32"/>
        <v>0</v>
      </c>
      <c r="AU25" s="176">
        <f t="shared" si="9"/>
        <v>-10879.232228000001</v>
      </c>
      <c r="AV25" s="176">
        <f t="shared" si="22"/>
        <v>0</v>
      </c>
      <c r="AW25" s="176">
        <f>IF(AND(AV25=MAX($AV$14:$AV$109),(SUM($AW$14:AW24)=0)),AV25,0)</f>
        <v>0</v>
      </c>
      <c r="AX25" s="176">
        <f t="shared" si="23"/>
        <v>0</v>
      </c>
      <c r="AY25" s="176">
        <f t="shared" si="33"/>
        <v>0</v>
      </c>
      <c r="AZ25" s="176">
        <f t="shared" si="34"/>
        <v>0</v>
      </c>
      <c r="BA25" s="176">
        <f t="shared" si="10"/>
        <v>-10879.232228000001</v>
      </c>
      <c r="BB25" s="176">
        <f t="shared" si="24"/>
        <v>0</v>
      </c>
      <c r="BC25" s="176">
        <f>IF(AND(BB25=MAX($BB$14:$BB$109),(SUM($BC$14:BC24)=0)),BB25,0)</f>
        <v>0</v>
      </c>
      <c r="BD25" s="176">
        <f t="shared" si="25"/>
        <v>0</v>
      </c>
      <c r="BE25" s="153">
        <v>0.114583333333333</v>
      </c>
      <c r="BG25" s="105"/>
      <c r="BH25" s="105"/>
      <c r="BI25" s="105"/>
      <c r="BJ25" s="105"/>
      <c r="BK25" s="105"/>
      <c r="BL25" s="105"/>
      <c r="BM25" s="105"/>
      <c r="BN25" s="105"/>
      <c r="BO25" s="105"/>
      <c r="BP25" s="105"/>
    </row>
    <row r="26" spans="1:68" ht="13.05" hidden="1" customHeight="1" x14ac:dyDescent="0.25">
      <c r="A26" s="153">
        <v>0.125</v>
      </c>
      <c r="B26" s="177">
        <f>'Data with RTF'!U16</f>
        <v>0</v>
      </c>
      <c r="C26" s="177">
        <f>'Data with RTF'!G16</f>
        <v>0</v>
      </c>
      <c r="D26" s="177">
        <f>'Data with RTF'!N16</f>
        <v>0</v>
      </c>
      <c r="E26" s="177">
        <f>'Data with RTF'!AB16</f>
        <v>0</v>
      </c>
      <c r="F26" s="155">
        <f>IF(OR('Input &amp; Findings'!$G$28='Drop Down Lists'!$E$2,'Input &amp; Findings'!$G$28='Drop Down Lists'!$E$4),SUM(B26:C26),SUM(D26:E26))</f>
        <v>0</v>
      </c>
      <c r="G26" s="155">
        <f t="shared" si="11"/>
        <v>879.23222799999996</v>
      </c>
      <c r="H26" s="155">
        <f t="shared" si="1"/>
        <v>613.77772474000005</v>
      </c>
      <c r="I26" s="155">
        <f>IF(OR('Input &amp; Findings'!$G$39='Drop Down Lists'!$E$3,'Input &amp; Findings'!$G$39='Drop Down Lists'!$E$5),MAX(D26:E26),MAX(B26:C26))</f>
        <v>0</v>
      </c>
      <c r="J26" s="156" t="str">
        <f t="shared" si="38"/>
        <v/>
      </c>
      <c r="K26" s="156" t="str">
        <f t="shared" si="35"/>
        <v/>
      </c>
      <c r="L26" s="176">
        <f t="shared" si="2"/>
        <v>-10879.232228000001</v>
      </c>
      <c r="M26" s="176">
        <f t="shared" si="12"/>
        <v>0</v>
      </c>
      <c r="N26" s="176">
        <f>IF(AND(M26=MAX($M$14:$M$109),(SUM($N$14:N25)=0)),M26,0)</f>
        <v>0</v>
      </c>
      <c r="O26" s="176">
        <f t="shared" si="13"/>
        <v>0</v>
      </c>
      <c r="P26" s="176">
        <f t="shared" si="36"/>
        <v>0</v>
      </c>
      <c r="Q26" s="176">
        <f t="shared" si="37"/>
        <v>0</v>
      </c>
      <c r="R26" s="176">
        <f t="shared" si="3"/>
        <v>-10879.232228000001</v>
      </c>
      <c r="S26" s="176">
        <f t="shared" si="14"/>
        <v>0</v>
      </c>
      <c r="T26" s="176">
        <f>IF(AND(S26=MAX($S$14:$S$109),(SUM($T$14:T25)=0)),S26,0)</f>
        <v>0</v>
      </c>
      <c r="U26" s="176">
        <f t="shared" si="15"/>
        <v>0</v>
      </c>
      <c r="V26" s="176">
        <f t="shared" si="39"/>
        <v>0</v>
      </c>
      <c r="W26" s="176">
        <f t="shared" si="27"/>
        <v>0</v>
      </c>
      <c r="X26" s="176">
        <f t="shared" si="4"/>
        <v>-10879.232228000001</v>
      </c>
      <c r="Y26" s="176">
        <f t="shared" si="16"/>
        <v>0</v>
      </c>
      <c r="Z26" s="176">
        <f>IF(AND(Y26=MAX($Y$14:$Y$109),(SUM($Z$14:Z25)=0)),Y26,0)</f>
        <v>0</v>
      </c>
      <c r="AA26" s="176">
        <f t="shared" si="17"/>
        <v>0</v>
      </c>
      <c r="AB26" s="176">
        <f t="shared" si="28"/>
        <v>0</v>
      </c>
      <c r="AC26" s="176">
        <f t="shared" si="29"/>
        <v>0</v>
      </c>
      <c r="AD26" s="176">
        <f t="shared" si="5"/>
        <v>-10879.232228000001</v>
      </c>
      <c r="AE26" s="176">
        <f t="shared" si="18"/>
        <v>0</v>
      </c>
      <c r="AF26" s="176">
        <f>IF(AND(AE26=MAX($AE$14:$AE$109),(SUM($AF$14:AF25)=0)),AE26,0)</f>
        <v>0</v>
      </c>
      <c r="AG26" s="176">
        <f t="shared" si="19"/>
        <v>0</v>
      </c>
      <c r="AH26" s="155">
        <f t="shared" si="0"/>
        <v>627.26</v>
      </c>
      <c r="AI26" s="176">
        <f t="shared" si="6"/>
        <v>-10879.232228000001</v>
      </c>
      <c r="AJ26" s="176">
        <f t="shared" si="7"/>
        <v>0</v>
      </c>
      <c r="AK26" s="176">
        <f>IF(AND(AJ26=MAX($AJ$14:$AJ$109),(SUM($AK$14:AK25)=0)),AJ26,0)</f>
        <v>0</v>
      </c>
      <c r="AL26" s="176">
        <f t="shared" si="26"/>
        <v>0</v>
      </c>
      <c r="AM26" s="176">
        <f t="shared" si="30"/>
        <v>0</v>
      </c>
      <c r="AN26" s="176">
        <f t="shared" si="31"/>
        <v>0</v>
      </c>
      <c r="AO26" s="176">
        <f t="shared" si="8"/>
        <v>-10879.232228000001</v>
      </c>
      <c r="AP26" s="176">
        <f t="shared" si="20"/>
        <v>0</v>
      </c>
      <c r="AQ26" s="176">
        <f>IF(AND(AP26=MAX($AP$14:$AP$109),(SUM($AQ$14:AQ25)=0)),AP26,0)</f>
        <v>0</v>
      </c>
      <c r="AR26" s="176">
        <f t="shared" si="21"/>
        <v>0</v>
      </c>
      <c r="AS26" s="176">
        <f t="shared" si="40"/>
        <v>0</v>
      </c>
      <c r="AT26" s="176">
        <f t="shared" si="32"/>
        <v>0</v>
      </c>
      <c r="AU26" s="176">
        <f t="shared" si="9"/>
        <v>-10879.232228000001</v>
      </c>
      <c r="AV26" s="176">
        <f t="shared" si="22"/>
        <v>0</v>
      </c>
      <c r="AW26" s="176">
        <f>IF(AND(AV26=MAX($AV$14:$AV$109),(SUM($AW$14:AW25)=0)),AV26,0)</f>
        <v>0</v>
      </c>
      <c r="AX26" s="176">
        <f t="shared" si="23"/>
        <v>0</v>
      </c>
      <c r="AY26" s="176">
        <f t="shared" si="33"/>
        <v>0</v>
      </c>
      <c r="AZ26" s="176">
        <f t="shared" si="34"/>
        <v>0</v>
      </c>
      <c r="BA26" s="176">
        <f t="shared" si="10"/>
        <v>-10879.232228000001</v>
      </c>
      <c r="BB26" s="176">
        <f t="shared" si="24"/>
        <v>0</v>
      </c>
      <c r="BC26" s="176">
        <f>IF(AND(BB26=MAX($BB$14:$BB$109),(SUM($BC$14:BC25)=0)),BB26,0)</f>
        <v>0</v>
      </c>
      <c r="BD26" s="176">
        <f t="shared" si="25"/>
        <v>0</v>
      </c>
      <c r="BE26" s="153">
        <v>0.125</v>
      </c>
      <c r="BG26" s="105"/>
      <c r="BH26" s="105"/>
      <c r="BI26" s="105"/>
      <c r="BJ26" s="105"/>
      <c r="BK26" s="105"/>
      <c r="BL26" s="105"/>
      <c r="BM26" s="105"/>
      <c r="BN26" s="105"/>
      <c r="BO26" s="105"/>
      <c r="BP26" s="105"/>
    </row>
    <row r="27" spans="1:68" ht="13.05" hidden="1" customHeight="1" x14ac:dyDescent="0.25">
      <c r="A27" s="153">
        <v>0.13541666666666699</v>
      </c>
      <c r="B27" s="177">
        <f>'Data with RTF'!U17</f>
        <v>0</v>
      </c>
      <c r="C27" s="177">
        <f>'Data with RTF'!G17</f>
        <v>0</v>
      </c>
      <c r="D27" s="177">
        <f>'Data with RTF'!N17</f>
        <v>0</v>
      </c>
      <c r="E27" s="177">
        <f>'Data with RTF'!AB17</f>
        <v>0</v>
      </c>
      <c r="F27" s="155">
        <f>IF(OR('Input &amp; Findings'!$G$28='Drop Down Lists'!$E$2,'Input &amp; Findings'!$G$28='Drop Down Lists'!$E$4),SUM(B27:C27),SUM(D27:E27))</f>
        <v>0</v>
      </c>
      <c r="G27" s="155">
        <f t="shared" si="11"/>
        <v>879.23222799999996</v>
      </c>
      <c r="H27" s="155">
        <f t="shared" si="1"/>
        <v>613.77772474000005</v>
      </c>
      <c r="I27" s="155">
        <f>IF(OR('Input &amp; Findings'!$G$39='Drop Down Lists'!$E$3,'Input &amp; Findings'!$G$39='Drop Down Lists'!$E$5),MAX(D27:E27),MAX(B27:C27))</f>
        <v>0</v>
      </c>
      <c r="J27" s="156" t="str">
        <f t="shared" si="38"/>
        <v/>
      </c>
      <c r="K27" s="156" t="str">
        <f t="shared" si="35"/>
        <v/>
      </c>
      <c r="L27" s="176">
        <f t="shared" si="2"/>
        <v>-10879.232228000001</v>
      </c>
      <c r="M27" s="176">
        <f t="shared" si="12"/>
        <v>0</v>
      </c>
      <c r="N27" s="176">
        <f>IF(AND(M27=MAX($M$14:$M$109),(SUM($N$14:N26)=0)),M27,0)</f>
        <v>0</v>
      </c>
      <c r="O27" s="176">
        <f t="shared" si="13"/>
        <v>0</v>
      </c>
      <c r="P27" s="176">
        <f t="shared" si="36"/>
        <v>0</v>
      </c>
      <c r="Q27" s="176">
        <f t="shared" si="37"/>
        <v>0</v>
      </c>
      <c r="R27" s="176">
        <f t="shared" si="3"/>
        <v>-10879.232228000001</v>
      </c>
      <c r="S27" s="176">
        <f t="shared" si="14"/>
        <v>0</v>
      </c>
      <c r="T27" s="176">
        <f>IF(AND(S27=MAX($S$14:$S$109),(SUM($T$14:T26)=0)),S27,0)</f>
        <v>0</v>
      </c>
      <c r="U27" s="176">
        <f t="shared" si="15"/>
        <v>0</v>
      </c>
      <c r="V27" s="176">
        <f t="shared" si="39"/>
        <v>0</v>
      </c>
      <c r="W27" s="176">
        <f t="shared" si="27"/>
        <v>0</v>
      </c>
      <c r="X27" s="176">
        <f t="shared" si="4"/>
        <v>-10879.232228000001</v>
      </c>
      <c r="Y27" s="176">
        <f t="shared" si="16"/>
        <v>0</v>
      </c>
      <c r="Z27" s="176">
        <f>IF(AND(Y27=MAX($Y$14:$Y$109),(SUM($Z$14:Z26)=0)),Y27,0)</f>
        <v>0</v>
      </c>
      <c r="AA27" s="176">
        <f t="shared" si="17"/>
        <v>0</v>
      </c>
      <c r="AB27" s="176">
        <f t="shared" si="28"/>
        <v>0</v>
      </c>
      <c r="AC27" s="176">
        <f t="shared" si="29"/>
        <v>0</v>
      </c>
      <c r="AD27" s="176">
        <f t="shared" si="5"/>
        <v>-10879.232228000001</v>
      </c>
      <c r="AE27" s="176">
        <f t="shared" si="18"/>
        <v>0</v>
      </c>
      <c r="AF27" s="176">
        <f>IF(AND(AE27=MAX($AE$14:$AE$109),(SUM($AF$14:AF26)=0)),AE27,0)</f>
        <v>0</v>
      </c>
      <c r="AG27" s="176">
        <f t="shared" si="19"/>
        <v>0</v>
      </c>
      <c r="AH27" s="155">
        <f t="shared" si="0"/>
        <v>627.26</v>
      </c>
      <c r="AI27" s="176">
        <f t="shared" si="6"/>
        <v>-10879.232228000001</v>
      </c>
      <c r="AJ27" s="176">
        <f t="shared" si="7"/>
        <v>0</v>
      </c>
      <c r="AK27" s="176">
        <f>IF(AND(AJ27=MAX($AJ$14:$AJ$109),(SUM($AK$14:AK26)=0)),AJ27,0)</f>
        <v>0</v>
      </c>
      <c r="AL27" s="176">
        <f t="shared" si="26"/>
        <v>0</v>
      </c>
      <c r="AM27" s="176">
        <f t="shared" si="30"/>
        <v>0</v>
      </c>
      <c r="AN27" s="176">
        <f t="shared" si="31"/>
        <v>0</v>
      </c>
      <c r="AO27" s="176">
        <f t="shared" si="8"/>
        <v>-10879.232228000001</v>
      </c>
      <c r="AP27" s="176">
        <f t="shared" si="20"/>
        <v>0</v>
      </c>
      <c r="AQ27" s="176">
        <f>IF(AND(AP27=MAX($AP$14:$AP$109),(SUM($AQ$14:AQ26)=0)),AP27,0)</f>
        <v>0</v>
      </c>
      <c r="AR27" s="176">
        <f t="shared" si="21"/>
        <v>0</v>
      </c>
      <c r="AS27" s="176">
        <f t="shared" si="40"/>
        <v>0</v>
      </c>
      <c r="AT27" s="176">
        <f t="shared" si="32"/>
        <v>0</v>
      </c>
      <c r="AU27" s="176">
        <f t="shared" si="9"/>
        <v>-10879.232228000001</v>
      </c>
      <c r="AV27" s="176">
        <f t="shared" si="22"/>
        <v>0</v>
      </c>
      <c r="AW27" s="176">
        <f>IF(AND(AV27=MAX($AV$14:$AV$109),(SUM($AW$14:AW26)=0)),AV27,0)</f>
        <v>0</v>
      </c>
      <c r="AX27" s="176">
        <f t="shared" si="23"/>
        <v>0</v>
      </c>
      <c r="AY27" s="176">
        <f t="shared" si="33"/>
        <v>0</v>
      </c>
      <c r="AZ27" s="176">
        <f t="shared" si="34"/>
        <v>0</v>
      </c>
      <c r="BA27" s="176">
        <f t="shared" si="10"/>
        <v>-10879.232228000001</v>
      </c>
      <c r="BB27" s="176">
        <f t="shared" si="24"/>
        <v>0</v>
      </c>
      <c r="BC27" s="176">
        <f>IF(AND(BB27=MAX($BB$14:$BB$109),(SUM($BC$14:BC26)=0)),BB27,0)</f>
        <v>0</v>
      </c>
      <c r="BD27" s="176">
        <f t="shared" si="25"/>
        <v>0</v>
      </c>
      <c r="BE27" s="153">
        <v>0.13541666666666699</v>
      </c>
      <c r="BG27" s="105"/>
      <c r="BH27" s="105"/>
      <c r="BI27" s="105"/>
      <c r="BJ27" s="105"/>
      <c r="BK27" s="105"/>
      <c r="BL27" s="105"/>
      <c r="BM27" s="105"/>
      <c r="BN27" s="105"/>
      <c r="BO27" s="105"/>
      <c r="BP27" s="105"/>
    </row>
    <row r="28" spans="1:68" ht="13.05" hidden="1" customHeight="1" x14ac:dyDescent="0.25">
      <c r="A28" s="153">
        <v>0.14583333333333301</v>
      </c>
      <c r="B28" s="177">
        <f>'Data with RTF'!U18</f>
        <v>0</v>
      </c>
      <c r="C28" s="177">
        <f>'Data with RTF'!G18</f>
        <v>0</v>
      </c>
      <c r="D28" s="177">
        <f>'Data with RTF'!N18</f>
        <v>0</v>
      </c>
      <c r="E28" s="177">
        <f>'Data with RTF'!AB18</f>
        <v>0</v>
      </c>
      <c r="F28" s="155">
        <f>IF(OR('Input &amp; Findings'!$G$28='Drop Down Lists'!$E$2,'Input &amp; Findings'!$G$28='Drop Down Lists'!$E$4),SUM(B28:C28),SUM(D28:E28))</f>
        <v>0</v>
      </c>
      <c r="G28" s="155">
        <f t="shared" si="11"/>
        <v>879.23222799999996</v>
      </c>
      <c r="H28" s="155">
        <f t="shared" si="1"/>
        <v>613.77772474000005</v>
      </c>
      <c r="I28" s="155">
        <f>IF(OR('Input &amp; Findings'!$G$39='Drop Down Lists'!$E$3,'Input &amp; Findings'!$G$39='Drop Down Lists'!$E$5),MAX(D28:E28),MAX(B28:C28))</f>
        <v>0</v>
      </c>
      <c r="J28" s="156" t="str">
        <f t="shared" si="38"/>
        <v/>
      </c>
      <c r="K28" s="156" t="str">
        <f t="shared" si="35"/>
        <v/>
      </c>
      <c r="L28" s="176">
        <f t="shared" si="2"/>
        <v>-10879.232228000001</v>
      </c>
      <c r="M28" s="176">
        <f t="shared" si="12"/>
        <v>0</v>
      </c>
      <c r="N28" s="176">
        <f>IF(AND(M28=MAX($M$14:$M$109),(SUM($N$14:N27)=0)),M28,0)</f>
        <v>0</v>
      </c>
      <c r="O28" s="176">
        <f t="shared" si="13"/>
        <v>0</v>
      </c>
      <c r="P28" s="176">
        <f t="shared" si="36"/>
        <v>0</v>
      </c>
      <c r="Q28" s="176">
        <f t="shared" si="37"/>
        <v>0</v>
      </c>
      <c r="R28" s="176">
        <f t="shared" si="3"/>
        <v>-10879.232228000001</v>
      </c>
      <c r="S28" s="176">
        <f t="shared" si="14"/>
        <v>0</v>
      </c>
      <c r="T28" s="176">
        <f>IF(AND(S28=MAX($S$14:$S$109),(SUM($T$14:T27)=0)),S28,0)</f>
        <v>0</v>
      </c>
      <c r="U28" s="176">
        <f t="shared" si="15"/>
        <v>0</v>
      </c>
      <c r="V28" s="176">
        <f t="shared" si="39"/>
        <v>0</v>
      </c>
      <c r="W28" s="176">
        <f t="shared" si="27"/>
        <v>0</v>
      </c>
      <c r="X28" s="176">
        <f t="shared" si="4"/>
        <v>-10879.232228000001</v>
      </c>
      <c r="Y28" s="176">
        <f t="shared" si="16"/>
        <v>0</v>
      </c>
      <c r="Z28" s="176">
        <f>IF(AND(Y28=MAX($Y$14:$Y$109),(SUM($Z$14:Z27)=0)),Y28,0)</f>
        <v>0</v>
      </c>
      <c r="AA28" s="176">
        <f t="shared" si="17"/>
        <v>0</v>
      </c>
      <c r="AB28" s="176">
        <f t="shared" si="28"/>
        <v>0</v>
      </c>
      <c r="AC28" s="176">
        <f t="shared" si="29"/>
        <v>0</v>
      </c>
      <c r="AD28" s="176">
        <f t="shared" si="5"/>
        <v>-10879.232228000001</v>
      </c>
      <c r="AE28" s="176">
        <f t="shared" si="18"/>
        <v>0</v>
      </c>
      <c r="AF28" s="176">
        <f>IF(AND(AE28=MAX($AE$14:$AE$109),(SUM($AF$14:AF27)=0)),AE28,0)</f>
        <v>0</v>
      </c>
      <c r="AG28" s="176">
        <f t="shared" si="19"/>
        <v>0</v>
      </c>
      <c r="AH28" s="155">
        <f t="shared" si="0"/>
        <v>627.26</v>
      </c>
      <c r="AI28" s="176">
        <f t="shared" si="6"/>
        <v>-10879.232228000001</v>
      </c>
      <c r="AJ28" s="176">
        <f t="shared" si="7"/>
        <v>0</v>
      </c>
      <c r="AK28" s="176">
        <f>IF(AND(AJ28=MAX($AJ$14:$AJ$109),(SUM($AK$14:AK27)=0)),AJ28,0)</f>
        <v>0</v>
      </c>
      <c r="AL28" s="176">
        <f t="shared" si="26"/>
        <v>0</v>
      </c>
      <c r="AM28" s="176">
        <f t="shared" si="30"/>
        <v>0</v>
      </c>
      <c r="AN28" s="176">
        <f t="shared" si="31"/>
        <v>0</v>
      </c>
      <c r="AO28" s="176">
        <f t="shared" si="8"/>
        <v>-10879.232228000001</v>
      </c>
      <c r="AP28" s="176">
        <f t="shared" si="20"/>
        <v>0</v>
      </c>
      <c r="AQ28" s="176">
        <f>IF(AND(AP28=MAX($AP$14:$AP$109),(SUM($AQ$14:AQ27)=0)),AP28,0)</f>
        <v>0</v>
      </c>
      <c r="AR28" s="176">
        <f t="shared" si="21"/>
        <v>0</v>
      </c>
      <c r="AS28" s="176">
        <f t="shared" si="40"/>
        <v>0</v>
      </c>
      <c r="AT28" s="176">
        <f t="shared" si="32"/>
        <v>0</v>
      </c>
      <c r="AU28" s="176">
        <f t="shared" si="9"/>
        <v>-10879.232228000001</v>
      </c>
      <c r="AV28" s="176">
        <f t="shared" si="22"/>
        <v>0</v>
      </c>
      <c r="AW28" s="176">
        <f>IF(AND(AV28=MAX($AV$14:$AV$109),(SUM($AW$14:AW27)=0)),AV28,0)</f>
        <v>0</v>
      </c>
      <c r="AX28" s="176">
        <f t="shared" si="23"/>
        <v>0</v>
      </c>
      <c r="AY28" s="176">
        <f t="shared" si="33"/>
        <v>0</v>
      </c>
      <c r="AZ28" s="176">
        <f t="shared" si="34"/>
        <v>0</v>
      </c>
      <c r="BA28" s="176">
        <f t="shared" si="10"/>
        <v>-10879.232228000001</v>
      </c>
      <c r="BB28" s="176">
        <f t="shared" si="24"/>
        <v>0</v>
      </c>
      <c r="BC28" s="176">
        <f>IF(AND(BB28=MAX($BB$14:$BB$109),(SUM($BC$14:BC27)=0)),BB28,0)</f>
        <v>0</v>
      </c>
      <c r="BD28" s="176">
        <f t="shared" si="25"/>
        <v>0</v>
      </c>
      <c r="BE28" s="153">
        <v>0.14583333333333301</v>
      </c>
      <c r="BG28" s="105"/>
      <c r="BH28" s="105"/>
      <c r="BI28" s="105"/>
      <c r="BJ28" s="105"/>
      <c r="BK28" s="105"/>
      <c r="BL28" s="105"/>
      <c r="BM28" s="105"/>
      <c r="BN28" s="105"/>
      <c r="BO28" s="105"/>
      <c r="BP28" s="105"/>
    </row>
    <row r="29" spans="1:68" ht="13.05" hidden="1" customHeight="1" x14ac:dyDescent="0.25">
      <c r="A29" s="153">
        <v>0.15625</v>
      </c>
      <c r="B29" s="177">
        <f>'Data with RTF'!U19</f>
        <v>0</v>
      </c>
      <c r="C29" s="177">
        <f>'Data with RTF'!G19</f>
        <v>0</v>
      </c>
      <c r="D29" s="177">
        <f>'Data with RTF'!N19</f>
        <v>0</v>
      </c>
      <c r="E29" s="177">
        <f>'Data with RTF'!AB19</f>
        <v>0</v>
      </c>
      <c r="F29" s="155">
        <f>IF(OR('Input &amp; Findings'!$G$28='Drop Down Lists'!$E$2,'Input &amp; Findings'!$G$28='Drop Down Lists'!$E$4),SUM(B29:C29),SUM(D29:E29))</f>
        <v>0</v>
      </c>
      <c r="G29" s="155">
        <f t="shared" si="11"/>
        <v>879.23222799999996</v>
      </c>
      <c r="H29" s="155">
        <f t="shared" si="1"/>
        <v>613.77772474000005</v>
      </c>
      <c r="I29" s="155">
        <f>IF(OR('Input &amp; Findings'!$G$39='Drop Down Lists'!$E$3,'Input &amp; Findings'!$G$39='Drop Down Lists'!$E$5),MAX(D29:E29),MAX(B29:C29))</f>
        <v>0</v>
      </c>
      <c r="J29" s="156" t="str">
        <f t="shared" si="38"/>
        <v/>
      </c>
      <c r="K29" s="156" t="str">
        <f t="shared" si="35"/>
        <v/>
      </c>
      <c r="L29" s="176">
        <f t="shared" si="2"/>
        <v>-10879.232228000001</v>
      </c>
      <c r="M29" s="176">
        <f t="shared" si="12"/>
        <v>0</v>
      </c>
      <c r="N29" s="176">
        <f>IF(AND(M29=MAX($M$14:$M$109),(SUM($N$14:N28)=0)),M29,0)</f>
        <v>0</v>
      </c>
      <c r="O29" s="176">
        <f t="shared" si="13"/>
        <v>0</v>
      </c>
      <c r="P29" s="176">
        <f t="shared" si="36"/>
        <v>0</v>
      </c>
      <c r="Q29" s="176">
        <f t="shared" si="37"/>
        <v>0</v>
      </c>
      <c r="R29" s="176">
        <f t="shared" si="3"/>
        <v>-10879.232228000001</v>
      </c>
      <c r="S29" s="176">
        <f t="shared" si="14"/>
        <v>0</v>
      </c>
      <c r="T29" s="176">
        <f>IF(AND(S29=MAX($S$14:$S$109),(SUM($T$14:T28)=0)),S29,0)</f>
        <v>0</v>
      </c>
      <c r="U29" s="176">
        <f t="shared" si="15"/>
        <v>0</v>
      </c>
      <c r="V29" s="176">
        <f t="shared" si="39"/>
        <v>0</v>
      </c>
      <c r="W29" s="176">
        <f t="shared" si="27"/>
        <v>0</v>
      </c>
      <c r="X29" s="176">
        <f t="shared" si="4"/>
        <v>-10879.232228000001</v>
      </c>
      <c r="Y29" s="176">
        <f t="shared" si="16"/>
        <v>0</v>
      </c>
      <c r="Z29" s="176">
        <f>IF(AND(Y29=MAX($Y$14:$Y$109),(SUM($Z$14:Z28)=0)),Y29,0)</f>
        <v>0</v>
      </c>
      <c r="AA29" s="176">
        <f t="shared" si="17"/>
        <v>0</v>
      </c>
      <c r="AB29" s="176">
        <f t="shared" si="28"/>
        <v>0</v>
      </c>
      <c r="AC29" s="176">
        <f t="shared" si="29"/>
        <v>0</v>
      </c>
      <c r="AD29" s="176">
        <f t="shared" si="5"/>
        <v>-10879.232228000001</v>
      </c>
      <c r="AE29" s="176">
        <f t="shared" si="18"/>
        <v>0</v>
      </c>
      <c r="AF29" s="176">
        <f>IF(AND(AE29=MAX($AE$14:$AE$109),(SUM($AF$14:AF28)=0)),AE29,0)</f>
        <v>0</v>
      </c>
      <c r="AG29" s="176">
        <f t="shared" si="19"/>
        <v>0</v>
      </c>
      <c r="AH29" s="155">
        <f t="shared" si="0"/>
        <v>627.26</v>
      </c>
      <c r="AI29" s="176">
        <f t="shared" si="6"/>
        <v>-10879.232228000001</v>
      </c>
      <c r="AJ29" s="176">
        <f t="shared" si="7"/>
        <v>0</v>
      </c>
      <c r="AK29" s="176">
        <f>IF(AND(AJ29=MAX($AJ$14:$AJ$109),(SUM($AK$14:AK28)=0)),AJ29,0)</f>
        <v>0</v>
      </c>
      <c r="AL29" s="176">
        <f t="shared" si="26"/>
        <v>0</v>
      </c>
      <c r="AM29" s="176">
        <f t="shared" si="30"/>
        <v>0</v>
      </c>
      <c r="AN29" s="176">
        <f t="shared" si="31"/>
        <v>0</v>
      </c>
      <c r="AO29" s="176">
        <f t="shared" si="8"/>
        <v>-10879.232228000001</v>
      </c>
      <c r="AP29" s="176">
        <f t="shared" si="20"/>
        <v>0</v>
      </c>
      <c r="AQ29" s="176">
        <f>IF(AND(AP29=MAX($AP$14:$AP$109),(SUM($AQ$14:AQ28)=0)),AP29,0)</f>
        <v>0</v>
      </c>
      <c r="AR29" s="176">
        <f t="shared" si="21"/>
        <v>0</v>
      </c>
      <c r="AS29" s="176">
        <f t="shared" si="40"/>
        <v>0</v>
      </c>
      <c r="AT29" s="176">
        <f t="shared" si="32"/>
        <v>0</v>
      </c>
      <c r="AU29" s="176">
        <f t="shared" si="9"/>
        <v>-10879.232228000001</v>
      </c>
      <c r="AV29" s="176">
        <f t="shared" si="22"/>
        <v>0</v>
      </c>
      <c r="AW29" s="176">
        <f>IF(AND(AV29=MAX($AV$14:$AV$109),(SUM($AW$14:AW28)=0)),AV29,0)</f>
        <v>0</v>
      </c>
      <c r="AX29" s="176">
        <f t="shared" si="23"/>
        <v>0</v>
      </c>
      <c r="AY29" s="176">
        <f t="shared" si="33"/>
        <v>0</v>
      </c>
      <c r="AZ29" s="176">
        <f t="shared" si="34"/>
        <v>0</v>
      </c>
      <c r="BA29" s="176">
        <f t="shared" si="10"/>
        <v>-10879.232228000001</v>
      </c>
      <c r="BB29" s="176">
        <f t="shared" si="24"/>
        <v>0</v>
      </c>
      <c r="BC29" s="176">
        <f>IF(AND(BB29=MAX($BB$14:$BB$109),(SUM($BC$14:BC28)=0)),BB29,0)</f>
        <v>0</v>
      </c>
      <c r="BD29" s="176">
        <f t="shared" si="25"/>
        <v>0</v>
      </c>
      <c r="BE29" s="153">
        <v>0.15625</v>
      </c>
      <c r="BG29" s="105"/>
      <c r="BH29" s="105"/>
      <c r="BI29" s="105"/>
      <c r="BJ29" s="105"/>
      <c r="BK29" s="105"/>
      <c r="BL29" s="105"/>
      <c r="BM29" s="105"/>
      <c r="BN29" s="105"/>
      <c r="BO29" s="105"/>
      <c r="BP29" s="105"/>
    </row>
    <row r="30" spans="1:68" ht="13.05" hidden="1" customHeight="1" x14ac:dyDescent="0.25">
      <c r="A30" s="153">
        <v>0.16666666666666699</v>
      </c>
      <c r="B30" s="177">
        <f>'Data with RTF'!U20</f>
        <v>0</v>
      </c>
      <c r="C30" s="177">
        <f>'Data with RTF'!G20</f>
        <v>0</v>
      </c>
      <c r="D30" s="177">
        <f>'Data with RTF'!N20</f>
        <v>0</v>
      </c>
      <c r="E30" s="177">
        <f>'Data with RTF'!AB20</f>
        <v>0</v>
      </c>
      <c r="F30" s="155">
        <f>IF(OR('Input &amp; Findings'!$G$28='Drop Down Lists'!$E$2,'Input &amp; Findings'!$G$28='Drop Down Lists'!$E$4),SUM(B30:C30),SUM(D30:E30))</f>
        <v>0</v>
      </c>
      <c r="G30" s="155">
        <f t="shared" si="11"/>
        <v>879.23222799999996</v>
      </c>
      <c r="H30" s="155">
        <f t="shared" si="1"/>
        <v>613.77772474000005</v>
      </c>
      <c r="I30" s="155">
        <f>IF(OR('Input &amp; Findings'!$G$39='Drop Down Lists'!$E$3,'Input &amp; Findings'!$G$39='Drop Down Lists'!$E$5),MAX(D30:E30),MAX(B30:C30))</f>
        <v>0</v>
      </c>
      <c r="J30" s="156" t="str">
        <f t="shared" si="38"/>
        <v/>
      </c>
      <c r="K30" s="156" t="str">
        <f t="shared" si="35"/>
        <v/>
      </c>
      <c r="L30" s="176">
        <f t="shared" si="2"/>
        <v>-10879.232228000001</v>
      </c>
      <c r="M30" s="176">
        <f t="shared" si="12"/>
        <v>0</v>
      </c>
      <c r="N30" s="176">
        <f>IF(AND(M30=MAX($M$14:$M$109),(SUM($N$14:N29)=0)),M30,0)</f>
        <v>0</v>
      </c>
      <c r="O30" s="176">
        <f t="shared" si="13"/>
        <v>0</v>
      </c>
      <c r="P30" s="176">
        <f t="shared" si="36"/>
        <v>0</v>
      </c>
      <c r="Q30" s="176">
        <f t="shared" si="37"/>
        <v>0</v>
      </c>
      <c r="R30" s="176">
        <f t="shared" si="3"/>
        <v>-10879.232228000001</v>
      </c>
      <c r="S30" s="176">
        <f t="shared" si="14"/>
        <v>0</v>
      </c>
      <c r="T30" s="176">
        <f>IF(AND(S30=MAX($S$14:$S$109),(SUM($T$14:T29)=0)),S30,0)</f>
        <v>0</v>
      </c>
      <c r="U30" s="176">
        <f t="shared" si="15"/>
        <v>0</v>
      </c>
      <c r="V30" s="176">
        <f t="shared" si="39"/>
        <v>0</v>
      </c>
      <c r="W30" s="176">
        <f t="shared" si="27"/>
        <v>0</v>
      </c>
      <c r="X30" s="176">
        <f t="shared" si="4"/>
        <v>-10879.232228000001</v>
      </c>
      <c r="Y30" s="176">
        <f t="shared" si="16"/>
        <v>0</v>
      </c>
      <c r="Z30" s="176">
        <f>IF(AND(Y30=MAX($Y$14:$Y$109),(SUM($Z$14:Z29)=0)),Y30,0)</f>
        <v>0</v>
      </c>
      <c r="AA30" s="176">
        <f t="shared" si="17"/>
        <v>0</v>
      </c>
      <c r="AB30" s="176">
        <f t="shared" si="28"/>
        <v>0</v>
      </c>
      <c r="AC30" s="176">
        <f t="shared" si="29"/>
        <v>0</v>
      </c>
      <c r="AD30" s="176">
        <f t="shared" si="5"/>
        <v>-10879.232228000001</v>
      </c>
      <c r="AE30" s="176">
        <f t="shared" si="18"/>
        <v>0</v>
      </c>
      <c r="AF30" s="176">
        <f>IF(AND(AE30=MAX($AE$14:$AE$109),(SUM($AF$14:AF29)=0)),AE30,0)</f>
        <v>0</v>
      </c>
      <c r="AG30" s="176">
        <f t="shared" si="19"/>
        <v>0</v>
      </c>
      <c r="AH30" s="155">
        <f t="shared" si="0"/>
        <v>627.26</v>
      </c>
      <c r="AI30" s="176">
        <f t="shared" si="6"/>
        <v>-10879.232228000001</v>
      </c>
      <c r="AJ30" s="176">
        <f t="shared" si="7"/>
        <v>0</v>
      </c>
      <c r="AK30" s="176">
        <f>IF(AND(AJ30=MAX($AJ$14:$AJ$109),(SUM($AK$14:AK29)=0)),AJ30,0)</f>
        <v>0</v>
      </c>
      <c r="AL30" s="176">
        <f t="shared" si="26"/>
        <v>0</v>
      </c>
      <c r="AM30" s="176">
        <f t="shared" si="30"/>
        <v>0</v>
      </c>
      <c r="AN30" s="176">
        <f t="shared" si="31"/>
        <v>0</v>
      </c>
      <c r="AO30" s="176">
        <f t="shared" si="8"/>
        <v>-10879.232228000001</v>
      </c>
      <c r="AP30" s="176">
        <f t="shared" si="20"/>
        <v>0</v>
      </c>
      <c r="AQ30" s="176">
        <f>IF(AND(AP30=MAX($AP$14:$AP$109),(SUM($AQ$14:AQ29)=0)),AP30,0)</f>
        <v>0</v>
      </c>
      <c r="AR30" s="176">
        <f t="shared" si="21"/>
        <v>0</v>
      </c>
      <c r="AS30" s="176">
        <f t="shared" si="40"/>
        <v>0</v>
      </c>
      <c r="AT30" s="176">
        <f t="shared" si="32"/>
        <v>0</v>
      </c>
      <c r="AU30" s="176">
        <f t="shared" si="9"/>
        <v>-10879.232228000001</v>
      </c>
      <c r="AV30" s="176">
        <f t="shared" si="22"/>
        <v>0</v>
      </c>
      <c r="AW30" s="176">
        <f>IF(AND(AV30=MAX($AV$14:$AV$109),(SUM($AW$14:AW29)=0)),AV30,0)</f>
        <v>0</v>
      </c>
      <c r="AX30" s="176">
        <f t="shared" si="23"/>
        <v>0</v>
      </c>
      <c r="AY30" s="176">
        <f t="shared" si="33"/>
        <v>0</v>
      </c>
      <c r="AZ30" s="176">
        <f t="shared" si="34"/>
        <v>0</v>
      </c>
      <c r="BA30" s="176">
        <f t="shared" si="10"/>
        <v>-10879.232228000001</v>
      </c>
      <c r="BB30" s="176">
        <f t="shared" si="24"/>
        <v>0</v>
      </c>
      <c r="BC30" s="176">
        <f>IF(AND(BB30=MAX($BB$14:$BB$109),(SUM($BC$14:BC29)=0)),BB30,0)</f>
        <v>0</v>
      </c>
      <c r="BD30" s="176">
        <f t="shared" si="25"/>
        <v>0</v>
      </c>
      <c r="BE30" s="153">
        <v>0.16666666666666699</v>
      </c>
      <c r="BG30" s="105"/>
      <c r="BH30" s="105"/>
      <c r="BI30" s="105"/>
      <c r="BJ30" s="105"/>
      <c r="BK30" s="105"/>
      <c r="BL30" s="105"/>
      <c r="BM30" s="105"/>
      <c r="BN30" s="105"/>
      <c r="BO30" s="105"/>
      <c r="BP30" s="105"/>
    </row>
    <row r="31" spans="1:68" ht="13.05" hidden="1" customHeight="1" x14ac:dyDescent="0.25">
      <c r="A31" s="153">
        <v>0.17708333333333301</v>
      </c>
      <c r="B31" s="177">
        <f>'Data with RTF'!U21</f>
        <v>0</v>
      </c>
      <c r="C31" s="177">
        <f>'Data with RTF'!G21</f>
        <v>0</v>
      </c>
      <c r="D31" s="177">
        <f>'Data with RTF'!N21</f>
        <v>0</v>
      </c>
      <c r="E31" s="177">
        <f>'Data with RTF'!AB21</f>
        <v>0</v>
      </c>
      <c r="F31" s="155">
        <f>IF(OR('Input &amp; Findings'!$G$28='Drop Down Lists'!$E$2,'Input &amp; Findings'!$G$28='Drop Down Lists'!$E$4),SUM(B31:C31),SUM(D31:E31))</f>
        <v>0</v>
      </c>
      <c r="G31" s="155">
        <f t="shared" si="11"/>
        <v>879.23222799999996</v>
      </c>
      <c r="H31" s="155">
        <f t="shared" si="1"/>
        <v>613.77772474000005</v>
      </c>
      <c r="I31" s="155">
        <f>IF(OR('Input &amp; Findings'!$G$39='Drop Down Lists'!$E$3,'Input &amp; Findings'!$G$39='Drop Down Lists'!$E$5),MAX(D31:E31),MAX(B31:C31))</f>
        <v>0</v>
      </c>
      <c r="J31" s="156" t="str">
        <f t="shared" si="38"/>
        <v/>
      </c>
      <c r="K31" s="156" t="str">
        <f t="shared" si="35"/>
        <v/>
      </c>
      <c r="L31" s="176">
        <f t="shared" si="2"/>
        <v>-10879.232228000001</v>
      </c>
      <c r="M31" s="176">
        <f t="shared" si="12"/>
        <v>0</v>
      </c>
      <c r="N31" s="176">
        <f>IF(AND(M31=MAX($M$14:$M$109),(SUM($N$14:N30)=0)),M31,0)</f>
        <v>0</v>
      </c>
      <c r="O31" s="176">
        <f t="shared" si="13"/>
        <v>0</v>
      </c>
      <c r="P31" s="176">
        <f t="shared" si="36"/>
        <v>0</v>
      </c>
      <c r="Q31" s="176">
        <f t="shared" si="37"/>
        <v>0</v>
      </c>
      <c r="R31" s="176">
        <f t="shared" si="3"/>
        <v>-10879.232228000001</v>
      </c>
      <c r="S31" s="176">
        <f t="shared" si="14"/>
        <v>0</v>
      </c>
      <c r="T31" s="176">
        <f>IF(AND(S31=MAX($S$14:$S$109),(SUM($T$14:T30)=0)),S31,0)</f>
        <v>0</v>
      </c>
      <c r="U31" s="176">
        <f t="shared" si="15"/>
        <v>0</v>
      </c>
      <c r="V31" s="176">
        <f t="shared" si="39"/>
        <v>0</v>
      </c>
      <c r="W31" s="176">
        <f t="shared" si="27"/>
        <v>0</v>
      </c>
      <c r="X31" s="176">
        <f t="shared" si="4"/>
        <v>-10879.232228000001</v>
      </c>
      <c r="Y31" s="176">
        <f t="shared" si="16"/>
        <v>0</v>
      </c>
      <c r="Z31" s="176">
        <f>IF(AND(Y31=MAX($Y$14:$Y$109),(SUM($Z$14:Z30)=0)),Y31,0)</f>
        <v>0</v>
      </c>
      <c r="AA31" s="176">
        <f t="shared" si="17"/>
        <v>0</v>
      </c>
      <c r="AB31" s="176">
        <f t="shared" si="28"/>
        <v>0</v>
      </c>
      <c r="AC31" s="176">
        <f t="shared" si="29"/>
        <v>0</v>
      </c>
      <c r="AD31" s="176">
        <f t="shared" si="5"/>
        <v>-10879.232228000001</v>
      </c>
      <c r="AE31" s="176">
        <f t="shared" si="18"/>
        <v>0</v>
      </c>
      <c r="AF31" s="176">
        <f>IF(AND(AE31=MAX($AE$14:$AE$109),(SUM($AF$14:AF30)=0)),AE31,0)</f>
        <v>0</v>
      </c>
      <c r="AG31" s="176">
        <f t="shared" si="19"/>
        <v>0</v>
      </c>
      <c r="AH31" s="155">
        <f t="shared" si="0"/>
        <v>627.26</v>
      </c>
      <c r="AI31" s="176">
        <f t="shared" si="6"/>
        <v>-10879.232228000001</v>
      </c>
      <c r="AJ31" s="176">
        <f t="shared" si="7"/>
        <v>0</v>
      </c>
      <c r="AK31" s="176">
        <f>IF(AND(AJ31=MAX($AJ$14:$AJ$109),(SUM($AK$14:AK30)=0)),AJ31,0)</f>
        <v>0</v>
      </c>
      <c r="AL31" s="176">
        <f t="shared" si="26"/>
        <v>0</v>
      </c>
      <c r="AM31" s="176">
        <f t="shared" si="30"/>
        <v>0</v>
      </c>
      <c r="AN31" s="176">
        <f t="shared" si="31"/>
        <v>0</v>
      </c>
      <c r="AO31" s="176">
        <f t="shared" si="8"/>
        <v>-10879.232228000001</v>
      </c>
      <c r="AP31" s="176">
        <f t="shared" si="20"/>
        <v>0</v>
      </c>
      <c r="AQ31" s="176">
        <f>IF(AND(AP31=MAX($AP$14:$AP$109),(SUM($AQ$14:AQ30)=0)),AP31,0)</f>
        <v>0</v>
      </c>
      <c r="AR31" s="176">
        <f t="shared" si="21"/>
        <v>0</v>
      </c>
      <c r="AS31" s="176">
        <f t="shared" si="40"/>
        <v>0</v>
      </c>
      <c r="AT31" s="176">
        <f t="shared" si="32"/>
        <v>0</v>
      </c>
      <c r="AU31" s="176">
        <f t="shared" si="9"/>
        <v>-10879.232228000001</v>
      </c>
      <c r="AV31" s="176">
        <f t="shared" si="22"/>
        <v>0</v>
      </c>
      <c r="AW31" s="176">
        <f>IF(AND(AV31=MAX($AV$14:$AV$109),(SUM($AW$14:AW30)=0)),AV31,0)</f>
        <v>0</v>
      </c>
      <c r="AX31" s="176">
        <f t="shared" si="23"/>
        <v>0</v>
      </c>
      <c r="AY31" s="176">
        <f t="shared" si="33"/>
        <v>0</v>
      </c>
      <c r="AZ31" s="176">
        <f t="shared" si="34"/>
        <v>0</v>
      </c>
      <c r="BA31" s="176">
        <f t="shared" si="10"/>
        <v>-10879.232228000001</v>
      </c>
      <c r="BB31" s="176">
        <f t="shared" si="24"/>
        <v>0</v>
      </c>
      <c r="BC31" s="176">
        <f>IF(AND(BB31=MAX($BB$14:$BB$109),(SUM($BC$14:BC30)=0)),BB31,0)</f>
        <v>0</v>
      </c>
      <c r="BD31" s="176">
        <f t="shared" si="25"/>
        <v>0</v>
      </c>
      <c r="BE31" s="153">
        <v>0.17708333333333301</v>
      </c>
      <c r="BG31" s="105"/>
      <c r="BH31" s="105"/>
      <c r="BI31" s="105"/>
      <c r="BJ31" s="105"/>
      <c r="BK31" s="105"/>
      <c r="BL31" s="105"/>
      <c r="BM31" s="105"/>
      <c r="BN31" s="105"/>
      <c r="BO31" s="105"/>
      <c r="BP31" s="105"/>
    </row>
    <row r="32" spans="1:68" ht="13.05" hidden="1" customHeight="1" x14ac:dyDescent="0.25">
      <c r="A32" s="153">
        <v>0.1875</v>
      </c>
      <c r="B32" s="177">
        <f>'Data with RTF'!U22</f>
        <v>0</v>
      </c>
      <c r="C32" s="177">
        <f>'Data with RTF'!G22</f>
        <v>0</v>
      </c>
      <c r="D32" s="177">
        <f>'Data with RTF'!N22</f>
        <v>0</v>
      </c>
      <c r="E32" s="177">
        <f>'Data with RTF'!AB22</f>
        <v>0</v>
      </c>
      <c r="F32" s="155">
        <f>IF(OR('Input &amp; Findings'!$G$28='Drop Down Lists'!$E$2,'Input &amp; Findings'!$G$28='Drop Down Lists'!$E$4),SUM(B32:C32),SUM(D32:E32))</f>
        <v>0</v>
      </c>
      <c r="G32" s="155">
        <f t="shared" si="11"/>
        <v>879.23222799999996</v>
      </c>
      <c r="H32" s="155">
        <f t="shared" si="1"/>
        <v>613.77772474000005</v>
      </c>
      <c r="I32" s="155">
        <f>IF(OR('Input &amp; Findings'!$G$39='Drop Down Lists'!$E$3,'Input &amp; Findings'!$G$39='Drop Down Lists'!$E$5),MAX(D32:E32),MAX(B32:C32))</f>
        <v>0</v>
      </c>
      <c r="J32" s="156" t="str">
        <f t="shared" si="38"/>
        <v/>
      </c>
      <c r="K32" s="156" t="str">
        <f t="shared" si="35"/>
        <v/>
      </c>
      <c r="L32" s="176">
        <f t="shared" si="2"/>
        <v>-10879.232228000001</v>
      </c>
      <c r="M32" s="176">
        <f t="shared" si="12"/>
        <v>0</v>
      </c>
      <c r="N32" s="176">
        <f>IF(AND(M32=MAX($M$14:$M$109),(SUM($N$14:N31)=0)),M32,0)</f>
        <v>0</v>
      </c>
      <c r="O32" s="176">
        <f t="shared" si="13"/>
        <v>0</v>
      </c>
      <c r="P32" s="176">
        <f t="shared" si="36"/>
        <v>0</v>
      </c>
      <c r="Q32" s="176">
        <f t="shared" si="37"/>
        <v>0</v>
      </c>
      <c r="R32" s="176">
        <f t="shared" si="3"/>
        <v>-10879.232228000001</v>
      </c>
      <c r="S32" s="176">
        <f t="shared" si="14"/>
        <v>0</v>
      </c>
      <c r="T32" s="176">
        <f>IF(AND(S32=MAX($S$14:$S$109),(SUM($T$14:T31)=0)),S32,0)</f>
        <v>0</v>
      </c>
      <c r="U32" s="176">
        <f t="shared" si="15"/>
        <v>0</v>
      </c>
      <c r="V32" s="176">
        <f t="shared" si="39"/>
        <v>0</v>
      </c>
      <c r="W32" s="176">
        <f t="shared" si="27"/>
        <v>0</v>
      </c>
      <c r="X32" s="176">
        <f t="shared" si="4"/>
        <v>-10879.232228000001</v>
      </c>
      <c r="Y32" s="176">
        <f t="shared" si="16"/>
        <v>0</v>
      </c>
      <c r="Z32" s="176">
        <f>IF(AND(Y32=MAX($Y$14:$Y$109),(SUM($Z$14:Z31)=0)),Y32,0)</f>
        <v>0</v>
      </c>
      <c r="AA32" s="176">
        <f t="shared" si="17"/>
        <v>0</v>
      </c>
      <c r="AB32" s="176">
        <f t="shared" si="28"/>
        <v>0</v>
      </c>
      <c r="AC32" s="176">
        <f t="shared" si="29"/>
        <v>0</v>
      </c>
      <c r="AD32" s="176">
        <f t="shared" si="5"/>
        <v>-10879.232228000001</v>
      </c>
      <c r="AE32" s="176">
        <f t="shared" si="18"/>
        <v>0</v>
      </c>
      <c r="AF32" s="176">
        <f>IF(AND(AE32=MAX($AE$14:$AE$109),(SUM($AF$14:AF31)=0)),AE32,0)</f>
        <v>0</v>
      </c>
      <c r="AG32" s="176">
        <f t="shared" si="19"/>
        <v>0</v>
      </c>
      <c r="AH32" s="155">
        <f t="shared" si="0"/>
        <v>627.26</v>
      </c>
      <c r="AI32" s="176">
        <f t="shared" si="6"/>
        <v>-10879.232228000001</v>
      </c>
      <c r="AJ32" s="176">
        <f t="shared" si="7"/>
        <v>0</v>
      </c>
      <c r="AK32" s="176">
        <f>IF(AND(AJ32=MAX($AJ$14:$AJ$109),(SUM($AK$14:AK31)=0)),AJ32,0)</f>
        <v>0</v>
      </c>
      <c r="AL32" s="176">
        <f t="shared" si="26"/>
        <v>0</v>
      </c>
      <c r="AM32" s="176">
        <f t="shared" si="30"/>
        <v>0</v>
      </c>
      <c r="AN32" s="176">
        <f t="shared" si="31"/>
        <v>0</v>
      </c>
      <c r="AO32" s="176">
        <f t="shared" si="8"/>
        <v>-10879.232228000001</v>
      </c>
      <c r="AP32" s="176">
        <f t="shared" si="20"/>
        <v>0</v>
      </c>
      <c r="AQ32" s="176">
        <f>IF(AND(AP32=MAX($AP$14:$AP$109),(SUM($AQ$14:AQ31)=0)),AP32,0)</f>
        <v>0</v>
      </c>
      <c r="AR32" s="176">
        <f t="shared" si="21"/>
        <v>0</v>
      </c>
      <c r="AS32" s="176">
        <f t="shared" si="40"/>
        <v>0</v>
      </c>
      <c r="AT32" s="176">
        <f t="shared" si="32"/>
        <v>0</v>
      </c>
      <c r="AU32" s="176">
        <f t="shared" si="9"/>
        <v>-10879.232228000001</v>
      </c>
      <c r="AV32" s="176">
        <f t="shared" si="22"/>
        <v>0</v>
      </c>
      <c r="AW32" s="176">
        <f>IF(AND(AV32=MAX($AV$14:$AV$109),(SUM($AW$14:AW31)=0)),AV32,0)</f>
        <v>0</v>
      </c>
      <c r="AX32" s="176">
        <f t="shared" si="23"/>
        <v>0</v>
      </c>
      <c r="AY32" s="176">
        <f t="shared" si="33"/>
        <v>0</v>
      </c>
      <c r="AZ32" s="176">
        <f t="shared" si="34"/>
        <v>0</v>
      </c>
      <c r="BA32" s="176">
        <f t="shared" si="10"/>
        <v>-10879.232228000001</v>
      </c>
      <c r="BB32" s="176">
        <f t="shared" si="24"/>
        <v>0</v>
      </c>
      <c r="BC32" s="176">
        <f>IF(AND(BB32=MAX($BB$14:$BB$109),(SUM($BC$14:BC31)=0)),BB32,0)</f>
        <v>0</v>
      </c>
      <c r="BD32" s="176">
        <f t="shared" si="25"/>
        <v>0</v>
      </c>
      <c r="BE32" s="153">
        <v>0.1875</v>
      </c>
      <c r="BG32" s="105"/>
      <c r="BH32" s="105"/>
      <c r="BI32" s="105"/>
      <c r="BJ32" s="105"/>
      <c r="BK32" s="105"/>
      <c r="BL32" s="105"/>
      <c r="BM32" s="105"/>
      <c r="BN32" s="105"/>
      <c r="BO32" s="105"/>
      <c r="BP32" s="105"/>
    </row>
    <row r="33" spans="1:68" ht="9.75" hidden="1" customHeight="1" x14ac:dyDescent="0.25">
      <c r="A33" s="153">
        <v>0.19791666666666699</v>
      </c>
      <c r="B33" s="177">
        <f>'Data with RTF'!U23</f>
        <v>0</v>
      </c>
      <c r="C33" s="177">
        <f>'Data with RTF'!G23</f>
        <v>0</v>
      </c>
      <c r="D33" s="177">
        <f>'Data with RTF'!N23</f>
        <v>0</v>
      </c>
      <c r="E33" s="177">
        <f>'Data with RTF'!AB23</f>
        <v>0</v>
      </c>
      <c r="F33" s="155">
        <f>IF(OR('Input &amp; Findings'!$G$28='Drop Down Lists'!$E$2,'Input &amp; Findings'!$G$28='Drop Down Lists'!$E$4),SUM(B33:C33),SUM(D33:E33))</f>
        <v>0</v>
      </c>
      <c r="G33" s="155">
        <f t="shared" si="11"/>
        <v>879.23222799999996</v>
      </c>
      <c r="H33" s="155">
        <f t="shared" si="1"/>
        <v>613.77772474000005</v>
      </c>
      <c r="I33" s="155">
        <f>IF(OR('Input &amp; Findings'!$G$39='Drop Down Lists'!$E$3,'Input &amp; Findings'!$G$39='Drop Down Lists'!$E$5),MAX(D33:E33),MAX(B33:C33))</f>
        <v>0</v>
      </c>
      <c r="J33" s="156" t="str">
        <f t="shared" si="38"/>
        <v/>
      </c>
      <c r="K33" s="156" t="str">
        <f t="shared" si="35"/>
        <v/>
      </c>
      <c r="L33" s="176">
        <f t="shared" si="2"/>
        <v>-10879.232228000001</v>
      </c>
      <c r="M33" s="176">
        <f t="shared" si="12"/>
        <v>0</v>
      </c>
      <c r="N33" s="176">
        <f>IF(AND(M33=MAX($M$14:$M$109),(SUM($N$14:N32)=0)),M33,0)</f>
        <v>0</v>
      </c>
      <c r="O33" s="176">
        <f t="shared" si="13"/>
        <v>0</v>
      </c>
      <c r="P33" s="176">
        <f t="shared" si="36"/>
        <v>0</v>
      </c>
      <c r="Q33" s="176">
        <f t="shared" si="37"/>
        <v>0</v>
      </c>
      <c r="R33" s="176">
        <f t="shared" si="3"/>
        <v>-10879.232228000001</v>
      </c>
      <c r="S33" s="176">
        <f t="shared" si="14"/>
        <v>0</v>
      </c>
      <c r="T33" s="176">
        <f>IF(AND(S33=MAX($S$14:$S$109),(SUM($T$14:T32)=0)),S33,0)</f>
        <v>0</v>
      </c>
      <c r="U33" s="176">
        <f t="shared" si="15"/>
        <v>0</v>
      </c>
      <c r="V33" s="176">
        <f t="shared" si="39"/>
        <v>0</v>
      </c>
      <c r="W33" s="176">
        <f t="shared" si="27"/>
        <v>0</v>
      </c>
      <c r="X33" s="176">
        <f t="shared" si="4"/>
        <v>-10879.232228000001</v>
      </c>
      <c r="Y33" s="176">
        <f t="shared" si="16"/>
        <v>0</v>
      </c>
      <c r="Z33" s="176">
        <f>IF(AND(Y33=MAX($Y$14:$Y$109),(SUM($Z$14:Z32)=0)),Y33,0)</f>
        <v>0</v>
      </c>
      <c r="AA33" s="176">
        <f t="shared" si="17"/>
        <v>0</v>
      </c>
      <c r="AB33" s="176">
        <f t="shared" si="28"/>
        <v>0</v>
      </c>
      <c r="AC33" s="176">
        <f t="shared" si="29"/>
        <v>0</v>
      </c>
      <c r="AD33" s="176">
        <f t="shared" si="5"/>
        <v>-10879.232228000001</v>
      </c>
      <c r="AE33" s="176">
        <f t="shared" si="18"/>
        <v>0</v>
      </c>
      <c r="AF33" s="176">
        <f>IF(AND(AE33=MAX($AE$14:$AE$109),(SUM($AF$14:AF32)=0)),AE33,0)</f>
        <v>0</v>
      </c>
      <c r="AG33" s="176">
        <f t="shared" si="19"/>
        <v>0</v>
      </c>
      <c r="AH33" s="155">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627.26</v>
      </c>
      <c r="AI33" s="176">
        <f t="shared" si="6"/>
        <v>-10879.232228000001</v>
      </c>
      <c r="AJ33" s="176">
        <f t="shared" si="7"/>
        <v>0</v>
      </c>
      <c r="AK33" s="176">
        <f>IF(AND(AJ33=MAX($AJ$14:$AJ$109),(SUM($AK$14:AK32)=0)),AJ33,0)</f>
        <v>0</v>
      </c>
      <c r="AL33" s="176">
        <f t="shared" si="26"/>
        <v>0</v>
      </c>
      <c r="AM33" s="176">
        <f t="shared" si="30"/>
        <v>0</v>
      </c>
      <c r="AN33" s="176">
        <f t="shared" si="31"/>
        <v>0</v>
      </c>
      <c r="AO33" s="176">
        <f t="shared" si="8"/>
        <v>-10879.232228000001</v>
      </c>
      <c r="AP33" s="176">
        <f t="shared" si="20"/>
        <v>0</v>
      </c>
      <c r="AQ33" s="176">
        <f>IF(AND(AP33=MAX($AP$14:$AP$109),(SUM($AQ$14:AQ32)=0)),AP33,0)</f>
        <v>0</v>
      </c>
      <c r="AR33" s="176">
        <f t="shared" si="21"/>
        <v>0</v>
      </c>
      <c r="AS33" s="176">
        <f t="shared" si="40"/>
        <v>0</v>
      </c>
      <c r="AT33" s="176">
        <f t="shared" si="32"/>
        <v>0</v>
      </c>
      <c r="AU33" s="176">
        <f t="shared" si="9"/>
        <v>-10879.232228000001</v>
      </c>
      <c r="AV33" s="176">
        <f t="shared" si="22"/>
        <v>0</v>
      </c>
      <c r="AW33" s="176">
        <f>IF(AND(AV33=MAX($AV$14:$AV$109),(SUM($AW$14:AW32)=0)),AV33,0)</f>
        <v>0</v>
      </c>
      <c r="AX33" s="176">
        <f t="shared" si="23"/>
        <v>0</v>
      </c>
      <c r="AY33" s="176">
        <f t="shared" si="33"/>
        <v>0</v>
      </c>
      <c r="AZ33" s="176">
        <f t="shared" si="34"/>
        <v>0</v>
      </c>
      <c r="BA33" s="176">
        <f t="shared" si="10"/>
        <v>-10879.232228000001</v>
      </c>
      <c r="BB33" s="176">
        <f t="shared" si="24"/>
        <v>0</v>
      </c>
      <c r="BC33" s="176">
        <f>IF(AND(BB33=MAX($BB$14:$BB$109),(SUM($BC$14:BC32)=0)),BB33,0)</f>
        <v>0</v>
      </c>
      <c r="BD33" s="176">
        <f t="shared" si="25"/>
        <v>0</v>
      </c>
      <c r="BE33" s="153">
        <v>0.19791666666666699</v>
      </c>
      <c r="BG33" s="105"/>
      <c r="BH33" s="105"/>
      <c r="BI33" s="105"/>
      <c r="BJ33" s="105"/>
      <c r="BK33" s="105"/>
      <c r="BL33" s="105"/>
      <c r="BM33" s="105"/>
      <c r="BN33" s="105"/>
      <c r="BO33" s="105"/>
      <c r="BP33" s="105"/>
    </row>
    <row r="34" spans="1:68" ht="10.050000000000001" hidden="1" customHeight="1" x14ac:dyDescent="0.25">
      <c r="A34" s="153">
        <v>0.20833333333333301</v>
      </c>
      <c r="B34" s="177">
        <f>'Data with RTF'!U24</f>
        <v>0</v>
      </c>
      <c r="C34" s="177">
        <f>'Data with RTF'!G24</f>
        <v>0</v>
      </c>
      <c r="D34" s="177">
        <f>'Data with RTF'!N24</f>
        <v>0</v>
      </c>
      <c r="E34" s="177">
        <f>'Data with RTF'!AB24</f>
        <v>0</v>
      </c>
      <c r="F34" s="155">
        <f>IF(OR('Input &amp; Findings'!$G$28='Drop Down Lists'!$E$2,'Input &amp; Findings'!$G$28='Drop Down Lists'!$E$4),SUM(B34:C34),SUM(D34:E34))</f>
        <v>0</v>
      </c>
      <c r="G34" s="155">
        <f t="shared" si="11"/>
        <v>879.23222799999996</v>
      </c>
      <c r="H34" s="155">
        <f t="shared" si="1"/>
        <v>613.77772474000005</v>
      </c>
      <c r="I34" s="155">
        <f>IF(OR('Input &amp; Findings'!$G$39='Drop Down Lists'!$E$3,'Input &amp; Findings'!$G$39='Drop Down Lists'!$E$5),MAX(D34:E34),MAX(B34:C34))</f>
        <v>0</v>
      </c>
      <c r="J34" s="156" t="str">
        <f t="shared" si="38"/>
        <v/>
      </c>
      <c r="K34" s="156" t="str">
        <f t="shared" si="35"/>
        <v/>
      </c>
      <c r="L34" s="176">
        <f t="shared" si="2"/>
        <v>-10879.232228000001</v>
      </c>
      <c r="M34" s="176">
        <f t="shared" si="12"/>
        <v>0</v>
      </c>
      <c r="N34" s="176">
        <f>IF(AND(M34=MAX($M$14:$M$109),(SUM($N$14:N33)=0)),M34,0)</f>
        <v>0</v>
      </c>
      <c r="O34" s="176">
        <f t="shared" si="13"/>
        <v>0</v>
      </c>
      <c r="P34" s="176">
        <f t="shared" si="36"/>
        <v>0</v>
      </c>
      <c r="Q34" s="176">
        <f t="shared" si="37"/>
        <v>0</v>
      </c>
      <c r="R34" s="176">
        <f t="shared" si="3"/>
        <v>-10879.232228000001</v>
      </c>
      <c r="S34" s="176">
        <f t="shared" si="14"/>
        <v>0</v>
      </c>
      <c r="T34" s="176">
        <f>IF(AND(S34=MAX($S$14:$S$109),(SUM($T$14:T33)=0)),S34,0)</f>
        <v>0</v>
      </c>
      <c r="U34" s="176">
        <f t="shared" si="15"/>
        <v>0</v>
      </c>
      <c r="V34" s="176">
        <f t="shared" si="39"/>
        <v>0</v>
      </c>
      <c r="W34" s="176">
        <f t="shared" si="27"/>
        <v>0</v>
      </c>
      <c r="X34" s="176">
        <f t="shared" si="4"/>
        <v>-10879.232228000001</v>
      </c>
      <c r="Y34" s="176">
        <f t="shared" si="16"/>
        <v>0</v>
      </c>
      <c r="Z34" s="176">
        <f>IF(AND(Y34=MAX($Y$14:$Y$109),(SUM($Z$14:Z33)=0)),Y34,0)</f>
        <v>0</v>
      </c>
      <c r="AA34" s="176">
        <f t="shared" si="17"/>
        <v>0</v>
      </c>
      <c r="AB34" s="176">
        <f t="shared" si="28"/>
        <v>0</v>
      </c>
      <c r="AC34" s="176">
        <f t="shared" si="29"/>
        <v>0</v>
      </c>
      <c r="AD34" s="176">
        <f t="shared" si="5"/>
        <v>-10879.232228000001</v>
      </c>
      <c r="AE34" s="176">
        <f t="shared" si="18"/>
        <v>0</v>
      </c>
      <c r="AF34" s="176">
        <f>IF(AND(AE34=MAX($AE$14:$AE$109),(SUM($AF$14:AF33)=0)),AE34,0)</f>
        <v>0</v>
      </c>
      <c r="AG34" s="176">
        <f t="shared" si="19"/>
        <v>0</v>
      </c>
      <c r="AH34" s="155">
        <f t="shared" si="0"/>
        <v>627.26</v>
      </c>
      <c r="AI34" s="176">
        <f t="shared" si="6"/>
        <v>-10879.232228000001</v>
      </c>
      <c r="AJ34" s="176">
        <f t="shared" si="7"/>
        <v>0</v>
      </c>
      <c r="AK34" s="176">
        <f>IF(AND(AJ34=MAX($AJ$14:$AJ$109),(SUM($AK$14:AK33)=0)),AJ34,0)</f>
        <v>0</v>
      </c>
      <c r="AL34" s="176">
        <f t="shared" si="26"/>
        <v>0</v>
      </c>
      <c r="AM34" s="176">
        <f t="shared" si="30"/>
        <v>0</v>
      </c>
      <c r="AN34" s="176">
        <f t="shared" si="31"/>
        <v>0</v>
      </c>
      <c r="AO34" s="176">
        <f t="shared" si="8"/>
        <v>-10879.232228000001</v>
      </c>
      <c r="AP34" s="176">
        <f t="shared" si="20"/>
        <v>0</v>
      </c>
      <c r="AQ34" s="176">
        <f>IF(AND(AP34=MAX($AP$14:$AP$109),(SUM($AQ$14:AQ33)=0)),AP34,0)</f>
        <v>0</v>
      </c>
      <c r="AR34" s="176">
        <f t="shared" si="21"/>
        <v>0</v>
      </c>
      <c r="AS34" s="176">
        <f t="shared" si="40"/>
        <v>0</v>
      </c>
      <c r="AT34" s="176">
        <f t="shared" si="32"/>
        <v>0</v>
      </c>
      <c r="AU34" s="176">
        <f t="shared" si="9"/>
        <v>-10879.232228000001</v>
      </c>
      <c r="AV34" s="176">
        <f t="shared" si="22"/>
        <v>0</v>
      </c>
      <c r="AW34" s="176">
        <f>IF(AND(AV34=MAX($AV$14:$AV$109),(SUM($AW$14:AW33)=0)),AV34,0)</f>
        <v>0</v>
      </c>
      <c r="AX34" s="176">
        <f t="shared" si="23"/>
        <v>0</v>
      </c>
      <c r="AY34" s="176">
        <f t="shared" si="33"/>
        <v>0</v>
      </c>
      <c r="AZ34" s="176">
        <f t="shared" si="34"/>
        <v>0</v>
      </c>
      <c r="BA34" s="176">
        <f t="shared" si="10"/>
        <v>-10879.232228000001</v>
      </c>
      <c r="BB34" s="176">
        <f t="shared" si="24"/>
        <v>0</v>
      </c>
      <c r="BC34" s="176">
        <f>IF(AND(BB34=MAX($BB$14:$BB$109),(SUM($BC$14:BC33)=0)),BB34,0)</f>
        <v>0</v>
      </c>
      <c r="BD34" s="176">
        <f t="shared" si="25"/>
        <v>0</v>
      </c>
      <c r="BE34" s="153">
        <v>0.20833333333333301</v>
      </c>
      <c r="BG34" s="105"/>
      <c r="BH34" s="105"/>
      <c r="BI34" s="105"/>
      <c r="BJ34" s="105"/>
      <c r="BK34" s="105"/>
      <c r="BL34" s="105"/>
      <c r="BM34" s="105"/>
      <c r="BN34" s="105"/>
      <c r="BO34" s="105"/>
      <c r="BP34" s="105"/>
    </row>
    <row r="35" spans="1:68" ht="10.050000000000001" hidden="1" customHeight="1" x14ac:dyDescent="0.25">
      <c r="A35" s="153">
        <v>0.21875</v>
      </c>
      <c r="B35" s="177">
        <f>'Data with RTF'!U25</f>
        <v>0</v>
      </c>
      <c r="C35" s="177">
        <f>'Data with RTF'!G25</f>
        <v>0</v>
      </c>
      <c r="D35" s="177">
        <f>'Data with RTF'!N25</f>
        <v>0</v>
      </c>
      <c r="E35" s="177">
        <f>'Data with RTF'!AB25</f>
        <v>0</v>
      </c>
      <c r="F35" s="155">
        <f>IF(OR('Input &amp; Findings'!$G$28='Drop Down Lists'!$E$2,'Input &amp; Findings'!$G$28='Drop Down Lists'!$E$4),SUM(B35:C35),SUM(D35:E35))</f>
        <v>0</v>
      </c>
      <c r="G35" s="155">
        <f t="shared" si="11"/>
        <v>879.23222799999996</v>
      </c>
      <c r="H35" s="155">
        <f t="shared" si="1"/>
        <v>613.77772474000005</v>
      </c>
      <c r="I35" s="155">
        <f>IF(OR('Input &amp; Findings'!$G$39='Drop Down Lists'!$E$3,'Input &amp; Findings'!$G$39='Drop Down Lists'!$E$5),MAX(D35:E35),MAX(B35:C35))</f>
        <v>0</v>
      </c>
      <c r="J35" s="156" t="str">
        <f t="shared" si="38"/>
        <v/>
      </c>
      <c r="K35" s="156" t="str">
        <f t="shared" si="35"/>
        <v/>
      </c>
      <c r="L35" s="176">
        <f t="shared" si="2"/>
        <v>-10879.232228000001</v>
      </c>
      <c r="M35" s="176">
        <f t="shared" si="12"/>
        <v>0</v>
      </c>
      <c r="N35" s="176">
        <f>IF(AND(M35=MAX($M$14:$M$109),(SUM($N$14:N34)=0)),M35,0)</f>
        <v>0</v>
      </c>
      <c r="O35" s="176">
        <f t="shared" si="13"/>
        <v>0</v>
      </c>
      <c r="P35" s="176">
        <f t="shared" si="36"/>
        <v>0</v>
      </c>
      <c r="Q35" s="176">
        <f t="shared" si="37"/>
        <v>0</v>
      </c>
      <c r="R35" s="176">
        <f t="shared" si="3"/>
        <v>-10879.232228000001</v>
      </c>
      <c r="S35" s="176">
        <f t="shared" si="14"/>
        <v>0</v>
      </c>
      <c r="T35" s="176">
        <f>IF(AND(S35=MAX($S$14:$S$109),(SUM($T$14:T34)=0)),S35,0)</f>
        <v>0</v>
      </c>
      <c r="U35" s="176">
        <f t="shared" si="15"/>
        <v>0</v>
      </c>
      <c r="V35" s="176">
        <f t="shared" si="39"/>
        <v>0</v>
      </c>
      <c r="W35" s="176">
        <f t="shared" si="27"/>
        <v>0</v>
      </c>
      <c r="X35" s="176">
        <f t="shared" si="4"/>
        <v>-10879.232228000001</v>
      </c>
      <c r="Y35" s="176">
        <f t="shared" si="16"/>
        <v>0</v>
      </c>
      <c r="Z35" s="176">
        <f>IF(AND(Y35=MAX($Y$14:$Y$109),(SUM($Z$14:Z34)=0)),Y35,0)</f>
        <v>0</v>
      </c>
      <c r="AA35" s="176">
        <f t="shared" si="17"/>
        <v>0</v>
      </c>
      <c r="AB35" s="176">
        <f t="shared" si="28"/>
        <v>0</v>
      </c>
      <c r="AC35" s="176">
        <f t="shared" si="29"/>
        <v>0</v>
      </c>
      <c r="AD35" s="176">
        <f t="shared" si="5"/>
        <v>-10879.232228000001</v>
      </c>
      <c r="AE35" s="176">
        <f t="shared" si="18"/>
        <v>0</v>
      </c>
      <c r="AF35" s="176">
        <f>IF(AND(AE35=MAX($AE$14:$AE$109),(SUM($AF$14:AF34)=0)),AE35,0)</f>
        <v>0</v>
      </c>
      <c r="AG35" s="176">
        <f t="shared" si="19"/>
        <v>0</v>
      </c>
      <c r="AH35" s="155">
        <f t="shared" si="0"/>
        <v>627.26</v>
      </c>
      <c r="AI35" s="176">
        <f t="shared" si="6"/>
        <v>-10879.232228000001</v>
      </c>
      <c r="AJ35" s="176">
        <f t="shared" si="7"/>
        <v>0</v>
      </c>
      <c r="AK35" s="176">
        <f>IF(AND(AJ35=MAX($AJ$14:$AJ$109),(SUM($AK$14:AK34)=0)),AJ35,0)</f>
        <v>0</v>
      </c>
      <c r="AL35" s="176">
        <f t="shared" si="26"/>
        <v>0</v>
      </c>
      <c r="AM35" s="176">
        <f t="shared" si="30"/>
        <v>0</v>
      </c>
      <c r="AN35" s="176">
        <f t="shared" si="31"/>
        <v>0</v>
      </c>
      <c r="AO35" s="176">
        <f t="shared" si="8"/>
        <v>-10879.232228000001</v>
      </c>
      <c r="AP35" s="176">
        <f t="shared" si="20"/>
        <v>0</v>
      </c>
      <c r="AQ35" s="176">
        <f>IF(AND(AP35=MAX($AP$14:$AP$109),(SUM($AQ$14:AQ34)=0)),AP35,0)</f>
        <v>0</v>
      </c>
      <c r="AR35" s="176">
        <f t="shared" si="21"/>
        <v>0</v>
      </c>
      <c r="AS35" s="176">
        <f t="shared" si="40"/>
        <v>0</v>
      </c>
      <c r="AT35" s="176">
        <f t="shared" si="32"/>
        <v>0</v>
      </c>
      <c r="AU35" s="176">
        <f t="shared" si="9"/>
        <v>-10879.232228000001</v>
      </c>
      <c r="AV35" s="176">
        <f t="shared" si="22"/>
        <v>0</v>
      </c>
      <c r="AW35" s="176">
        <f>IF(AND(AV35=MAX($AV$14:$AV$109),(SUM($AW$14:AW34)=0)),AV35,0)</f>
        <v>0</v>
      </c>
      <c r="AX35" s="176">
        <f t="shared" si="23"/>
        <v>0</v>
      </c>
      <c r="AY35" s="176">
        <f t="shared" si="33"/>
        <v>0</v>
      </c>
      <c r="AZ35" s="176">
        <f t="shared" si="34"/>
        <v>0</v>
      </c>
      <c r="BA35" s="176">
        <f t="shared" si="10"/>
        <v>-10879.232228000001</v>
      </c>
      <c r="BB35" s="176">
        <f t="shared" si="24"/>
        <v>0</v>
      </c>
      <c r="BC35" s="176">
        <f>IF(AND(BB35=MAX($BB$14:$BB$109),(SUM($BC$14:BC34)=0)),BB35,0)</f>
        <v>0</v>
      </c>
      <c r="BD35" s="176">
        <f t="shared" si="25"/>
        <v>0</v>
      </c>
      <c r="BE35" s="153">
        <v>0.21875</v>
      </c>
      <c r="BG35" s="105"/>
      <c r="BH35" s="105"/>
      <c r="BI35" s="105"/>
      <c r="BJ35" s="105"/>
      <c r="BK35" s="105"/>
      <c r="BL35" s="105"/>
      <c r="BM35" s="105"/>
      <c r="BN35" s="105"/>
      <c r="BO35" s="105"/>
      <c r="BP35" s="105"/>
    </row>
    <row r="36" spans="1:68" ht="10.050000000000001" hidden="1" customHeight="1" x14ac:dyDescent="0.25">
      <c r="A36" s="153">
        <v>0.22916666666666699</v>
      </c>
      <c r="B36" s="177">
        <f>'Data with RTF'!U26</f>
        <v>0</v>
      </c>
      <c r="C36" s="177">
        <f>'Data with RTF'!G26</f>
        <v>0</v>
      </c>
      <c r="D36" s="177">
        <f>'Data with RTF'!N26</f>
        <v>0</v>
      </c>
      <c r="E36" s="177">
        <f>'Data with RTF'!AB26</f>
        <v>0</v>
      </c>
      <c r="F36" s="155">
        <f>IF(OR('Input &amp; Findings'!$G$28='Drop Down Lists'!$E$2,'Input &amp; Findings'!$G$28='Drop Down Lists'!$E$4),SUM(B36:C36),SUM(D36:E36))</f>
        <v>0</v>
      </c>
      <c r="G36" s="155">
        <f t="shared" si="11"/>
        <v>879.23222799999996</v>
      </c>
      <c r="H36" s="155">
        <f t="shared" si="1"/>
        <v>613.77772474000005</v>
      </c>
      <c r="I36" s="155">
        <f>IF(OR('Input &amp; Findings'!$G$39='Drop Down Lists'!$E$3,'Input &amp; Findings'!$G$39='Drop Down Lists'!$E$5),MAX(D36:E36),MAX(B36:C36))</f>
        <v>0</v>
      </c>
      <c r="J36" s="156" t="str">
        <f t="shared" si="38"/>
        <v/>
      </c>
      <c r="K36" s="156" t="str">
        <f t="shared" si="35"/>
        <v/>
      </c>
      <c r="L36" s="176">
        <f t="shared" si="2"/>
        <v>-10879.232228000001</v>
      </c>
      <c r="M36" s="176">
        <f t="shared" si="12"/>
        <v>0</v>
      </c>
      <c r="N36" s="176">
        <f>IF(AND(M36=MAX($M$14:$M$109),(SUM($N$14:N35)=0)),M36,0)</f>
        <v>0</v>
      </c>
      <c r="O36" s="176">
        <f t="shared" si="13"/>
        <v>0</v>
      </c>
      <c r="P36" s="176">
        <f t="shared" si="36"/>
        <v>0</v>
      </c>
      <c r="Q36" s="176">
        <f t="shared" si="37"/>
        <v>0</v>
      </c>
      <c r="R36" s="176">
        <f t="shared" si="3"/>
        <v>-10879.232228000001</v>
      </c>
      <c r="S36" s="176">
        <f t="shared" si="14"/>
        <v>0</v>
      </c>
      <c r="T36" s="176">
        <f>IF(AND(S36=MAX($S$14:$S$109),(SUM($T$14:T35)=0)),S36,0)</f>
        <v>0</v>
      </c>
      <c r="U36" s="176">
        <f t="shared" si="15"/>
        <v>0</v>
      </c>
      <c r="V36" s="176">
        <f t="shared" si="39"/>
        <v>0</v>
      </c>
      <c r="W36" s="176">
        <f t="shared" si="27"/>
        <v>0</v>
      </c>
      <c r="X36" s="176">
        <f t="shared" si="4"/>
        <v>-10879.232228000001</v>
      </c>
      <c r="Y36" s="176">
        <f t="shared" si="16"/>
        <v>0</v>
      </c>
      <c r="Z36" s="176">
        <f>IF(AND(Y36=MAX($Y$14:$Y$109),(SUM($Z$14:Z35)=0)),Y36,0)</f>
        <v>0</v>
      </c>
      <c r="AA36" s="176">
        <f t="shared" si="17"/>
        <v>0</v>
      </c>
      <c r="AB36" s="176">
        <f t="shared" si="28"/>
        <v>0</v>
      </c>
      <c r="AC36" s="176">
        <f t="shared" si="29"/>
        <v>0</v>
      </c>
      <c r="AD36" s="176">
        <f t="shared" si="5"/>
        <v>-10879.232228000001</v>
      </c>
      <c r="AE36" s="176">
        <f t="shared" si="18"/>
        <v>0</v>
      </c>
      <c r="AF36" s="176">
        <f>IF(AND(AE36=MAX($AE$14:$AE$109),(SUM($AF$14:AF35)=0)),AE36,0)</f>
        <v>0</v>
      </c>
      <c r="AG36" s="176">
        <f t="shared" si="19"/>
        <v>0</v>
      </c>
      <c r="AH36" s="155">
        <f t="shared" si="0"/>
        <v>627.26</v>
      </c>
      <c r="AI36" s="176">
        <f t="shared" si="6"/>
        <v>-10879.232228000001</v>
      </c>
      <c r="AJ36" s="176">
        <f t="shared" si="7"/>
        <v>0</v>
      </c>
      <c r="AK36" s="176">
        <f>IF(AND(AJ36=MAX($AJ$14:$AJ$109),(SUM($AK$14:AK35)=0)),AJ36,0)</f>
        <v>0</v>
      </c>
      <c r="AL36" s="176">
        <f t="shared" si="26"/>
        <v>0</v>
      </c>
      <c r="AM36" s="176">
        <f t="shared" si="30"/>
        <v>0</v>
      </c>
      <c r="AN36" s="176">
        <f t="shared" si="31"/>
        <v>0</v>
      </c>
      <c r="AO36" s="176">
        <f t="shared" si="8"/>
        <v>-10879.232228000001</v>
      </c>
      <c r="AP36" s="176">
        <f t="shared" si="20"/>
        <v>0</v>
      </c>
      <c r="AQ36" s="176">
        <f>IF(AND(AP36=MAX($AP$14:$AP$109),(SUM($AQ$14:AQ35)=0)),AP36,0)</f>
        <v>0</v>
      </c>
      <c r="AR36" s="176">
        <f t="shared" si="21"/>
        <v>0</v>
      </c>
      <c r="AS36" s="176">
        <f t="shared" si="40"/>
        <v>0</v>
      </c>
      <c r="AT36" s="176">
        <f t="shared" si="32"/>
        <v>0</v>
      </c>
      <c r="AU36" s="176">
        <f t="shared" si="9"/>
        <v>-10879.232228000001</v>
      </c>
      <c r="AV36" s="176">
        <f t="shared" si="22"/>
        <v>0</v>
      </c>
      <c r="AW36" s="176">
        <f>IF(AND(AV36=MAX($AV$14:$AV$109),(SUM($AW$14:AW35)=0)),AV36,0)</f>
        <v>0</v>
      </c>
      <c r="AX36" s="176">
        <f t="shared" si="23"/>
        <v>0</v>
      </c>
      <c r="AY36" s="176">
        <f t="shared" si="33"/>
        <v>0</v>
      </c>
      <c r="AZ36" s="176">
        <f t="shared" si="34"/>
        <v>0</v>
      </c>
      <c r="BA36" s="176">
        <f t="shared" si="10"/>
        <v>-10879.232228000001</v>
      </c>
      <c r="BB36" s="176">
        <f t="shared" si="24"/>
        <v>0</v>
      </c>
      <c r="BC36" s="176">
        <f>IF(AND(BB36=MAX($BB$14:$BB$109),(SUM($BC$14:BC35)=0)),BB36,0)</f>
        <v>0</v>
      </c>
      <c r="BD36" s="176">
        <f t="shared" si="25"/>
        <v>0</v>
      </c>
      <c r="BE36" s="153">
        <v>0.22916666666666699</v>
      </c>
      <c r="BG36" s="105"/>
      <c r="BH36" s="105"/>
      <c r="BI36" s="105"/>
      <c r="BJ36" s="105"/>
      <c r="BK36" s="105"/>
      <c r="BL36" s="105"/>
      <c r="BM36" s="105"/>
      <c r="BN36" s="105"/>
      <c r="BO36" s="105"/>
      <c r="BP36" s="105"/>
    </row>
    <row r="37" spans="1:68" ht="10.050000000000001" hidden="1" customHeight="1" x14ac:dyDescent="0.25">
      <c r="A37" s="153">
        <v>0.23958333333333301</v>
      </c>
      <c r="B37" s="177">
        <f>'Data with RTF'!U27</f>
        <v>0</v>
      </c>
      <c r="C37" s="177">
        <f>'Data with RTF'!G27</f>
        <v>0</v>
      </c>
      <c r="D37" s="177">
        <f>'Data with RTF'!N27</f>
        <v>0</v>
      </c>
      <c r="E37" s="177">
        <f>'Data with RTF'!AB27</f>
        <v>0</v>
      </c>
      <c r="F37" s="155">
        <f>IF(OR('Input &amp; Findings'!$G$28='Drop Down Lists'!$E$2,'Input &amp; Findings'!$G$28='Drop Down Lists'!$E$4),SUM(B37:C37),SUM(D37:E37))</f>
        <v>0</v>
      </c>
      <c r="G37" s="155">
        <f t="shared" si="11"/>
        <v>879.23222799999996</v>
      </c>
      <c r="H37" s="155">
        <f t="shared" si="1"/>
        <v>613.77772474000005</v>
      </c>
      <c r="I37" s="155">
        <f>IF(OR('Input &amp; Findings'!$G$39='Drop Down Lists'!$E$3,'Input &amp; Findings'!$G$39='Drop Down Lists'!$E$5),MAX(D37:E37),MAX(B37:C37))</f>
        <v>0</v>
      </c>
      <c r="J37" s="156" t="str">
        <f t="shared" si="38"/>
        <v/>
      </c>
      <c r="K37" s="156" t="str">
        <f t="shared" si="35"/>
        <v/>
      </c>
      <c r="L37" s="176">
        <f t="shared" si="2"/>
        <v>-10879.232228000001</v>
      </c>
      <c r="M37" s="176">
        <f t="shared" si="12"/>
        <v>0</v>
      </c>
      <c r="N37" s="176">
        <f>IF(AND(M37=MAX($M$14:$M$109),(SUM($N$14:N36)=0)),M37,0)</f>
        <v>0</v>
      </c>
      <c r="O37" s="176">
        <f t="shared" si="13"/>
        <v>0</v>
      </c>
      <c r="P37" s="176">
        <f t="shared" si="36"/>
        <v>0</v>
      </c>
      <c r="Q37" s="176">
        <f t="shared" si="37"/>
        <v>0</v>
      </c>
      <c r="R37" s="176">
        <f t="shared" si="3"/>
        <v>-10879.232228000001</v>
      </c>
      <c r="S37" s="176">
        <f t="shared" si="14"/>
        <v>0</v>
      </c>
      <c r="T37" s="176">
        <f>IF(AND(S37=MAX($S$14:$S$109),(SUM($T$14:T36)=0)),S37,0)</f>
        <v>0</v>
      </c>
      <c r="U37" s="176">
        <f t="shared" si="15"/>
        <v>0</v>
      </c>
      <c r="V37" s="176">
        <f t="shared" si="39"/>
        <v>0</v>
      </c>
      <c r="W37" s="176">
        <f t="shared" si="27"/>
        <v>0</v>
      </c>
      <c r="X37" s="176">
        <f t="shared" si="4"/>
        <v>-10879.232228000001</v>
      </c>
      <c r="Y37" s="176">
        <f t="shared" si="16"/>
        <v>0</v>
      </c>
      <c r="Z37" s="176">
        <f>IF(AND(Y37=MAX($Y$14:$Y$109),(SUM($Z$14:Z36)=0)),Y37,0)</f>
        <v>0</v>
      </c>
      <c r="AA37" s="176">
        <f t="shared" si="17"/>
        <v>0</v>
      </c>
      <c r="AB37" s="176">
        <f t="shared" si="28"/>
        <v>0</v>
      </c>
      <c r="AC37" s="176">
        <f t="shared" si="29"/>
        <v>0</v>
      </c>
      <c r="AD37" s="176">
        <f t="shared" si="5"/>
        <v>-10879.232228000001</v>
      </c>
      <c r="AE37" s="176">
        <f t="shared" si="18"/>
        <v>0</v>
      </c>
      <c r="AF37" s="176">
        <f>IF(AND(AE37=MAX($AE$14:$AE$109),(SUM($AF$14:AF36)=0)),AE37,0)</f>
        <v>0</v>
      </c>
      <c r="AG37" s="176">
        <f t="shared" si="19"/>
        <v>0</v>
      </c>
      <c r="AH37" s="155">
        <f t="shared" si="0"/>
        <v>627.26</v>
      </c>
      <c r="AI37" s="176">
        <f t="shared" si="6"/>
        <v>-10879.232228000001</v>
      </c>
      <c r="AJ37" s="176">
        <f t="shared" si="7"/>
        <v>0</v>
      </c>
      <c r="AK37" s="176">
        <f>IF(AND(AJ37=MAX($AJ$14:$AJ$109),(SUM($AK$14:AK36)=0)),AJ37,0)</f>
        <v>0</v>
      </c>
      <c r="AL37" s="176">
        <f t="shared" si="26"/>
        <v>0</v>
      </c>
      <c r="AM37" s="176">
        <f t="shared" si="30"/>
        <v>0</v>
      </c>
      <c r="AN37" s="176">
        <f t="shared" si="31"/>
        <v>0</v>
      </c>
      <c r="AO37" s="176">
        <f t="shared" si="8"/>
        <v>-10879.232228000001</v>
      </c>
      <c r="AP37" s="176">
        <f t="shared" si="20"/>
        <v>0</v>
      </c>
      <c r="AQ37" s="176">
        <f>IF(AND(AP37=MAX($AP$14:$AP$109),(SUM($AQ$14:AQ36)=0)),AP37,0)</f>
        <v>0</v>
      </c>
      <c r="AR37" s="176">
        <f t="shared" si="21"/>
        <v>0</v>
      </c>
      <c r="AS37" s="176">
        <f t="shared" si="40"/>
        <v>0</v>
      </c>
      <c r="AT37" s="176">
        <f t="shared" si="32"/>
        <v>0</v>
      </c>
      <c r="AU37" s="176">
        <f t="shared" si="9"/>
        <v>-10879.232228000001</v>
      </c>
      <c r="AV37" s="176">
        <f t="shared" si="22"/>
        <v>0</v>
      </c>
      <c r="AW37" s="176">
        <f>IF(AND(AV37=MAX($AV$14:$AV$109),(SUM($AW$14:AW36)=0)),AV37,0)</f>
        <v>0</v>
      </c>
      <c r="AX37" s="176">
        <f t="shared" si="23"/>
        <v>0</v>
      </c>
      <c r="AY37" s="176">
        <f t="shared" si="33"/>
        <v>0</v>
      </c>
      <c r="AZ37" s="176">
        <f t="shared" si="34"/>
        <v>0</v>
      </c>
      <c r="BA37" s="176">
        <f t="shared" si="10"/>
        <v>-10879.232228000001</v>
      </c>
      <c r="BB37" s="176">
        <f t="shared" si="24"/>
        <v>0</v>
      </c>
      <c r="BC37" s="176">
        <f>IF(AND(BB37=MAX($BB$14:$BB$109),(SUM($BC$14:BC36)=0)),BB37,0)</f>
        <v>0</v>
      </c>
      <c r="BD37" s="176">
        <f t="shared" si="25"/>
        <v>0</v>
      </c>
      <c r="BE37" s="153">
        <v>0.23958333333333301</v>
      </c>
      <c r="BG37" s="105"/>
      <c r="BH37" s="105"/>
      <c r="BI37" s="105"/>
      <c r="BJ37" s="105"/>
      <c r="BK37" s="105"/>
      <c r="BL37" s="105"/>
      <c r="BM37" s="105"/>
      <c r="BN37" s="105"/>
      <c r="BO37" s="105"/>
      <c r="BP37" s="105"/>
    </row>
    <row r="38" spans="1:68" ht="10.050000000000001" customHeight="1" x14ac:dyDescent="0.25">
      <c r="A38" s="153">
        <v>0.25</v>
      </c>
      <c r="B38" s="177">
        <f>'Data with RTF'!U28</f>
        <v>0</v>
      </c>
      <c r="C38" s="177">
        <f>'Data with RTF'!G28</f>
        <v>0</v>
      </c>
      <c r="D38" s="177">
        <f>'Data with RTF'!N28</f>
        <v>0</v>
      </c>
      <c r="E38" s="177">
        <f>'Data with RTF'!AB28</f>
        <v>0</v>
      </c>
      <c r="F38" s="155">
        <f>IF(OR('Input &amp; Findings'!$G$28='Drop Down Lists'!$E$2,'Input &amp; Findings'!$G$28='Drop Down Lists'!$E$4),SUM(B38:C38),SUM(D38:E38))</f>
        <v>0</v>
      </c>
      <c r="G38" s="155">
        <f t="shared" si="11"/>
        <v>879.23222799999996</v>
      </c>
      <c r="H38" s="155">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613.77772474000005</v>
      </c>
      <c r="I38" s="155">
        <f>IF(OR('Input &amp; Findings'!$G$39='Drop Down Lists'!$E$3,'Input &amp; Findings'!$G$39='Drop Down Lists'!$E$5),MAX(D38:E38),MAX(B38:C38))</f>
        <v>0</v>
      </c>
      <c r="J38" s="156" t="str">
        <f t="shared" si="38"/>
        <v/>
      </c>
      <c r="K38" s="156" t="str">
        <f t="shared" si="35"/>
        <v/>
      </c>
      <c r="L38" s="176">
        <f>IF(J38="Met",I38-G38,I38-G38-10000)</f>
        <v>-10879.232228000001</v>
      </c>
      <c r="M38" s="176">
        <f t="shared" si="12"/>
        <v>0</v>
      </c>
      <c r="N38" s="176">
        <f>IF(AND(M38=MAX($M$14:$M$109),(SUM($N$14:N37)=0)),M38,0)</f>
        <v>0</v>
      </c>
      <c r="O38" s="176">
        <f t="shared" si="13"/>
        <v>0</v>
      </c>
      <c r="P38" s="176">
        <f t="shared" si="36"/>
        <v>0</v>
      </c>
      <c r="Q38" s="176">
        <f t="shared" si="37"/>
        <v>0</v>
      </c>
      <c r="R38" s="176">
        <f>IF(Q38="",L38-10000,L38)</f>
        <v>-10879.232228000001</v>
      </c>
      <c r="S38" s="176">
        <f t="shared" si="14"/>
        <v>0</v>
      </c>
      <c r="T38" s="176">
        <f>IF(AND(S38=MAX($S$14:$S$109),(SUM($T$14:T37)=0)),S38,0)</f>
        <v>0</v>
      </c>
      <c r="U38" s="176">
        <f t="shared" si="15"/>
        <v>0</v>
      </c>
      <c r="V38" s="176">
        <f t="shared" si="39"/>
        <v>0</v>
      </c>
      <c r="W38" s="176">
        <f t="shared" si="27"/>
        <v>0</v>
      </c>
      <c r="X38" s="176">
        <f>IF(W38="",R38-10000,R38)</f>
        <v>-10879.232228000001</v>
      </c>
      <c r="Y38" s="176">
        <f t="shared" si="16"/>
        <v>0</v>
      </c>
      <c r="Z38" s="176">
        <f>IF(AND(Y38=MAX($Y$14:$Y$109),(SUM($Z$14:Z37)=0)),Y38,0)</f>
        <v>0</v>
      </c>
      <c r="AA38" s="176">
        <f t="shared" si="17"/>
        <v>0</v>
      </c>
      <c r="AB38" s="176">
        <f t="shared" si="28"/>
        <v>0</v>
      </c>
      <c r="AC38" s="176">
        <f t="shared" si="29"/>
        <v>0</v>
      </c>
      <c r="AD38" s="176">
        <f>IF(AC38="",X38-10000,X38)</f>
        <v>-10879.232228000001</v>
      </c>
      <c r="AE38" s="176">
        <f t="shared" si="18"/>
        <v>0</v>
      </c>
      <c r="AF38" s="176">
        <f>IF(AND(AE38=MAX($AE$14:$AE$109),(SUM($AF$14:AF37)=0)),AE38,0)</f>
        <v>0</v>
      </c>
      <c r="AG38" s="176">
        <f t="shared" si="19"/>
        <v>0</v>
      </c>
      <c r="AH38" s="155">
        <f t="shared" si="0"/>
        <v>627.26</v>
      </c>
      <c r="AI38" s="176">
        <f>IF(K38="Met",I38-G38,I38-G38-10000)</f>
        <v>-10879.232228000001</v>
      </c>
      <c r="AJ38" s="176">
        <f t="shared" si="7"/>
        <v>0</v>
      </c>
      <c r="AK38" s="176">
        <f>IF(AND(AJ38=MAX($AJ$14:$AJ$109),(SUM($AK$14:AK37)=0)),AJ38,0)</f>
        <v>0</v>
      </c>
      <c r="AL38" s="176">
        <f t="shared" si="26"/>
        <v>0</v>
      </c>
      <c r="AM38" s="176">
        <f t="shared" si="30"/>
        <v>0</v>
      </c>
      <c r="AN38" s="176">
        <f t="shared" si="31"/>
        <v>0</v>
      </c>
      <c r="AO38" s="176">
        <f>IF(AN38="",AI38-10000,AI38)</f>
        <v>-10879.232228000001</v>
      </c>
      <c r="AP38" s="176">
        <f t="shared" si="20"/>
        <v>0</v>
      </c>
      <c r="AQ38" s="176">
        <f>IF(AND(AP38=MAX($AP$14:$AP$109),(SUM($AQ$14:AQ37)=0)),AP38,0)</f>
        <v>0</v>
      </c>
      <c r="AR38" s="176">
        <f t="shared" si="21"/>
        <v>0</v>
      </c>
      <c r="AS38" s="176">
        <f t="shared" si="40"/>
        <v>0</v>
      </c>
      <c r="AT38" s="176">
        <f t="shared" si="32"/>
        <v>0</v>
      </c>
      <c r="AU38" s="176">
        <f>IF(AT38="",AO38-10000,AO38)</f>
        <v>-10879.232228000001</v>
      </c>
      <c r="AV38" s="176">
        <f t="shared" si="22"/>
        <v>0</v>
      </c>
      <c r="AW38" s="176">
        <f>IF(AND(AV38=MAX($AV$14:$AV$109),(SUM($AW$14:AW37)=0)),AV38,0)</f>
        <v>0</v>
      </c>
      <c r="AX38" s="176">
        <f t="shared" si="23"/>
        <v>0</v>
      </c>
      <c r="AY38" s="176">
        <f t="shared" si="33"/>
        <v>0</v>
      </c>
      <c r="AZ38" s="176">
        <f t="shared" si="34"/>
        <v>0</v>
      </c>
      <c r="BA38" s="176">
        <f>IF(AZ38="",AU38-10000,AU38)</f>
        <v>-10879.232228000001</v>
      </c>
      <c r="BB38" s="176">
        <f t="shared" si="24"/>
        <v>0</v>
      </c>
      <c r="BC38" s="176">
        <f>IF(AND(BB38=MAX($BB$14:$BB$109),(SUM($BC$14:BC37)=0)),BB38,0)</f>
        <v>0</v>
      </c>
      <c r="BD38" s="176">
        <f t="shared" si="25"/>
        <v>0</v>
      </c>
      <c r="BE38" s="153">
        <v>0.25</v>
      </c>
      <c r="BG38" s="105"/>
      <c r="BH38" s="105"/>
      <c r="BI38" s="105"/>
      <c r="BJ38" s="105"/>
      <c r="BK38" s="105"/>
      <c r="BL38" s="105"/>
      <c r="BM38" s="105"/>
      <c r="BN38" s="105"/>
      <c r="BO38" s="105"/>
      <c r="BP38" s="105"/>
    </row>
    <row r="39" spans="1:68" ht="10.050000000000001" customHeight="1" x14ac:dyDescent="0.25">
      <c r="A39" s="153">
        <v>0.26041666666666702</v>
      </c>
      <c r="B39" s="177">
        <f>'Data with RTF'!U29</f>
        <v>123</v>
      </c>
      <c r="C39" s="177">
        <f>'Data with RTF'!G29</f>
        <v>332</v>
      </c>
      <c r="D39" s="177">
        <f>'Data with RTF'!N29</f>
        <v>0</v>
      </c>
      <c r="E39" s="177">
        <f>'Data with RTF'!AB29</f>
        <v>31</v>
      </c>
      <c r="F39" s="155">
        <f>IF(OR('Input &amp; Findings'!$G$28='Drop Down Lists'!$E$2,'Input &amp; Findings'!$G$28='Drop Down Lists'!$E$4),SUM(B39:C39),SUM(D39:E39))</f>
        <v>455</v>
      </c>
      <c r="G39" s="155">
        <f t="shared" si="11"/>
        <v>486.40115209000004</v>
      </c>
      <c r="H39" s="155">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254.23906612450003</v>
      </c>
      <c r="I39" s="155">
        <f>IF(OR('Input &amp; Findings'!$G$39='Drop Down Lists'!$E$3,'Input &amp; Findings'!$G$39='Drop Down Lists'!$E$5),MAX(D39:E39),MAX(B39:C39))</f>
        <v>31</v>
      </c>
      <c r="J39" s="156" t="str">
        <f t="shared" si="38"/>
        <v/>
      </c>
      <c r="K39" s="156" t="str">
        <f t="shared" si="35"/>
        <v/>
      </c>
      <c r="L39" s="176">
        <f t="shared" ref="L39:L102" si="41">IF(J39="Met",I39-G39,I39-G39-10000)</f>
        <v>-10455.40115209</v>
      </c>
      <c r="M39" s="176">
        <f t="shared" si="12"/>
        <v>0</v>
      </c>
      <c r="N39" s="176">
        <f>IF(AND(M39=MAX($M$14:$M$109),(SUM($N$14:N38)=0)),M39,0)</f>
        <v>0</v>
      </c>
      <c r="O39" s="176">
        <f t="shared" si="13"/>
        <v>0</v>
      </c>
      <c r="P39" s="176">
        <f t="shared" si="36"/>
        <v>455</v>
      </c>
      <c r="Q39" s="176">
        <f t="shared" si="37"/>
        <v>31</v>
      </c>
      <c r="R39" s="176">
        <f t="shared" ref="R39:R102" si="42">IF(Q39="",L39-10000,L39)</f>
        <v>-10455.40115209</v>
      </c>
      <c r="S39" s="176">
        <f t="shared" si="14"/>
        <v>0</v>
      </c>
      <c r="T39" s="176">
        <f>IF(AND(S39=MAX($S$14:$S$109),(SUM($T$14:T38)=0)),S39,0)</f>
        <v>0</v>
      </c>
      <c r="U39" s="176">
        <f t="shared" si="15"/>
        <v>0</v>
      </c>
      <c r="V39" s="176">
        <f t="shared" si="39"/>
        <v>455</v>
      </c>
      <c r="W39" s="176">
        <f t="shared" si="27"/>
        <v>31</v>
      </c>
      <c r="X39" s="176">
        <f t="shared" ref="X39:X102" si="43">IF(W39="",R39-10000,R39)</f>
        <v>-10455.40115209</v>
      </c>
      <c r="Y39" s="176">
        <f t="shared" si="16"/>
        <v>0</v>
      </c>
      <c r="Z39" s="176">
        <f>IF(AND(Y39=MAX($Y$14:$Y$109),(SUM($Z$14:Z38)=0)),Y39,0)</f>
        <v>0</v>
      </c>
      <c r="AA39" s="176">
        <f t="shared" si="17"/>
        <v>0</v>
      </c>
      <c r="AB39" s="176">
        <f t="shared" si="28"/>
        <v>455</v>
      </c>
      <c r="AC39" s="176">
        <f t="shared" si="29"/>
        <v>31</v>
      </c>
      <c r="AD39" s="176">
        <f t="shared" ref="AD39:AD102" si="44">IF(AC39="",X39-10000,X39)</f>
        <v>-10455.40115209</v>
      </c>
      <c r="AE39" s="176">
        <f t="shared" si="18"/>
        <v>0</v>
      </c>
      <c r="AF39" s="176">
        <f>IF(AND(AE39=MAX($AE$14:$AE$109),(SUM($AF$14:AF38)=0)),AE39,0)</f>
        <v>0</v>
      </c>
      <c r="AG39" s="176">
        <f t="shared" si="19"/>
        <v>0</v>
      </c>
      <c r="AH39" s="155">
        <f t="shared" si="0"/>
        <v>627.26</v>
      </c>
      <c r="AI39" s="176">
        <f t="shared" ref="AI39:AI102" si="45">IF(K39="Met",I39-G39,I39-G39-10000)</f>
        <v>-10455.40115209</v>
      </c>
      <c r="AJ39" s="176">
        <f t="shared" si="7"/>
        <v>0</v>
      </c>
      <c r="AK39" s="176">
        <f>IF(AND(AJ39=MAX($AJ$14:$AJ$109),(SUM($AK$14:AK38)=0)),AJ39,0)</f>
        <v>0</v>
      </c>
      <c r="AL39" s="176">
        <f t="shared" si="26"/>
        <v>0</v>
      </c>
      <c r="AM39" s="176">
        <f t="shared" si="30"/>
        <v>455</v>
      </c>
      <c r="AN39" s="176">
        <f t="shared" si="31"/>
        <v>31</v>
      </c>
      <c r="AO39" s="176">
        <f t="shared" ref="AO39:AO102" si="46">IF(AN39="",AI39-10000,AI39)</f>
        <v>-10455.40115209</v>
      </c>
      <c r="AP39" s="176">
        <f t="shared" si="20"/>
        <v>0</v>
      </c>
      <c r="AQ39" s="176">
        <f>IF(AND(AP39=MAX($AP$14:$AP$109),(SUM($AQ$14:AQ38)=0)),AP39,0)</f>
        <v>0</v>
      </c>
      <c r="AR39" s="176">
        <f t="shared" si="21"/>
        <v>0</v>
      </c>
      <c r="AS39" s="176">
        <f t="shared" si="40"/>
        <v>455</v>
      </c>
      <c r="AT39" s="176">
        <f t="shared" si="32"/>
        <v>31</v>
      </c>
      <c r="AU39" s="176">
        <f t="shared" ref="AU39:AU102" si="47">IF(AT39="",AO39-10000,AO39)</f>
        <v>-10455.40115209</v>
      </c>
      <c r="AV39" s="176">
        <f t="shared" si="22"/>
        <v>0</v>
      </c>
      <c r="AW39" s="176">
        <f>IF(AND(AV39=MAX($AV$14:$AV$109),(SUM($AW$14:AW38)=0)),AV39,0)</f>
        <v>0</v>
      </c>
      <c r="AX39" s="176">
        <f t="shared" si="23"/>
        <v>0</v>
      </c>
      <c r="AY39" s="176">
        <f t="shared" si="33"/>
        <v>455</v>
      </c>
      <c r="AZ39" s="176">
        <f t="shared" si="34"/>
        <v>31</v>
      </c>
      <c r="BA39" s="176">
        <f t="shared" ref="BA39:BA102" si="48">IF(AZ39="",AU39-10000,AU39)</f>
        <v>-10455.40115209</v>
      </c>
      <c r="BB39" s="176">
        <f t="shared" si="24"/>
        <v>0</v>
      </c>
      <c r="BC39" s="176">
        <f>IF(AND(BB39=MAX($BB$14:$BB$109),(SUM($BC$14:BC38)=0)),BB39,0)</f>
        <v>0</v>
      </c>
      <c r="BD39" s="176">
        <f t="shared" si="25"/>
        <v>0</v>
      </c>
      <c r="BE39" s="153">
        <v>0.26041666666666669</v>
      </c>
      <c r="BG39" s="105"/>
      <c r="BH39" s="105"/>
      <c r="BI39" s="105"/>
      <c r="BJ39" s="105"/>
      <c r="BK39" s="105"/>
      <c r="BL39" s="105"/>
      <c r="BM39" s="105"/>
      <c r="BN39" s="105"/>
      <c r="BO39" s="105"/>
      <c r="BP39" s="105"/>
    </row>
    <row r="40" spans="1:68" ht="10.050000000000001" customHeight="1" x14ac:dyDescent="0.25">
      <c r="A40" s="153">
        <v>0.27083333333333298</v>
      </c>
      <c r="B40" s="177">
        <f>'Data with RTF'!U30</f>
        <v>294</v>
      </c>
      <c r="C40" s="177">
        <f>'Data with RTF'!G30</f>
        <v>722</v>
      </c>
      <c r="D40" s="177">
        <f>'Data with RTF'!N30</f>
        <v>0</v>
      </c>
      <c r="E40" s="177">
        <f>'Data with RTF'!AB30</f>
        <v>73</v>
      </c>
      <c r="F40" s="155">
        <f>IF(OR('Input &amp; Findings'!$G$28='Drop Down Lists'!$E$2,'Input &amp; Findings'!$G$28='Drop Down Lists'!$E$4),SUM(B40:C40),SUM(D40:E40))</f>
        <v>1016</v>
      </c>
      <c r="G40" s="155">
        <f t="shared" si="11"/>
        <v>187.47125257120013</v>
      </c>
      <c r="H40" s="155">
        <f t="shared" ref="H40:H103" si="49">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80</v>
      </c>
      <c r="I40" s="155">
        <f>IF(OR('Input &amp; Findings'!$G$39='Drop Down Lists'!$E$3,'Input &amp; Findings'!$G$39='Drop Down Lists'!$E$5),MAX(D40:E40),MAX(B40:C40))</f>
        <v>73</v>
      </c>
      <c r="J40" s="156" t="str">
        <f t="shared" si="38"/>
        <v/>
      </c>
      <c r="K40" s="156" t="str">
        <f t="shared" si="35"/>
        <v/>
      </c>
      <c r="L40" s="176">
        <f t="shared" si="41"/>
        <v>-10114.4712525712</v>
      </c>
      <c r="M40" s="176">
        <f t="shared" si="12"/>
        <v>0</v>
      </c>
      <c r="N40" s="176">
        <f>IF(AND(M40=MAX($M$14:$M$109),(SUM($N$14:N39)=0)),M40,0)</f>
        <v>0</v>
      </c>
      <c r="O40" s="176">
        <f t="shared" si="13"/>
        <v>0</v>
      </c>
      <c r="P40" s="176">
        <f t="shared" si="36"/>
        <v>1016</v>
      </c>
      <c r="Q40" s="176">
        <f t="shared" si="37"/>
        <v>73</v>
      </c>
      <c r="R40" s="176">
        <f t="shared" si="42"/>
        <v>-10114.4712525712</v>
      </c>
      <c r="S40" s="176">
        <f t="shared" si="14"/>
        <v>0</v>
      </c>
      <c r="T40" s="176">
        <f>IF(AND(S40=MAX($S$14:$S$109),(SUM($T$14:T39)=0)),S40,0)</f>
        <v>0</v>
      </c>
      <c r="U40" s="176">
        <f t="shared" si="15"/>
        <v>0</v>
      </c>
      <c r="V40" s="176">
        <f t="shared" si="39"/>
        <v>1016</v>
      </c>
      <c r="W40" s="176">
        <f t="shared" si="27"/>
        <v>73</v>
      </c>
      <c r="X40" s="176">
        <f t="shared" si="43"/>
        <v>-10114.4712525712</v>
      </c>
      <c r="Y40" s="176">
        <f t="shared" si="16"/>
        <v>0</v>
      </c>
      <c r="Z40" s="176">
        <f>IF(AND(Y40=MAX($Y$14:$Y$109),(SUM($Z$14:Z39)=0)),Y40,0)</f>
        <v>0</v>
      </c>
      <c r="AA40" s="176">
        <f t="shared" si="17"/>
        <v>0</v>
      </c>
      <c r="AB40" s="176">
        <f t="shared" si="28"/>
        <v>1016</v>
      </c>
      <c r="AC40" s="176">
        <f t="shared" si="29"/>
        <v>73</v>
      </c>
      <c r="AD40" s="176">
        <f t="shared" si="44"/>
        <v>-10114.4712525712</v>
      </c>
      <c r="AE40" s="176">
        <f t="shared" si="18"/>
        <v>0</v>
      </c>
      <c r="AF40" s="176">
        <f>IF(AND(AE40=MAX($AE$14:$AE$109),(SUM($AF$14:AF39)=0)),AE40,0)</f>
        <v>0</v>
      </c>
      <c r="AG40" s="176">
        <f t="shared" si="19"/>
        <v>0</v>
      </c>
      <c r="AH40" s="155">
        <f t="shared" si="0"/>
        <v>627.26</v>
      </c>
      <c r="AI40" s="176">
        <f t="shared" si="45"/>
        <v>-10114.4712525712</v>
      </c>
      <c r="AJ40" s="176">
        <f t="shared" si="7"/>
        <v>0</v>
      </c>
      <c r="AK40" s="176">
        <f>IF(AND(AJ40=MAX($AJ$14:$AJ$109),(SUM($AK$14:AK39)=0)),AJ40,0)</f>
        <v>0</v>
      </c>
      <c r="AL40" s="176">
        <f t="shared" si="26"/>
        <v>0</v>
      </c>
      <c r="AM40" s="176">
        <f t="shared" si="30"/>
        <v>1016</v>
      </c>
      <c r="AN40" s="176">
        <f t="shared" si="31"/>
        <v>73</v>
      </c>
      <c r="AO40" s="176">
        <f t="shared" si="46"/>
        <v>-10114.4712525712</v>
      </c>
      <c r="AP40" s="176">
        <f t="shared" si="20"/>
        <v>0</v>
      </c>
      <c r="AQ40" s="176">
        <f>IF(AND(AP40=MAX($AP$14:$AP$109),(SUM($AQ$14:AQ39)=0)),AP40,0)</f>
        <v>0</v>
      </c>
      <c r="AR40" s="176">
        <f t="shared" si="21"/>
        <v>0</v>
      </c>
      <c r="AS40" s="176">
        <f t="shared" si="40"/>
        <v>1016</v>
      </c>
      <c r="AT40" s="176">
        <f t="shared" si="32"/>
        <v>73</v>
      </c>
      <c r="AU40" s="176">
        <f t="shared" si="47"/>
        <v>-10114.4712525712</v>
      </c>
      <c r="AV40" s="176">
        <f t="shared" si="22"/>
        <v>0</v>
      </c>
      <c r="AW40" s="176">
        <f>IF(AND(AV40=MAX($AV$14:$AV$109),(SUM($AW$14:AW39)=0)),AV40,0)</f>
        <v>0</v>
      </c>
      <c r="AX40" s="176">
        <f t="shared" si="23"/>
        <v>0</v>
      </c>
      <c r="AY40" s="176">
        <f t="shared" si="33"/>
        <v>1016</v>
      </c>
      <c r="AZ40" s="176">
        <f t="shared" si="34"/>
        <v>73</v>
      </c>
      <c r="BA40" s="176">
        <f t="shared" si="48"/>
        <v>-10114.4712525712</v>
      </c>
      <c r="BB40" s="176">
        <f t="shared" si="24"/>
        <v>0</v>
      </c>
      <c r="BC40" s="176">
        <f>IF(AND(BB40=MAX($BB$14:$BB$109),(SUM($BC$14:BC39)=0)),BB40,0)</f>
        <v>0</v>
      </c>
      <c r="BD40" s="176">
        <f t="shared" si="25"/>
        <v>0</v>
      </c>
      <c r="BE40" s="153">
        <v>0.27083333333333298</v>
      </c>
      <c r="BG40" s="105"/>
      <c r="BH40" s="105"/>
      <c r="BI40" s="105"/>
      <c r="BJ40" s="105"/>
      <c r="BK40" s="105"/>
      <c r="BL40" s="105"/>
      <c r="BM40" s="105"/>
      <c r="BN40" s="105"/>
      <c r="BO40" s="105"/>
      <c r="BP40" s="105"/>
    </row>
    <row r="41" spans="1:68" ht="10.050000000000001" customHeight="1" x14ac:dyDescent="0.25">
      <c r="A41" s="153">
        <v>0.28125</v>
      </c>
      <c r="B41" s="177">
        <f>'Data with RTF'!U31</f>
        <v>455</v>
      </c>
      <c r="C41" s="177">
        <f>'Data with RTF'!G31</f>
        <v>1119</v>
      </c>
      <c r="D41" s="177">
        <f>'Data with RTF'!N31</f>
        <v>0</v>
      </c>
      <c r="E41" s="177">
        <f>'Data with RTF'!AB31</f>
        <v>138</v>
      </c>
      <c r="F41" s="155">
        <f>IF(OR('Input &amp; Findings'!$G$28='Drop Down Lists'!$E$2,'Input &amp; Findings'!$G$28='Drop Down Lists'!$E$4),SUM(B41:C41),SUM(D41:E41))</f>
        <v>1574</v>
      </c>
      <c r="G41" s="155">
        <f t="shared" si="11"/>
        <v>115</v>
      </c>
      <c r="H41" s="155">
        <f t="shared" si="49"/>
        <v>80</v>
      </c>
      <c r="I41" s="155">
        <f>IF(OR('Input &amp; Findings'!$G$39='Drop Down Lists'!$E$3,'Input &amp; Findings'!$G$39='Drop Down Lists'!$E$5),MAX(D41:E41),MAX(B41:C41))</f>
        <v>138</v>
      </c>
      <c r="J41" s="156" t="str">
        <f t="shared" si="38"/>
        <v>Met</v>
      </c>
      <c r="K41" s="156" t="str">
        <f t="shared" si="35"/>
        <v>Met</v>
      </c>
      <c r="L41" s="176">
        <f t="shared" si="41"/>
        <v>23</v>
      </c>
      <c r="M41" s="176">
        <f t="shared" si="12"/>
        <v>0</v>
      </c>
      <c r="N41" s="176">
        <f>IF(AND(M41=MAX($M$14:$M$109),(SUM($N$14:N40)=0)),M41,0)</f>
        <v>0</v>
      </c>
      <c r="O41" s="176">
        <f t="shared" si="13"/>
        <v>0</v>
      </c>
      <c r="P41" s="176">
        <f t="shared" si="36"/>
        <v>1574</v>
      </c>
      <c r="Q41" s="176">
        <f t="shared" si="37"/>
        <v>138</v>
      </c>
      <c r="R41" s="176">
        <f t="shared" si="42"/>
        <v>23</v>
      </c>
      <c r="S41" s="176">
        <f t="shared" si="14"/>
        <v>0</v>
      </c>
      <c r="T41" s="176">
        <f>IF(AND(S41=MAX($S$14:$S$109),(SUM($T$14:T40)=0)),S41,0)</f>
        <v>0</v>
      </c>
      <c r="U41" s="176">
        <f t="shared" si="15"/>
        <v>0</v>
      </c>
      <c r="V41" s="176">
        <f t="shared" si="39"/>
        <v>1574</v>
      </c>
      <c r="W41" s="176">
        <f t="shared" si="27"/>
        <v>138</v>
      </c>
      <c r="X41" s="176">
        <f t="shared" si="43"/>
        <v>23</v>
      </c>
      <c r="Y41" s="176">
        <f t="shared" si="16"/>
        <v>0</v>
      </c>
      <c r="Z41" s="176">
        <f>IF(AND(Y41=MAX($Y$14:$Y$109),(SUM($Z$14:Z40)=0)),Y41,0)</f>
        <v>0</v>
      </c>
      <c r="AA41" s="176">
        <f t="shared" si="17"/>
        <v>0</v>
      </c>
      <c r="AB41" s="176">
        <f t="shared" si="28"/>
        <v>1574</v>
      </c>
      <c r="AC41" s="176">
        <f t="shared" si="29"/>
        <v>138</v>
      </c>
      <c r="AD41" s="176">
        <f t="shared" si="44"/>
        <v>23</v>
      </c>
      <c r="AE41" s="176">
        <f t="shared" si="18"/>
        <v>0</v>
      </c>
      <c r="AF41" s="176">
        <f>IF(AND(AE41=MAX($AE$14:$AE$109),(SUM($AF$14:AF40)=0)),AE41,0)</f>
        <v>0</v>
      </c>
      <c r="AG41" s="176">
        <f t="shared" si="19"/>
        <v>0</v>
      </c>
      <c r="AH41" s="155">
        <f t="shared" si="0"/>
        <v>627.26</v>
      </c>
      <c r="AI41" s="176">
        <f t="shared" si="45"/>
        <v>23</v>
      </c>
      <c r="AJ41" s="176">
        <f t="shared" si="7"/>
        <v>0</v>
      </c>
      <c r="AK41" s="176">
        <f>IF(AND(AJ41=MAX($AJ$14:$AJ$109),(SUM($AK$14:AK40)=0)),AJ41,0)</f>
        <v>0</v>
      </c>
      <c r="AL41" s="176">
        <f t="shared" si="26"/>
        <v>0</v>
      </c>
      <c r="AM41" s="176">
        <f t="shared" si="30"/>
        <v>1574</v>
      </c>
      <c r="AN41" s="176">
        <f t="shared" si="31"/>
        <v>138</v>
      </c>
      <c r="AO41" s="176">
        <f t="shared" si="46"/>
        <v>23</v>
      </c>
      <c r="AP41" s="176">
        <f t="shared" si="20"/>
        <v>0</v>
      </c>
      <c r="AQ41" s="176">
        <f>IF(AND(AP41=MAX($AP$14:$AP$109),(SUM($AQ$14:AQ40)=0)),AP41,0)</f>
        <v>0</v>
      </c>
      <c r="AR41" s="176">
        <f t="shared" si="21"/>
        <v>0</v>
      </c>
      <c r="AS41" s="176">
        <f t="shared" si="40"/>
        <v>1574</v>
      </c>
      <c r="AT41" s="176">
        <f t="shared" si="32"/>
        <v>138</v>
      </c>
      <c r="AU41" s="176">
        <f t="shared" si="47"/>
        <v>23</v>
      </c>
      <c r="AV41" s="176">
        <f t="shared" si="22"/>
        <v>0</v>
      </c>
      <c r="AW41" s="176">
        <f>IF(AND(AV41=MAX($AV$14:$AV$109),(SUM($AW$14:AW40)=0)),AV41,0)</f>
        <v>0</v>
      </c>
      <c r="AX41" s="176">
        <f t="shared" si="23"/>
        <v>0</v>
      </c>
      <c r="AY41" s="176">
        <f t="shared" si="33"/>
        <v>1574</v>
      </c>
      <c r="AZ41" s="176">
        <f t="shared" si="34"/>
        <v>138</v>
      </c>
      <c r="BA41" s="176">
        <f t="shared" si="48"/>
        <v>23</v>
      </c>
      <c r="BB41" s="176">
        <f t="shared" si="24"/>
        <v>0</v>
      </c>
      <c r="BC41" s="176">
        <f>IF(AND(BB41=MAX($BB$14:$BB$109),(SUM($BC$14:BC40)=0)),BB41,0)</f>
        <v>0</v>
      </c>
      <c r="BD41" s="176">
        <f t="shared" si="25"/>
        <v>0</v>
      </c>
      <c r="BE41" s="153">
        <v>0.28125</v>
      </c>
      <c r="BG41" s="105"/>
      <c r="BH41" s="105"/>
      <c r="BI41" s="105"/>
      <c r="BJ41" s="105"/>
      <c r="BK41" s="105"/>
      <c r="BL41" s="105"/>
      <c r="BM41" s="105"/>
      <c r="BN41" s="105"/>
      <c r="BO41" s="105"/>
      <c r="BP41" s="105"/>
    </row>
    <row r="42" spans="1:68" ht="10.050000000000001" customHeight="1" x14ac:dyDescent="0.25">
      <c r="A42" s="153">
        <v>0.29166666666666702</v>
      </c>
      <c r="B42" s="177">
        <f>'Data with RTF'!U32</f>
        <v>637</v>
      </c>
      <c r="C42" s="177">
        <f>'Data with RTF'!G32</f>
        <v>1490</v>
      </c>
      <c r="D42" s="177">
        <f>'Data with RTF'!N32</f>
        <v>0</v>
      </c>
      <c r="E42" s="177">
        <f>'Data with RTF'!AB32</f>
        <v>210</v>
      </c>
      <c r="F42" s="155">
        <f>IF(OR('Input &amp; Findings'!$G$28='Drop Down Lists'!$E$2,'Input &amp; Findings'!$G$28='Drop Down Lists'!$E$4),SUM(B42:C42),SUM(D42:E42))</f>
        <v>2127</v>
      </c>
      <c r="G42" s="155">
        <f t="shared" si="11"/>
        <v>115</v>
      </c>
      <c r="H42" s="155">
        <f t="shared" si="49"/>
        <v>80</v>
      </c>
      <c r="I42" s="155">
        <f>IF(OR('Input &amp; Findings'!$G$39='Drop Down Lists'!$E$3,'Input &amp; Findings'!$G$39='Drop Down Lists'!$E$5),MAX(D42:E42),MAX(B42:C42))</f>
        <v>210</v>
      </c>
      <c r="J42" s="156" t="str">
        <f t="shared" si="38"/>
        <v/>
      </c>
      <c r="K42" s="156" t="str">
        <f t="shared" si="35"/>
        <v/>
      </c>
      <c r="L42" s="176">
        <f t="shared" si="41"/>
        <v>-9905</v>
      </c>
      <c r="M42" s="176">
        <f t="shared" si="12"/>
        <v>0</v>
      </c>
      <c r="N42" s="176">
        <f>IF(AND(M42=MAX($M$14:$M$109),(SUM($N$14:N41)=0)),M42,0)</f>
        <v>0</v>
      </c>
      <c r="O42" s="176">
        <f t="shared" si="13"/>
        <v>0</v>
      </c>
      <c r="P42" s="176">
        <f t="shared" si="36"/>
        <v>2127</v>
      </c>
      <c r="Q42" s="176">
        <f t="shared" si="37"/>
        <v>210</v>
      </c>
      <c r="R42" s="176">
        <f t="shared" si="42"/>
        <v>-9905</v>
      </c>
      <c r="S42" s="176">
        <f t="shared" si="14"/>
        <v>0</v>
      </c>
      <c r="T42" s="176">
        <f>IF(AND(S42=MAX($S$14:$S$109),(SUM($T$14:T41)=0)),S42,0)</f>
        <v>0</v>
      </c>
      <c r="U42" s="176">
        <f t="shared" si="15"/>
        <v>0</v>
      </c>
      <c r="V42" s="176">
        <f t="shared" si="39"/>
        <v>2127</v>
      </c>
      <c r="W42" s="176">
        <f t="shared" si="27"/>
        <v>210</v>
      </c>
      <c r="X42" s="176">
        <f t="shared" si="43"/>
        <v>-9905</v>
      </c>
      <c r="Y42" s="176">
        <f t="shared" si="16"/>
        <v>0</v>
      </c>
      <c r="Z42" s="176">
        <f>IF(AND(Y42=MAX($Y$14:$Y$109),(SUM($Z$14:Z41)=0)),Y42,0)</f>
        <v>0</v>
      </c>
      <c r="AA42" s="176">
        <f t="shared" si="17"/>
        <v>0</v>
      </c>
      <c r="AB42" s="176">
        <f t="shared" si="28"/>
        <v>2127</v>
      </c>
      <c r="AC42" s="176">
        <f t="shared" si="29"/>
        <v>210</v>
      </c>
      <c r="AD42" s="176">
        <f t="shared" si="44"/>
        <v>-9905</v>
      </c>
      <c r="AE42" s="176">
        <f t="shared" si="18"/>
        <v>0</v>
      </c>
      <c r="AF42" s="176">
        <f>IF(AND(AE42=MAX($AE$14:$AE$109),(SUM($AF$14:AF41)=0)),AE42,0)</f>
        <v>0</v>
      </c>
      <c r="AG42" s="176">
        <f t="shared" si="19"/>
        <v>0</v>
      </c>
      <c r="AH42" s="155">
        <f t="shared" si="0"/>
        <v>627.26</v>
      </c>
      <c r="AI42" s="176">
        <f t="shared" si="45"/>
        <v>-9905</v>
      </c>
      <c r="AJ42" s="176">
        <f t="shared" si="7"/>
        <v>0</v>
      </c>
      <c r="AK42" s="176">
        <f>IF(AND(AJ42=MAX($AJ$14:$AJ$109),(SUM($AK$14:AK41)=0)),AJ42,0)</f>
        <v>0</v>
      </c>
      <c r="AL42" s="176">
        <f t="shared" si="26"/>
        <v>0</v>
      </c>
      <c r="AM42" s="176">
        <f t="shared" si="30"/>
        <v>2127</v>
      </c>
      <c r="AN42" s="176">
        <f t="shared" si="31"/>
        <v>210</v>
      </c>
      <c r="AO42" s="176">
        <f t="shared" si="46"/>
        <v>-9905</v>
      </c>
      <c r="AP42" s="176">
        <f t="shared" si="20"/>
        <v>0</v>
      </c>
      <c r="AQ42" s="176">
        <f>IF(AND(AP42=MAX($AP$14:$AP$109),(SUM($AQ$14:AQ41)=0)),AP42,0)</f>
        <v>0</v>
      </c>
      <c r="AR42" s="176">
        <f t="shared" si="21"/>
        <v>0</v>
      </c>
      <c r="AS42" s="176">
        <f t="shared" si="40"/>
        <v>2127</v>
      </c>
      <c r="AT42" s="176">
        <f t="shared" si="32"/>
        <v>210</v>
      </c>
      <c r="AU42" s="176">
        <f t="shared" si="47"/>
        <v>-9905</v>
      </c>
      <c r="AV42" s="176">
        <f t="shared" si="22"/>
        <v>0</v>
      </c>
      <c r="AW42" s="176">
        <f>IF(AND(AV42=MAX($AV$14:$AV$109),(SUM($AW$14:AW41)=0)),AV42,0)</f>
        <v>0</v>
      </c>
      <c r="AX42" s="176">
        <f t="shared" si="23"/>
        <v>0</v>
      </c>
      <c r="AY42" s="176">
        <f t="shared" si="33"/>
        <v>2127</v>
      </c>
      <c r="AZ42" s="176">
        <f t="shared" si="34"/>
        <v>210</v>
      </c>
      <c r="BA42" s="176">
        <f t="shared" si="48"/>
        <v>-9905</v>
      </c>
      <c r="BB42" s="176">
        <f t="shared" si="24"/>
        <v>0</v>
      </c>
      <c r="BC42" s="176">
        <f>IF(AND(BB42=MAX($BB$14:$BB$109),(SUM($BC$14:BC41)=0)),BB42,0)</f>
        <v>0</v>
      </c>
      <c r="BD42" s="176">
        <f t="shared" si="25"/>
        <v>0</v>
      </c>
      <c r="BE42" s="153">
        <v>0.29166666666666702</v>
      </c>
      <c r="BG42" s="105"/>
      <c r="BH42" s="105"/>
      <c r="BI42" s="105"/>
      <c r="BJ42" s="105"/>
      <c r="BK42" s="105"/>
      <c r="BL42" s="105"/>
      <c r="BM42" s="105"/>
      <c r="BN42" s="105"/>
      <c r="BO42" s="105"/>
      <c r="BP42" s="105"/>
    </row>
    <row r="43" spans="1:68" ht="10.050000000000001" customHeight="1" x14ac:dyDescent="0.25">
      <c r="A43" s="153">
        <v>0.30208333333333298</v>
      </c>
      <c r="B43" s="177">
        <f>'Data with RTF'!U33</f>
        <v>667</v>
      </c>
      <c r="C43" s="177">
        <f>'Data with RTF'!G33</f>
        <v>1506</v>
      </c>
      <c r="D43" s="177">
        <f>'Data with RTF'!N33</f>
        <v>0</v>
      </c>
      <c r="E43" s="177">
        <f>'Data with RTF'!AB33</f>
        <v>204</v>
      </c>
      <c r="F43" s="155">
        <f>IF(OR('Input &amp; Findings'!$G$28='Drop Down Lists'!$E$2,'Input &amp; Findings'!$G$28='Drop Down Lists'!$E$4),SUM(B43:C43),SUM(D43:E43))</f>
        <v>2173</v>
      </c>
      <c r="G43" s="155">
        <f t="shared" si="11"/>
        <v>115</v>
      </c>
      <c r="H43" s="155">
        <f t="shared" si="49"/>
        <v>80</v>
      </c>
      <c r="I43" s="155">
        <f>IF(OR('Input &amp; Findings'!$G$39='Drop Down Lists'!$E$3,'Input &amp; Findings'!$G$39='Drop Down Lists'!$E$5),MAX(D43:E43),MAX(B43:C43))</f>
        <v>204</v>
      </c>
      <c r="J43" s="156" t="str">
        <f t="shared" si="38"/>
        <v/>
      </c>
      <c r="K43" s="156" t="str">
        <f t="shared" si="35"/>
        <v/>
      </c>
      <c r="L43" s="176">
        <f t="shared" si="41"/>
        <v>-9911</v>
      </c>
      <c r="M43" s="176">
        <f t="shared" si="12"/>
        <v>0</v>
      </c>
      <c r="N43" s="176">
        <f>IF(AND(M43=MAX($M$14:$M$109),(SUM($N$14:N42)=0)),M43,0)</f>
        <v>0</v>
      </c>
      <c r="O43" s="176">
        <f t="shared" si="13"/>
        <v>0</v>
      </c>
      <c r="P43" s="176">
        <f t="shared" si="36"/>
        <v>2173</v>
      </c>
      <c r="Q43" s="176">
        <f t="shared" si="37"/>
        <v>204</v>
      </c>
      <c r="R43" s="176">
        <f t="shared" si="42"/>
        <v>-9911</v>
      </c>
      <c r="S43" s="176">
        <f t="shared" si="14"/>
        <v>0</v>
      </c>
      <c r="T43" s="176">
        <f>IF(AND(S43=MAX($S$14:$S$109),(SUM($T$14:T42)=0)),S43,0)</f>
        <v>0</v>
      </c>
      <c r="U43" s="176">
        <f t="shared" si="15"/>
        <v>0</v>
      </c>
      <c r="V43" s="176">
        <f t="shared" si="39"/>
        <v>2173</v>
      </c>
      <c r="W43" s="176">
        <f t="shared" si="27"/>
        <v>204</v>
      </c>
      <c r="X43" s="176">
        <f t="shared" si="43"/>
        <v>-9911</v>
      </c>
      <c r="Y43" s="176">
        <f t="shared" si="16"/>
        <v>0</v>
      </c>
      <c r="Z43" s="176">
        <f>IF(AND(Y43=MAX($Y$14:$Y$109),(SUM($Z$14:Z42)=0)),Y43,0)</f>
        <v>0</v>
      </c>
      <c r="AA43" s="176">
        <f t="shared" si="17"/>
        <v>0</v>
      </c>
      <c r="AB43" s="176">
        <f t="shared" si="28"/>
        <v>2173</v>
      </c>
      <c r="AC43" s="176">
        <f t="shared" si="29"/>
        <v>204</v>
      </c>
      <c r="AD43" s="176">
        <f t="shared" si="44"/>
        <v>-9911</v>
      </c>
      <c r="AE43" s="176">
        <f t="shared" si="18"/>
        <v>0</v>
      </c>
      <c r="AF43" s="176">
        <f>IF(AND(AE43=MAX($AE$14:$AE$109),(SUM($AF$14:AF42)=0)),AE43,0)</f>
        <v>0</v>
      </c>
      <c r="AG43" s="176">
        <f t="shared" si="19"/>
        <v>0</v>
      </c>
      <c r="AH43" s="155">
        <f t="shared" si="0"/>
        <v>627.26</v>
      </c>
      <c r="AI43" s="176">
        <f t="shared" si="45"/>
        <v>-9911</v>
      </c>
      <c r="AJ43" s="176">
        <f t="shared" si="7"/>
        <v>0</v>
      </c>
      <c r="AK43" s="176">
        <f>IF(AND(AJ43=MAX($AJ$14:$AJ$109),(SUM($AK$14:AK42)=0)),AJ43,0)</f>
        <v>0</v>
      </c>
      <c r="AL43" s="176">
        <f t="shared" si="26"/>
        <v>0</v>
      </c>
      <c r="AM43" s="176">
        <f t="shared" si="30"/>
        <v>2173</v>
      </c>
      <c r="AN43" s="176">
        <f t="shared" si="31"/>
        <v>204</v>
      </c>
      <c r="AO43" s="176">
        <f t="shared" si="46"/>
        <v>-9911</v>
      </c>
      <c r="AP43" s="176">
        <f t="shared" si="20"/>
        <v>0</v>
      </c>
      <c r="AQ43" s="176">
        <f>IF(AND(AP43=MAX($AP$14:$AP$109),(SUM($AQ$14:AQ42)=0)),AP43,0)</f>
        <v>0</v>
      </c>
      <c r="AR43" s="176">
        <f t="shared" si="21"/>
        <v>0</v>
      </c>
      <c r="AS43" s="176">
        <f t="shared" si="40"/>
        <v>2173</v>
      </c>
      <c r="AT43" s="176">
        <f t="shared" si="32"/>
        <v>204</v>
      </c>
      <c r="AU43" s="176">
        <f t="shared" si="47"/>
        <v>-9911</v>
      </c>
      <c r="AV43" s="176">
        <f t="shared" si="22"/>
        <v>0</v>
      </c>
      <c r="AW43" s="176">
        <f>IF(AND(AV43=MAX($AV$14:$AV$109),(SUM($AW$14:AW42)=0)),AV43,0)</f>
        <v>0</v>
      </c>
      <c r="AX43" s="176">
        <f t="shared" si="23"/>
        <v>0</v>
      </c>
      <c r="AY43" s="176">
        <f t="shared" si="33"/>
        <v>2173</v>
      </c>
      <c r="AZ43" s="176">
        <f t="shared" si="34"/>
        <v>204</v>
      </c>
      <c r="BA43" s="176">
        <f t="shared" si="48"/>
        <v>-9911</v>
      </c>
      <c r="BB43" s="176">
        <f t="shared" si="24"/>
        <v>0</v>
      </c>
      <c r="BC43" s="176">
        <f>IF(AND(BB43=MAX($BB$14:$BB$109),(SUM($BC$14:BC42)=0)),BB43,0)</f>
        <v>0</v>
      </c>
      <c r="BD43" s="176">
        <f t="shared" si="25"/>
        <v>0</v>
      </c>
      <c r="BE43" s="153">
        <v>0.30208333333333298</v>
      </c>
      <c r="BG43" s="105"/>
      <c r="BH43" s="105"/>
      <c r="BI43" s="105"/>
      <c r="BJ43" s="105"/>
      <c r="BK43" s="105"/>
      <c r="BL43" s="105"/>
      <c r="BM43" s="105"/>
      <c r="BN43" s="105"/>
      <c r="BO43" s="105"/>
      <c r="BP43" s="105"/>
    </row>
    <row r="44" spans="1:68" ht="10.050000000000001" customHeight="1" x14ac:dyDescent="0.25">
      <c r="A44" s="153">
        <v>0.3125</v>
      </c>
      <c r="B44" s="177">
        <f>'Data with RTF'!U34</f>
        <v>686</v>
      </c>
      <c r="C44" s="177">
        <f>'Data with RTF'!G34</f>
        <v>1460</v>
      </c>
      <c r="D44" s="177">
        <f>'Data with RTF'!N34</f>
        <v>0</v>
      </c>
      <c r="E44" s="177">
        <f>'Data with RTF'!AB34</f>
        <v>188</v>
      </c>
      <c r="F44" s="155">
        <f>IF(OR('Input &amp; Findings'!$G$28='Drop Down Lists'!$E$2,'Input &amp; Findings'!$G$28='Drop Down Lists'!$E$4),SUM(B44:C44),SUM(D44:E44))</f>
        <v>2146</v>
      </c>
      <c r="G44" s="155">
        <f t="shared" si="11"/>
        <v>115</v>
      </c>
      <c r="H44" s="155">
        <f t="shared" si="49"/>
        <v>80</v>
      </c>
      <c r="I44" s="155">
        <f>IF(OR('Input &amp; Findings'!$G$39='Drop Down Lists'!$E$3,'Input &amp; Findings'!$G$39='Drop Down Lists'!$E$5),MAX(D44:E44),MAX(B44:C44))</f>
        <v>188</v>
      </c>
      <c r="J44" s="156" t="str">
        <f t="shared" si="38"/>
        <v/>
      </c>
      <c r="K44" s="156" t="str">
        <f t="shared" si="35"/>
        <v/>
      </c>
      <c r="L44" s="176">
        <f t="shared" si="41"/>
        <v>-9927</v>
      </c>
      <c r="M44" s="176">
        <f t="shared" si="12"/>
        <v>0</v>
      </c>
      <c r="N44" s="176">
        <f>IF(AND(M44=MAX($M$14:$M$109),(SUM($N$14:N43)=0)),M44,0)</f>
        <v>0</v>
      </c>
      <c r="O44" s="176">
        <f t="shared" si="13"/>
        <v>0</v>
      </c>
      <c r="P44" s="176">
        <f t="shared" si="36"/>
        <v>2146</v>
      </c>
      <c r="Q44" s="176">
        <f t="shared" si="37"/>
        <v>188</v>
      </c>
      <c r="R44" s="176">
        <f t="shared" si="42"/>
        <v>-9927</v>
      </c>
      <c r="S44" s="176">
        <f t="shared" si="14"/>
        <v>0</v>
      </c>
      <c r="T44" s="176">
        <f>IF(AND(S44=MAX($S$14:$S$109),(SUM($T$14:T43)=0)),S44,0)</f>
        <v>0</v>
      </c>
      <c r="U44" s="176">
        <f t="shared" si="15"/>
        <v>0</v>
      </c>
      <c r="V44" s="176">
        <f t="shared" si="39"/>
        <v>2146</v>
      </c>
      <c r="W44" s="176">
        <f t="shared" si="27"/>
        <v>188</v>
      </c>
      <c r="X44" s="176">
        <f t="shared" si="43"/>
        <v>-9927</v>
      </c>
      <c r="Y44" s="176">
        <f t="shared" si="16"/>
        <v>0</v>
      </c>
      <c r="Z44" s="176">
        <f>IF(AND(Y44=MAX($Y$14:$Y$109),(SUM($Z$14:Z43)=0)),Y44,0)</f>
        <v>0</v>
      </c>
      <c r="AA44" s="176">
        <f t="shared" si="17"/>
        <v>0</v>
      </c>
      <c r="AB44" s="176">
        <f t="shared" si="28"/>
        <v>2146</v>
      </c>
      <c r="AC44" s="176">
        <f t="shared" si="29"/>
        <v>188</v>
      </c>
      <c r="AD44" s="176">
        <f t="shared" si="44"/>
        <v>-9927</v>
      </c>
      <c r="AE44" s="176">
        <f t="shared" si="18"/>
        <v>0</v>
      </c>
      <c r="AF44" s="176">
        <f>IF(AND(AE44=MAX($AE$14:$AE$109),(SUM($AF$14:AF43)=0)),AE44,0)</f>
        <v>0</v>
      </c>
      <c r="AG44" s="176">
        <f t="shared" si="19"/>
        <v>0</v>
      </c>
      <c r="AH44" s="155">
        <f t="shared" si="0"/>
        <v>627.26</v>
      </c>
      <c r="AI44" s="176">
        <f t="shared" si="45"/>
        <v>-9927</v>
      </c>
      <c r="AJ44" s="176">
        <f t="shared" si="7"/>
        <v>0</v>
      </c>
      <c r="AK44" s="176">
        <f>IF(AND(AJ44=MAX($AJ$14:$AJ$109),(SUM($AK$14:AK43)=0)),AJ44,0)</f>
        <v>0</v>
      </c>
      <c r="AL44" s="176">
        <f t="shared" si="26"/>
        <v>0</v>
      </c>
      <c r="AM44" s="176">
        <f t="shared" si="30"/>
        <v>2146</v>
      </c>
      <c r="AN44" s="176">
        <f t="shared" si="31"/>
        <v>188</v>
      </c>
      <c r="AO44" s="176">
        <f t="shared" si="46"/>
        <v>-9927</v>
      </c>
      <c r="AP44" s="176">
        <f t="shared" si="20"/>
        <v>0</v>
      </c>
      <c r="AQ44" s="176">
        <f>IF(AND(AP44=MAX($AP$14:$AP$109),(SUM($AQ$14:AQ43)=0)),AP44,0)</f>
        <v>0</v>
      </c>
      <c r="AR44" s="176">
        <f t="shared" si="21"/>
        <v>0</v>
      </c>
      <c r="AS44" s="176">
        <f t="shared" si="40"/>
        <v>2146</v>
      </c>
      <c r="AT44" s="176">
        <f t="shared" si="32"/>
        <v>188</v>
      </c>
      <c r="AU44" s="176">
        <f t="shared" si="47"/>
        <v>-9927</v>
      </c>
      <c r="AV44" s="176">
        <f t="shared" si="22"/>
        <v>0</v>
      </c>
      <c r="AW44" s="176">
        <f>IF(AND(AV44=MAX($AV$14:$AV$109),(SUM($AW$14:AW43)=0)),AV44,0)</f>
        <v>0</v>
      </c>
      <c r="AX44" s="176">
        <f t="shared" si="23"/>
        <v>0</v>
      </c>
      <c r="AY44" s="176">
        <f t="shared" si="33"/>
        <v>2146</v>
      </c>
      <c r="AZ44" s="176">
        <f t="shared" si="34"/>
        <v>188</v>
      </c>
      <c r="BA44" s="176">
        <f t="shared" si="48"/>
        <v>-9927</v>
      </c>
      <c r="BB44" s="176">
        <f t="shared" si="24"/>
        <v>0</v>
      </c>
      <c r="BC44" s="176">
        <f>IF(AND(BB44=MAX($BB$14:$BB$109),(SUM($BC$14:BC43)=0)),BB44,0)</f>
        <v>0</v>
      </c>
      <c r="BD44" s="176">
        <f t="shared" si="25"/>
        <v>0</v>
      </c>
      <c r="BE44" s="153">
        <v>0.3125</v>
      </c>
      <c r="BG44" s="105"/>
      <c r="BH44" s="105"/>
      <c r="BI44" s="105"/>
      <c r="BJ44" s="105"/>
      <c r="BK44" s="105"/>
      <c r="BL44" s="105"/>
      <c r="BM44" s="105"/>
      <c r="BN44" s="105"/>
      <c r="BO44" s="105"/>
      <c r="BP44" s="105"/>
    </row>
    <row r="45" spans="1:68" ht="10.050000000000001" customHeight="1" x14ac:dyDescent="0.25">
      <c r="A45" s="153">
        <v>0.32291666666666702</v>
      </c>
      <c r="B45" s="177">
        <f>'Data with RTF'!U35</f>
        <v>716</v>
      </c>
      <c r="C45" s="177">
        <f>'Data with RTF'!G35</f>
        <v>1383</v>
      </c>
      <c r="D45" s="177">
        <f>'Data with RTF'!N35</f>
        <v>0</v>
      </c>
      <c r="E45" s="177">
        <f>'Data with RTF'!AB35</f>
        <v>156</v>
      </c>
      <c r="F45" s="155">
        <f>IF(OR('Input &amp; Findings'!$G$28='Drop Down Lists'!$E$2,'Input &amp; Findings'!$G$28='Drop Down Lists'!$E$4),SUM(B45:C45),SUM(D45:E45))</f>
        <v>2099</v>
      </c>
      <c r="G45" s="155">
        <f t="shared" si="11"/>
        <v>115</v>
      </c>
      <c r="H45" s="155">
        <f t="shared" si="49"/>
        <v>80</v>
      </c>
      <c r="I45" s="155">
        <f>IF(OR('Input &amp; Findings'!$G$39='Drop Down Lists'!$E$3,'Input &amp; Findings'!$G$39='Drop Down Lists'!$E$5),MAX(D45:E45),MAX(B45:C45))</f>
        <v>156</v>
      </c>
      <c r="J45" s="156" t="str">
        <f t="shared" si="38"/>
        <v>Met</v>
      </c>
      <c r="K45" s="156" t="str">
        <f t="shared" si="35"/>
        <v>Met</v>
      </c>
      <c r="L45" s="176">
        <f t="shared" si="41"/>
        <v>41</v>
      </c>
      <c r="M45" s="176">
        <f t="shared" si="12"/>
        <v>0</v>
      </c>
      <c r="N45" s="176">
        <f>IF(AND(M45=MAX($M$14:$M$109),(SUM($N$14:N44)=0)),M45,0)</f>
        <v>0</v>
      </c>
      <c r="O45" s="176">
        <f t="shared" si="13"/>
        <v>0</v>
      </c>
      <c r="P45" s="176">
        <f t="shared" si="36"/>
        <v>2099</v>
      </c>
      <c r="Q45" s="176">
        <f t="shared" si="37"/>
        <v>156</v>
      </c>
      <c r="R45" s="176">
        <f t="shared" si="42"/>
        <v>41</v>
      </c>
      <c r="S45" s="176">
        <f t="shared" si="14"/>
        <v>0</v>
      </c>
      <c r="T45" s="176">
        <f>IF(AND(S45=MAX($S$14:$S$109),(SUM($T$14:T44)=0)),S45,0)</f>
        <v>0</v>
      </c>
      <c r="U45" s="176">
        <f t="shared" si="15"/>
        <v>0</v>
      </c>
      <c r="V45" s="176">
        <f t="shared" si="39"/>
        <v>2099</v>
      </c>
      <c r="W45" s="176">
        <f t="shared" si="27"/>
        <v>156</v>
      </c>
      <c r="X45" s="176">
        <f t="shared" si="43"/>
        <v>41</v>
      </c>
      <c r="Y45" s="176">
        <f t="shared" si="16"/>
        <v>0</v>
      </c>
      <c r="Z45" s="176">
        <f>IF(AND(Y45=MAX($Y$14:$Y$109),(SUM($Z$14:Z44)=0)),Y45,0)</f>
        <v>0</v>
      </c>
      <c r="AA45" s="176">
        <f t="shared" si="17"/>
        <v>0</v>
      </c>
      <c r="AB45" s="176">
        <f t="shared" si="28"/>
        <v>2099</v>
      </c>
      <c r="AC45" s="176">
        <f t="shared" si="29"/>
        <v>156</v>
      </c>
      <c r="AD45" s="176">
        <f t="shared" si="44"/>
        <v>41</v>
      </c>
      <c r="AE45" s="176">
        <f t="shared" si="18"/>
        <v>2099</v>
      </c>
      <c r="AF45" s="176">
        <f>IF(AND(AE45=MAX($AE$14:$AE$109),(SUM($AF$14:AF44)=0)),AE45,0)</f>
        <v>2099</v>
      </c>
      <c r="AG45" s="176">
        <f t="shared" si="19"/>
        <v>156</v>
      </c>
      <c r="AH45" s="155">
        <f t="shared" si="0"/>
        <v>80</v>
      </c>
      <c r="AI45" s="176">
        <f t="shared" si="45"/>
        <v>41</v>
      </c>
      <c r="AJ45" s="176">
        <f t="shared" si="7"/>
        <v>0</v>
      </c>
      <c r="AK45" s="176">
        <f>IF(AND(AJ45=MAX($AJ$14:$AJ$109),(SUM($AK$14:AK44)=0)),AJ45,0)</f>
        <v>0</v>
      </c>
      <c r="AL45" s="176">
        <f t="shared" si="26"/>
        <v>0</v>
      </c>
      <c r="AM45" s="176">
        <f t="shared" si="30"/>
        <v>2099</v>
      </c>
      <c r="AN45" s="176">
        <f t="shared" si="31"/>
        <v>156</v>
      </c>
      <c r="AO45" s="176">
        <f t="shared" si="46"/>
        <v>41</v>
      </c>
      <c r="AP45" s="176">
        <f t="shared" si="20"/>
        <v>0</v>
      </c>
      <c r="AQ45" s="176">
        <f>IF(AND(AP45=MAX($AP$14:$AP$109),(SUM($AQ$14:AQ44)=0)),AP45,0)</f>
        <v>0</v>
      </c>
      <c r="AR45" s="176">
        <f t="shared" si="21"/>
        <v>0</v>
      </c>
      <c r="AS45" s="176">
        <f t="shared" si="40"/>
        <v>2099</v>
      </c>
      <c r="AT45" s="176">
        <f t="shared" si="32"/>
        <v>156</v>
      </c>
      <c r="AU45" s="176">
        <f t="shared" si="47"/>
        <v>41</v>
      </c>
      <c r="AV45" s="176">
        <f t="shared" si="22"/>
        <v>0</v>
      </c>
      <c r="AW45" s="176">
        <f>IF(AND(AV45=MAX($AV$14:$AV$109),(SUM($AW$14:AW44)=0)),AV45,0)</f>
        <v>0</v>
      </c>
      <c r="AX45" s="176">
        <f t="shared" si="23"/>
        <v>0</v>
      </c>
      <c r="AY45" s="176">
        <f t="shared" si="33"/>
        <v>2099</v>
      </c>
      <c r="AZ45" s="176">
        <f t="shared" si="34"/>
        <v>156</v>
      </c>
      <c r="BA45" s="176">
        <f t="shared" si="48"/>
        <v>41</v>
      </c>
      <c r="BB45" s="176">
        <f t="shared" si="24"/>
        <v>2099</v>
      </c>
      <c r="BC45" s="176">
        <f>IF(AND(BB45=MAX($BB$14:$BB$109),(SUM($BC$14:BC44)=0)),BB45,0)</f>
        <v>2099</v>
      </c>
      <c r="BD45" s="176">
        <f t="shared" si="25"/>
        <v>156</v>
      </c>
      <c r="BE45" s="153">
        <v>0.32291666666666702</v>
      </c>
      <c r="BG45" s="105"/>
      <c r="BH45" s="105"/>
      <c r="BI45" s="105"/>
      <c r="BJ45" s="105"/>
      <c r="BK45" s="105"/>
      <c r="BL45" s="105"/>
      <c r="BM45" s="105"/>
      <c r="BN45" s="105"/>
      <c r="BO45" s="105"/>
      <c r="BP45" s="105"/>
    </row>
    <row r="46" spans="1:68" ht="10.050000000000001" customHeight="1" x14ac:dyDescent="0.25">
      <c r="A46" s="153">
        <v>0.33333333333333298</v>
      </c>
      <c r="B46" s="177">
        <f>'Data with RTF'!U36</f>
        <v>726</v>
      </c>
      <c r="C46" s="177">
        <f>'Data with RTF'!G36</f>
        <v>1357</v>
      </c>
      <c r="D46" s="177">
        <f>'Data with RTF'!N36</f>
        <v>0</v>
      </c>
      <c r="E46" s="177">
        <f>'Data with RTF'!AB36</f>
        <v>169</v>
      </c>
      <c r="F46" s="155">
        <f>IF(OR('Input &amp; Findings'!$G$28='Drop Down Lists'!$E$2,'Input &amp; Findings'!$G$28='Drop Down Lists'!$E$4),SUM(B46:C46),SUM(D46:E46))</f>
        <v>2083</v>
      </c>
      <c r="G46" s="155">
        <f t="shared" si="11"/>
        <v>115</v>
      </c>
      <c r="H46" s="155">
        <f t="shared" si="49"/>
        <v>80</v>
      </c>
      <c r="I46" s="155">
        <f>IF(OR('Input &amp; Findings'!$G$39='Drop Down Lists'!$E$3,'Input &amp; Findings'!$G$39='Drop Down Lists'!$E$5),MAX(D46:E46),MAX(B46:C46))</f>
        <v>169</v>
      </c>
      <c r="J46" s="156" t="str">
        <f t="shared" si="38"/>
        <v/>
      </c>
      <c r="K46" s="156" t="str">
        <f t="shared" si="35"/>
        <v/>
      </c>
      <c r="L46" s="176">
        <f t="shared" si="41"/>
        <v>-9946</v>
      </c>
      <c r="M46" s="176">
        <f t="shared" si="12"/>
        <v>0</v>
      </c>
      <c r="N46" s="176">
        <f>IF(AND(M46=MAX($M$14:$M$109),(SUM($N$14:N45)=0)),M46,0)</f>
        <v>0</v>
      </c>
      <c r="O46" s="176">
        <f t="shared" si="13"/>
        <v>0</v>
      </c>
      <c r="P46" s="176">
        <f t="shared" si="36"/>
        <v>2083</v>
      </c>
      <c r="Q46" s="176">
        <f t="shared" si="37"/>
        <v>169</v>
      </c>
      <c r="R46" s="176">
        <f t="shared" si="42"/>
        <v>-9946</v>
      </c>
      <c r="S46" s="176">
        <f t="shared" si="14"/>
        <v>0</v>
      </c>
      <c r="T46" s="176">
        <f>IF(AND(S46=MAX($S$14:$S$109),(SUM($T$14:T45)=0)),S46,0)</f>
        <v>0</v>
      </c>
      <c r="U46" s="176">
        <f t="shared" si="15"/>
        <v>0</v>
      </c>
      <c r="V46" s="176">
        <f t="shared" si="39"/>
        <v>2083</v>
      </c>
      <c r="W46" s="176">
        <f t="shared" si="27"/>
        <v>169</v>
      </c>
      <c r="X46" s="176">
        <f t="shared" si="43"/>
        <v>-9946</v>
      </c>
      <c r="Y46" s="176">
        <f t="shared" si="16"/>
        <v>0</v>
      </c>
      <c r="Z46" s="176">
        <f>IF(AND(Y46=MAX($Y$14:$Y$109),(SUM($Z$14:Z45)=0)),Y46,0)</f>
        <v>0</v>
      </c>
      <c r="AA46" s="176">
        <f t="shared" si="17"/>
        <v>0</v>
      </c>
      <c r="AB46" s="176" t="str">
        <f t="shared" si="28"/>
        <v/>
      </c>
      <c r="AC46" s="176" t="str">
        <f t="shared" si="29"/>
        <v/>
      </c>
      <c r="AD46" s="176">
        <f t="shared" si="44"/>
        <v>-19946</v>
      </c>
      <c r="AE46" s="176">
        <f t="shared" si="18"/>
        <v>0</v>
      </c>
      <c r="AF46" s="176">
        <f>IF(AND(AE46=MAX($AE$14:$AE$109),(SUM($AF$14:AF45)=0)),AE46,0)</f>
        <v>0</v>
      </c>
      <c r="AG46" s="176">
        <f t="shared" si="19"/>
        <v>0</v>
      </c>
      <c r="AH46" s="155">
        <f t="shared" si="0"/>
        <v>627.26</v>
      </c>
      <c r="AI46" s="176">
        <f t="shared" si="45"/>
        <v>-9946</v>
      </c>
      <c r="AJ46" s="176">
        <f t="shared" ref="AJ46:AJ77" si="50">IF(AI46=MAX($AI$14:$AI$109),F46,0)</f>
        <v>0</v>
      </c>
      <c r="AK46" s="176">
        <f>IF(AND(AJ46=MAX($AJ$14:$AJ$109),(SUM($AK$14:AK45)=0)),AJ46,0)</f>
        <v>0</v>
      </c>
      <c r="AL46" s="176">
        <f t="shared" si="26"/>
        <v>0</v>
      </c>
      <c r="AM46" s="176">
        <f t="shared" si="30"/>
        <v>2083</v>
      </c>
      <c r="AN46" s="176">
        <f t="shared" si="31"/>
        <v>169</v>
      </c>
      <c r="AO46" s="176">
        <f t="shared" si="46"/>
        <v>-9946</v>
      </c>
      <c r="AP46" s="176">
        <f t="shared" si="20"/>
        <v>0</v>
      </c>
      <c r="AQ46" s="176">
        <f>IF(AND(AP46=MAX($AP$14:$AP$109),(SUM($AQ$14:AQ45)=0)),AP46,0)</f>
        <v>0</v>
      </c>
      <c r="AR46" s="176">
        <f t="shared" si="21"/>
        <v>0</v>
      </c>
      <c r="AS46" s="176">
        <f t="shared" si="40"/>
        <v>2083</v>
      </c>
      <c r="AT46" s="176">
        <f t="shared" si="32"/>
        <v>169</v>
      </c>
      <c r="AU46" s="176">
        <f t="shared" si="47"/>
        <v>-9946</v>
      </c>
      <c r="AV46" s="176">
        <f t="shared" si="22"/>
        <v>0</v>
      </c>
      <c r="AW46" s="176">
        <f>IF(AND(AV46=MAX($AV$14:$AV$109),(SUM($AW$14:AW45)=0)),AV46,0)</f>
        <v>0</v>
      </c>
      <c r="AX46" s="176">
        <f t="shared" si="23"/>
        <v>0</v>
      </c>
      <c r="AY46" s="176" t="str">
        <f t="shared" si="33"/>
        <v/>
      </c>
      <c r="AZ46" s="176" t="str">
        <f t="shared" si="34"/>
        <v/>
      </c>
      <c r="BA46" s="176">
        <f t="shared" si="48"/>
        <v>-19946</v>
      </c>
      <c r="BB46" s="176">
        <f t="shared" si="24"/>
        <v>0</v>
      </c>
      <c r="BC46" s="176">
        <f>IF(AND(BB46=MAX($BB$14:$BB$109),(SUM($BC$14:BC45)=0)),BB46,0)</f>
        <v>0</v>
      </c>
      <c r="BD46" s="176">
        <f t="shared" si="25"/>
        <v>0</v>
      </c>
      <c r="BE46" s="153">
        <v>0.33333333333333298</v>
      </c>
      <c r="BG46" s="105"/>
      <c r="BH46" s="105"/>
      <c r="BI46" s="105"/>
      <c r="BJ46" s="105"/>
      <c r="BK46" s="105"/>
      <c r="BL46" s="105"/>
      <c r="BM46" s="105"/>
      <c r="BN46" s="105"/>
      <c r="BO46" s="105"/>
      <c r="BP46" s="105"/>
    </row>
    <row r="47" spans="1:68" ht="10.050000000000001" customHeight="1" x14ac:dyDescent="0.25">
      <c r="A47" s="153">
        <v>0.34375</v>
      </c>
      <c r="B47" s="177">
        <f>'Data with RTF'!U37</f>
        <v>726</v>
      </c>
      <c r="C47" s="177">
        <f>'Data with RTF'!G37</f>
        <v>1229</v>
      </c>
      <c r="D47" s="177">
        <f>'Data with RTF'!N37</f>
        <v>0</v>
      </c>
      <c r="E47" s="177">
        <f>'Data with RTF'!AB37</f>
        <v>156</v>
      </c>
      <c r="F47" s="155">
        <f>IF(OR('Input &amp; Findings'!$G$28='Drop Down Lists'!$E$2,'Input &amp; Findings'!$G$28='Drop Down Lists'!$E$4),SUM(B47:C47),SUM(D47:E47))</f>
        <v>1955</v>
      </c>
      <c r="G47" s="155">
        <f t="shared" si="11"/>
        <v>115</v>
      </c>
      <c r="H47" s="155">
        <f t="shared" si="49"/>
        <v>80</v>
      </c>
      <c r="I47" s="155">
        <f>IF(OR('Input &amp; Findings'!$G$39='Drop Down Lists'!$E$3,'Input &amp; Findings'!$G$39='Drop Down Lists'!$E$5),MAX(D47:E47),MAX(B47:C47))</f>
        <v>156</v>
      </c>
      <c r="J47" s="156" t="str">
        <f t="shared" si="38"/>
        <v/>
      </c>
      <c r="K47" s="156" t="str">
        <f t="shared" si="35"/>
        <v/>
      </c>
      <c r="L47" s="176">
        <f t="shared" si="41"/>
        <v>-9959</v>
      </c>
      <c r="M47" s="176">
        <f t="shared" si="12"/>
        <v>0</v>
      </c>
      <c r="N47" s="176">
        <f>IF(AND(M47=MAX($M$14:$M$109),(SUM($N$14:N46)=0)),M47,0)</f>
        <v>0</v>
      </c>
      <c r="O47" s="176">
        <f t="shared" si="13"/>
        <v>0</v>
      </c>
      <c r="P47" s="176">
        <f t="shared" si="36"/>
        <v>1955</v>
      </c>
      <c r="Q47" s="176">
        <f t="shared" si="37"/>
        <v>156</v>
      </c>
      <c r="R47" s="176">
        <f t="shared" si="42"/>
        <v>-9959</v>
      </c>
      <c r="S47" s="176">
        <f t="shared" si="14"/>
        <v>0</v>
      </c>
      <c r="T47" s="176">
        <f>IF(AND(S47=MAX($S$14:$S$109),(SUM($T$14:T46)=0)),S47,0)</f>
        <v>0</v>
      </c>
      <c r="U47" s="176">
        <f t="shared" si="15"/>
        <v>0</v>
      </c>
      <c r="V47" s="176">
        <f t="shared" si="39"/>
        <v>1955</v>
      </c>
      <c r="W47" s="176">
        <f t="shared" si="27"/>
        <v>156</v>
      </c>
      <c r="X47" s="176">
        <f t="shared" si="43"/>
        <v>-9959</v>
      </c>
      <c r="Y47" s="176">
        <f t="shared" si="16"/>
        <v>0</v>
      </c>
      <c r="Z47" s="176">
        <f>IF(AND(Y47=MAX($Y$14:$Y$109),(SUM($Z$14:Z46)=0)),Y47,0)</f>
        <v>0</v>
      </c>
      <c r="AA47" s="176">
        <f t="shared" si="17"/>
        <v>0</v>
      </c>
      <c r="AB47" s="176" t="str">
        <f t="shared" si="28"/>
        <v/>
      </c>
      <c r="AC47" s="176" t="str">
        <f t="shared" si="29"/>
        <v/>
      </c>
      <c r="AD47" s="176">
        <f t="shared" si="44"/>
        <v>-19959</v>
      </c>
      <c r="AE47" s="176">
        <f t="shared" si="18"/>
        <v>0</v>
      </c>
      <c r="AF47" s="176">
        <f>IF(AND(AE47=MAX($AE$14:$AE$109),(SUM($AF$14:AF46)=0)),AE47,0)</f>
        <v>0</v>
      </c>
      <c r="AG47" s="176">
        <f t="shared" si="19"/>
        <v>0</v>
      </c>
      <c r="AH47" s="155">
        <f t="shared" si="0"/>
        <v>627.26</v>
      </c>
      <c r="AI47" s="176">
        <f t="shared" si="45"/>
        <v>-9959</v>
      </c>
      <c r="AJ47" s="176">
        <f t="shared" si="50"/>
        <v>0</v>
      </c>
      <c r="AK47" s="176">
        <f>IF(AND(AJ47=MAX($AJ$14:$AJ$109),(SUM($AK$14:AK46)=0)),AJ47,0)</f>
        <v>0</v>
      </c>
      <c r="AL47" s="176">
        <f t="shared" si="26"/>
        <v>0</v>
      </c>
      <c r="AM47" s="176">
        <f t="shared" si="30"/>
        <v>1955</v>
      </c>
      <c r="AN47" s="176">
        <f t="shared" si="31"/>
        <v>156</v>
      </c>
      <c r="AO47" s="176">
        <f t="shared" si="46"/>
        <v>-9959</v>
      </c>
      <c r="AP47" s="176">
        <f t="shared" si="20"/>
        <v>0</v>
      </c>
      <c r="AQ47" s="176">
        <f>IF(AND(AP47=MAX($AP$14:$AP$109),(SUM($AQ$14:AQ46)=0)),AP47,0)</f>
        <v>0</v>
      </c>
      <c r="AR47" s="176">
        <f t="shared" si="21"/>
        <v>0</v>
      </c>
      <c r="AS47" s="176">
        <f t="shared" si="40"/>
        <v>1955</v>
      </c>
      <c r="AT47" s="176">
        <f t="shared" si="32"/>
        <v>156</v>
      </c>
      <c r="AU47" s="176">
        <f t="shared" si="47"/>
        <v>-9959</v>
      </c>
      <c r="AV47" s="176">
        <f t="shared" si="22"/>
        <v>0</v>
      </c>
      <c r="AW47" s="176">
        <f>IF(AND(AV47=MAX($AV$14:$AV$109),(SUM($AW$14:AW46)=0)),AV47,0)</f>
        <v>0</v>
      </c>
      <c r="AX47" s="176">
        <f t="shared" si="23"/>
        <v>0</v>
      </c>
      <c r="AY47" s="176" t="str">
        <f t="shared" si="33"/>
        <v/>
      </c>
      <c r="AZ47" s="176" t="str">
        <f t="shared" si="34"/>
        <v/>
      </c>
      <c r="BA47" s="176">
        <f t="shared" si="48"/>
        <v>-19959</v>
      </c>
      <c r="BB47" s="176">
        <f t="shared" si="24"/>
        <v>0</v>
      </c>
      <c r="BC47" s="176">
        <f>IF(AND(BB47=MAX($BB$14:$BB$109),(SUM($BC$14:BC46)=0)),BB47,0)</f>
        <v>0</v>
      </c>
      <c r="BD47" s="176">
        <f t="shared" si="25"/>
        <v>0</v>
      </c>
      <c r="BE47" s="153">
        <v>0.34375</v>
      </c>
      <c r="BG47" s="105"/>
      <c r="BH47" s="105"/>
      <c r="BI47" s="105"/>
      <c r="BJ47" s="105"/>
      <c r="BK47" s="105"/>
      <c r="BL47" s="105"/>
      <c r="BM47" s="105"/>
      <c r="BN47" s="105"/>
      <c r="BO47" s="105"/>
      <c r="BP47" s="105"/>
    </row>
    <row r="48" spans="1:68" ht="10.050000000000001" customHeight="1" x14ac:dyDescent="0.25">
      <c r="A48" s="153">
        <v>0.35416666666666702</v>
      </c>
      <c r="B48" s="177">
        <f>'Data with RTF'!U38</f>
        <v>709</v>
      </c>
      <c r="C48" s="177">
        <f>'Data with RTF'!G38</f>
        <v>1113</v>
      </c>
      <c r="D48" s="177">
        <f>'Data with RTF'!N38</f>
        <v>0</v>
      </c>
      <c r="E48" s="177">
        <f>'Data with RTF'!AB38</f>
        <v>156</v>
      </c>
      <c r="F48" s="155">
        <f>IF(OR('Input &amp; Findings'!$G$28='Drop Down Lists'!$E$2,'Input &amp; Findings'!$G$28='Drop Down Lists'!$E$4),SUM(B48:C48),SUM(D48:E48))</f>
        <v>1822</v>
      </c>
      <c r="G48" s="155">
        <f t="shared" si="11"/>
        <v>115</v>
      </c>
      <c r="H48" s="155">
        <f t="shared" si="49"/>
        <v>80</v>
      </c>
      <c r="I48" s="155">
        <f>IF(OR('Input &amp; Findings'!$G$39='Drop Down Lists'!$E$3,'Input &amp; Findings'!$G$39='Drop Down Lists'!$E$5),MAX(D48:E48),MAX(B48:C48))</f>
        <v>156</v>
      </c>
      <c r="J48" s="156" t="str">
        <f t="shared" si="38"/>
        <v/>
      </c>
      <c r="K48" s="156" t="str">
        <f t="shared" si="35"/>
        <v/>
      </c>
      <c r="L48" s="176">
        <f t="shared" si="41"/>
        <v>-9959</v>
      </c>
      <c r="M48" s="176">
        <f t="shared" si="12"/>
        <v>0</v>
      </c>
      <c r="N48" s="176">
        <f>IF(AND(M48=MAX($M$14:$M$109),(SUM($N$14:N47)=0)),M48,0)</f>
        <v>0</v>
      </c>
      <c r="O48" s="176">
        <f t="shared" si="13"/>
        <v>0</v>
      </c>
      <c r="P48" s="176">
        <f t="shared" si="36"/>
        <v>1822</v>
      </c>
      <c r="Q48" s="176">
        <f t="shared" si="37"/>
        <v>156</v>
      </c>
      <c r="R48" s="176">
        <f t="shared" si="42"/>
        <v>-9959</v>
      </c>
      <c r="S48" s="176">
        <f t="shared" si="14"/>
        <v>0</v>
      </c>
      <c r="T48" s="176">
        <f>IF(AND(S48=MAX($S$14:$S$109),(SUM($T$14:T47)=0)),S48,0)</f>
        <v>0</v>
      </c>
      <c r="U48" s="176">
        <f t="shared" si="15"/>
        <v>0</v>
      </c>
      <c r="V48" s="176">
        <f t="shared" si="39"/>
        <v>1822</v>
      </c>
      <c r="W48" s="176">
        <f t="shared" si="27"/>
        <v>156</v>
      </c>
      <c r="X48" s="176">
        <f t="shared" si="43"/>
        <v>-9959</v>
      </c>
      <c r="Y48" s="176">
        <f t="shared" si="16"/>
        <v>0</v>
      </c>
      <c r="Z48" s="176">
        <f>IF(AND(Y48=MAX($Y$14:$Y$109),(SUM($Z$14:Z47)=0)),Y48,0)</f>
        <v>0</v>
      </c>
      <c r="AA48" s="176">
        <f t="shared" si="17"/>
        <v>0</v>
      </c>
      <c r="AB48" s="176" t="str">
        <f t="shared" si="28"/>
        <v/>
      </c>
      <c r="AC48" s="176" t="str">
        <f t="shared" si="29"/>
        <v/>
      </c>
      <c r="AD48" s="176">
        <f t="shared" si="44"/>
        <v>-19959</v>
      </c>
      <c r="AE48" s="176">
        <f t="shared" si="18"/>
        <v>0</v>
      </c>
      <c r="AF48" s="176">
        <f>IF(AND(AE48=MAX($AE$14:$AE$109),(SUM($AF$14:AF47)=0)),AE48,0)</f>
        <v>0</v>
      </c>
      <c r="AG48" s="176">
        <f t="shared" si="19"/>
        <v>0</v>
      </c>
      <c r="AH48" s="155">
        <f t="shared" si="0"/>
        <v>627.26</v>
      </c>
      <c r="AI48" s="176">
        <f t="shared" si="45"/>
        <v>-9959</v>
      </c>
      <c r="AJ48" s="176">
        <f t="shared" si="50"/>
        <v>0</v>
      </c>
      <c r="AK48" s="176">
        <f>IF(AND(AJ48=MAX($AJ$14:$AJ$109),(SUM($AK$14:AK47)=0)),AJ48,0)</f>
        <v>0</v>
      </c>
      <c r="AL48" s="176">
        <f t="shared" si="26"/>
        <v>0</v>
      </c>
      <c r="AM48" s="176">
        <f t="shared" si="30"/>
        <v>1822</v>
      </c>
      <c r="AN48" s="176">
        <f t="shared" si="31"/>
        <v>156</v>
      </c>
      <c r="AO48" s="176">
        <f t="shared" si="46"/>
        <v>-9959</v>
      </c>
      <c r="AP48" s="176">
        <f t="shared" si="20"/>
        <v>0</v>
      </c>
      <c r="AQ48" s="176">
        <f>IF(AND(AP48=MAX($AP$14:$AP$109),(SUM($AQ$14:AQ47)=0)),AP48,0)</f>
        <v>0</v>
      </c>
      <c r="AR48" s="176">
        <f t="shared" si="21"/>
        <v>0</v>
      </c>
      <c r="AS48" s="176">
        <f t="shared" si="40"/>
        <v>1822</v>
      </c>
      <c r="AT48" s="176">
        <f t="shared" si="32"/>
        <v>156</v>
      </c>
      <c r="AU48" s="176">
        <f t="shared" si="47"/>
        <v>-9959</v>
      </c>
      <c r="AV48" s="176">
        <f t="shared" si="22"/>
        <v>0</v>
      </c>
      <c r="AW48" s="176">
        <f>IF(AND(AV48=MAX($AV$14:$AV$109),(SUM($AW$14:AW47)=0)),AV48,0)</f>
        <v>0</v>
      </c>
      <c r="AX48" s="176">
        <f t="shared" si="23"/>
        <v>0</v>
      </c>
      <c r="AY48" s="176" t="str">
        <f t="shared" si="33"/>
        <v/>
      </c>
      <c r="AZ48" s="176" t="str">
        <f t="shared" si="34"/>
        <v/>
      </c>
      <c r="BA48" s="176">
        <f t="shared" si="48"/>
        <v>-19959</v>
      </c>
      <c r="BB48" s="176">
        <f t="shared" si="24"/>
        <v>0</v>
      </c>
      <c r="BC48" s="176">
        <f>IF(AND(BB48=MAX($BB$14:$BB$109),(SUM($BC$14:BC47)=0)),BB48,0)</f>
        <v>0</v>
      </c>
      <c r="BD48" s="176">
        <f t="shared" si="25"/>
        <v>0</v>
      </c>
      <c r="BE48" s="153">
        <v>0.35416666666666702</v>
      </c>
      <c r="BG48" s="105"/>
      <c r="BH48" s="105"/>
      <c r="BI48" s="105"/>
      <c r="BJ48" s="105"/>
      <c r="BK48" s="105"/>
      <c r="BL48" s="105"/>
      <c r="BM48" s="105"/>
      <c r="BN48" s="105"/>
      <c r="BO48" s="105"/>
      <c r="BP48" s="105"/>
    </row>
    <row r="49" spans="1:68" ht="10.050000000000001" customHeight="1" x14ac:dyDescent="0.25">
      <c r="A49" s="153">
        <v>0.36458333333333298</v>
      </c>
      <c r="B49" s="177">
        <f>'Data with RTF'!U39</f>
        <v>700</v>
      </c>
      <c r="C49" s="177">
        <f>'Data with RTF'!G39</f>
        <v>1024</v>
      </c>
      <c r="D49" s="177">
        <f>'Data with RTF'!N39</f>
        <v>0</v>
      </c>
      <c r="E49" s="177">
        <f>'Data with RTF'!AB39</f>
        <v>160</v>
      </c>
      <c r="F49" s="155">
        <f>IF(OR('Input &amp; Findings'!$G$28='Drop Down Lists'!$E$2,'Input &amp; Findings'!$G$28='Drop Down Lists'!$E$4),SUM(B49:C49),SUM(D49:E49))</f>
        <v>1724</v>
      </c>
      <c r="G49" s="155">
        <f t="shared" si="11"/>
        <v>115</v>
      </c>
      <c r="H49" s="155">
        <f t="shared" si="49"/>
        <v>80</v>
      </c>
      <c r="I49" s="155">
        <f>IF(OR('Input &amp; Findings'!$G$39='Drop Down Lists'!$E$3,'Input &amp; Findings'!$G$39='Drop Down Lists'!$E$5),MAX(D49:E49),MAX(B49:C49))</f>
        <v>160</v>
      </c>
      <c r="J49" s="156" t="str">
        <f t="shared" si="38"/>
        <v>Met</v>
      </c>
      <c r="K49" s="156" t="str">
        <f t="shared" si="35"/>
        <v>Met</v>
      </c>
      <c r="L49" s="176">
        <f t="shared" si="41"/>
        <v>45</v>
      </c>
      <c r="M49" s="176">
        <f t="shared" si="12"/>
        <v>0</v>
      </c>
      <c r="N49" s="176">
        <f>IF(AND(M49=MAX($M$14:$M$109),(SUM($N$14:N48)=0)),M49,0)</f>
        <v>0</v>
      </c>
      <c r="O49" s="176">
        <f t="shared" si="13"/>
        <v>0</v>
      </c>
      <c r="P49" s="176">
        <f t="shared" si="36"/>
        <v>1724</v>
      </c>
      <c r="Q49" s="176">
        <f t="shared" si="37"/>
        <v>160</v>
      </c>
      <c r="R49" s="176">
        <f t="shared" si="42"/>
        <v>45</v>
      </c>
      <c r="S49" s="176">
        <f t="shared" si="14"/>
        <v>0</v>
      </c>
      <c r="T49" s="176">
        <f>IF(AND(S49=MAX($S$14:$S$109),(SUM($T$14:T48)=0)),S49,0)</f>
        <v>0</v>
      </c>
      <c r="U49" s="176">
        <f t="shared" si="15"/>
        <v>0</v>
      </c>
      <c r="V49" s="176">
        <f t="shared" si="39"/>
        <v>1724</v>
      </c>
      <c r="W49" s="176">
        <f t="shared" si="27"/>
        <v>160</v>
      </c>
      <c r="X49" s="176">
        <f t="shared" si="43"/>
        <v>45</v>
      </c>
      <c r="Y49" s="176">
        <f t="shared" si="16"/>
        <v>1724</v>
      </c>
      <c r="Z49" s="176">
        <f>IF(AND(Y49=MAX($Y$14:$Y$109),(SUM($Z$14:Z48)=0)),Y49,0)</f>
        <v>1724</v>
      </c>
      <c r="AA49" s="176">
        <f t="shared" si="17"/>
        <v>160</v>
      </c>
      <c r="AB49" s="176" t="str">
        <f t="shared" si="28"/>
        <v/>
      </c>
      <c r="AC49" s="176" t="str">
        <f t="shared" si="29"/>
        <v/>
      </c>
      <c r="AD49" s="176">
        <f t="shared" si="44"/>
        <v>-9955</v>
      </c>
      <c r="AE49" s="176">
        <f t="shared" si="18"/>
        <v>0</v>
      </c>
      <c r="AF49" s="176">
        <f>IF(AND(AE49=MAX($AE$14:$AE$109),(SUM($AF$14:AF48)=0)),AE49,0)</f>
        <v>0</v>
      </c>
      <c r="AG49" s="176">
        <f t="shared" si="19"/>
        <v>0</v>
      </c>
      <c r="AH49" s="155">
        <f t="shared" si="0"/>
        <v>627.26</v>
      </c>
      <c r="AI49" s="176">
        <f t="shared" si="45"/>
        <v>45</v>
      </c>
      <c r="AJ49" s="176">
        <f t="shared" si="50"/>
        <v>0</v>
      </c>
      <c r="AK49" s="176">
        <f>IF(AND(AJ49=MAX($AJ$14:$AJ$109),(SUM($AK$14:AK48)=0)),AJ49,0)</f>
        <v>0</v>
      </c>
      <c r="AL49" s="176">
        <f t="shared" si="26"/>
        <v>0</v>
      </c>
      <c r="AM49" s="176">
        <f t="shared" ref="AM49:AM80" si="51">IF(AND(AK49=0,AK50=0,AK51=0,AK52=0,AK48=0,AK47=0,AK46=0),F49,"")</f>
        <v>1724</v>
      </c>
      <c r="AN49" s="176">
        <f t="shared" ref="AN49:AN80" si="52">IF(AND(AK49=0,AK50=0,AK51=0,AK52=0,AK48=0,AK47=0,AK46=0),I49,"")</f>
        <v>160</v>
      </c>
      <c r="AO49" s="176">
        <f t="shared" si="46"/>
        <v>45</v>
      </c>
      <c r="AP49" s="176">
        <f t="shared" si="20"/>
        <v>0</v>
      </c>
      <c r="AQ49" s="176">
        <f>IF(AND(AP49=MAX($AP$14:$AP$109),(SUM($AQ$14:AQ48)=0)),AP49,0)</f>
        <v>0</v>
      </c>
      <c r="AR49" s="176">
        <f t="shared" si="21"/>
        <v>0</v>
      </c>
      <c r="AS49" s="176">
        <f t="shared" si="40"/>
        <v>1724</v>
      </c>
      <c r="AT49" s="176">
        <f t="shared" si="32"/>
        <v>160</v>
      </c>
      <c r="AU49" s="176">
        <f t="shared" si="47"/>
        <v>45</v>
      </c>
      <c r="AV49" s="176">
        <f t="shared" si="22"/>
        <v>1724</v>
      </c>
      <c r="AW49" s="176">
        <f>IF(AND(AV49=MAX($AV$14:$AV$109),(SUM($AW$14:AW48)=0)),AV49,0)</f>
        <v>1724</v>
      </c>
      <c r="AX49" s="176">
        <f t="shared" si="23"/>
        <v>160</v>
      </c>
      <c r="AY49" s="176" t="str">
        <f t="shared" si="33"/>
        <v/>
      </c>
      <c r="AZ49" s="176" t="str">
        <f t="shared" si="34"/>
        <v/>
      </c>
      <c r="BA49" s="176">
        <f t="shared" si="48"/>
        <v>-9955</v>
      </c>
      <c r="BB49" s="176">
        <f t="shared" si="24"/>
        <v>0</v>
      </c>
      <c r="BC49" s="176">
        <f>IF(AND(BB49=MAX($BB$14:$BB$109),(SUM($BC$14:BC48)=0)),BB49,0)</f>
        <v>0</v>
      </c>
      <c r="BD49" s="176">
        <f t="shared" si="25"/>
        <v>0</v>
      </c>
      <c r="BE49" s="153">
        <v>0.36458333333333298</v>
      </c>
      <c r="BG49" s="598" t="s">
        <v>522</v>
      </c>
      <c r="BH49" s="599"/>
      <c r="BI49" s="600"/>
      <c r="BJ49" s="197" t="s">
        <v>99</v>
      </c>
      <c r="BK49" s="197" t="s">
        <v>513</v>
      </c>
      <c r="BL49" s="197" t="s">
        <v>420</v>
      </c>
      <c r="BM49" s="197" t="s">
        <v>521</v>
      </c>
      <c r="BN49" s="105"/>
      <c r="BO49" s="105"/>
      <c r="BP49" s="105"/>
    </row>
    <row r="50" spans="1:68" ht="10.050000000000001" customHeight="1" x14ac:dyDescent="0.25">
      <c r="A50" s="153">
        <v>0.375</v>
      </c>
      <c r="B50" s="177">
        <f>'Data with RTF'!U40</f>
        <v>663</v>
      </c>
      <c r="C50" s="177">
        <f>'Data with RTF'!G40</f>
        <v>912</v>
      </c>
      <c r="D50" s="177">
        <f>'Data with RTF'!N40</f>
        <v>0</v>
      </c>
      <c r="E50" s="177">
        <f>'Data with RTF'!AB40</f>
        <v>140</v>
      </c>
      <c r="F50" s="155">
        <f>IF(OR('Input &amp; Findings'!$G$28='Drop Down Lists'!$E$2,'Input &amp; Findings'!$G$28='Drop Down Lists'!$E$4),SUM(B50:C50),SUM(D50:E50))</f>
        <v>1575</v>
      </c>
      <c r="G50" s="155">
        <f t="shared" si="11"/>
        <v>115</v>
      </c>
      <c r="H50" s="155">
        <f t="shared" si="49"/>
        <v>80</v>
      </c>
      <c r="I50" s="155">
        <f>IF(OR('Input &amp; Findings'!$G$39='Drop Down Lists'!$E$3,'Input &amp; Findings'!$G$39='Drop Down Lists'!$E$5),MAX(D50:E50),MAX(B50:C50))</f>
        <v>140</v>
      </c>
      <c r="J50" s="156" t="str">
        <f t="shared" si="38"/>
        <v/>
      </c>
      <c r="K50" s="156" t="str">
        <f t="shared" si="35"/>
        <v/>
      </c>
      <c r="L50" s="176">
        <f t="shared" si="41"/>
        <v>-9975</v>
      </c>
      <c r="M50" s="176">
        <f t="shared" si="12"/>
        <v>0</v>
      </c>
      <c r="N50" s="176">
        <f>IF(AND(M50=MAX($M$14:$M$109),(SUM($N$14:N49)=0)),M50,0)</f>
        <v>0</v>
      </c>
      <c r="O50" s="176">
        <f t="shared" si="13"/>
        <v>0</v>
      </c>
      <c r="P50" s="176">
        <f t="shared" si="36"/>
        <v>1575</v>
      </c>
      <c r="Q50" s="176">
        <f t="shared" si="37"/>
        <v>140</v>
      </c>
      <c r="R50" s="176">
        <f t="shared" si="42"/>
        <v>-9975</v>
      </c>
      <c r="S50" s="176">
        <f t="shared" si="14"/>
        <v>0</v>
      </c>
      <c r="T50" s="176">
        <f>IF(AND(S50=MAX($S$14:$S$109),(SUM($T$14:T49)=0)),S50,0)</f>
        <v>0</v>
      </c>
      <c r="U50" s="176">
        <f t="shared" si="15"/>
        <v>0</v>
      </c>
      <c r="V50" s="176">
        <f t="shared" si="39"/>
        <v>1575</v>
      </c>
      <c r="W50" s="176">
        <f t="shared" si="27"/>
        <v>140</v>
      </c>
      <c r="X50" s="176">
        <f t="shared" si="43"/>
        <v>-9975</v>
      </c>
      <c r="Y50" s="176">
        <f t="shared" si="16"/>
        <v>0</v>
      </c>
      <c r="Z50" s="176">
        <f>IF(AND(Y50=MAX($Y$14:$Y$109),(SUM($Z$14:Z49)=0)),Y50,0)</f>
        <v>0</v>
      </c>
      <c r="AA50" s="176">
        <f t="shared" si="17"/>
        <v>0</v>
      </c>
      <c r="AB50" s="176" t="str">
        <f t="shared" si="28"/>
        <v/>
      </c>
      <c r="AC50" s="176" t="str">
        <f t="shared" si="29"/>
        <v/>
      </c>
      <c r="AD50" s="176">
        <f t="shared" si="44"/>
        <v>-19975</v>
      </c>
      <c r="AE50" s="176">
        <f t="shared" si="18"/>
        <v>0</v>
      </c>
      <c r="AF50" s="176">
        <f>IF(AND(AE50=MAX($AE$14:$AE$109),(SUM($AF$14:AF49)=0)),AE50,0)</f>
        <v>0</v>
      </c>
      <c r="AG50" s="176">
        <f t="shared" si="19"/>
        <v>0</v>
      </c>
      <c r="AH50" s="155">
        <f t="shared" si="0"/>
        <v>627.26</v>
      </c>
      <c r="AI50" s="176">
        <f t="shared" si="45"/>
        <v>-9975</v>
      </c>
      <c r="AJ50" s="176">
        <f t="shared" si="50"/>
        <v>0</v>
      </c>
      <c r="AK50" s="176">
        <f>IF(AND(AJ50=MAX($AJ$14:$AJ$109),(SUM($AK$14:AK49)=0)),AJ50,0)</f>
        <v>0</v>
      </c>
      <c r="AL50" s="176">
        <f t="shared" si="26"/>
        <v>0</v>
      </c>
      <c r="AM50" s="176">
        <f t="shared" si="51"/>
        <v>1575</v>
      </c>
      <c r="AN50" s="176">
        <f t="shared" si="52"/>
        <v>140</v>
      </c>
      <c r="AO50" s="176">
        <f t="shared" si="46"/>
        <v>-9975</v>
      </c>
      <c r="AP50" s="176">
        <f t="shared" si="20"/>
        <v>0</v>
      </c>
      <c r="AQ50" s="176">
        <f>IF(AND(AP50=MAX($AP$14:$AP$109),(SUM($AQ$14:AQ49)=0)),AP50,0)</f>
        <v>0</v>
      </c>
      <c r="AR50" s="176">
        <f t="shared" si="21"/>
        <v>0</v>
      </c>
      <c r="AS50" s="176">
        <f t="shared" si="40"/>
        <v>1575</v>
      </c>
      <c r="AT50" s="176">
        <f t="shared" si="32"/>
        <v>140</v>
      </c>
      <c r="AU50" s="176">
        <f t="shared" si="47"/>
        <v>-9975</v>
      </c>
      <c r="AV50" s="176">
        <f t="shared" si="22"/>
        <v>0</v>
      </c>
      <c r="AW50" s="176">
        <f>IF(AND(AV50=MAX($AV$14:$AV$109),(SUM($AW$14:AW49)=0)),AV50,0)</f>
        <v>0</v>
      </c>
      <c r="AX50" s="176">
        <f t="shared" si="23"/>
        <v>0</v>
      </c>
      <c r="AY50" s="176" t="str">
        <f t="shared" si="33"/>
        <v/>
      </c>
      <c r="AZ50" s="176" t="str">
        <f t="shared" si="34"/>
        <v/>
      </c>
      <c r="BA50" s="176">
        <f t="shared" si="48"/>
        <v>-19975</v>
      </c>
      <c r="BB50" s="176">
        <f t="shared" si="24"/>
        <v>0</v>
      </c>
      <c r="BC50" s="176">
        <f>IF(AND(BB50=MAX($BB$14:$BB$109),(SUM($BC$14:BC49)=0)),BB50,0)</f>
        <v>0</v>
      </c>
      <c r="BD50" s="176">
        <f t="shared" si="25"/>
        <v>0</v>
      </c>
      <c r="BE50" s="153">
        <v>0.375</v>
      </c>
      <c r="BG50" s="589" t="s">
        <v>512</v>
      </c>
      <c r="BH50" s="590"/>
      <c r="BI50" s="591"/>
      <c r="BJ50" s="198">
        <f>VLOOKUP(MAX(N14:N109),$N$14:$BE$109,44,FALSE)</f>
        <v>0.65625</v>
      </c>
      <c r="BK50" s="198">
        <f>BJ50+0.041666667</f>
        <v>0.69791666699999999</v>
      </c>
      <c r="BL50" s="214">
        <f>MAX(N14:N109)</f>
        <v>2260</v>
      </c>
      <c r="BM50" s="214">
        <f>MAX(O14:O109)</f>
        <v>176</v>
      </c>
      <c r="BN50" s="105"/>
      <c r="BO50" s="105"/>
      <c r="BP50" s="105"/>
    </row>
    <row r="51" spans="1:68" ht="10.050000000000001" customHeight="1" x14ac:dyDescent="0.25">
      <c r="A51" s="153">
        <v>0.38541666666666702</v>
      </c>
      <c r="B51" s="177">
        <f>'Data with RTF'!U41</f>
        <v>691</v>
      </c>
      <c r="C51" s="177">
        <f>'Data with RTF'!G41</f>
        <v>912</v>
      </c>
      <c r="D51" s="177">
        <f>'Data with RTF'!N41</f>
        <v>0</v>
      </c>
      <c r="E51" s="177">
        <f>'Data with RTF'!AB41</f>
        <v>140</v>
      </c>
      <c r="F51" s="155">
        <f>IF(OR('Input &amp; Findings'!$G$28='Drop Down Lists'!$E$2,'Input &amp; Findings'!$G$28='Drop Down Lists'!$E$4),SUM(B51:C51),SUM(D51:E51))</f>
        <v>1603</v>
      </c>
      <c r="G51" s="155">
        <f t="shared" si="11"/>
        <v>115</v>
      </c>
      <c r="H51" s="155">
        <f t="shared" si="49"/>
        <v>80</v>
      </c>
      <c r="I51" s="155">
        <f>IF(OR('Input &amp; Findings'!$G$39='Drop Down Lists'!$E$3,'Input &amp; Findings'!$G$39='Drop Down Lists'!$E$5),MAX(D51:E51),MAX(B51:C51))</f>
        <v>140</v>
      </c>
      <c r="J51" s="156" t="str">
        <f t="shared" si="38"/>
        <v/>
      </c>
      <c r="K51" s="156" t="str">
        <f t="shared" si="35"/>
        <v/>
      </c>
      <c r="L51" s="176">
        <f t="shared" si="41"/>
        <v>-9975</v>
      </c>
      <c r="M51" s="176">
        <f t="shared" si="12"/>
        <v>0</v>
      </c>
      <c r="N51" s="176">
        <f>IF(AND(M51=MAX($M$14:$M$109),(SUM($N$14:N50)=0)),M51,0)</f>
        <v>0</v>
      </c>
      <c r="O51" s="176">
        <f t="shared" si="13"/>
        <v>0</v>
      </c>
      <c r="P51" s="176">
        <f t="shared" si="36"/>
        <v>1603</v>
      </c>
      <c r="Q51" s="176">
        <f t="shared" si="37"/>
        <v>140</v>
      </c>
      <c r="R51" s="176">
        <f t="shared" si="42"/>
        <v>-9975</v>
      </c>
      <c r="S51" s="176">
        <f t="shared" si="14"/>
        <v>0</v>
      </c>
      <c r="T51" s="176">
        <f>IF(AND(S51=MAX($S$14:$S$109),(SUM($T$14:T50)=0)),S51,0)</f>
        <v>0</v>
      </c>
      <c r="U51" s="176">
        <f t="shared" si="15"/>
        <v>0</v>
      </c>
      <c r="V51" s="176">
        <f t="shared" si="39"/>
        <v>1603</v>
      </c>
      <c r="W51" s="176">
        <f t="shared" si="27"/>
        <v>140</v>
      </c>
      <c r="X51" s="176">
        <f t="shared" si="43"/>
        <v>-9975</v>
      </c>
      <c r="Y51" s="176">
        <f t="shared" si="16"/>
        <v>0</v>
      </c>
      <c r="Z51" s="176">
        <f>IF(AND(Y51=MAX($Y$14:$Y$109),(SUM($Z$14:Z50)=0)),Y51,0)</f>
        <v>0</v>
      </c>
      <c r="AA51" s="176">
        <f t="shared" si="17"/>
        <v>0</v>
      </c>
      <c r="AB51" s="176" t="str">
        <f t="shared" si="28"/>
        <v/>
      </c>
      <c r="AC51" s="176" t="str">
        <f t="shared" si="29"/>
        <v/>
      </c>
      <c r="AD51" s="176">
        <f t="shared" si="44"/>
        <v>-19975</v>
      </c>
      <c r="AE51" s="176">
        <f t="shared" si="18"/>
        <v>0</v>
      </c>
      <c r="AF51" s="176">
        <f>IF(AND(AE51=MAX($AE$14:$AE$109),(SUM($AF$14:AF50)=0)),AE51,0)</f>
        <v>0</v>
      </c>
      <c r="AG51" s="176">
        <f t="shared" si="19"/>
        <v>0</v>
      </c>
      <c r="AH51" s="155">
        <f t="shared" si="0"/>
        <v>627.26</v>
      </c>
      <c r="AI51" s="176">
        <f t="shared" si="45"/>
        <v>-9975</v>
      </c>
      <c r="AJ51" s="176">
        <f t="shared" si="50"/>
        <v>0</v>
      </c>
      <c r="AK51" s="176">
        <f>IF(AND(AJ51=MAX($AJ$14:$AJ$109),(SUM($AK$14:AK50)=0)),AJ51,0)</f>
        <v>0</v>
      </c>
      <c r="AL51" s="176">
        <f t="shared" si="26"/>
        <v>0</v>
      </c>
      <c r="AM51" s="176">
        <f t="shared" si="51"/>
        <v>1603</v>
      </c>
      <c r="AN51" s="176">
        <f t="shared" si="52"/>
        <v>140</v>
      </c>
      <c r="AO51" s="176">
        <f t="shared" si="46"/>
        <v>-9975</v>
      </c>
      <c r="AP51" s="176">
        <f t="shared" si="20"/>
        <v>0</v>
      </c>
      <c r="AQ51" s="176">
        <f>IF(AND(AP51=MAX($AP$14:$AP$109),(SUM($AQ$14:AQ50)=0)),AP51,0)</f>
        <v>0</v>
      </c>
      <c r="AR51" s="176">
        <f t="shared" si="21"/>
        <v>0</v>
      </c>
      <c r="AS51" s="176">
        <f t="shared" si="40"/>
        <v>1603</v>
      </c>
      <c r="AT51" s="176">
        <f t="shared" si="32"/>
        <v>140</v>
      </c>
      <c r="AU51" s="176">
        <f t="shared" si="47"/>
        <v>-9975</v>
      </c>
      <c r="AV51" s="176">
        <f t="shared" si="22"/>
        <v>0</v>
      </c>
      <c r="AW51" s="176">
        <f>IF(AND(AV51=MAX($AV$14:$AV$109),(SUM($AW$14:AW50)=0)),AV51,0)</f>
        <v>0</v>
      </c>
      <c r="AX51" s="176">
        <f t="shared" si="23"/>
        <v>0</v>
      </c>
      <c r="AY51" s="176" t="str">
        <f t="shared" si="33"/>
        <v/>
      </c>
      <c r="AZ51" s="176" t="str">
        <f t="shared" si="34"/>
        <v/>
      </c>
      <c r="BA51" s="176">
        <f t="shared" si="48"/>
        <v>-19975</v>
      </c>
      <c r="BB51" s="176">
        <f t="shared" si="24"/>
        <v>0</v>
      </c>
      <c r="BC51" s="176">
        <f>IF(AND(BB51=MAX($BB$14:$BB$109),(SUM($BC$14:BC50)=0)),BB51,0)</f>
        <v>0</v>
      </c>
      <c r="BD51" s="176">
        <f t="shared" si="25"/>
        <v>0</v>
      </c>
      <c r="BE51" s="153">
        <v>0.38541666666666702</v>
      </c>
      <c r="BG51" s="592" t="s">
        <v>509</v>
      </c>
      <c r="BH51" s="593"/>
      <c r="BI51" s="594"/>
      <c r="BJ51" s="199">
        <f>VLOOKUP(MAX(T14:T109),$T$14:$BE$109,38,FALSE)</f>
        <v>0.69791666666666696</v>
      </c>
      <c r="BK51" s="199">
        <f t="shared" ref="BK51:BK53" si="53">BJ51+0.041666667</f>
        <v>0.73958333366666695</v>
      </c>
      <c r="BL51" s="215">
        <f>MAX(T14:T109)</f>
        <v>2440</v>
      </c>
      <c r="BM51" s="215">
        <f>MAX(U14:U109)</f>
        <v>167</v>
      </c>
      <c r="BN51" s="105"/>
      <c r="BO51" s="105"/>
      <c r="BP51" s="105"/>
    </row>
    <row r="52" spans="1:68" ht="10.050000000000001" customHeight="1" x14ac:dyDescent="0.25">
      <c r="A52" s="153">
        <v>0.39583333333333298</v>
      </c>
      <c r="B52" s="177">
        <f>'Data with RTF'!U42</f>
        <v>685</v>
      </c>
      <c r="C52" s="177">
        <f>'Data with RTF'!G42</f>
        <v>888</v>
      </c>
      <c r="D52" s="177">
        <f>'Data with RTF'!N42</f>
        <v>0</v>
      </c>
      <c r="E52" s="177">
        <f>'Data with RTF'!AB42</f>
        <v>136</v>
      </c>
      <c r="F52" s="155">
        <f>IF(OR('Input &amp; Findings'!$G$28='Drop Down Lists'!$E$2,'Input &amp; Findings'!$G$28='Drop Down Lists'!$E$4),SUM(B52:C52),SUM(D52:E52))</f>
        <v>1573</v>
      </c>
      <c r="G52" s="155">
        <f t="shared" si="11"/>
        <v>115</v>
      </c>
      <c r="H52" s="155">
        <f t="shared" si="49"/>
        <v>80</v>
      </c>
      <c r="I52" s="155">
        <f>IF(OR('Input &amp; Findings'!$G$39='Drop Down Lists'!$E$3,'Input &amp; Findings'!$G$39='Drop Down Lists'!$E$5),MAX(D52:E52),MAX(B52:C52))</f>
        <v>136</v>
      </c>
      <c r="J52" s="156" t="str">
        <f t="shared" si="38"/>
        <v/>
      </c>
      <c r="K52" s="156" t="str">
        <f t="shared" si="35"/>
        <v/>
      </c>
      <c r="L52" s="176">
        <f t="shared" si="41"/>
        <v>-9979</v>
      </c>
      <c r="M52" s="176">
        <f t="shared" si="12"/>
        <v>0</v>
      </c>
      <c r="N52" s="176">
        <f>IF(AND(M52=MAX($M$14:$M$109),(SUM($N$14:N51)=0)),M52,0)</f>
        <v>0</v>
      </c>
      <c r="O52" s="176">
        <f t="shared" si="13"/>
        <v>0</v>
      </c>
      <c r="P52" s="176">
        <f t="shared" si="36"/>
        <v>1573</v>
      </c>
      <c r="Q52" s="176">
        <f t="shared" si="37"/>
        <v>136</v>
      </c>
      <c r="R52" s="176">
        <f t="shared" si="42"/>
        <v>-9979</v>
      </c>
      <c r="S52" s="176">
        <f t="shared" si="14"/>
        <v>0</v>
      </c>
      <c r="T52" s="176">
        <f>IF(AND(S52=MAX($S$14:$S$109),(SUM($T$14:T51)=0)),S52,0)</f>
        <v>0</v>
      </c>
      <c r="U52" s="176">
        <f t="shared" si="15"/>
        <v>0</v>
      </c>
      <c r="V52" s="176">
        <f t="shared" si="39"/>
        <v>1573</v>
      </c>
      <c r="W52" s="176">
        <f t="shared" si="27"/>
        <v>136</v>
      </c>
      <c r="X52" s="176">
        <f t="shared" si="43"/>
        <v>-9979</v>
      </c>
      <c r="Y52" s="176">
        <f t="shared" si="16"/>
        <v>0</v>
      </c>
      <c r="Z52" s="176">
        <f>IF(AND(Y52=MAX($Y$14:$Y$109),(SUM($Z$14:Z51)=0)),Y52,0)</f>
        <v>0</v>
      </c>
      <c r="AA52" s="176">
        <f t="shared" si="17"/>
        <v>0</v>
      </c>
      <c r="AB52" s="176" t="str">
        <f t="shared" si="28"/>
        <v/>
      </c>
      <c r="AC52" s="176" t="str">
        <f t="shared" si="29"/>
        <v/>
      </c>
      <c r="AD52" s="176">
        <f t="shared" si="44"/>
        <v>-19979</v>
      </c>
      <c r="AE52" s="176">
        <f t="shared" si="18"/>
        <v>0</v>
      </c>
      <c r="AF52" s="176">
        <f>IF(AND(AE52=MAX($AE$14:$AE$109),(SUM($AF$14:AF51)=0)),AE52,0)</f>
        <v>0</v>
      </c>
      <c r="AG52" s="176">
        <f t="shared" si="19"/>
        <v>0</v>
      </c>
      <c r="AH52" s="155">
        <f t="shared" si="0"/>
        <v>627.26</v>
      </c>
      <c r="AI52" s="176">
        <f t="shared" si="45"/>
        <v>-9979</v>
      </c>
      <c r="AJ52" s="176">
        <f t="shared" si="50"/>
        <v>0</v>
      </c>
      <c r="AK52" s="176">
        <f>IF(AND(AJ52=MAX($AJ$14:$AJ$109),(SUM($AK$14:AK51)=0)),AJ52,0)</f>
        <v>0</v>
      </c>
      <c r="AL52" s="176">
        <f t="shared" si="26"/>
        <v>0</v>
      </c>
      <c r="AM52" s="176">
        <f t="shared" si="51"/>
        <v>1573</v>
      </c>
      <c r="AN52" s="176">
        <f t="shared" si="52"/>
        <v>136</v>
      </c>
      <c r="AO52" s="176">
        <f t="shared" si="46"/>
        <v>-9979</v>
      </c>
      <c r="AP52" s="176">
        <f t="shared" si="20"/>
        <v>0</v>
      </c>
      <c r="AQ52" s="176">
        <f>IF(AND(AP52=MAX($AP$14:$AP$109),(SUM($AQ$14:AQ51)=0)),AP52,0)</f>
        <v>0</v>
      </c>
      <c r="AR52" s="176">
        <f t="shared" si="21"/>
        <v>0</v>
      </c>
      <c r="AS52" s="176">
        <f t="shared" si="40"/>
        <v>1573</v>
      </c>
      <c r="AT52" s="176">
        <f t="shared" si="32"/>
        <v>136</v>
      </c>
      <c r="AU52" s="176">
        <f t="shared" si="47"/>
        <v>-9979</v>
      </c>
      <c r="AV52" s="176">
        <f t="shared" si="22"/>
        <v>0</v>
      </c>
      <c r="AW52" s="176">
        <f>IF(AND(AV52=MAX($AV$14:$AV$109),(SUM($AW$14:AW51)=0)),AV52,0)</f>
        <v>0</v>
      </c>
      <c r="AX52" s="176">
        <f t="shared" si="23"/>
        <v>0</v>
      </c>
      <c r="AY52" s="176" t="str">
        <f t="shared" si="33"/>
        <v/>
      </c>
      <c r="AZ52" s="176" t="str">
        <f t="shared" si="34"/>
        <v/>
      </c>
      <c r="BA52" s="176">
        <f t="shared" si="48"/>
        <v>-19979</v>
      </c>
      <c r="BB52" s="176">
        <f t="shared" si="24"/>
        <v>0</v>
      </c>
      <c r="BC52" s="176">
        <f>IF(AND(BB52=MAX($BB$14:$BB$109),(SUM($BC$14:BC51)=0)),BB52,0)</f>
        <v>0</v>
      </c>
      <c r="BD52" s="176">
        <f t="shared" si="25"/>
        <v>0</v>
      </c>
      <c r="BE52" s="153">
        <v>0.39583333333333298</v>
      </c>
      <c r="BG52" s="595" t="s">
        <v>510</v>
      </c>
      <c r="BH52" s="596"/>
      <c r="BI52" s="597"/>
      <c r="BJ52" s="200">
        <f>VLOOKUP(MAX(Z14:Z109),$Z$14:$BE$109,32,FALSE)</f>
        <v>0.36458333333333298</v>
      </c>
      <c r="BK52" s="200">
        <f t="shared" si="53"/>
        <v>0.40625000033333297</v>
      </c>
      <c r="BL52" s="216">
        <f>MAX(Z14:Z109)</f>
        <v>1724</v>
      </c>
      <c r="BM52" s="216">
        <f>MAX(AA14:AA109)</f>
        <v>160</v>
      </c>
      <c r="BN52" s="105"/>
      <c r="BO52" s="105"/>
      <c r="BP52" s="105"/>
    </row>
    <row r="53" spans="1:68" ht="10.050000000000001" customHeight="1" x14ac:dyDescent="0.25">
      <c r="A53" s="153">
        <v>0.40625</v>
      </c>
      <c r="B53" s="177">
        <f>'Data with RTF'!U43</f>
        <v>663</v>
      </c>
      <c r="C53" s="177">
        <f>'Data with RTF'!G43</f>
        <v>870</v>
      </c>
      <c r="D53" s="177">
        <f>'Data with RTF'!N43</f>
        <v>0</v>
      </c>
      <c r="E53" s="177">
        <f>'Data with RTF'!AB43</f>
        <v>127</v>
      </c>
      <c r="F53" s="155">
        <f>IF(OR('Input &amp; Findings'!$G$28='Drop Down Lists'!$E$2,'Input &amp; Findings'!$G$28='Drop Down Lists'!$E$4),SUM(B53:C53),SUM(D53:E53))</f>
        <v>1533</v>
      </c>
      <c r="G53" s="155">
        <f t="shared" si="11"/>
        <v>115</v>
      </c>
      <c r="H53" s="155">
        <f t="shared" si="49"/>
        <v>80</v>
      </c>
      <c r="I53" s="155">
        <f>IF(OR('Input &amp; Findings'!$G$39='Drop Down Lists'!$E$3,'Input &amp; Findings'!$G$39='Drop Down Lists'!$E$5),MAX(D53:E53),MAX(B53:C53))</f>
        <v>127</v>
      </c>
      <c r="J53" s="156" t="str">
        <f t="shared" si="38"/>
        <v>Met</v>
      </c>
      <c r="K53" s="156" t="str">
        <f t="shared" si="35"/>
        <v>Met</v>
      </c>
      <c r="L53" s="176">
        <f t="shared" si="41"/>
        <v>12</v>
      </c>
      <c r="M53" s="176">
        <f t="shared" si="12"/>
        <v>0</v>
      </c>
      <c r="N53" s="176">
        <f>IF(AND(M53=MAX($M$14:$M$109),(SUM($N$14:N52)=0)),M53,0)</f>
        <v>0</v>
      </c>
      <c r="O53" s="176">
        <f t="shared" si="13"/>
        <v>0</v>
      </c>
      <c r="P53" s="176">
        <f t="shared" si="36"/>
        <v>1533</v>
      </c>
      <c r="Q53" s="176">
        <f t="shared" si="37"/>
        <v>127</v>
      </c>
      <c r="R53" s="176">
        <f t="shared" si="42"/>
        <v>12</v>
      </c>
      <c r="S53" s="176">
        <f t="shared" si="14"/>
        <v>0</v>
      </c>
      <c r="T53" s="176">
        <f>IF(AND(S53=MAX($S$14:$S$109),(SUM($T$14:T52)=0)),S53,0)</f>
        <v>0</v>
      </c>
      <c r="U53" s="176">
        <f t="shared" si="15"/>
        <v>0</v>
      </c>
      <c r="V53" s="176">
        <f t="shared" si="39"/>
        <v>1533</v>
      </c>
      <c r="W53" s="176">
        <f t="shared" si="27"/>
        <v>127</v>
      </c>
      <c r="X53" s="176">
        <f t="shared" si="43"/>
        <v>12</v>
      </c>
      <c r="Y53" s="176">
        <f t="shared" si="16"/>
        <v>0</v>
      </c>
      <c r="Z53" s="176">
        <f>IF(AND(Y53=MAX($Y$14:$Y$109),(SUM($Z$14:Z52)=0)),Y53,0)</f>
        <v>0</v>
      </c>
      <c r="AA53" s="176">
        <f t="shared" si="17"/>
        <v>0</v>
      </c>
      <c r="AB53" s="176">
        <f t="shared" si="28"/>
        <v>1533</v>
      </c>
      <c r="AC53" s="176">
        <f t="shared" si="29"/>
        <v>127</v>
      </c>
      <c r="AD53" s="176">
        <f t="shared" si="44"/>
        <v>12</v>
      </c>
      <c r="AE53" s="176">
        <f t="shared" si="18"/>
        <v>0</v>
      </c>
      <c r="AF53" s="176">
        <f>IF(AND(AE53=MAX($AE$14:$AE$109),(SUM($AF$14:AF52)=0)),AE53,0)</f>
        <v>0</v>
      </c>
      <c r="AG53" s="176">
        <f t="shared" si="19"/>
        <v>0</v>
      </c>
      <c r="AH53" s="155">
        <f t="shared" si="0"/>
        <v>627.26</v>
      </c>
      <c r="AI53" s="176">
        <f t="shared" si="45"/>
        <v>12</v>
      </c>
      <c r="AJ53" s="176">
        <f t="shared" si="50"/>
        <v>0</v>
      </c>
      <c r="AK53" s="176">
        <f>IF(AND(AJ53=MAX($AJ$14:$AJ$109),(SUM($AK$14:AK52)=0)),AJ53,0)</f>
        <v>0</v>
      </c>
      <c r="AL53" s="176">
        <f t="shared" si="26"/>
        <v>0</v>
      </c>
      <c r="AM53" s="176">
        <f t="shared" si="51"/>
        <v>1533</v>
      </c>
      <c r="AN53" s="176">
        <f t="shared" si="52"/>
        <v>127</v>
      </c>
      <c r="AO53" s="176">
        <f t="shared" si="46"/>
        <v>12</v>
      </c>
      <c r="AP53" s="176">
        <f t="shared" si="20"/>
        <v>0</v>
      </c>
      <c r="AQ53" s="176">
        <f>IF(AND(AP53=MAX($AP$14:$AP$109),(SUM($AQ$14:AQ52)=0)),AP53,0)</f>
        <v>0</v>
      </c>
      <c r="AR53" s="176">
        <f t="shared" si="21"/>
        <v>0</v>
      </c>
      <c r="AS53" s="176">
        <f t="shared" si="40"/>
        <v>1533</v>
      </c>
      <c r="AT53" s="176">
        <f t="shared" si="32"/>
        <v>127</v>
      </c>
      <c r="AU53" s="176">
        <f t="shared" si="47"/>
        <v>12</v>
      </c>
      <c r="AV53" s="176">
        <f t="shared" si="22"/>
        <v>0</v>
      </c>
      <c r="AW53" s="176">
        <f>IF(AND(AV53=MAX($AV$14:$AV$109),(SUM($AW$14:AW52)=0)),AV53,0)</f>
        <v>0</v>
      </c>
      <c r="AX53" s="176">
        <f t="shared" si="23"/>
        <v>0</v>
      </c>
      <c r="AY53" s="176">
        <f t="shared" si="33"/>
        <v>1533</v>
      </c>
      <c r="AZ53" s="176">
        <f t="shared" si="34"/>
        <v>127</v>
      </c>
      <c r="BA53" s="176">
        <f t="shared" si="48"/>
        <v>12</v>
      </c>
      <c r="BB53" s="176">
        <f t="shared" si="24"/>
        <v>0</v>
      </c>
      <c r="BC53" s="176">
        <f>IF(AND(BB53=MAX($BB$14:$BB$109),(SUM($BC$14:BC52)=0)),BB53,0)</f>
        <v>0</v>
      </c>
      <c r="BD53" s="176">
        <f t="shared" si="25"/>
        <v>0</v>
      </c>
      <c r="BE53" s="153">
        <v>0.40625</v>
      </c>
      <c r="BG53" s="601" t="s">
        <v>511</v>
      </c>
      <c r="BH53" s="602"/>
      <c r="BI53" s="603"/>
      <c r="BJ53" s="201">
        <f>VLOOKUP(MAX(AF14:AF109),$AF$14:$BE$109,26,FALSE)</f>
        <v>0.32291666666666702</v>
      </c>
      <c r="BK53" s="201">
        <f t="shared" si="53"/>
        <v>0.36458333366666701</v>
      </c>
      <c r="BL53" s="217">
        <f>MAX(AF14:AF109)</f>
        <v>2099</v>
      </c>
      <c r="BM53" s="217">
        <f>MAX(AG14:AG109)</f>
        <v>156</v>
      </c>
      <c r="BN53" s="105"/>
      <c r="BO53" s="105"/>
      <c r="BP53" s="105"/>
    </row>
    <row r="54" spans="1:68" ht="10.050000000000001" customHeight="1" x14ac:dyDescent="0.25">
      <c r="A54" s="153">
        <v>0.41666666666666702</v>
      </c>
      <c r="B54" s="177">
        <f>'Data with RTF'!U44</f>
        <v>676</v>
      </c>
      <c r="C54" s="177">
        <f>'Data with RTF'!G44</f>
        <v>853</v>
      </c>
      <c r="D54" s="177">
        <f>'Data with RTF'!N44</f>
        <v>0</v>
      </c>
      <c r="E54" s="177">
        <f>'Data with RTF'!AB44</f>
        <v>124</v>
      </c>
      <c r="F54" s="155">
        <f>IF(OR('Input &amp; Findings'!$G$28='Drop Down Lists'!$E$2,'Input &amp; Findings'!$G$28='Drop Down Lists'!$E$4),SUM(B54:C54),SUM(D54:E54))</f>
        <v>1529</v>
      </c>
      <c r="G54" s="155">
        <f t="shared" si="11"/>
        <v>115</v>
      </c>
      <c r="H54" s="155">
        <f t="shared" si="49"/>
        <v>80</v>
      </c>
      <c r="I54" s="155">
        <f>IF(OR('Input &amp; Findings'!$G$39='Drop Down Lists'!$E$3,'Input &amp; Findings'!$G$39='Drop Down Lists'!$E$5),MAX(D54:E54),MAX(B54:C54))</f>
        <v>124</v>
      </c>
      <c r="J54" s="156" t="str">
        <f t="shared" si="38"/>
        <v/>
      </c>
      <c r="K54" s="156" t="str">
        <f t="shared" si="35"/>
        <v/>
      </c>
      <c r="L54" s="176">
        <f t="shared" si="41"/>
        <v>-9991</v>
      </c>
      <c r="M54" s="176">
        <f t="shared" si="12"/>
        <v>0</v>
      </c>
      <c r="N54" s="176">
        <f>IF(AND(M54=MAX($M$14:$M$109),(SUM($N$14:N53)=0)),M54,0)</f>
        <v>0</v>
      </c>
      <c r="O54" s="176">
        <f t="shared" si="13"/>
        <v>0</v>
      </c>
      <c r="P54" s="176">
        <f t="shared" si="36"/>
        <v>1529</v>
      </c>
      <c r="Q54" s="176">
        <f t="shared" si="37"/>
        <v>124</v>
      </c>
      <c r="R54" s="176">
        <f t="shared" si="42"/>
        <v>-9991</v>
      </c>
      <c r="S54" s="176">
        <f t="shared" si="14"/>
        <v>0</v>
      </c>
      <c r="T54" s="176">
        <f>IF(AND(S54=MAX($S$14:$S$109),(SUM($T$14:T53)=0)),S54,0)</f>
        <v>0</v>
      </c>
      <c r="U54" s="176">
        <f t="shared" si="15"/>
        <v>0</v>
      </c>
      <c r="V54" s="176">
        <f t="shared" si="39"/>
        <v>1529</v>
      </c>
      <c r="W54" s="176">
        <f t="shared" si="27"/>
        <v>124</v>
      </c>
      <c r="X54" s="176">
        <f t="shared" si="43"/>
        <v>-9991</v>
      </c>
      <c r="Y54" s="176">
        <f t="shared" si="16"/>
        <v>0</v>
      </c>
      <c r="Z54" s="176">
        <f>IF(AND(Y54=MAX($Y$14:$Y$109),(SUM($Z$14:Z53)=0)),Y54,0)</f>
        <v>0</v>
      </c>
      <c r="AA54" s="176">
        <f t="shared" si="17"/>
        <v>0</v>
      </c>
      <c r="AB54" s="176">
        <f t="shared" si="28"/>
        <v>1529</v>
      </c>
      <c r="AC54" s="176">
        <f t="shared" si="29"/>
        <v>124</v>
      </c>
      <c r="AD54" s="176">
        <f t="shared" si="44"/>
        <v>-9991</v>
      </c>
      <c r="AE54" s="176">
        <f t="shared" si="18"/>
        <v>0</v>
      </c>
      <c r="AF54" s="176">
        <f>IF(AND(AE54=MAX($AE$14:$AE$109),(SUM($AF$14:AF53)=0)),AE54,0)</f>
        <v>0</v>
      </c>
      <c r="AG54" s="176">
        <f t="shared" si="19"/>
        <v>0</v>
      </c>
      <c r="AH54" s="155">
        <f t="shared" si="0"/>
        <v>627.26</v>
      </c>
      <c r="AI54" s="176">
        <f t="shared" si="45"/>
        <v>-9991</v>
      </c>
      <c r="AJ54" s="176">
        <f t="shared" si="50"/>
        <v>0</v>
      </c>
      <c r="AK54" s="176">
        <f>IF(AND(AJ54=MAX($AJ$14:$AJ$109),(SUM($AK$14:AK53)=0)),AJ54,0)</f>
        <v>0</v>
      </c>
      <c r="AL54" s="176">
        <f t="shared" si="26"/>
        <v>0</v>
      </c>
      <c r="AM54" s="176">
        <f t="shared" si="51"/>
        <v>1529</v>
      </c>
      <c r="AN54" s="176">
        <f t="shared" si="52"/>
        <v>124</v>
      </c>
      <c r="AO54" s="176">
        <f t="shared" si="46"/>
        <v>-9991</v>
      </c>
      <c r="AP54" s="176">
        <f t="shared" si="20"/>
        <v>0</v>
      </c>
      <c r="AQ54" s="176">
        <f>IF(AND(AP54=MAX($AP$14:$AP$109),(SUM($AQ$14:AQ53)=0)),AP54,0)</f>
        <v>0</v>
      </c>
      <c r="AR54" s="176">
        <f t="shared" si="21"/>
        <v>0</v>
      </c>
      <c r="AS54" s="176">
        <f t="shared" si="40"/>
        <v>1529</v>
      </c>
      <c r="AT54" s="176">
        <f t="shared" si="32"/>
        <v>124</v>
      </c>
      <c r="AU54" s="176">
        <f t="shared" si="47"/>
        <v>-9991</v>
      </c>
      <c r="AV54" s="176">
        <f t="shared" si="22"/>
        <v>0</v>
      </c>
      <c r="AW54" s="176">
        <f>IF(AND(AV54=MAX($AV$14:$AV$109),(SUM($AW$14:AW53)=0)),AV54,0)</f>
        <v>0</v>
      </c>
      <c r="AX54" s="176">
        <f t="shared" si="23"/>
        <v>0</v>
      </c>
      <c r="AY54" s="176">
        <f t="shared" si="33"/>
        <v>1529</v>
      </c>
      <c r="AZ54" s="176">
        <f t="shared" si="34"/>
        <v>124</v>
      </c>
      <c r="BA54" s="176">
        <f t="shared" si="48"/>
        <v>-9991</v>
      </c>
      <c r="BB54" s="176">
        <f t="shared" si="24"/>
        <v>0</v>
      </c>
      <c r="BC54" s="176">
        <f>IF(AND(BB54=MAX($BB$14:$BB$109),(SUM($BC$14:BC53)=0)),BB54,0)</f>
        <v>0</v>
      </c>
      <c r="BD54" s="176">
        <f t="shared" si="25"/>
        <v>0</v>
      </c>
      <c r="BE54" s="153">
        <v>0.41666666666666702</v>
      </c>
      <c r="BG54" s="105"/>
      <c r="BH54" s="105"/>
      <c r="BI54" s="105"/>
      <c r="BJ54" s="105"/>
      <c r="BK54" s="105"/>
      <c r="BL54" s="105"/>
      <c r="BM54" s="105"/>
      <c r="BN54" s="105"/>
      <c r="BO54" s="105"/>
      <c r="BP54" s="105"/>
    </row>
    <row r="55" spans="1:68" ht="10.050000000000001" customHeight="1" x14ac:dyDescent="0.25">
      <c r="A55" s="153">
        <v>0.42708333333333298</v>
      </c>
      <c r="B55" s="177">
        <f>'Data with RTF'!U45</f>
        <v>644</v>
      </c>
      <c r="C55" s="177">
        <f>'Data with RTF'!G45</f>
        <v>865</v>
      </c>
      <c r="D55" s="177">
        <f>'Data with RTF'!N45</f>
        <v>0</v>
      </c>
      <c r="E55" s="177">
        <f>'Data with RTF'!AB45</f>
        <v>125</v>
      </c>
      <c r="F55" s="155">
        <f>IF(OR('Input &amp; Findings'!$G$28='Drop Down Lists'!$E$2,'Input &amp; Findings'!$G$28='Drop Down Lists'!$E$4),SUM(B55:C55),SUM(D55:E55))</f>
        <v>1509</v>
      </c>
      <c r="G55" s="155">
        <f t="shared" si="11"/>
        <v>115</v>
      </c>
      <c r="H55" s="155">
        <f t="shared" si="49"/>
        <v>80</v>
      </c>
      <c r="I55" s="155">
        <f>IF(OR('Input &amp; Findings'!$G$39='Drop Down Lists'!$E$3,'Input &amp; Findings'!$G$39='Drop Down Lists'!$E$5),MAX(D55:E55),MAX(B55:C55))</f>
        <v>125</v>
      </c>
      <c r="J55" s="156" t="str">
        <f>IF(AND(G55&lt;I55,J54="",J53="",J52=""),"Met","")</f>
        <v/>
      </c>
      <c r="K55" s="156" t="str">
        <f t="shared" si="35"/>
        <v/>
      </c>
      <c r="L55" s="176">
        <f t="shared" si="41"/>
        <v>-9990</v>
      </c>
      <c r="M55" s="176">
        <f t="shared" si="12"/>
        <v>0</v>
      </c>
      <c r="N55" s="176">
        <f>IF(AND(M55=MAX($M$14:$M$109),(SUM($N$14:N54)=0)),M55,0)</f>
        <v>0</v>
      </c>
      <c r="O55" s="176">
        <f t="shared" si="13"/>
        <v>0</v>
      </c>
      <c r="P55" s="176">
        <f t="shared" si="36"/>
        <v>1509</v>
      </c>
      <c r="Q55" s="176">
        <f t="shared" si="37"/>
        <v>125</v>
      </c>
      <c r="R55" s="176">
        <f t="shared" si="42"/>
        <v>-9990</v>
      </c>
      <c r="S55" s="176">
        <f t="shared" si="14"/>
        <v>0</v>
      </c>
      <c r="T55" s="176">
        <f>IF(AND(S55=MAX($S$14:$S$109),(SUM($T$14:T54)=0)),S55,0)</f>
        <v>0</v>
      </c>
      <c r="U55" s="176">
        <f t="shared" si="15"/>
        <v>0</v>
      </c>
      <c r="V55" s="176">
        <f t="shared" si="39"/>
        <v>1509</v>
      </c>
      <c r="W55" s="176">
        <f t="shared" si="27"/>
        <v>125</v>
      </c>
      <c r="X55" s="176">
        <f t="shared" si="43"/>
        <v>-9990</v>
      </c>
      <c r="Y55" s="176">
        <f t="shared" si="16"/>
        <v>0</v>
      </c>
      <c r="Z55" s="176">
        <f>IF(AND(Y55=MAX($Y$14:$Y$109),(SUM($Z$14:Z54)=0)),Y55,0)</f>
        <v>0</v>
      </c>
      <c r="AA55" s="176">
        <f t="shared" si="17"/>
        <v>0</v>
      </c>
      <c r="AB55" s="176">
        <f t="shared" si="28"/>
        <v>1509</v>
      </c>
      <c r="AC55" s="176">
        <f t="shared" si="29"/>
        <v>125</v>
      </c>
      <c r="AD55" s="176">
        <f t="shared" si="44"/>
        <v>-9990</v>
      </c>
      <c r="AE55" s="176">
        <f t="shared" si="18"/>
        <v>0</v>
      </c>
      <c r="AF55" s="176">
        <f>IF(AND(AE55=MAX($AE$14:$AE$109),(SUM($AF$14:AF54)=0)),AE55,0)</f>
        <v>0</v>
      </c>
      <c r="AG55" s="176">
        <f t="shared" si="19"/>
        <v>0</v>
      </c>
      <c r="AH55" s="155">
        <f t="shared" si="0"/>
        <v>627.26</v>
      </c>
      <c r="AI55" s="176">
        <f t="shared" si="45"/>
        <v>-9990</v>
      </c>
      <c r="AJ55" s="176">
        <f t="shared" si="50"/>
        <v>0</v>
      </c>
      <c r="AK55" s="176">
        <f>IF(AND(AJ55=MAX($AJ$14:$AJ$109),(SUM($AK$14:AK54)=0)),AJ55,0)</f>
        <v>0</v>
      </c>
      <c r="AL55" s="176">
        <f t="shared" si="26"/>
        <v>0</v>
      </c>
      <c r="AM55" s="176">
        <f t="shared" si="51"/>
        <v>1509</v>
      </c>
      <c r="AN55" s="176">
        <f t="shared" si="52"/>
        <v>125</v>
      </c>
      <c r="AO55" s="176">
        <f t="shared" si="46"/>
        <v>-9990</v>
      </c>
      <c r="AP55" s="176">
        <f t="shared" si="20"/>
        <v>0</v>
      </c>
      <c r="AQ55" s="176">
        <f>IF(AND(AP55=MAX($AP$14:$AP$109),(SUM($AQ$14:AQ54)=0)),AP55,0)</f>
        <v>0</v>
      </c>
      <c r="AR55" s="176">
        <f t="shared" si="21"/>
        <v>0</v>
      </c>
      <c r="AS55" s="176">
        <f t="shared" si="40"/>
        <v>1509</v>
      </c>
      <c r="AT55" s="176">
        <f t="shared" si="32"/>
        <v>125</v>
      </c>
      <c r="AU55" s="176">
        <f t="shared" si="47"/>
        <v>-9990</v>
      </c>
      <c r="AV55" s="176">
        <f t="shared" si="22"/>
        <v>0</v>
      </c>
      <c r="AW55" s="176">
        <f>IF(AND(AV55=MAX($AV$14:$AV$109),(SUM($AW$14:AW54)=0)),AV55,0)</f>
        <v>0</v>
      </c>
      <c r="AX55" s="176">
        <f t="shared" si="23"/>
        <v>0</v>
      </c>
      <c r="AY55" s="176">
        <f t="shared" si="33"/>
        <v>1509</v>
      </c>
      <c r="AZ55" s="176">
        <f t="shared" si="34"/>
        <v>125</v>
      </c>
      <c r="BA55" s="176">
        <f t="shared" si="48"/>
        <v>-9990</v>
      </c>
      <c r="BB55" s="176">
        <f t="shared" si="24"/>
        <v>0</v>
      </c>
      <c r="BC55" s="176">
        <f>IF(AND(BB55=MAX($BB$14:$BB$109),(SUM($BC$14:BC54)=0)),BB55,0)</f>
        <v>0</v>
      </c>
      <c r="BD55" s="176">
        <f t="shared" si="25"/>
        <v>0</v>
      </c>
      <c r="BE55" s="153">
        <v>0.42708333333333298</v>
      </c>
      <c r="BG55" s="598" t="s">
        <v>523</v>
      </c>
      <c r="BH55" s="599"/>
      <c r="BI55" s="600"/>
      <c r="BJ55" s="197" t="s">
        <v>99</v>
      </c>
      <c r="BK55" s="197" t="s">
        <v>513</v>
      </c>
      <c r="BL55" s="197" t="s">
        <v>420</v>
      </c>
      <c r="BM55" s="197" t="s">
        <v>521</v>
      </c>
      <c r="BN55" s="105"/>
      <c r="BO55" s="105"/>
      <c r="BP55" s="105"/>
    </row>
    <row r="56" spans="1:68" ht="10.050000000000001" customHeight="1" x14ac:dyDescent="0.25">
      <c r="A56" s="153">
        <v>0.4375</v>
      </c>
      <c r="B56" s="177">
        <f>'Data with RTF'!U46</f>
        <v>660</v>
      </c>
      <c r="C56" s="177">
        <f>'Data with RTF'!G46</f>
        <v>872</v>
      </c>
      <c r="D56" s="177">
        <f>'Data with RTF'!N46</f>
        <v>0</v>
      </c>
      <c r="E56" s="177">
        <f>'Data with RTF'!AB46</f>
        <v>133</v>
      </c>
      <c r="F56" s="155">
        <f>IF(OR('Input &amp; Findings'!$G$28='Drop Down Lists'!$E$2,'Input &amp; Findings'!$G$28='Drop Down Lists'!$E$4),SUM(B56:C56),SUM(D56:E56))</f>
        <v>1532</v>
      </c>
      <c r="G56" s="155">
        <f t="shared" si="11"/>
        <v>115</v>
      </c>
      <c r="H56" s="155">
        <f t="shared" si="49"/>
        <v>80</v>
      </c>
      <c r="I56" s="155">
        <f>IF(OR('Input &amp; Findings'!$G$39='Drop Down Lists'!$E$3,'Input &amp; Findings'!$G$39='Drop Down Lists'!$E$5),MAX(D56:E56),MAX(B56:C56))</f>
        <v>133</v>
      </c>
      <c r="J56" s="156" t="str">
        <f t="shared" si="38"/>
        <v/>
      </c>
      <c r="K56" s="156" t="str">
        <f t="shared" si="35"/>
        <v/>
      </c>
      <c r="L56" s="176">
        <f t="shared" si="41"/>
        <v>-9982</v>
      </c>
      <c r="M56" s="176">
        <f t="shared" si="12"/>
        <v>0</v>
      </c>
      <c r="N56" s="176">
        <f>IF(AND(M56=MAX($M$14:$M$109),(SUM($N$14:N55)=0)),M56,0)</f>
        <v>0</v>
      </c>
      <c r="O56" s="176">
        <f t="shared" si="13"/>
        <v>0</v>
      </c>
      <c r="P56" s="176">
        <f t="shared" si="36"/>
        <v>1532</v>
      </c>
      <c r="Q56" s="176">
        <f t="shared" si="37"/>
        <v>133</v>
      </c>
      <c r="R56" s="176">
        <f t="shared" si="42"/>
        <v>-9982</v>
      </c>
      <c r="S56" s="176">
        <f t="shared" si="14"/>
        <v>0</v>
      </c>
      <c r="T56" s="176">
        <f>IF(AND(S56=MAX($S$14:$S$109),(SUM($T$14:T55)=0)),S56,0)</f>
        <v>0</v>
      </c>
      <c r="U56" s="176">
        <f t="shared" si="15"/>
        <v>0</v>
      </c>
      <c r="V56" s="176">
        <f t="shared" si="39"/>
        <v>1532</v>
      </c>
      <c r="W56" s="176">
        <f t="shared" si="27"/>
        <v>133</v>
      </c>
      <c r="X56" s="176">
        <f t="shared" si="43"/>
        <v>-9982</v>
      </c>
      <c r="Y56" s="176">
        <f t="shared" si="16"/>
        <v>0</v>
      </c>
      <c r="Z56" s="176">
        <f>IF(AND(Y56=MAX($Y$14:$Y$109),(SUM($Z$14:Z55)=0)),Y56,0)</f>
        <v>0</v>
      </c>
      <c r="AA56" s="176">
        <f t="shared" si="17"/>
        <v>0</v>
      </c>
      <c r="AB56" s="176">
        <f t="shared" si="28"/>
        <v>1532</v>
      </c>
      <c r="AC56" s="176">
        <f t="shared" si="29"/>
        <v>133</v>
      </c>
      <c r="AD56" s="176">
        <f t="shared" si="44"/>
        <v>-9982</v>
      </c>
      <c r="AE56" s="176">
        <f t="shared" si="18"/>
        <v>0</v>
      </c>
      <c r="AF56" s="176">
        <f>IF(AND(AE56=MAX($AE$14:$AE$109),(SUM($AF$14:AF55)=0)),AE56,0)</f>
        <v>0</v>
      </c>
      <c r="AG56" s="176">
        <f t="shared" si="19"/>
        <v>0</v>
      </c>
      <c r="AH56" s="155">
        <f t="shared" si="0"/>
        <v>627.26</v>
      </c>
      <c r="AI56" s="176">
        <f t="shared" si="45"/>
        <v>-9982</v>
      </c>
      <c r="AJ56" s="176">
        <f t="shared" si="50"/>
        <v>0</v>
      </c>
      <c r="AK56" s="176">
        <f>IF(AND(AJ56=MAX($AJ$14:$AJ$109),(SUM($AK$14:AK55)=0)),AJ56,0)</f>
        <v>0</v>
      </c>
      <c r="AL56" s="176">
        <f t="shared" si="26"/>
        <v>0</v>
      </c>
      <c r="AM56" s="176">
        <f t="shared" si="51"/>
        <v>1532</v>
      </c>
      <c r="AN56" s="176">
        <f t="shared" si="52"/>
        <v>133</v>
      </c>
      <c r="AO56" s="176">
        <f t="shared" si="46"/>
        <v>-9982</v>
      </c>
      <c r="AP56" s="176">
        <f t="shared" si="20"/>
        <v>0</v>
      </c>
      <c r="AQ56" s="176">
        <f>IF(AND(AP56=MAX($AP$14:$AP$109),(SUM($AQ$14:AQ55)=0)),AP56,0)</f>
        <v>0</v>
      </c>
      <c r="AR56" s="176">
        <f t="shared" si="21"/>
        <v>0</v>
      </c>
      <c r="AS56" s="176">
        <f t="shared" si="40"/>
        <v>1532</v>
      </c>
      <c r="AT56" s="176">
        <f t="shared" si="32"/>
        <v>133</v>
      </c>
      <c r="AU56" s="176">
        <f t="shared" si="47"/>
        <v>-9982</v>
      </c>
      <c r="AV56" s="176">
        <f t="shared" si="22"/>
        <v>0</v>
      </c>
      <c r="AW56" s="176">
        <f>IF(AND(AV56=MAX($AV$14:$AV$109),(SUM($AW$14:AW55)=0)),AV56,0)</f>
        <v>0</v>
      </c>
      <c r="AX56" s="176">
        <f t="shared" si="23"/>
        <v>0</v>
      </c>
      <c r="AY56" s="176">
        <f t="shared" si="33"/>
        <v>1532</v>
      </c>
      <c r="AZ56" s="176">
        <f t="shared" si="34"/>
        <v>133</v>
      </c>
      <c r="BA56" s="176">
        <f t="shared" si="48"/>
        <v>-9982</v>
      </c>
      <c r="BB56" s="176">
        <f t="shared" si="24"/>
        <v>0</v>
      </c>
      <c r="BC56" s="176">
        <f>IF(AND(BB56=MAX($BB$14:$BB$109),(SUM($BC$14:BC55)=0)),BB56,0)</f>
        <v>0</v>
      </c>
      <c r="BD56" s="176">
        <f t="shared" si="25"/>
        <v>0</v>
      </c>
      <c r="BE56" s="153">
        <v>0.4375</v>
      </c>
      <c r="BG56" s="589" t="s">
        <v>512</v>
      </c>
      <c r="BH56" s="590"/>
      <c r="BI56" s="591"/>
      <c r="BJ56" s="198">
        <f>VLOOKUP(MAX(AK14:AK109),$AK$14:$BE$109,21,FALSE)</f>
        <v>0.65625</v>
      </c>
      <c r="BK56" s="198">
        <f>BJ56+0.041666667</f>
        <v>0.69791666699999999</v>
      </c>
      <c r="BL56" s="214">
        <f>MAX(AK14:AK109)</f>
        <v>2260</v>
      </c>
      <c r="BM56" s="214">
        <f>MAX(AL14:AL109)</f>
        <v>176</v>
      </c>
      <c r="BN56" s="105"/>
      <c r="BO56" s="105"/>
      <c r="BP56" s="105"/>
    </row>
    <row r="57" spans="1:68" ht="10.050000000000001" customHeight="1" x14ac:dyDescent="0.25">
      <c r="A57" s="153">
        <v>0.44791666666666702</v>
      </c>
      <c r="B57" s="177">
        <f>'Data with RTF'!U47</f>
        <v>700</v>
      </c>
      <c r="C57" s="177">
        <f>'Data with RTF'!G47</f>
        <v>902</v>
      </c>
      <c r="D57" s="177">
        <f>'Data with RTF'!N47</f>
        <v>0</v>
      </c>
      <c r="E57" s="177">
        <f>'Data with RTF'!AB47</f>
        <v>136</v>
      </c>
      <c r="F57" s="155">
        <f>IF(OR('Input &amp; Findings'!$G$28='Drop Down Lists'!$E$2,'Input &amp; Findings'!$G$28='Drop Down Lists'!$E$4),SUM(B57:C57),SUM(D57:E57))</f>
        <v>1602</v>
      </c>
      <c r="G57" s="155">
        <f t="shared" si="11"/>
        <v>115</v>
      </c>
      <c r="H57" s="155">
        <f t="shared" si="49"/>
        <v>80</v>
      </c>
      <c r="I57" s="155">
        <f>IF(OR('Input &amp; Findings'!$G$39='Drop Down Lists'!$E$3,'Input &amp; Findings'!$G$39='Drop Down Lists'!$E$5),MAX(D57:E57),MAX(B57:C57))</f>
        <v>136</v>
      </c>
      <c r="J57" s="156" t="str">
        <f t="shared" si="38"/>
        <v>Met</v>
      </c>
      <c r="K57" s="156" t="str">
        <f t="shared" si="35"/>
        <v>Met</v>
      </c>
      <c r="L57" s="176">
        <f t="shared" si="41"/>
        <v>21</v>
      </c>
      <c r="M57" s="176">
        <f t="shared" si="12"/>
        <v>0</v>
      </c>
      <c r="N57" s="176">
        <f>IF(AND(M57=MAX($M$14:$M$109),(SUM($N$14:N56)=0)),M57,0)</f>
        <v>0</v>
      </c>
      <c r="O57" s="176">
        <f t="shared" si="13"/>
        <v>0</v>
      </c>
      <c r="P57" s="176">
        <f t="shared" si="36"/>
        <v>1602</v>
      </c>
      <c r="Q57" s="176">
        <f t="shared" si="37"/>
        <v>136</v>
      </c>
      <c r="R57" s="176">
        <f t="shared" si="42"/>
        <v>21</v>
      </c>
      <c r="S57" s="176">
        <f t="shared" si="14"/>
        <v>0</v>
      </c>
      <c r="T57" s="176">
        <f>IF(AND(S57=MAX($S$14:$S$109),(SUM($T$14:T56)=0)),S57,0)</f>
        <v>0</v>
      </c>
      <c r="U57" s="176">
        <f t="shared" si="15"/>
        <v>0</v>
      </c>
      <c r="V57" s="176">
        <f t="shared" si="39"/>
        <v>1602</v>
      </c>
      <c r="W57" s="176">
        <f t="shared" si="27"/>
        <v>136</v>
      </c>
      <c r="X57" s="176">
        <f t="shared" si="43"/>
        <v>21</v>
      </c>
      <c r="Y57" s="176">
        <f t="shared" si="16"/>
        <v>0</v>
      </c>
      <c r="Z57" s="176">
        <f>IF(AND(Y57=MAX($Y$14:$Y$109),(SUM($Z$14:Z56)=0)),Y57,0)</f>
        <v>0</v>
      </c>
      <c r="AA57" s="176">
        <f t="shared" si="17"/>
        <v>0</v>
      </c>
      <c r="AB57" s="176">
        <f t="shared" si="28"/>
        <v>1602</v>
      </c>
      <c r="AC57" s="176">
        <f t="shared" si="29"/>
        <v>136</v>
      </c>
      <c r="AD57" s="176">
        <f t="shared" si="44"/>
        <v>21</v>
      </c>
      <c r="AE57" s="176">
        <f t="shared" si="18"/>
        <v>0</v>
      </c>
      <c r="AF57" s="176">
        <f>IF(AND(AE57=MAX($AE$14:$AE$109),(SUM($AF$14:AF56)=0)),AE57,0)</f>
        <v>0</v>
      </c>
      <c r="AG57" s="176">
        <f t="shared" si="19"/>
        <v>0</v>
      </c>
      <c r="AH57" s="155">
        <f t="shared" si="0"/>
        <v>627.26</v>
      </c>
      <c r="AI57" s="176">
        <f t="shared" si="45"/>
        <v>21</v>
      </c>
      <c r="AJ57" s="176">
        <f t="shared" si="50"/>
        <v>0</v>
      </c>
      <c r="AK57" s="176">
        <f>IF(AND(AJ57=MAX($AJ$14:$AJ$109),(SUM($AK$14:AK56)=0)),AJ57,0)</f>
        <v>0</v>
      </c>
      <c r="AL57" s="176">
        <f t="shared" si="26"/>
        <v>0</v>
      </c>
      <c r="AM57" s="176">
        <f t="shared" si="51"/>
        <v>1602</v>
      </c>
      <c r="AN57" s="176">
        <f t="shared" si="52"/>
        <v>136</v>
      </c>
      <c r="AO57" s="176">
        <f t="shared" si="46"/>
        <v>21</v>
      </c>
      <c r="AP57" s="176">
        <f t="shared" si="20"/>
        <v>0</v>
      </c>
      <c r="AQ57" s="176">
        <f>IF(AND(AP57=MAX($AP$14:$AP$109),(SUM($AQ$14:AQ56)=0)),AP57,0)</f>
        <v>0</v>
      </c>
      <c r="AR57" s="176">
        <f t="shared" si="21"/>
        <v>0</v>
      </c>
      <c r="AS57" s="176">
        <f t="shared" si="40"/>
        <v>1602</v>
      </c>
      <c r="AT57" s="176">
        <f t="shared" si="32"/>
        <v>136</v>
      </c>
      <c r="AU57" s="176">
        <f t="shared" si="47"/>
        <v>21</v>
      </c>
      <c r="AV57" s="176">
        <f t="shared" si="22"/>
        <v>0</v>
      </c>
      <c r="AW57" s="176">
        <f>IF(AND(AV57=MAX($AV$14:$AV$109),(SUM($AW$14:AW56)=0)),AV57,0)</f>
        <v>0</v>
      </c>
      <c r="AX57" s="176">
        <f t="shared" si="23"/>
        <v>0</v>
      </c>
      <c r="AY57" s="176">
        <f t="shared" si="33"/>
        <v>1602</v>
      </c>
      <c r="AZ57" s="176">
        <f t="shared" si="34"/>
        <v>136</v>
      </c>
      <c r="BA57" s="176">
        <f t="shared" si="48"/>
        <v>21</v>
      </c>
      <c r="BB57" s="176">
        <f t="shared" si="24"/>
        <v>0</v>
      </c>
      <c r="BC57" s="176">
        <f>IF(AND(BB57=MAX($BB$14:$BB$109),(SUM($BC$14:BC56)=0)),BB57,0)</f>
        <v>0</v>
      </c>
      <c r="BD57" s="176">
        <f t="shared" si="25"/>
        <v>0</v>
      </c>
      <c r="BE57" s="153">
        <v>0.44791666666666702</v>
      </c>
      <c r="BG57" s="592" t="s">
        <v>509</v>
      </c>
      <c r="BH57" s="593"/>
      <c r="BI57" s="594"/>
      <c r="BJ57" s="199">
        <f>VLOOKUP(MAX(AQ14:AQ109),$AQ$14:$BE$109,15,FALSE)</f>
        <v>0.69791666666666696</v>
      </c>
      <c r="BK57" s="199">
        <f t="shared" ref="BK57:BK59" si="54">BJ57+0.041666667</f>
        <v>0.73958333366666695</v>
      </c>
      <c r="BL57" s="215">
        <f>MAX(AQ14:AQ109)</f>
        <v>2440</v>
      </c>
      <c r="BM57" s="215">
        <f>MAX(AR14:AR109)</f>
        <v>167</v>
      </c>
      <c r="BN57" s="105"/>
      <c r="BO57" s="105"/>
      <c r="BP57" s="105"/>
    </row>
    <row r="58" spans="1:68" ht="10.050000000000001" customHeight="1" x14ac:dyDescent="0.25">
      <c r="A58" s="153">
        <v>0.45833333333333298</v>
      </c>
      <c r="B58" s="177">
        <f>'Data with RTF'!U48</f>
        <v>725</v>
      </c>
      <c r="C58" s="177">
        <f>'Data with RTF'!G48</f>
        <v>948</v>
      </c>
      <c r="D58" s="177">
        <f>'Data with RTF'!N48</f>
        <v>0</v>
      </c>
      <c r="E58" s="177">
        <f>'Data with RTF'!AB48</f>
        <v>141</v>
      </c>
      <c r="F58" s="155">
        <f>IF(OR('Input &amp; Findings'!$G$28='Drop Down Lists'!$E$2,'Input &amp; Findings'!$G$28='Drop Down Lists'!$E$4),SUM(B58:C58),SUM(D58:E58))</f>
        <v>1673</v>
      </c>
      <c r="G58" s="155">
        <f t="shared" si="11"/>
        <v>115</v>
      </c>
      <c r="H58" s="155">
        <f t="shared" si="49"/>
        <v>80</v>
      </c>
      <c r="I58" s="155">
        <f>IF(OR('Input &amp; Findings'!$G$39='Drop Down Lists'!$E$3,'Input &amp; Findings'!$G$39='Drop Down Lists'!$E$5),MAX(D58:E58),MAX(B58:C58))</f>
        <v>141</v>
      </c>
      <c r="J58" s="156" t="str">
        <f t="shared" si="38"/>
        <v/>
      </c>
      <c r="K58" s="156" t="str">
        <f t="shared" si="35"/>
        <v/>
      </c>
      <c r="L58" s="176">
        <f t="shared" si="41"/>
        <v>-9974</v>
      </c>
      <c r="M58" s="176">
        <f t="shared" si="12"/>
        <v>0</v>
      </c>
      <c r="N58" s="176">
        <f>IF(AND(M58=MAX($M$14:$M$109),(SUM($N$14:N57)=0)),M58,0)</f>
        <v>0</v>
      </c>
      <c r="O58" s="176">
        <f t="shared" si="13"/>
        <v>0</v>
      </c>
      <c r="P58" s="176">
        <f t="shared" si="36"/>
        <v>1673</v>
      </c>
      <c r="Q58" s="176">
        <f t="shared" si="37"/>
        <v>141</v>
      </c>
      <c r="R58" s="176">
        <f t="shared" si="42"/>
        <v>-9974</v>
      </c>
      <c r="S58" s="176">
        <f t="shared" si="14"/>
        <v>0</v>
      </c>
      <c r="T58" s="176">
        <f>IF(AND(S58=MAX($S$14:$S$109),(SUM($T$14:T57)=0)),S58,0)</f>
        <v>0</v>
      </c>
      <c r="U58" s="176">
        <f t="shared" si="15"/>
        <v>0</v>
      </c>
      <c r="V58" s="176">
        <f t="shared" si="39"/>
        <v>1673</v>
      </c>
      <c r="W58" s="176">
        <f t="shared" si="27"/>
        <v>141</v>
      </c>
      <c r="X58" s="176">
        <f t="shared" si="43"/>
        <v>-9974</v>
      </c>
      <c r="Y58" s="176">
        <f t="shared" si="16"/>
        <v>0</v>
      </c>
      <c r="Z58" s="176">
        <f>IF(AND(Y58=MAX($Y$14:$Y$109),(SUM($Z$14:Z57)=0)),Y58,0)</f>
        <v>0</v>
      </c>
      <c r="AA58" s="176">
        <f t="shared" si="17"/>
        <v>0</v>
      </c>
      <c r="AB58" s="176">
        <f t="shared" si="28"/>
        <v>1673</v>
      </c>
      <c r="AC58" s="176">
        <f t="shared" si="29"/>
        <v>141</v>
      </c>
      <c r="AD58" s="176">
        <f t="shared" si="44"/>
        <v>-9974</v>
      </c>
      <c r="AE58" s="176">
        <f t="shared" si="18"/>
        <v>0</v>
      </c>
      <c r="AF58" s="176">
        <f>IF(AND(AE58=MAX($AE$14:$AE$109),(SUM($AF$14:AF57)=0)),AE58,0)</f>
        <v>0</v>
      </c>
      <c r="AG58" s="176">
        <f t="shared" si="19"/>
        <v>0</v>
      </c>
      <c r="AH58" s="155">
        <f t="shared" si="0"/>
        <v>627.26</v>
      </c>
      <c r="AI58" s="176">
        <f t="shared" si="45"/>
        <v>-9974</v>
      </c>
      <c r="AJ58" s="176">
        <f t="shared" si="50"/>
        <v>0</v>
      </c>
      <c r="AK58" s="176">
        <f>IF(AND(AJ58=MAX($AJ$14:$AJ$109),(SUM($AK$14:AK57)=0)),AJ58,0)</f>
        <v>0</v>
      </c>
      <c r="AL58" s="176">
        <f t="shared" si="26"/>
        <v>0</v>
      </c>
      <c r="AM58" s="176">
        <f t="shared" si="51"/>
        <v>1673</v>
      </c>
      <c r="AN58" s="176">
        <f t="shared" si="52"/>
        <v>141</v>
      </c>
      <c r="AO58" s="176">
        <f t="shared" si="46"/>
        <v>-9974</v>
      </c>
      <c r="AP58" s="176">
        <f t="shared" si="20"/>
        <v>0</v>
      </c>
      <c r="AQ58" s="176">
        <f>IF(AND(AP58=MAX($AP$14:$AP$109),(SUM($AQ$14:AQ57)=0)),AP58,0)</f>
        <v>0</v>
      </c>
      <c r="AR58" s="176">
        <f t="shared" si="21"/>
        <v>0</v>
      </c>
      <c r="AS58" s="176">
        <f t="shared" si="40"/>
        <v>1673</v>
      </c>
      <c r="AT58" s="176">
        <f t="shared" si="32"/>
        <v>141</v>
      </c>
      <c r="AU58" s="176">
        <f t="shared" si="47"/>
        <v>-9974</v>
      </c>
      <c r="AV58" s="176">
        <f t="shared" si="22"/>
        <v>0</v>
      </c>
      <c r="AW58" s="176">
        <f>IF(AND(AV58=MAX($AV$14:$AV$109),(SUM($AW$14:AW57)=0)),AV58,0)</f>
        <v>0</v>
      </c>
      <c r="AX58" s="176">
        <f t="shared" si="23"/>
        <v>0</v>
      </c>
      <c r="AY58" s="176">
        <f t="shared" si="33"/>
        <v>1673</v>
      </c>
      <c r="AZ58" s="176">
        <f t="shared" si="34"/>
        <v>141</v>
      </c>
      <c r="BA58" s="176">
        <f t="shared" si="48"/>
        <v>-9974</v>
      </c>
      <c r="BB58" s="176">
        <f t="shared" si="24"/>
        <v>0</v>
      </c>
      <c r="BC58" s="176">
        <f>IF(AND(BB58=MAX($BB$14:$BB$109),(SUM($BC$14:BC57)=0)),BB58,0)</f>
        <v>0</v>
      </c>
      <c r="BD58" s="176">
        <f t="shared" si="25"/>
        <v>0</v>
      </c>
      <c r="BE58" s="153">
        <v>0.45833333333333298</v>
      </c>
      <c r="BG58" s="595" t="s">
        <v>510</v>
      </c>
      <c r="BH58" s="596"/>
      <c r="BI58" s="597"/>
      <c r="BJ58" s="200">
        <f>VLOOKUP(MAX(AW14:AW109),$AW$14:$BE$109,9,FALSE)</f>
        <v>0.36458333333333298</v>
      </c>
      <c r="BK58" s="200">
        <f t="shared" si="54"/>
        <v>0.40625000033333297</v>
      </c>
      <c r="BL58" s="216">
        <f>MAX(AW14:AW109)</f>
        <v>1724</v>
      </c>
      <c r="BM58" s="216">
        <f>MAX(AX14:AX109)</f>
        <v>160</v>
      </c>
      <c r="BN58" s="105"/>
      <c r="BO58" s="105"/>
      <c r="BP58" s="105"/>
    </row>
    <row r="59" spans="1:68" ht="10.050000000000001" customHeight="1" x14ac:dyDescent="0.25">
      <c r="A59" s="153">
        <v>0.46875</v>
      </c>
      <c r="B59" s="177">
        <f>'Data with RTF'!U49</f>
        <v>780</v>
      </c>
      <c r="C59" s="177">
        <f>'Data with RTF'!G49</f>
        <v>930</v>
      </c>
      <c r="D59" s="177">
        <f>'Data with RTF'!N49</f>
        <v>0</v>
      </c>
      <c r="E59" s="177">
        <f>'Data with RTF'!AB49</f>
        <v>140</v>
      </c>
      <c r="F59" s="155">
        <f>IF(OR('Input &amp; Findings'!$G$28='Drop Down Lists'!$E$2,'Input &amp; Findings'!$G$28='Drop Down Lists'!$E$4),SUM(B59:C59),SUM(D59:E59))</f>
        <v>1710</v>
      </c>
      <c r="G59" s="155">
        <f t="shared" si="11"/>
        <v>115</v>
      </c>
      <c r="H59" s="155">
        <f t="shared" si="49"/>
        <v>80</v>
      </c>
      <c r="I59" s="155">
        <f>IF(OR('Input &amp; Findings'!$G$39='Drop Down Lists'!$E$3,'Input &amp; Findings'!$G$39='Drop Down Lists'!$E$5),MAX(D59:E59),MAX(B59:C59))</f>
        <v>140</v>
      </c>
      <c r="J59" s="156" t="str">
        <f t="shared" si="38"/>
        <v/>
      </c>
      <c r="K59" s="156" t="str">
        <f t="shared" si="35"/>
        <v/>
      </c>
      <c r="L59" s="176">
        <f t="shared" si="41"/>
        <v>-9975</v>
      </c>
      <c r="M59" s="176">
        <f t="shared" si="12"/>
        <v>0</v>
      </c>
      <c r="N59" s="176">
        <f>IF(AND(M59=MAX($M$14:$M$109),(SUM($N$14:N58)=0)),M59,0)</f>
        <v>0</v>
      </c>
      <c r="O59" s="176">
        <f t="shared" si="13"/>
        <v>0</v>
      </c>
      <c r="P59" s="176">
        <f t="shared" si="36"/>
        <v>1710</v>
      </c>
      <c r="Q59" s="176">
        <f t="shared" si="37"/>
        <v>140</v>
      </c>
      <c r="R59" s="176">
        <f t="shared" si="42"/>
        <v>-9975</v>
      </c>
      <c r="S59" s="176">
        <f t="shared" si="14"/>
        <v>0</v>
      </c>
      <c r="T59" s="176">
        <f>IF(AND(S59=MAX($S$14:$S$109),(SUM($T$14:T58)=0)),S59,0)</f>
        <v>0</v>
      </c>
      <c r="U59" s="176">
        <f t="shared" si="15"/>
        <v>0</v>
      </c>
      <c r="V59" s="176">
        <f t="shared" si="39"/>
        <v>1710</v>
      </c>
      <c r="W59" s="176">
        <f t="shared" si="27"/>
        <v>140</v>
      </c>
      <c r="X59" s="176">
        <f t="shared" si="43"/>
        <v>-9975</v>
      </c>
      <c r="Y59" s="176">
        <f t="shared" si="16"/>
        <v>0</v>
      </c>
      <c r="Z59" s="176">
        <f>IF(AND(Y59=MAX($Y$14:$Y$109),(SUM($Z$14:Z58)=0)),Y59,0)</f>
        <v>0</v>
      </c>
      <c r="AA59" s="176">
        <f t="shared" si="17"/>
        <v>0</v>
      </c>
      <c r="AB59" s="176">
        <f t="shared" si="28"/>
        <v>1710</v>
      </c>
      <c r="AC59" s="176">
        <f t="shared" si="29"/>
        <v>140</v>
      </c>
      <c r="AD59" s="176">
        <f t="shared" si="44"/>
        <v>-9975</v>
      </c>
      <c r="AE59" s="176">
        <f t="shared" si="18"/>
        <v>0</v>
      </c>
      <c r="AF59" s="176">
        <f>IF(AND(AE59=MAX($AE$14:$AE$109),(SUM($AF$14:AF58)=0)),AE59,0)</f>
        <v>0</v>
      </c>
      <c r="AG59" s="176">
        <f t="shared" si="19"/>
        <v>0</v>
      </c>
      <c r="AH59" s="155">
        <f t="shared" si="0"/>
        <v>627.26</v>
      </c>
      <c r="AI59" s="176">
        <f t="shared" si="45"/>
        <v>-9975</v>
      </c>
      <c r="AJ59" s="176">
        <f t="shared" si="50"/>
        <v>0</v>
      </c>
      <c r="AK59" s="176">
        <f>IF(AND(AJ59=MAX($AJ$14:$AJ$109),(SUM($AK$14:AK58)=0)),AJ59,0)</f>
        <v>0</v>
      </c>
      <c r="AL59" s="176">
        <f t="shared" si="26"/>
        <v>0</v>
      </c>
      <c r="AM59" s="176">
        <f t="shared" si="51"/>
        <v>1710</v>
      </c>
      <c r="AN59" s="176">
        <f t="shared" si="52"/>
        <v>140</v>
      </c>
      <c r="AO59" s="176">
        <f t="shared" si="46"/>
        <v>-9975</v>
      </c>
      <c r="AP59" s="176">
        <f t="shared" si="20"/>
        <v>0</v>
      </c>
      <c r="AQ59" s="176">
        <f>IF(AND(AP59=MAX($AP$14:$AP$109),(SUM($AQ$14:AQ58)=0)),AP59,0)</f>
        <v>0</v>
      </c>
      <c r="AR59" s="176">
        <f t="shared" si="21"/>
        <v>0</v>
      </c>
      <c r="AS59" s="176">
        <f t="shared" si="40"/>
        <v>1710</v>
      </c>
      <c r="AT59" s="176">
        <f t="shared" si="32"/>
        <v>140</v>
      </c>
      <c r="AU59" s="176">
        <f t="shared" si="47"/>
        <v>-9975</v>
      </c>
      <c r="AV59" s="176">
        <f t="shared" si="22"/>
        <v>0</v>
      </c>
      <c r="AW59" s="176">
        <f>IF(AND(AV59=MAX($AV$14:$AV$109),(SUM($AW$14:AW58)=0)),AV59,0)</f>
        <v>0</v>
      </c>
      <c r="AX59" s="176">
        <f t="shared" si="23"/>
        <v>0</v>
      </c>
      <c r="AY59" s="176">
        <f t="shared" si="33"/>
        <v>1710</v>
      </c>
      <c r="AZ59" s="176">
        <f t="shared" si="34"/>
        <v>140</v>
      </c>
      <c r="BA59" s="176">
        <f t="shared" si="48"/>
        <v>-9975</v>
      </c>
      <c r="BB59" s="176">
        <f t="shared" si="24"/>
        <v>0</v>
      </c>
      <c r="BC59" s="176">
        <f>IF(AND(BB59=MAX($BB$14:$BB$109),(SUM($BC$14:BC58)=0)),BB59,0)</f>
        <v>0</v>
      </c>
      <c r="BD59" s="176">
        <f t="shared" si="25"/>
        <v>0</v>
      </c>
      <c r="BE59" s="153">
        <v>0.46875</v>
      </c>
      <c r="BG59" s="601" t="s">
        <v>511</v>
      </c>
      <c r="BH59" s="602"/>
      <c r="BI59" s="603"/>
      <c r="BJ59" s="201">
        <f>VLOOKUP(MAX(BC14:BC109),$BC$14:$BE$109,3,FALSE)</f>
        <v>0.32291666666666702</v>
      </c>
      <c r="BK59" s="201">
        <f t="shared" si="54"/>
        <v>0.36458333366666701</v>
      </c>
      <c r="BL59" s="217">
        <f>MAX(BC14:BC109)</f>
        <v>2099</v>
      </c>
      <c r="BM59" s="217">
        <f>MAX(BD14:BD109)</f>
        <v>156</v>
      </c>
      <c r="BN59" s="105"/>
      <c r="BO59" s="105"/>
      <c r="BP59" s="105"/>
    </row>
    <row r="60" spans="1:68" ht="10.050000000000001" customHeight="1" x14ac:dyDescent="0.25">
      <c r="A60" s="153">
        <v>0.47916666666666702</v>
      </c>
      <c r="B60" s="177">
        <f>'Data with RTF'!U50</f>
        <v>796</v>
      </c>
      <c r="C60" s="177">
        <f>'Data with RTF'!G50</f>
        <v>944</v>
      </c>
      <c r="D60" s="177">
        <f>'Data with RTF'!N50</f>
        <v>0</v>
      </c>
      <c r="E60" s="177">
        <f>'Data with RTF'!AB50</f>
        <v>128</v>
      </c>
      <c r="F60" s="155">
        <f>IF(OR('Input &amp; Findings'!$G$28='Drop Down Lists'!$E$2,'Input &amp; Findings'!$G$28='Drop Down Lists'!$E$4),SUM(B60:C60),SUM(D60:E60))</f>
        <v>1740</v>
      </c>
      <c r="G60" s="155">
        <f t="shared" si="11"/>
        <v>115</v>
      </c>
      <c r="H60" s="155">
        <f t="shared" si="49"/>
        <v>80</v>
      </c>
      <c r="I60" s="155">
        <f>IF(OR('Input &amp; Findings'!$G$39='Drop Down Lists'!$E$3,'Input &amp; Findings'!$G$39='Drop Down Lists'!$E$5),MAX(D60:E60),MAX(B60:C60))</f>
        <v>128</v>
      </c>
      <c r="J60" s="156" t="str">
        <f t="shared" si="38"/>
        <v/>
      </c>
      <c r="K60" s="156" t="str">
        <f t="shared" si="35"/>
        <v/>
      </c>
      <c r="L60" s="176">
        <f t="shared" si="41"/>
        <v>-9987</v>
      </c>
      <c r="M60" s="176">
        <f t="shared" si="12"/>
        <v>0</v>
      </c>
      <c r="N60" s="176">
        <f>IF(AND(M60=MAX($M$14:$M$109),(SUM($N$14:N59)=0)),M60,0)</f>
        <v>0</v>
      </c>
      <c r="O60" s="176">
        <f t="shared" si="13"/>
        <v>0</v>
      </c>
      <c r="P60" s="176">
        <f t="shared" si="36"/>
        <v>1740</v>
      </c>
      <c r="Q60" s="176">
        <f t="shared" si="37"/>
        <v>128</v>
      </c>
      <c r="R60" s="176">
        <f t="shared" si="42"/>
        <v>-9987</v>
      </c>
      <c r="S60" s="176">
        <f t="shared" si="14"/>
        <v>0</v>
      </c>
      <c r="T60" s="176">
        <f>IF(AND(S60=MAX($S$14:$S$109),(SUM($T$14:T59)=0)),S60,0)</f>
        <v>0</v>
      </c>
      <c r="U60" s="176">
        <f t="shared" si="15"/>
        <v>0</v>
      </c>
      <c r="V60" s="176">
        <f t="shared" si="39"/>
        <v>1740</v>
      </c>
      <c r="W60" s="176">
        <f t="shared" si="27"/>
        <v>128</v>
      </c>
      <c r="X60" s="176">
        <f t="shared" si="43"/>
        <v>-9987</v>
      </c>
      <c r="Y60" s="176">
        <f t="shared" si="16"/>
        <v>0</v>
      </c>
      <c r="Z60" s="176">
        <f>IF(AND(Y60=MAX($Y$14:$Y$109),(SUM($Z$14:Z59)=0)),Y60,0)</f>
        <v>0</v>
      </c>
      <c r="AA60" s="176">
        <f t="shared" si="17"/>
        <v>0</v>
      </c>
      <c r="AB60" s="176">
        <f t="shared" si="28"/>
        <v>1740</v>
      </c>
      <c r="AC60" s="176">
        <f t="shared" si="29"/>
        <v>128</v>
      </c>
      <c r="AD60" s="176">
        <f t="shared" si="44"/>
        <v>-9987</v>
      </c>
      <c r="AE60" s="176">
        <f t="shared" si="18"/>
        <v>0</v>
      </c>
      <c r="AF60" s="176">
        <f>IF(AND(AE60=MAX($AE$14:$AE$109),(SUM($AF$14:AF59)=0)),AE60,0)</f>
        <v>0</v>
      </c>
      <c r="AG60" s="176">
        <f t="shared" si="19"/>
        <v>0</v>
      </c>
      <c r="AH60" s="155">
        <f t="shared" si="0"/>
        <v>627.26</v>
      </c>
      <c r="AI60" s="176">
        <f t="shared" si="45"/>
        <v>-9987</v>
      </c>
      <c r="AJ60" s="176">
        <f t="shared" si="50"/>
        <v>0</v>
      </c>
      <c r="AK60" s="176">
        <f>IF(AND(AJ60=MAX($AJ$14:$AJ$109),(SUM($AK$14:AK59)=0)),AJ60,0)</f>
        <v>0</v>
      </c>
      <c r="AL60" s="176">
        <f t="shared" si="26"/>
        <v>0</v>
      </c>
      <c r="AM60" s="176">
        <f t="shared" si="51"/>
        <v>1740</v>
      </c>
      <c r="AN60" s="176">
        <f t="shared" si="52"/>
        <v>128</v>
      </c>
      <c r="AO60" s="176">
        <f t="shared" si="46"/>
        <v>-9987</v>
      </c>
      <c r="AP60" s="176">
        <f t="shared" si="20"/>
        <v>0</v>
      </c>
      <c r="AQ60" s="176">
        <f>IF(AND(AP60=MAX($AP$14:$AP$109),(SUM($AQ$14:AQ59)=0)),AP60,0)</f>
        <v>0</v>
      </c>
      <c r="AR60" s="176">
        <f t="shared" si="21"/>
        <v>0</v>
      </c>
      <c r="AS60" s="176">
        <f t="shared" si="40"/>
        <v>1740</v>
      </c>
      <c r="AT60" s="176">
        <f t="shared" si="32"/>
        <v>128</v>
      </c>
      <c r="AU60" s="176">
        <f t="shared" si="47"/>
        <v>-9987</v>
      </c>
      <c r="AV60" s="176">
        <f t="shared" si="22"/>
        <v>0</v>
      </c>
      <c r="AW60" s="176">
        <f>IF(AND(AV60=MAX($AV$14:$AV$109),(SUM($AW$14:AW59)=0)),AV60,0)</f>
        <v>0</v>
      </c>
      <c r="AX60" s="176">
        <f t="shared" si="23"/>
        <v>0</v>
      </c>
      <c r="AY60" s="176">
        <f t="shared" si="33"/>
        <v>1740</v>
      </c>
      <c r="AZ60" s="176">
        <f t="shared" si="34"/>
        <v>128</v>
      </c>
      <c r="BA60" s="176">
        <f t="shared" si="48"/>
        <v>-9987</v>
      </c>
      <c r="BB60" s="176">
        <f t="shared" si="24"/>
        <v>0</v>
      </c>
      <c r="BC60" s="176">
        <f>IF(AND(BB60=MAX($BB$14:$BB$109),(SUM($BC$14:BC59)=0)),BB60,0)</f>
        <v>0</v>
      </c>
      <c r="BD60" s="176">
        <f t="shared" si="25"/>
        <v>0</v>
      </c>
      <c r="BE60" s="153">
        <v>0.47916666666666702</v>
      </c>
      <c r="BG60" s="105"/>
      <c r="BH60" s="105"/>
      <c r="BI60" s="105"/>
      <c r="BJ60" s="105"/>
      <c r="BK60" s="105"/>
      <c r="BL60" s="105"/>
      <c r="BM60" s="105"/>
      <c r="BN60" s="105"/>
      <c r="BO60" s="105"/>
      <c r="BP60" s="105"/>
    </row>
    <row r="61" spans="1:68" ht="10.050000000000001" customHeight="1" x14ac:dyDescent="0.25">
      <c r="A61" s="153">
        <v>0.48958333333333298</v>
      </c>
      <c r="B61" s="177">
        <f>'Data with RTF'!U51</f>
        <v>816</v>
      </c>
      <c r="C61" s="177">
        <f>'Data with RTF'!G51</f>
        <v>936</v>
      </c>
      <c r="D61" s="177">
        <f>'Data with RTF'!N51</f>
        <v>0</v>
      </c>
      <c r="E61" s="177">
        <f>'Data with RTF'!AB51</f>
        <v>124</v>
      </c>
      <c r="F61" s="155">
        <f>IF(OR('Input &amp; Findings'!$G$28='Drop Down Lists'!$E$2,'Input &amp; Findings'!$G$28='Drop Down Lists'!$E$4),SUM(B61:C61),SUM(D61:E61))</f>
        <v>1752</v>
      </c>
      <c r="G61" s="155">
        <f t="shared" si="11"/>
        <v>115</v>
      </c>
      <c r="H61" s="155">
        <f t="shared" si="49"/>
        <v>80</v>
      </c>
      <c r="I61" s="155">
        <f>IF(OR('Input &amp; Findings'!$G$39='Drop Down Lists'!$E$3,'Input &amp; Findings'!$G$39='Drop Down Lists'!$E$5),MAX(D61:E61),MAX(B61:C61))</f>
        <v>124</v>
      </c>
      <c r="J61" s="156" t="str">
        <f t="shared" si="38"/>
        <v>Met</v>
      </c>
      <c r="K61" s="156" t="str">
        <f t="shared" si="35"/>
        <v>Met</v>
      </c>
      <c r="L61" s="176">
        <f t="shared" si="41"/>
        <v>9</v>
      </c>
      <c r="M61" s="176">
        <f t="shared" si="12"/>
        <v>0</v>
      </c>
      <c r="N61" s="176">
        <f>IF(AND(M61=MAX($M$14:$M$109),(SUM($N$14:N60)=0)),M61,0)</f>
        <v>0</v>
      </c>
      <c r="O61" s="176">
        <f t="shared" si="13"/>
        <v>0</v>
      </c>
      <c r="P61" s="176">
        <f t="shared" si="36"/>
        <v>1752</v>
      </c>
      <c r="Q61" s="176">
        <f t="shared" si="37"/>
        <v>124</v>
      </c>
      <c r="R61" s="176">
        <f t="shared" si="42"/>
        <v>9</v>
      </c>
      <c r="S61" s="176">
        <f t="shared" si="14"/>
        <v>0</v>
      </c>
      <c r="T61" s="176">
        <f>IF(AND(S61=MAX($S$14:$S$109),(SUM($T$14:T60)=0)),S61,0)</f>
        <v>0</v>
      </c>
      <c r="U61" s="176">
        <f t="shared" si="15"/>
        <v>0</v>
      </c>
      <c r="V61" s="176">
        <f t="shared" si="39"/>
        <v>1752</v>
      </c>
      <c r="W61" s="176">
        <f t="shared" si="27"/>
        <v>124</v>
      </c>
      <c r="X61" s="176">
        <f t="shared" si="43"/>
        <v>9</v>
      </c>
      <c r="Y61" s="176">
        <f t="shared" si="16"/>
        <v>0</v>
      </c>
      <c r="Z61" s="176">
        <f>IF(AND(Y61=MAX($Y$14:$Y$109),(SUM($Z$14:Z60)=0)),Y61,0)</f>
        <v>0</v>
      </c>
      <c r="AA61" s="176">
        <f t="shared" si="17"/>
        <v>0</v>
      </c>
      <c r="AB61" s="176">
        <f t="shared" si="28"/>
        <v>1752</v>
      </c>
      <c r="AC61" s="176">
        <f t="shared" si="29"/>
        <v>124</v>
      </c>
      <c r="AD61" s="176">
        <f t="shared" si="44"/>
        <v>9</v>
      </c>
      <c r="AE61" s="176">
        <f t="shared" si="18"/>
        <v>0</v>
      </c>
      <c r="AF61" s="176">
        <f>IF(AND(AE61=MAX($AE$14:$AE$109),(SUM($AF$14:AF60)=0)),AE61,0)</f>
        <v>0</v>
      </c>
      <c r="AG61" s="176">
        <f t="shared" si="19"/>
        <v>0</v>
      </c>
      <c r="AH61" s="155">
        <f t="shared" si="0"/>
        <v>627.26</v>
      </c>
      <c r="AI61" s="176">
        <f t="shared" si="45"/>
        <v>9</v>
      </c>
      <c r="AJ61" s="176">
        <f t="shared" si="50"/>
        <v>0</v>
      </c>
      <c r="AK61" s="176">
        <f>IF(AND(AJ61=MAX($AJ$14:$AJ$109),(SUM($AK$14:AK60)=0)),AJ61,0)</f>
        <v>0</v>
      </c>
      <c r="AL61" s="176">
        <f t="shared" si="26"/>
        <v>0</v>
      </c>
      <c r="AM61" s="176">
        <f t="shared" si="51"/>
        <v>1752</v>
      </c>
      <c r="AN61" s="176">
        <f t="shared" si="52"/>
        <v>124</v>
      </c>
      <c r="AO61" s="176">
        <f t="shared" si="46"/>
        <v>9</v>
      </c>
      <c r="AP61" s="176">
        <f t="shared" si="20"/>
        <v>0</v>
      </c>
      <c r="AQ61" s="176">
        <f>IF(AND(AP61=MAX($AP$14:$AP$109),(SUM($AQ$14:AQ60)=0)),AP61,0)</f>
        <v>0</v>
      </c>
      <c r="AR61" s="176">
        <f t="shared" si="21"/>
        <v>0</v>
      </c>
      <c r="AS61" s="176">
        <f t="shared" si="40"/>
        <v>1752</v>
      </c>
      <c r="AT61" s="176">
        <f t="shared" si="32"/>
        <v>124</v>
      </c>
      <c r="AU61" s="176">
        <f t="shared" si="47"/>
        <v>9</v>
      </c>
      <c r="AV61" s="176">
        <f t="shared" si="22"/>
        <v>0</v>
      </c>
      <c r="AW61" s="176">
        <f>IF(AND(AV61=MAX($AV$14:$AV$109),(SUM($AW$14:AW60)=0)),AV61,0)</f>
        <v>0</v>
      </c>
      <c r="AX61" s="176">
        <f t="shared" si="23"/>
        <v>0</v>
      </c>
      <c r="AY61" s="176">
        <f t="shared" si="33"/>
        <v>1752</v>
      </c>
      <c r="AZ61" s="176">
        <f t="shared" si="34"/>
        <v>124</v>
      </c>
      <c r="BA61" s="176">
        <f t="shared" si="48"/>
        <v>9</v>
      </c>
      <c r="BB61" s="176">
        <f t="shared" si="24"/>
        <v>0</v>
      </c>
      <c r="BC61" s="176">
        <f>IF(AND(BB61=MAX($BB$14:$BB$109),(SUM($BC$14:BC60)=0)),BB61,0)</f>
        <v>0</v>
      </c>
      <c r="BD61" s="176">
        <f t="shared" si="25"/>
        <v>0</v>
      </c>
      <c r="BE61" s="153">
        <v>0.48958333333333298</v>
      </c>
      <c r="BG61" s="105"/>
      <c r="BH61" s="105"/>
      <c r="BI61" s="105"/>
      <c r="BJ61" s="105"/>
      <c r="BK61" s="105"/>
      <c r="BL61" s="105"/>
      <c r="BM61" s="105"/>
      <c r="BN61" s="105"/>
      <c r="BO61" s="105"/>
      <c r="BP61" s="105"/>
    </row>
    <row r="62" spans="1:68" ht="10.050000000000001" customHeight="1" x14ac:dyDescent="0.25">
      <c r="A62" s="153">
        <v>0.5</v>
      </c>
      <c r="B62" s="177">
        <f>'Data with RTF'!U52</f>
        <v>818</v>
      </c>
      <c r="C62" s="177">
        <f>'Data with RTF'!G52</f>
        <v>934</v>
      </c>
      <c r="D62" s="177">
        <f>'Data with RTF'!N52</f>
        <v>0</v>
      </c>
      <c r="E62" s="177">
        <f>'Data with RTF'!AB52</f>
        <v>120</v>
      </c>
      <c r="F62" s="155">
        <f>IF(OR('Input &amp; Findings'!$G$28='Drop Down Lists'!$E$2,'Input &amp; Findings'!$G$28='Drop Down Lists'!$E$4),SUM(B62:C62),SUM(D62:E62))</f>
        <v>1752</v>
      </c>
      <c r="G62" s="155">
        <f t="shared" si="11"/>
        <v>115</v>
      </c>
      <c r="H62" s="155">
        <f t="shared" si="49"/>
        <v>80</v>
      </c>
      <c r="I62" s="155">
        <f>IF(OR('Input &amp; Findings'!$G$39='Drop Down Lists'!$E$3,'Input &amp; Findings'!$G$39='Drop Down Lists'!$E$5),MAX(D62:E62),MAX(B62:C62))</f>
        <v>120</v>
      </c>
      <c r="J62" s="156" t="str">
        <f t="shared" si="38"/>
        <v/>
      </c>
      <c r="K62" s="156" t="str">
        <f t="shared" si="35"/>
        <v/>
      </c>
      <c r="L62" s="176">
        <f t="shared" si="41"/>
        <v>-9995</v>
      </c>
      <c r="M62" s="176">
        <f t="shared" si="12"/>
        <v>0</v>
      </c>
      <c r="N62" s="176">
        <f>IF(AND(M62=MAX($M$14:$M$109),(SUM($N$14:N61)=0)),M62,0)</f>
        <v>0</v>
      </c>
      <c r="O62" s="176">
        <f t="shared" si="13"/>
        <v>0</v>
      </c>
      <c r="P62" s="176">
        <f t="shared" si="36"/>
        <v>1752</v>
      </c>
      <c r="Q62" s="176">
        <f t="shared" si="37"/>
        <v>120</v>
      </c>
      <c r="R62" s="176">
        <f t="shared" si="42"/>
        <v>-9995</v>
      </c>
      <c r="S62" s="176">
        <f t="shared" si="14"/>
        <v>0</v>
      </c>
      <c r="T62" s="176">
        <f>IF(AND(S62=MAX($S$14:$S$109),(SUM($T$14:T61)=0)),S62,0)</f>
        <v>0</v>
      </c>
      <c r="U62" s="176">
        <f t="shared" si="15"/>
        <v>0</v>
      </c>
      <c r="V62" s="176">
        <f t="shared" si="39"/>
        <v>1752</v>
      </c>
      <c r="W62" s="176">
        <f t="shared" si="27"/>
        <v>120</v>
      </c>
      <c r="X62" s="176">
        <f t="shared" si="43"/>
        <v>-9995</v>
      </c>
      <c r="Y62" s="176">
        <f t="shared" si="16"/>
        <v>0</v>
      </c>
      <c r="Z62" s="176">
        <f>IF(AND(Y62=MAX($Y$14:$Y$109),(SUM($Z$14:Z61)=0)),Y62,0)</f>
        <v>0</v>
      </c>
      <c r="AA62" s="176">
        <f t="shared" si="17"/>
        <v>0</v>
      </c>
      <c r="AB62" s="176">
        <f t="shared" si="28"/>
        <v>1752</v>
      </c>
      <c r="AC62" s="176">
        <f t="shared" si="29"/>
        <v>120</v>
      </c>
      <c r="AD62" s="176">
        <f t="shared" si="44"/>
        <v>-9995</v>
      </c>
      <c r="AE62" s="176">
        <f t="shared" si="18"/>
        <v>0</v>
      </c>
      <c r="AF62" s="176">
        <f>IF(AND(AE62=MAX($AE$14:$AE$109),(SUM($AF$14:AF61)=0)),AE62,0)</f>
        <v>0</v>
      </c>
      <c r="AG62" s="176">
        <f t="shared" si="19"/>
        <v>0</v>
      </c>
      <c r="AH62" s="155">
        <f t="shared" si="0"/>
        <v>627.26</v>
      </c>
      <c r="AI62" s="176">
        <f t="shared" si="45"/>
        <v>-9995</v>
      </c>
      <c r="AJ62" s="176">
        <f t="shared" si="50"/>
        <v>0</v>
      </c>
      <c r="AK62" s="176">
        <f>IF(AND(AJ62=MAX($AJ$14:$AJ$109),(SUM($AK$14:AK61)=0)),AJ62,0)</f>
        <v>0</v>
      </c>
      <c r="AL62" s="176">
        <f t="shared" si="26"/>
        <v>0</v>
      </c>
      <c r="AM62" s="176">
        <f t="shared" si="51"/>
        <v>1752</v>
      </c>
      <c r="AN62" s="176">
        <f t="shared" si="52"/>
        <v>120</v>
      </c>
      <c r="AO62" s="176">
        <f t="shared" si="46"/>
        <v>-9995</v>
      </c>
      <c r="AP62" s="176">
        <f t="shared" si="20"/>
        <v>0</v>
      </c>
      <c r="AQ62" s="176">
        <f>IF(AND(AP62=MAX($AP$14:$AP$109),(SUM($AQ$14:AQ61)=0)),AP62,0)</f>
        <v>0</v>
      </c>
      <c r="AR62" s="176">
        <f t="shared" si="21"/>
        <v>0</v>
      </c>
      <c r="AS62" s="176">
        <f t="shared" si="40"/>
        <v>1752</v>
      </c>
      <c r="AT62" s="176">
        <f t="shared" si="32"/>
        <v>120</v>
      </c>
      <c r="AU62" s="176">
        <f t="shared" si="47"/>
        <v>-9995</v>
      </c>
      <c r="AV62" s="176">
        <f t="shared" si="22"/>
        <v>0</v>
      </c>
      <c r="AW62" s="176">
        <f>IF(AND(AV62=MAX($AV$14:$AV$109),(SUM($AW$14:AW61)=0)),AV62,0)</f>
        <v>0</v>
      </c>
      <c r="AX62" s="176">
        <f t="shared" si="23"/>
        <v>0</v>
      </c>
      <c r="AY62" s="176">
        <f t="shared" si="33"/>
        <v>1752</v>
      </c>
      <c r="AZ62" s="176">
        <f t="shared" si="34"/>
        <v>120</v>
      </c>
      <c r="BA62" s="176">
        <f t="shared" si="48"/>
        <v>-9995</v>
      </c>
      <c r="BB62" s="176">
        <f t="shared" si="24"/>
        <v>0</v>
      </c>
      <c r="BC62" s="176">
        <f>IF(AND(BB62=MAX($BB$14:$BB$109),(SUM($BC$14:BC61)=0)),BB62,0)</f>
        <v>0</v>
      </c>
      <c r="BD62" s="176">
        <f t="shared" si="25"/>
        <v>0</v>
      </c>
      <c r="BE62" s="153">
        <v>0.5</v>
      </c>
      <c r="BG62" s="105"/>
      <c r="BH62" s="105"/>
      <c r="BI62" s="105"/>
      <c r="BJ62" s="105"/>
      <c r="BK62" s="105"/>
      <c r="BL62" s="105"/>
      <c r="BM62" s="105"/>
      <c r="BN62" s="105"/>
      <c r="BO62" s="105"/>
      <c r="BP62" s="105"/>
    </row>
    <row r="63" spans="1:68" ht="10.050000000000001" customHeight="1" x14ac:dyDescent="0.25">
      <c r="A63" s="153">
        <v>0.51041666666666696</v>
      </c>
      <c r="B63" s="177">
        <f>'Data with RTF'!U53</f>
        <v>829</v>
      </c>
      <c r="C63" s="177">
        <f>'Data with RTF'!G53</f>
        <v>929</v>
      </c>
      <c r="D63" s="177">
        <f>'Data with RTF'!N53</f>
        <v>0</v>
      </c>
      <c r="E63" s="177">
        <f>'Data with RTF'!AB53</f>
        <v>119</v>
      </c>
      <c r="F63" s="155">
        <f>IF(OR('Input &amp; Findings'!$G$28='Drop Down Lists'!$E$2,'Input &amp; Findings'!$G$28='Drop Down Lists'!$E$4),SUM(B63:C63),SUM(D63:E63))</f>
        <v>1758</v>
      </c>
      <c r="G63" s="155">
        <f t="shared" si="11"/>
        <v>115</v>
      </c>
      <c r="H63" s="155">
        <f t="shared" si="49"/>
        <v>80</v>
      </c>
      <c r="I63" s="155">
        <f>IF(OR('Input &amp; Findings'!$G$39='Drop Down Lists'!$E$3,'Input &amp; Findings'!$G$39='Drop Down Lists'!$E$5),MAX(D63:E63),MAX(B63:C63))</f>
        <v>119</v>
      </c>
      <c r="J63" s="156" t="str">
        <f t="shared" si="38"/>
        <v/>
      </c>
      <c r="K63" s="156" t="str">
        <f t="shared" si="35"/>
        <v/>
      </c>
      <c r="L63" s="176">
        <f t="shared" si="41"/>
        <v>-9996</v>
      </c>
      <c r="M63" s="176">
        <f t="shared" si="12"/>
        <v>0</v>
      </c>
      <c r="N63" s="176">
        <f>IF(AND(M63=MAX($M$14:$M$109),(SUM($N$14:N62)=0)),M63,0)</f>
        <v>0</v>
      </c>
      <c r="O63" s="176">
        <f t="shared" si="13"/>
        <v>0</v>
      </c>
      <c r="P63" s="176">
        <f t="shared" si="36"/>
        <v>1758</v>
      </c>
      <c r="Q63" s="176">
        <f t="shared" si="37"/>
        <v>119</v>
      </c>
      <c r="R63" s="176">
        <f t="shared" si="42"/>
        <v>-9996</v>
      </c>
      <c r="S63" s="176">
        <f t="shared" si="14"/>
        <v>0</v>
      </c>
      <c r="T63" s="176">
        <f>IF(AND(S63=MAX($S$14:$S$109),(SUM($T$14:T62)=0)),S63,0)</f>
        <v>0</v>
      </c>
      <c r="U63" s="176">
        <f t="shared" si="15"/>
        <v>0</v>
      </c>
      <c r="V63" s="176">
        <f t="shared" si="39"/>
        <v>1758</v>
      </c>
      <c r="W63" s="176">
        <f t="shared" si="27"/>
        <v>119</v>
      </c>
      <c r="X63" s="176">
        <f t="shared" si="43"/>
        <v>-9996</v>
      </c>
      <c r="Y63" s="176">
        <f t="shared" si="16"/>
        <v>0</v>
      </c>
      <c r="Z63" s="176">
        <f>IF(AND(Y63=MAX($Y$14:$Y$109),(SUM($Z$14:Z62)=0)),Y63,0)</f>
        <v>0</v>
      </c>
      <c r="AA63" s="176">
        <f t="shared" si="17"/>
        <v>0</v>
      </c>
      <c r="AB63" s="176">
        <f t="shared" si="28"/>
        <v>1758</v>
      </c>
      <c r="AC63" s="176">
        <f t="shared" si="29"/>
        <v>119</v>
      </c>
      <c r="AD63" s="176">
        <f t="shared" si="44"/>
        <v>-9996</v>
      </c>
      <c r="AE63" s="176">
        <f t="shared" si="18"/>
        <v>0</v>
      </c>
      <c r="AF63" s="176">
        <f>IF(AND(AE63=MAX($AE$14:$AE$109),(SUM($AF$14:AF62)=0)),AE63,0)</f>
        <v>0</v>
      </c>
      <c r="AG63" s="176">
        <f t="shared" si="19"/>
        <v>0</v>
      </c>
      <c r="AH63" s="155">
        <f t="shared" si="0"/>
        <v>627.26</v>
      </c>
      <c r="AI63" s="176">
        <f t="shared" si="45"/>
        <v>-9996</v>
      </c>
      <c r="AJ63" s="176">
        <f t="shared" si="50"/>
        <v>0</v>
      </c>
      <c r="AK63" s="176">
        <f>IF(AND(AJ63=MAX($AJ$14:$AJ$109),(SUM($AK$14:AK62)=0)),AJ63,0)</f>
        <v>0</v>
      </c>
      <c r="AL63" s="176">
        <f t="shared" si="26"/>
        <v>0</v>
      </c>
      <c r="AM63" s="176">
        <f t="shared" si="51"/>
        <v>1758</v>
      </c>
      <c r="AN63" s="176">
        <f t="shared" si="52"/>
        <v>119</v>
      </c>
      <c r="AO63" s="176">
        <f t="shared" si="46"/>
        <v>-9996</v>
      </c>
      <c r="AP63" s="176">
        <f t="shared" si="20"/>
        <v>0</v>
      </c>
      <c r="AQ63" s="176">
        <f>IF(AND(AP63=MAX($AP$14:$AP$109),(SUM($AQ$14:AQ62)=0)),AP63,0)</f>
        <v>0</v>
      </c>
      <c r="AR63" s="176">
        <f t="shared" si="21"/>
        <v>0</v>
      </c>
      <c r="AS63" s="176">
        <f t="shared" si="40"/>
        <v>1758</v>
      </c>
      <c r="AT63" s="176">
        <f t="shared" si="32"/>
        <v>119</v>
      </c>
      <c r="AU63" s="176">
        <f t="shared" si="47"/>
        <v>-9996</v>
      </c>
      <c r="AV63" s="176">
        <f t="shared" si="22"/>
        <v>0</v>
      </c>
      <c r="AW63" s="176">
        <f>IF(AND(AV63=MAX($AV$14:$AV$109),(SUM($AW$14:AW62)=0)),AV63,0)</f>
        <v>0</v>
      </c>
      <c r="AX63" s="176">
        <f t="shared" si="23"/>
        <v>0</v>
      </c>
      <c r="AY63" s="176">
        <f t="shared" si="33"/>
        <v>1758</v>
      </c>
      <c r="AZ63" s="176">
        <f t="shared" si="34"/>
        <v>119</v>
      </c>
      <c r="BA63" s="176">
        <f t="shared" si="48"/>
        <v>-9996</v>
      </c>
      <c r="BB63" s="176">
        <f t="shared" si="24"/>
        <v>0</v>
      </c>
      <c r="BC63" s="176">
        <f>IF(AND(BB63=MAX($BB$14:$BB$109),(SUM($BC$14:BC62)=0)),BB63,0)</f>
        <v>0</v>
      </c>
      <c r="BD63" s="176">
        <f t="shared" si="25"/>
        <v>0</v>
      </c>
      <c r="BE63" s="153">
        <v>0.51041666666666696</v>
      </c>
      <c r="BG63" s="105"/>
      <c r="BH63" s="105"/>
      <c r="BI63" s="105"/>
      <c r="BJ63" s="105"/>
      <c r="BK63" s="105"/>
      <c r="BL63" s="105"/>
      <c r="BM63" s="105"/>
      <c r="BN63" s="105"/>
      <c r="BO63" s="105"/>
      <c r="BP63" s="105"/>
    </row>
    <row r="64" spans="1:68" ht="10.050000000000001" customHeight="1" x14ac:dyDescent="0.25">
      <c r="A64" s="153">
        <v>0.52083333333333304</v>
      </c>
      <c r="B64" s="177">
        <f>'Data with RTF'!U54</f>
        <v>801</v>
      </c>
      <c r="C64" s="177">
        <f>'Data with RTF'!G54</f>
        <v>908</v>
      </c>
      <c r="D64" s="177">
        <f>'Data with RTF'!N54</f>
        <v>0</v>
      </c>
      <c r="E64" s="177">
        <f>'Data with RTF'!AB54</f>
        <v>132</v>
      </c>
      <c r="F64" s="155">
        <f>IF(OR('Input &amp; Findings'!$G$28='Drop Down Lists'!$E$2,'Input &amp; Findings'!$G$28='Drop Down Lists'!$E$4),SUM(B64:C64),SUM(D64:E64))</f>
        <v>1709</v>
      </c>
      <c r="G64" s="155">
        <f t="shared" si="11"/>
        <v>115</v>
      </c>
      <c r="H64" s="155">
        <f t="shared" si="49"/>
        <v>80</v>
      </c>
      <c r="I64" s="155">
        <f>IF(OR('Input &amp; Findings'!$G$39='Drop Down Lists'!$E$3,'Input &amp; Findings'!$G$39='Drop Down Lists'!$E$5),MAX(D64:E64),MAX(B64:C64))</f>
        <v>132</v>
      </c>
      <c r="J64" s="156" t="str">
        <f t="shared" si="38"/>
        <v/>
      </c>
      <c r="K64" s="156" t="str">
        <f t="shared" si="35"/>
        <v/>
      </c>
      <c r="L64" s="176">
        <f t="shared" si="41"/>
        <v>-9983</v>
      </c>
      <c r="M64" s="176">
        <f t="shared" si="12"/>
        <v>0</v>
      </c>
      <c r="N64" s="176">
        <f>IF(AND(M64=MAX($M$14:$M$109),(SUM($N$14:N63)=0)),M64,0)</f>
        <v>0</v>
      </c>
      <c r="O64" s="176">
        <f t="shared" si="13"/>
        <v>0</v>
      </c>
      <c r="P64" s="176">
        <f t="shared" si="36"/>
        <v>1709</v>
      </c>
      <c r="Q64" s="176">
        <f t="shared" si="37"/>
        <v>132</v>
      </c>
      <c r="R64" s="176">
        <f t="shared" si="42"/>
        <v>-9983</v>
      </c>
      <c r="S64" s="176">
        <f t="shared" si="14"/>
        <v>0</v>
      </c>
      <c r="T64" s="176">
        <f>IF(AND(S64=MAX($S$14:$S$109),(SUM($T$14:T63)=0)),S64,0)</f>
        <v>0</v>
      </c>
      <c r="U64" s="176">
        <f t="shared" si="15"/>
        <v>0</v>
      </c>
      <c r="V64" s="176">
        <f t="shared" si="39"/>
        <v>1709</v>
      </c>
      <c r="W64" s="176">
        <f t="shared" si="27"/>
        <v>132</v>
      </c>
      <c r="X64" s="176">
        <f t="shared" si="43"/>
        <v>-9983</v>
      </c>
      <c r="Y64" s="176">
        <f t="shared" si="16"/>
        <v>0</v>
      </c>
      <c r="Z64" s="176">
        <f>IF(AND(Y64=MAX($Y$14:$Y$109),(SUM($Z$14:Z63)=0)),Y64,0)</f>
        <v>0</v>
      </c>
      <c r="AA64" s="176">
        <f t="shared" si="17"/>
        <v>0</v>
      </c>
      <c r="AB64" s="176">
        <f t="shared" si="28"/>
        <v>1709</v>
      </c>
      <c r="AC64" s="176">
        <f t="shared" si="29"/>
        <v>132</v>
      </c>
      <c r="AD64" s="176">
        <f t="shared" si="44"/>
        <v>-9983</v>
      </c>
      <c r="AE64" s="176">
        <f t="shared" si="18"/>
        <v>0</v>
      </c>
      <c r="AF64" s="176">
        <f>IF(AND(AE64=MAX($AE$14:$AE$109),(SUM($AF$14:AF63)=0)),AE64,0)</f>
        <v>0</v>
      </c>
      <c r="AG64" s="176">
        <f t="shared" si="19"/>
        <v>0</v>
      </c>
      <c r="AH64" s="155">
        <f t="shared" si="0"/>
        <v>627.26</v>
      </c>
      <c r="AI64" s="176">
        <f t="shared" si="45"/>
        <v>-9983</v>
      </c>
      <c r="AJ64" s="176">
        <f t="shared" si="50"/>
        <v>0</v>
      </c>
      <c r="AK64" s="176">
        <f>IF(AND(AJ64=MAX($AJ$14:$AJ$109),(SUM($AK$14:AK63)=0)),AJ64,0)</f>
        <v>0</v>
      </c>
      <c r="AL64" s="176">
        <f t="shared" si="26"/>
        <v>0</v>
      </c>
      <c r="AM64" s="176">
        <f t="shared" si="51"/>
        <v>1709</v>
      </c>
      <c r="AN64" s="176">
        <f t="shared" si="52"/>
        <v>132</v>
      </c>
      <c r="AO64" s="176">
        <f t="shared" si="46"/>
        <v>-9983</v>
      </c>
      <c r="AP64" s="176">
        <f t="shared" si="20"/>
        <v>0</v>
      </c>
      <c r="AQ64" s="176">
        <f>IF(AND(AP64=MAX($AP$14:$AP$109),(SUM($AQ$14:AQ63)=0)),AP64,0)</f>
        <v>0</v>
      </c>
      <c r="AR64" s="176">
        <f t="shared" si="21"/>
        <v>0</v>
      </c>
      <c r="AS64" s="176">
        <f t="shared" si="40"/>
        <v>1709</v>
      </c>
      <c r="AT64" s="176">
        <f t="shared" si="32"/>
        <v>132</v>
      </c>
      <c r="AU64" s="176">
        <f t="shared" si="47"/>
        <v>-9983</v>
      </c>
      <c r="AV64" s="176">
        <f t="shared" si="22"/>
        <v>0</v>
      </c>
      <c r="AW64" s="176">
        <f>IF(AND(AV64=MAX($AV$14:$AV$109),(SUM($AW$14:AW63)=0)),AV64,0)</f>
        <v>0</v>
      </c>
      <c r="AX64" s="176">
        <f t="shared" si="23"/>
        <v>0</v>
      </c>
      <c r="AY64" s="176">
        <f t="shared" si="33"/>
        <v>1709</v>
      </c>
      <c r="AZ64" s="176">
        <f t="shared" si="34"/>
        <v>132</v>
      </c>
      <c r="BA64" s="176">
        <f t="shared" si="48"/>
        <v>-9983</v>
      </c>
      <c r="BB64" s="176">
        <f t="shared" si="24"/>
        <v>0</v>
      </c>
      <c r="BC64" s="176">
        <f>IF(AND(BB64=MAX($BB$14:$BB$109),(SUM($BC$14:BC63)=0)),BB64,0)</f>
        <v>0</v>
      </c>
      <c r="BD64" s="176">
        <f t="shared" si="25"/>
        <v>0</v>
      </c>
      <c r="BE64" s="153">
        <v>0.52083333333333304</v>
      </c>
      <c r="BG64" s="105"/>
      <c r="BH64" s="105"/>
      <c r="BI64" s="105"/>
      <c r="BJ64" s="105"/>
      <c r="BK64" s="105"/>
      <c r="BL64" s="105"/>
      <c r="BM64" s="105"/>
      <c r="BN64" s="105"/>
      <c r="BO64" s="105"/>
      <c r="BP64" s="105"/>
    </row>
    <row r="65" spans="1:68" ht="10.050000000000001" customHeight="1" x14ac:dyDescent="0.25">
      <c r="A65" s="153">
        <v>0.53125</v>
      </c>
      <c r="B65" s="177">
        <f>'Data with RTF'!U55</f>
        <v>775</v>
      </c>
      <c r="C65" s="177">
        <f>'Data with RTF'!G55</f>
        <v>890</v>
      </c>
      <c r="D65" s="177">
        <f>'Data with RTF'!N55</f>
        <v>0</v>
      </c>
      <c r="E65" s="177">
        <f>'Data with RTF'!AB55</f>
        <v>136</v>
      </c>
      <c r="F65" s="155">
        <f>IF(OR('Input &amp; Findings'!$G$28='Drop Down Lists'!$E$2,'Input &amp; Findings'!$G$28='Drop Down Lists'!$E$4),SUM(B65:C65),SUM(D65:E65))</f>
        <v>1665</v>
      </c>
      <c r="G65" s="155">
        <f t="shared" si="11"/>
        <v>115</v>
      </c>
      <c r="H65" s="155">
        <f t="shared" si="49"/>
        <v>80</v>
      </c>
      <c r="I65" s="155">
        <f>IF(OR('Input &amp; Findings'!$G$39='Drop Down Lists'!$E$3,'Input &amp; Findings'!$G$39='Drop Down Lists'!$E$5),MAX(D65:E65),MAX(B65:C65))</f>
        <v>136</v>
      </c>
      <c r="J65" s="156" t="str">
        <f t="shared" si="38"/>
        <v>Met</v>
      </c>
      <c r="K65" s="156" t="str">
        <f t="shared" si="35"/>
        <v>Met</v>
      </c>
      <c r="L65" s="176">
        <f t="shared" si="41"/>
        <v>21</v>
      </c>
      <c r="M65" s="176">
        <f t="shared" si="12"/>
        <v>0</v>
      </c>
      <c r="N65" s="176">
        <f>IF(AND(M65=MAX($M$14:$M$109),(SUM($N$14:N64)=0)),M65,0)</f>
        <v>0</v>
      </c>
      <c r="O65" s="176">
        <f t="shared" si="13"/>
        <v>0</v>
      </c>
      <c r="P65" s="176">
        <f t="shared" si="36"/>
        <v>1665</v>
      </c>
      <c r="Q65" s="176">
        <f t="shared" si="37"/>
        <v>136</v>
      </c>
      <c r="R65" s="176">
        <f t="shared" si="42"/>
        <v>21</v>
      </c>
      <c r="S65" s="176">
        <f t="shared" si="14"/>
        <v>0</v>
      </c>
      <c r="T65" s="176">
        <f>IF(AND(S65=MAX($S$14:$S$109),(SUM($T$14:T64)=0)),S65,0)</f>
        <v>0</v>
      </c>
      <c r="U65" s="176">
        <f t="shared" si="15"/>
        <v>0</v>
      </c>
      <c r="V65" s="176">
        <f t="shared" si="39"/>
        <v>1665</v>
      </c>
      <c r="W65" s="176">
        <f t="shared" si="27"/>
        <v>136</v>
      </c>
      <c r="X65" s="176">
        <f t="shared" si="43"/>
        <v>21</v>
      </c>
      <c r="Y65" s="176">
        <f t="shared" si="16"/>
        <v>0</v>
      </c>
      <c r="Z65" s="176">
        <f>IF(AND(Y65=MAX($Y$14:$Y$109),(SUM($Z$14:Z64)=0)),Y65,0)</f>
        <v>0</v>
      </c>
      <c r="AA65" s="176">
        <f t="shared" si="17"/>
        <v>0</v>
      </c>
      <c r="AB65" s="176">
        <f t="shared" si="28"/>
        <v>1665</v>
      </c>
      <c r="AC65" s="176">
        <f t="shared" si="29"/>
        <v>136</v>
      </c>
      <c r="AD65" s="176">
        <f t="shared" si="44"/>
        <v>21</v>
      </c>
      <c r="AE65" s="176">
        <f t="shared" si="18"/>
        <v>0</v>
      </c>
      <c r="AF65" s="176">
        <f>IF(AND(AE65=MAX($AE$14:$AE$109),(SUM($AF$14:AF64)=0)),AE65,0)</f>
        <v>0</v>
      </c>
      <c r="AG65" s="176">
        <f t="shared" si="19"/>
        <v>0</v>
      </c>
      <c r="AH65" s="155">
        <f t="shared" si="0"/>
        <v>627.26</v>
      </c>
      <c r="AI65" s="176">
        <f t="shared" si="45"/>
        <v>21</v>
      </c>
      <c r="AJ65" s="176">
        <f t="shared" si="50"/>
        <v>0</v>
      </c>
      <c r="AK65" s="176">
        <f>IF(AND(AJ65=MAX($AJ$14:$AJ$109),(SUM($AK$14:AK64)=0)),AJ65,0)</f>
        <v>0</v>
      </c>
      <c r="AL65" s="176">
        <f t="shared" si="26"/>
        <v>0</v>
      </c>
      <c r="AM65" s="176">
        <f t="shared" si="51"/>
        <v>1665</v>
      </c>
      <c r="AN65" s="176">
        <f t="shared" si="52"/>
        <v>136</v>
      </c>
      <c r="AO65" s="176">
        <f t="shared" si="46"/>
        <v>21</v>
      </c>
      <c r="AP65" s="176">
        <f t="shared" si="20"/>
        <v>0</v>
      </c>
      <c r="AQ65" s="176">
        <f>IF(AND(AP65=MAX($AP$14:$AP$109),(SUM($AQ$14:AQ64)=0)),AP65,0)</f>
        <v>0</v>
      </c>
      <c r="AR65" s="176">
        <f t="shared" si="21"/>
        <v>0</v>
      </c>
      <c r="AS65" s="176">
        <f t="shared" si="40"/>
        <v>1665</v>
      </c>
      <c r="AT65" s="176">
        <f t="shared" si="32"/>
        <v>136</v>
      </c>
      <c r="AU65" s="176">
        <f t="shared" si="47"/>
        <v>21</v>
      </c>
      <c r="AV65" s="176">
        <f t="shared" si="22"/>
        <v>0</v>
      </c>
      <c r="AW65" s="176">
        <f>IF(AND(AV65=MAX($AV$14:$AV$109),(SUM($AW$14:AW64)=0)),AV65,0)</f>
        <v>0</v>
      </c>
      <c r="AX65" s="176">
        <f t="shared" si="23"/>
        <v>0</v>
      </c>
      <c r="AY65" s="176">
        <f t="shared" si="33"/>
        <v>1665</v>
      </c>
      <c r="AZ65" s="176">
        <f t="shared" si="34"/>
        <v>136</v>
      </c>
      <c r="BA65" s="176">
        <f t="shared" si="48"/>
        <v>21</v>
      </c>
      <c r="BB65" s="176">
        <f t="shared" si="24"/>
        <v>0</v>
      </c>
      <c r="BC65" s="176">
        <f>IF(AND(BB65=MAX($BB$14:$BB$109),(SUM($BC$14:BC64)=0)),BB65,0)</f>
        <v>0</v>
      </c>
      <c r="BD65" s="176">
        <f t="shared" si="25"/>
        <v>0</v>
      </c>
      <c r="BE65" s="153">
        <v>0.53125</v>
      </c>
      <c r="BG65" s="105"/>
      <c r="BH65" s="105"/>
      <c r="BI65" s="105"/>
      <c r="BJ65" s="105"/>
      <c r="BK65" s="105"/>
      <c r="BL65" s="105"/>
      <c r="BM65" s="105"/>
      <c r="BN65" s="105"/>
      <c r="BO65" s="105"/>
      <c r="BP65" s="105"/>
    </row>
    <row r="66" spans="1:68" ht="10.050000000000001" customHeight="1" x14ac:dyDescent="0.25">
      <c r="A66" s="153">
        <v>0.54166666666666696</v>
      </c>
      <c r="B66" s="177">
        <f>'Data with RTF'!U56</f>
        <v>790</v>
      </c>
      <c r="C66" s="177">
        <f>'Data with RTF'!G56</f>
        <v>861</v>
      </c>
      <c r="D66" s="177">
        <f>'Data with RTF'!N56</f>
        <v>0</v>
      </c>
      <c r="E66" s="177">
        <f>'Data with RTF'!AB56</f>
        <v>134</v>
      </c>
      <c r="F66" s="155">
        <f>IF(OR('Input &amp; Findings'!$G$28='Drop Down Lists'!$E$2,'Input &amp; Findings'!$G$28='Drop Down Lists'!$E$4),SUM(B66:C66),SUM(D66:E66))</f>
        <v>1651</v>
      </c>
      <c r="G66" s="155">
        <f t="shared" si="11"/>
        <v>115</v>
      </c>
      <c r="H66" s="155">
        <f t="shared" si="49"/>
        <v>80</v>
      </c>
      <c r="I66" s="155">
        <f>IF(OR('Input &amp; Findings'!$G$39='Drop Down Lists'!$E$3,'Input &amp; Findings'!$G$39='Drop Down Lists'!$E$5),MAX(D66:E66),MAX(B66:C66))</f>
        <v>134</v>
      </c>
      <c r="J66" s="156" t="str">
        <f t="shared" si="38"/>
        <v/>
      </c>
      <c r="K66" s="156" t="str">
        <f t="shared" si="35"/>
        <v/>
      </c>
      <c r="L66" s="176">
        <f t="shared" si="41"/>
        <v>-9981</v>
      </c>
      <c r="M66" s="176">
        <f t="shared" si="12"/>
        <v>0</v>
      </c>
      <c r="N66" s="176">
        <f>IF(AND(M66=MAX($M$14:$M$109),(SUM($N$14:N65)=0)),M66,0)</f>
        <v>0</v>
      </c>
      <c r="O66" s="176">
        <f t="shared" si="13"/>
        <v>0</v>
      </c>
      <c r="P66" s="176">
        <f t="shared" si="36"/>
        <v>1651</v>
      </c>
      <c r="Q66" s="176">
        <f t="shared" si="37"/>
        <v>134</v>
      </c>
      <c r="R66" s="176">
        <f t="shared" si="42"/>
        <v>-9981</v>
      </c>
      <c r="S66" s="176">
        <f t="shared" si="14"/>
        <v>0</v>
      </c>
      <c r="T66" s="176">
        <f>IF(AND(S66=MAX($S$14:$S$109),(SUM($T$14:T65)=0)),S66,0)</f>
        <v>0</v>
      </c>
      <c r="U66" s="176">
        <f t="shared" si="15"/>
        <v>0</v>
      </c>
      <c r="V66" s="176">
        <f t="shared" si="39"/>
        <v>1651</v>
      </c>
      <c r="W66" s="176">
        <f t="shared" si="27"/>
        <v>134</v>
      </c>
      <c r="X66" s="176">
        <f t="shared" si="43"/>
        <v>-9981</v>
      </c>
      <c r="Y66" s="176">
        <f t="shared" si="16"/>
        <v>0</v>
      </c>
      <c r="Z66" s="176">
        <f>IF(AND(Y66=MAX($Y$14:$Y$109),(SUM($Z$14:Z65)=0)),Y66,0)</f>
        <v>0</v>
      </c>
      <c r="AA66" s="176">
        <f t="shared" si="17"/>
        <v>0</v>
      </c>
      <c r="AB66" s="176">
        <f t="shared" si="28"/>
        <v>1651</v>
      </c>
      <c r="AC66" s="176">
        <f t="shared" si="29"/>
        <v>134</v>
      </c>
      <c r="AD66" s="176">
        <f t="shared" si="44"/>
        <v>-9981</v>
      </c>
      <c r="AE66" s="176">
        <f t="shared" si="18"/>
        <v>0</v>
      </c>
      <c r="AF66" s="176">
        <f>IF(AND(AE66=MAX($AE$14:$AE$109),(SUM($AF$14:AF65)=0)),AE66,0)</f>
        <v>0</v>
      </c>
      <c r="AG66" s="176">
        <f t="shared" si="19"/>
        <v>0</v>
      </c>
      <c r="AH66" s="155">
        <f t="shared" si="0"/>
        <v>627.26</v>
      </c>
      <c r="AI66" s="176">
        <f t="shared" si="45"/>
        <v>-9981</v>
      </c>
      <c r="AJ66" s="176">
        <f t="shared" si="50"/>
        <v>0</v>
      </c>
      <c r="AK66" s="176">
        <f>IF(AND(AJ66=MAX($AJ$14:$AJ$109),(SUM($AK$14:AK65)=0)),AJ66,0)</f>
        <v>0</v>
      </c>
      <c r="AL66" s="176">
        <f t="shared" si="26"/>
        <v>0</v>
      </c>
      <c r="AM66" s="176">
        <f t="shared" si="51"/>
        <v>1651</v>
      </c>
      <c r="AN66" s="176">
        <f t="shared" si="52"/>
        <v>134</v>
      </c>
      <c r="AO66" s="176">
        <f t="shared" si="46"/>
        <v>-9981</v>
      </c>
      <c r="AP66" s="176">
        <f t="shared" si="20"/>
        <v>0</v>
      </c>
      <c r="AQ66" s="176">
        <f>IF(AND(AP66=MAX($AP$14:$AP$109),(SUM($AQ$14:AQ65)=0)),AP66,0)</f>
        <v>0</v>
      </c>
      <c r="AR66" s="176">
        <f t="shared" si="21"/>
        <v>0</v>
      </c>
      <c r="AS66" s="176">
        <f t="shared" si="40"/>
        <v>1651</v>
      </c>
      <c r="AT66" s="176">
        <f t="shared" si="32"/>
        <v>134</v>
      </c>
      <c r="AU66" s="176">
        <f t="shared" si="47"/>
        <v>-9981</v>
      </c>
      <c r="AV66" s="176">
        <f t="shared" si="22"/>
        <v>0</v>
      </c>
      <c r="AW66" s="176">
        <f>IF(AND(AV66=MAX($AV$14:$AV$109),(SUM($AW$14:AW65)=0)),AV66,0)</f>
        <v>0</v>
      </c>
      <c r="AX66" s="176">
        <f t="shared" si="23"/>
        <v>0</v>
      </c>
      <c r="AY66" s="176">
        <f t="shared" si="33"/>
        <v>1651</v>
      </c>
      <c r="AZ66" s="176">
        <f t="shared" si="34"/>
        <v>134</v>
      </c>
      <c r="BA66" s="176">
        <f t="shared" si="48"/>
        <v>-9981</v>
      </c>
      <c r="BB66" s="176">
        <f t="shared" si="24"/>
        <v>0</v>
      </c>
      <c r="BC66" s="176">
        <f>IF(AND(BB66=MAX($BB$14:$BB$109),(SUM($BC$14:BC65)=0)),BB66,0)</f>
        <v>0</v>
      </c>
      <c r="BD66" s="176">
        <f t="shared" si="25"/>
        <v>0</v>
      </c>
      <c r="BE66" s="153">
        <v>0.54166666666666696</v>
      </c>
      <c r="BG66" s="105"/>
      <c r="BH66" s="105"/>
      <c r="BI66" s="105"/>
      <c r="BJ66" s="105"/>
      <c r="BK66" s="105"/>
      <c r="BL66" s="105"/>
      <c r="BM66" s="105"/>
      <c r="BN66" s="105"/>
      <c r="BO66" s="105"/>
      <c r="BP66" s="105"/>
    </row>
    <row r="67" spans="1:68" ht="10.050000000000001" customHeight="1" x14ac:dyDescent="0.25">
      <c r="A67" s="153">
        <v>0.55208333333333304</v>
      </c>
      <c r="B67" s="177">
        <f>'Data with RTF'!U57</f>
        <v>792</v>
      </c>
      <c r="C67" s="177">
        <f>'Data with RTF'!G57</f>
        <v>864</v>
      </c>
      <c r="D67" s="177">
        <f>'Data with RTF'!N57</f>
        <v>0</v>
      </c>
      <c r="E67" s="177">
        <f>'Data with RTF'!AB57</f>
        <v>128</v>
      </c>
      <c r="F67" s="155">
        <f>IF(OR('Input &amp; Findings'!$G$28='Drop Down Lists'!$E$2,'Input &amp; Findings'!$G$28='Drop Down Lists'!$E$4),SUM(B67:C67),SUM(D67:E67))</f>
        <v>1656</v>
      </c>
      <c r="G67" s="155">
        <f t="shared" si="11"/>
        <v>115</v>
      </c>
      <c r="H67" s="155">
        <f t="shared" si="49"/>
        <v>80</v>
      </c>
      <c r="I67" s="155">
        <f>IF(OR('Input &amp; Findings'!$G$39='Drop Down Lists'!$E$3,'Input &amp; Findings'!$G$39='Drop Down Lists'!$E$5),MAX(D67:E67),MAX(B67:C67))</f>
        <v>128</v>
      </c>
      <c r="J67" s="156" t="str">
        <f t="shared" si="38"/>
        <v/>
      </c>
      <c r="K67" s="156" t="str">
        <f t="shared" si="35"/>
        <v/>
      </c>
      <c r="L67" s="176">
        <f t="shared" si="41"/>
        <v>-9987</v>
      </c>
      <c r="M67" s="176">
        <f t="shared" si="12"/>
        <v>0</v>
      </c>
      <c r="N67" s="176">
        <f>IF(AND(M67=MAX($M$14:$M$109),(SUM($N$14:N66)=0)),M67,0)</f>
        <v>0</v>
      </c>
      <c r="O67" s="176">
        <f t="shared" si="13"/>
        <v>0</v>
      </c>
      <c r="P67" s="176">
        <f t="shared" si="36"/>
        <v>1656</v>
      </c>
      <c r="Q67" s="176">
        <f t="shared" si="37"/>
        <v>128</v>
      </c>
      <c r="R67" s="176">
        <f t="shared" si="42"/>
        <v>-9987</v>
      </c>
      <c r="S67" s="176">
        <f t="shared" si="14"/>
        <v>0</v>
      </c>
      <c r="T67" s="176">
        <f>IF(AND(S67=MAX($S$14:$S$109),(SUM($T$14:T66)=0)),S67,0)</f>
        <v>0</v>
      </c>
      <c r="U67" s="176">
        <f t="shared" si="15"/>
        <v>0</v>
      </c>
      <c r="V67" s="176">
        <f t="shared" si="39"/>
        <v>1656</v>
      </c>
      <c r="W67" s="176">
        <f t="shared" si="27"/>
        <v>128</v>
      </c>
      <c r="X67" s="176">
        <f t="shared" si="43"/>
        <v>-9987</v>
      </c>
      <c r="Y67" s="176">
        <f t="shared" si="16"/>
        <v>0</v>
      </c>
      <c r="Z67" s="176">
        <f>IF(AND(Y67=MAX($Y$14:$Y$109),(SUM($Z$14:Z66)=0)),Y67,0)</f>
        <v>0</v>
      </c>
      <c r="AA67" s="176">
        <f t="shared" si="17"/>
        <v>0</v>
      </c>
      <c r="AB67" s="176">
        <f t="shared" si="28"/>
        <v>1656</v>
      </c>
      <c r="AC67" s="176">
        <f t="shared" si="29"/>
        <v>128</v>
      </c>
      <c r="AD67" s="176">
        <f t="shared" si="44"/>
        <v>-9987</v>
      </c>
      <c r="AE67" s="176">
        <f t="shared" si="18"/>
        <v>0</v>
      </c>
      <c r="AF67" s="176">
        <f>IF(AND(AE67=MAX($AE$14:$AE$109),(SUM($AF$14:AF66)=0)),AE67,0)</f>
        <v>0</v>
      </c>
      <c r="AG67" s="176">
        <f t="shared" si="19"/>
        <v>0</v>
      </c>
      <c r="AH67" s="155">
        <f t="shared" si="0"/>
        <v>627.26</v>
      </c>
      <c r="AI67" s="176">
        <f t="shared" si="45"/>
        <v>-9987</v>
      </c>
      <c r="AJ67" s="176">
        <f t="shared" si="50"/>
        <v>0</v>
      </c>
      <c r="AK67" s="176">
        <f>IF(AND(AJ67=MAX($AJ$14:$AJ$109),(SUM($AK$14:AK66)=0)),AJ67,0)</f>
        <v>0</v>
      </c>
      <c r="AL67" s="176">
        <f t="shared" si="26"/>
        <v>0</v>
      </c>
      <c r="AM67" s="176">
        <f t="shared" si="51"/>
        <v>1656</v>
      </c>
      <c r="AN67" s="176">
        <f t="shared" si="52"/>
        <v>128</v>
      </c>
      <c r="AO67" s="176">
        <f t="shared" si="46"/>
        <v>-9987</v>
      </c>
      <c r="AP67" s="176">
        <f t="shared" si="20"/>
        <v>0</v>
      </c>
      <c r="AQ67" s="176">
        <f>IF(AND(AP67=MAX($AP$14:$AP$109),(SUM($AQ$14:AQ66)=0)),AP67,0)</f>
        <v>0</v>
      </c>
      <c r="AR67" s="176">
        <f t="shared" si="21"/>
        <v>0</v>
      </c>
      <c r="AS67" s="176">
        <f t="shared" si="40"/>
        <v>1656</v>
      </c>
      <c r="AT67" s="176">
        <f t="shared" si="32"/>
        <v>128</v>
      </c>
      <c r="AU67" s="176">
        <f t="shared" si="47"/>
        <v>-9987</v>
      </c>
      <c r="AV67" s="176">
        <f t="shared" si="22"/>
        <v>0</v>
      </c>
      <c r="AW67" s="176">
        <f>IF(AND(AV67=MAX($AV$14:$AV$109),(SUM($AW$14:AW66)=0)),AV67,0)</f>
        <v>0</v>
      </c>
      <c r="AX67" s="176">
        <f t="shared" si="23"/>
        <v>0</v>
      </c>
      <c r="AY67" s="176">
        <f t="shared" si="33"/>
        <v>1656</v>
      </c>
      <c r="AZ67" s="176">
        <f t="shared" si="34"/>
        <v>128</v>
      </c>
      <c r="BA67" s="176">
        <f t="shared" si="48"/>
        <v>-9987</v>
      </c>
      <c r="BB67" s="176">
        <f t="shared" si="24"/>
        <v>0</v>
      </c>
      <c r="BC67" s="176">
        <f>IF(AND(BB67=MAX($BB$14:$BB$109),(SUM($BC$14:BC66)=0)),BB67,0)</f>
        <v>0</v>
      </c>
      <c r="BD67" s="176">
        <f t="shared" si="25"/>
        <v>0</v>
      </c>
      <c r="BE67" s="153">
        <v>0.55208333333333304</v>
      </c>
      <c r="BG67" s="105"/>
      <c r="BH67" s="105"/>
      <c r="BI67" s="105"/>
      <c r="BJ67" s="105"/>
      <c r="BK67" s="105"/>
      <c r="BL67" s="105"/>
      <c r="BM67" s="105"/>
      <c r="BN67" s="105"/>
      <c r="BO67" s="105"/>
      <c r="BP67" s="105"/>
    </row>
    <row r="68" spans="1:68" ht="10.050000000000001" customHeight="1" x14ac:dyDescent="0.25">
      <c r="A68" s="153">
        <v>0.5625</v>
      </c>
      <c r="B68" s="177">
        <f>'Data with RTF'!U58</f>
        <v>815</v>
      </c>
      <c r="C68" s="177">
        <f>'Data with RTF'!G58</f>
        <v>863</v>
      </c>
      <c r="D68" s="177">
        <f>'Data with RTF'!N58</f>
        <v>0</v>
      </c>
      <c r="E68" s="177">
        <f>'Data with RTF'!AB58</f>
        <v>133</v>
      </c>
      <c r="F68" s="155">
        <f>IF(OR('Input &amp; Findings'!$G$28='Drop Down Lists'!$E$2,'Input &amp; Findings'!$G$28='Drop Down Lists'!$E$4),SUM(B68:C68),SUM(D68:E68))</f>
        <v>1678</v>
      </c>
      <c r="G68" s="155">
        <f t="shared" si="11"/>
        <v>115</v>
      </c>
      <c r="H68" s="155">
        <f t="shared" si="49"/>
        <v>80</v>
      </c>
      <c r="I68" s="155">
        <f>IF(OR('Input &amp; Findings'!$G$39='Drop Down Lists'!$E$3,'Input &amp; Findings'!$G$39='Drop Down Lists'!$E$5),MAX(D68:E68),MAX(B68:C68))</f>
        <v>133</v>
      </c>
      <c r="J68" s="156" t="str">
        <f t="shared" si="38"/>
        <v/>
      </c>
      <c r="K68" s="156" t="str">
        <f t="shared" si="35"/>
        <v/>
      </c>
      <c r="L68" s="176">
        <f t="shared" si="41"/>
        <v>-9982</v>
      </c>
      <c r="M68" s="176">
        <f t="shared" si="12"/>
        <v>0</v>
      </c>
      <c r="N68" s="176">
        <f>IF(AND(M68=MAX($M$14:$M$109),(SUM($N$14:N67)=0)),M68,0)</f>
        <v>0</v>
      </c>
      <c r="O68" s="176">
        <f t="shared" si="13"/>
        <v>0</v>
      </c>
      <c r="P68" s="176">
        <f t="shared" si="36"/>
        <v>1678</v>
      </c>
      <c r="Q68" s="176">
        <f t="shared" si="37"/>
        <v>133</v>
      </c>
      <c r="R68" s="176">
        <f t="shared" si="42"/>
        <v>-9982</v>
      </c>
      <c r="S68" s="176">
        <f t="shared" si="14"/>
        <v>0</v>
      </c>
      <c r="T68" s="176">
        <f>IF(AND(S68=MAX($S$14:$S$109),(SUM($T$14:T67)=0)),S68,0)</f>
        <v>0</v>
      </c>
      <c r="U68" s="176">
        <f t="shared" si="15"/>
        <v>0</v>
      </c>
      <c r="V68" s="176">
        <f t="shared" si="39"/>
        <v>1678</v>
      </c>
      <c r="W68" s="176">
        <f t="shared" si="27"/>
        <v>133</v>
      </c>
      <c r="X68" s="176">
        <f t="shared" si="43"/>
        <v>-9982</v>
      </c>
      <c r="Y68" s="176">
        <f t="shared" si="16"/>
        <v>0</v>
      </c>
      <c r="Z68" s="176">
        <f>IF(AND(Y68=MAX($Y$14:$Y$109),(SUM($Z$14:Z67)=0)),Y68,0)</f>
        <v>0</v>
      </c>
      <c r="AA68" s="176">
        <f t="shared" si="17"/>
        <v>0</v>
      </c>
      <c r="AB68" s="176">
        <f t="shared" si="28"/>
        <v>1678</v>
      </c>
      <c r="AC68" s="176">
        <f t="shared" si="29"/>
        <v>133</v>
      </c>
      <c r="AD68" s="176">
        <f t="shared" si="44"/>
        <v>-9982</v>
      </c>
      <c r="AE68" s="176">
        <f t="shared" si="18"/>
        <v>0</v>
      </c>
      <c r="AF68" s="176">
        <f>IF(AND(AE68=MAX($AE$14:$AE$109),(SUM($AF$14:AF67)=0)),AE68,0)</f>
        <v>0</v>
      </c>
      <c r="AG68" s="176">
        <f t="shared" si="19"/>
        <v>0</v>
      </c>
      <c r="AH68" s="155">
        <f t="shared" si="0"/>
        <v>627.26</v>
      </c>
      <c r="AI68" s="176">
        <f t="shared" si="45"/>
        <v>-9982</v>
      </c>
      <c r="AJ68" s="176">
        <f t="shared" si="50"/>
        <v>0</v>
      </c>
      <c r="AK68" s="176">
        <f>IF(AND(AJ68=MAX($AJ$14:$AJ$109),(SUM($AK$14:AK67)=0)),AJ68,0)</f>
        <v>0</v>
      </c>
      <c r="AL68" s="176">
        <f t="shared" si="26"/>
        <v>0</v>
      </c>
      <c r="AM68" s="176">
        <f t="shared" si="51"/>
        <v>1678</v>
      </c>
      <c r="AN68" s="176">
        <f t="shared" si="52"/>
        <v>133</v>
      </c>
      <c r="AO68" s="176">
        <f t="shared" si="46"/>
        <v>-9982</v>
      </c>
      <c r="AP68" s="176">
        <f t="shared" si="20"/>
        <v>0</v>
      </c>
      <c r="AQ68" s="176">
        <f>IF(AND(AP68=MAX($AP$14:$AP$109),(SUM($AQ$14:AQ67)=0)),AP68,0)</f>
        <v>0</v>
      </c>
      <c r="AR68" s="176">
        <f t="shared" si="21"/>
        <v>0</v>
      </c>
      <c r="AS68" s="176">
        <f t="shared" si="40"/>
        <v>1678</v>
      </c>
      <c r="AT68" s="176">
        <f t="shared" si="32"/>
        <v>133</v>
      </c>
      <c r="AU68" s="176">
        <f t="shared" si="47"/>
        <v>-9982</v>
      </c>
      <c r="AV68" s="176">
        <f t="shared" si="22"/>
        <v>0</v>
      </c>
      <c r="AW68" s="176">
        <f>IF(AND(AV68=MAX($AV$14:$AV$109),(SUM($AW$14:AW67)=0)),AV68,0)</f>
        <v>0</v>
      </c>
      <c r="AX68" s="176">
        <f t="shared" si="23"/>
        <v>0</v>
      </c>
      <c r="AY68" s="176">
        <f t="shared" si="33"/>
        <v>1678</v>
      </c>
      <c r="AZ68" s="176">
        <f t="shared" si="34"/>
        <v>133</v>
      </c>
      <c r="BA68" s="176">
        <f t="shared" si="48"/>
        <v>-9982</v>
      </c>
      <c r="BB68" s="176">
        <f t="shared" si="24"/>
        <v>0</v>
      </c>
      <c r="BC68" s="176">
        <f>IF(AND(BB68=MAX($BB$14:$BB$109),(SUM($BC$14:BC67)=0)),BB68,0)</f>
        <v>0</v>
      </c>
      <c r="BD68" s="176">
        <f t="shared" si="25"/>
        <v>0</v>
      </c>
      <c r="BE68" s="153">
        <v>0.5625</v>
      </c>
      <c r="BG68" s="105"/>
      <c r="BH68" s="105"/>
      <c r="BI68" s="105"/>
      <c r="BJ68" s="105"/>
      <c r="BK68" s="105"/>
      <c r="BL68" s="105"/>
      <c r="BM68" s="105"/>
      <c r="BN68" s="105"/>
      <c r="BO68" s="105"/>
      <c r="BP68" s="105"/>
    </row>
    <row r="69" spans="1:68" ht="10.050000000000001" customHeight="1" x14ac:dyDescent="0.25">
      <c r="A69" s="153">
        <v>0.57291666666666696</v>
      </c>
      <c r="B69" s="177">
        <f>'Data with RTF'!U59</f>
        <v>858</v>
      </c>
      <c r="C69" s="177">
        <f>'Data with RTF'!G59</f>
        <v>865</v>
      </c>
      <c r="D69" s="177">
        <f>'Data with RTF'!N59</f>
        <v>0</v>
      </c>
      <c r="E69" s="177">
        <f>'Data with RTF'!AB59</f>
        <v>127</v>
      </c>
      <c r="F69" s="155">
        <f>IF(OR('Input &amp; Findings'!$G$28='Drop Down Lists'!$E$2,'Input &amp; Findings'!$G$28='Drop Down Lists'!$E$4),SUM(B69:C69),SUM(D69:E69))</f>
        <v>1723</v>
      </c>
      <c r="G69" s="155">
        <f t="shared" si="11"/>
        <v>115</v>
      </c>
      <c r="H69" s="155">
        <f t="shared" si="49"/>
        <v>80</v>
      </c>
      <c r="I69" s="155">
        <f>IF(OR('Input &amp; Findings'!$G$39='Drop Down Lists'!$E$3,'Input &amp; Findings'!$G$39='Drop Down Lists'!$E$5),MAX(D69:E69),MAX(B69:C69))</f>
        <v>127</v>
      </c>
      <c r="J69" s="156" t="str">
        <f t="shared" si="38"/>
        <v>Met</v>
      </c>
      <c r="K69" s="156" t="str">
        <f t="shared" si="35"/>
        <v>Met</v>
      </c>
      <c r="L69" s="176">
        <f t="shared" si="41"/>
        <v>12</v>
      </c>
      <c r="M69" s="176">
        <f t="shared" si="12"/>
        <v>0</v>
      </c>
      <c r="N69" s="176">
        <f>IF(AND(M69=MAX($M$14:$M$109),(SUM($N$14:N68)=0)),M69,0)</f>
        <v>0</v>
      </c>
      <c r="O69" s="176">
        <f t="shared" si="13"/>
        <v>0</v>
      </c>
      <c r="P69" s="176">
        <f t="shared" si="36"/>
        <v>1723</v>
      </c>
      <c r="Q69" s="176">
        <f t="shared" si="37"/>
        <v>127</v>
      </c>
      <c r="R69" s="176">
        <f t="shared" si="42"/>
        <v>12</v>
      </c>
      <c r="S69" s="176">
        <f t="shared" si="14"/>
        <v>0</v>
      </c>
      <c r="T69" s="176">
        <f>IF(AND(S69=MAX($S$14:$S$109),(SUM($T$14:T68)=0)),S69,0)</f>
        <v>0</v>
      </c>
      <c r="U69" s="176">
        <f t="shared" si="15"/>
        <v>0</v>
      </c>
      <c r="V69" s="176">
        <f t="shared" si="39"/>
        <v>1723</v>
      </c>
      <c r="W69" s="176">
        <f t="shared" si="27"/>
        <v>127</v>
      </c>
      <c r="X69" s="176">
        <f t="shared" si="43"/>
        <v>12</v>
      </c>
      <c r="Y69" s="176">
        <f t="shared" si="16"/>
        <v>0</v>
      </c>
      <c r="Z69" s="176">
        <f>IF(AND(Y69=MAX($Y$14:$Y$109),(SUM($Z$14:Z68)=0)),Y69,0)</f>
        <v>0</v>
      </c>
      <c r="AA69" s="176">
        <f t="shared" si="17"/>
        <v>0</v>
      </c>
      <c r="AB69" s="176">
        <f t="shared" si="28"/>
        <v>1723</v>
      </c>
      <c r="AC69" s="176">
        <f t="shared" si="29"/>
        <v>127</v>
      </c>
      <c r="AD69" s="176">
        <f t="shared" si="44"/>
        <v>12</v>
      </c>
      <c r="AE69" s="176">
        <f t="shared" si="18"/>
        <v>0</v>
      </c>
      <c r="AF69" s="176">
        <f>IF(AND(AE69=MAX($AE$14:$AE$109),(SUM($AF$14:AF68)=0)),AE69,0)</f>
        <v>0</v>
      </c>
      <c r="AG69" s="176">
        <f t="shared" si="19"/>
        <v>0</v>
      </c>
      <c r="AH69" s="155">
        <f t="shared" si="0"/>
        <v>627.26</v>
      </c>
      <c r="AI69" s="176">
        <f t="shared" si="45"/>
        <v>12</v>
      </c>
      <c r="AJ69" s="176">
        <f t="shared" si="50"/>
        <v>0</v>
      </c>
      <c r="AK69" s="176">
        <f>IF(AND(AJ69=MAX($AJ$14:$AJ$109),(SUM($AK$14:AK68)=0)),AJ69,0)</f>
        <v>0</v>
      </c>
      <c r="AL69" s="176">
        <f t="shared" si="26"/>
        <v>0</v>
      </c>
      <c r="AM69" s="176">
        <f t="shared" si="51"/>
        <v>1723</v>
      </c>
      <c r="AN69" s="176">
        <f t="shared" si="52"/>
        <v>127</v>
      </c>
      <c r="AO69" s="176">
        <f t="shared" si="46"/>
        <v>12</v>
      </c>
      <c r="AP69" s="176">
        <f t="shared" si="20"/>
        <v>0</v>
      </c>
      <c r="AQ69" s="176">
        <f>IF(AND(AP69=MAX($AP$14:$AP$109),(SUM($AQ$14:AQ68)=0)),AP69,0)</f>
        <v>0</v>
      </c>
      <c r="AR69" s="176">
        <f t="shared" si="21"/>
        <v>0</v>
      </c>
      <c r="AS69" s="176">
        <f t="shared" si="40"/>
        <v>1723</v>
      </c>
      <c r="AT69" s="176">
        <f t="shared" si="32"/>
        <v>127</v>
      </c>
      <c r="AU69" s="176">
        <f t="shared" si="47"/>
        <v>12</v>
      </c>
      <c r="AV69" s="176">
        <f t="shared" si="22"/>
        <v>0</v>
      </c>
      <c r="AW69" s="176">
        <f>IF(AND(AV69=MAX($AV$14:$AV$109),(SUM($AW$14:AW68)=0)),AV69,0)</f>
        <v>0</v>
      </c>
      <c r="AX69" s="176">
        <f t="shared" si="23"/>
        <v>0</v>
      </c>
      <c r="AY69" s="176">
        <f t="shared" si="33"/>
        <v>1723</v>
      </c>
      <c r="AZ69" s="176">
        <f t="shared" si="34"/>
        <v>127</v>
      </c>
      <c r="BA69" s="176">
        <f t="shared" si="48"/>
        <v>12</v>
      </c>
      <c r="BB69" s="176">
        <f t="shared" si="24"/>
        <v>0</v>
      </c>
      <c r="BC69" s="176">
        <f>IF(AND(BB69=MAX($BB$14:$BB$109),(SUM($BC$14:BC68)=0)),BB69,0)</f>
        <v>0</v>
      </c>
      <c r="BD69" s="176">
        <f t="shared" si="25"/>
        <v>0</v>
      </c>
      <c r="BE69" s="153">
        <v>0.57291666666666696</v>
      </c>
      <c r="BG69" s="105"/>
      <c r="BH69" s="105"/>
      <c r="BI69" s="105"/>
      <c r="BJ69" s="105"/>
      <c r="BK69" s="105"/>
      <c r="BL69" s="105"/>
      <c r="BM69" s="105"/>
      <c r="BN69" s="105"/>
      <c r="BO69" s="105"/>
      <c r="BP69" s="105"/>
    </row>
    <row r="70" spans="1:68" ht="10.050000000000001" customHeight="1" x14ac:dyDescent="0.25">
      <c r="A70" s="153">
        <v>0.58333333333333304</v>
      </c>
      <c r="B70" s="177">
        <f>'Data with RTF'!U60</f>
        <v>914</v>
      </c>
      <c r="C70" s="177">
        <f>'Data with RTF'!G60</f>
        <v>878</v>
      </c>
      <c r="D70" s="177">
        <f>'Data with RTF'!N60</f>
        <v>0</v>
      </c>
      <c r="E70" s="177">
        <f>'Data with RTF'!AB60</f>
        <v>119</v>
      </c>
      <c r="F70" s="155">
        <f>IF(OR('Input &amp; Findings'!$G$28='Drop Down Lists'!$E$2,'Input &amp; Findings'!$G$28='Drop Down Lists'!$E$4),SUM(B70:C70),SUM(D70:E70))</f>
        <v>1792</v>
      </c>
      <c r="G70" s="155">
        <f t="shared" si="11"/>
        <v>115</v>
      </c>
      <c r="H70" s="155">
        <f t="shared" si="49"/>
        <v>80</v>
      </c>
      <c r="I70" s="155">
        <f>IF(OR('Input &amp; Findings'!$G$39='Drop Down Lists'!$E$3,'Input &amp; Findings'!$G$39='Drop Down Lists'!$E$5),MAX(D70:E70),MAX(B70:C70))</f>
        <v>119</v>
      </c>
      <c r="J70" s="156" t="str">
        <f t="shared" si="38"/>
        <v/>
      </c>
      <c r="K70" s="156" t="str">
        <f t="shared" si="35"/>
        <v/>
      </c>
      <c r="L70" s="176">
        <f t="shared" si="41"/>
        <v>-9996</v>
      </c>
      <c r="M70" s="176">
        <f t="shared" si="12"/>
        <v>0</v>
      </c>
      <c r="N70" s="176">
        <f>IF(AND(M70=MAX($M$14:$M$109),(SUM($N$14:N69)=0)),M70,0)</f>
        <v>0</v>
      </c>
      <c r="O70" s="176">
        <f t="shared" si="13"/>
        <v>0</v>
      </c>
      <c r="P70" s="176">
        <f t="shared" si="36"/>
        <v>1792</v>
      </c>
      <c r="Q70" s="176">
        <f t="shared" si="37"/>
        <v>119</v>
      </c>
      <c r="R70" s="176">
        <f t="shared" si="42"/>
        <v>-9996</v>
      </c>
      <c r="S70" s="176">
        <f t="shared" si="14"/>
        <v>0</v>
      </c>
      <c r="T70" s="176">
        <f>IF(AND(S70=MAX($S$14:$S$109),(SUM($T$14:T69)=0)),S70,0)</f>
        <v>0</v>
      </c>
      <c r="U70" s="176">
        <f t="shared" si="15"/>
        <v>0</v>
      </c>
      <c r="V70" s="176">
        <f t="shared" si="39"/>
        <v>1792</v>
      </c>
      <c r="W70" s="176">
        <f t="shared" si="27"/>
        <v>119</v>
      </c>
      <c r="X70" s="176">
        <f t="shared" si="43"/>
        <v>-9996</v>
      </c>
      <c r="Y70" s="176">
        <f t="shared" si="16"/>
        <v>0</v>
      </c>
      <c r="Z70" s="176">
        <f>IF(AND(Y70=MAX($Y$14:$Y$109),(SUM($Z$14:Z69)=0)),Y70,0)</f>
        <v>0</v>
      </c>
      <c r="AA70" s="176">
        <f t="shared" si="17"/>
        <v>0</v>
      </c>
      <c r="AB70" s="176">
        <f t="shared" si="28"/>
        <v>1792</v>
      </c>
      <c r="AC70" s="176">
        <f t="shared" si="29"/>
        <v>119</v>
      </c>
      <c r="AD70" s="176">
        <f t="shared" si="44"/>
        <v>-9996</v>
      </c>
      <c r="AE70" s="176">
        <f t="shared" si="18"/>
        <v>0</v>
      </c>
      <c r="AF70" s="176">
        <f>IF(AND(AE70=MAX($AE$14:$AE$109),(SUM($AF$14:AF69)=0)),AE70,0)</f>
        <v>0</v>
      </c>
      <c r="AG70" s="176">
        <f t="shared" si="19"/>
        <v>0</v>
      </c>
      <c r="AH70" s="155">
        <f t="shared" si="0"/>
        <v>627.26</v>
      </c>
      <c r="AI70" s="176">
        <f t="shared" si="45"/>
        <v>-9996</v>
      </c>
      <c r="AJ70" s="176">
        <f t="shared" si="50"/>
        <v>0</v>
      </c>
      <c r="AK70" s="176">
        <f>IF(AND(AJ70=MAX($AJ$14:$AJ$109),(SUM($AK$14:AK69)=0)),AJ70,0)</f>
        <v>0</v>
      </c>
      <c r="AL70" s="176">
        <f t="shared" si="26"/>
        <v>0</v>
      </c>
      <c r="AM70" s="176">
        <f t="shared" si="51"/>
        <v>1792</v>
      </c>
      <c r="AN70" s="176">
        <f t="shared" si="52"/>
        <v>119</v>
      </c>
      <c r="AO70" s="176">
        <f t="shared" si="46"/>
        <v>-9996</v>
      </c>
      <c r="AP70" s="176">
        <f t="shared" si="20"/>
        <v>0</v>
      </c>
      <c r="AQ70" s="176">
        <f>IF(AND(AP70=MAX($AP$14:$AP$109),(SUM($AQ$14:AQ69)=0)),AP70,0)</f>
        <v>0</v>
      </c>
      <c r="AR70" s="176">
        <f t="shared" si="21"/>
        <v>0</v>
      </c>
      <c r="AS70" s="176">
        <f t="shared" si="40"/>
        <v>1792</v>
      </c>
      <c r="AT70" s="176">
        <f t="shared" si="32"/>
        <v>119</v>
      </c>
      <c r="AU70" s="176">
        <f t="shared" si="47"/>
        <v>-9996</v>
      </c>
      <c r="AV70" s="176">
        <f t="shared" si="22"/>
        <v>0</v>
      </c>
      <c r="AW70" s="176">
        <f>IF(AND(AV70=MAX($AV$14:$AV$109),(SUM($AW$14:AW69)=0)),AV70,0)</f>
        <v>0</v>
      </c>
      <c r="AX70" s="176">
        <f t="shared" si="23"/>
        <v>0</v>
      </c>
      <c r="AY70" s="176">
        <f t="shared" si="33"/>
        <v>1792</v>
      </c>
      <c r="AZ70" s="176">
        <f t="shared" si="34"/>
        <v>119</v>
      </c>
      <c r="BA70" s="176">
        <f t="shared" si="48"/>
        <v>-9996</v>
      </c>
      <c r="BB70" s="176">
        <f t="shared" si="24"/>
        <v>0</v>
      </c>
      <c r="BC70" s="176">
        <f>IF(AND(BB70=MAX($BB$14:$BB$109),(SUM($BC$14:BC69)=0)),BB70,0)</f>
        <v>0</v>
      </c>
      <c r="BD70" s="176">
        <f t="shared" si="25"/>
        <v>0</v>
      </c>
      <c r="BE70" s="153">
        <v>0.58333333333333304</v>
      </c>
      <c r="BG70" s="105"/>
      <c r="BH70" s="105"/>
      <c r="BI70" s="105"/>
      <c r="BJ70" s="105"/>
      <c r="BK70" s="105"/>
      <c r="BL70" s="105"/>
      <c r="BM70" s="105"/>
      <c r="BN70" s="105"/>
      <c r="BO70" s="105"/>
      <c r="BP70" s="105"/>
    </row>
    <row r="71" spans="1:68" ht="10.050000000000001" customHeight="1" x14ac:dyDescent="0.25">
      <c r="A71" s="153">
        <v>0.59375</v>
      </c>
      <c r="B71" s="177">
        <f>'Data with RTF'!U61</f>
        <v>963</v>
      </c>
      <c r="C71" s="177">
        <f>'Data with RTF'!G61</f>
        <v>891</v>
      </c>
      <c r="D71" s="177">
        <f>'Data with RTF'!N61</f>
        <v>0</v>
      </c>
      <c r="E71" s="177">
        <f>'Data with RTF'!AB61</f>
        <v>132</v>
      </c>
      <c r="F71" s="155">
        <f>IF(OR('Input &amp; Findings'!$G$28='Drop Down Lists'!$E$2,'Input &amp; Findings'!$G$28='Drop Down Lists'!$E$4),SUM(B71:C71),SUM(D71:E71))</f>
        <v>1854</v>
      </c>
      <c r="G71" s="155">
        <f t="shared" si="11"/>
        <v>115</v>
      </c>
      <c r="H71" s="155">
        <f t="shared" si="49"/>
        <v>80</v>
      </c>
      <c r="I71" s="155">
        <f>IF(OR('Input &amp; Findings'!$G$39='Drop Down Lists'!$E$3,'Input &amp; Findings'!$G$39='Drop Down Lists'!$E$5),MAX(D71:E71),MAX(B71:C71))</f>
        <v>132</v>
      </c>
      <c r="J71" s="156" t="str">
        <f t="shared" si="38"/>
        <v/>
      </c>
      <c r="K71" s="156" t="str">
        <f t="shared" si="35"/>
        <v/>
      </c>
      <c r="L71" s="176">
        <f t="shared" si="41"/>
        <v>-9983</v>
      </c>
      <c r="M71" s="176">
        <f t="shared" si="12"/>
        <v>0</v>
      </c>
      <c r="N71" s="176">
        <f>IF(AND(M71=MAX($M$14:$M$109),(SUM($N$14:N70)=0)),M71,0)</f>
        <v>0</v>
      </c>
      <c r="O71" s="176">
        <f t="shared" si="13"/>
        <v>0</v>
      </c>
      <c r="P71" s="176">
        <f t="shared" si="36"/>
        <v>1854</v>
      </c>
      <c r="Q71" s="176">
        <f t="shared" si="37"/>
        <v>132</v>
      </c>
      <c r="R71" s="176">
        <f t="shared" si="42"/>
        <v>-9983</v>
      </c>
      <c r="S71" s="176">
        <f t="shared" si="14"/>
        <v>0</v>
      </c>
      <c r="T71" s="176">
        <f>IF(AND(S71=MAX($S$14:$S$109),(SUM($T$14:T70)=0)),S71,0)</f>
        <v>0</v>
      </c>
      <c r="U71" s="176">
        <f t="shared" si="15"/>
        <v>0</v>
      </c>
      <c r="V71" s="176">
        <f t="shared" si="39"/>
        <v>1854</v>
      </c>
      <c r="W71" s="176">
        <f t="shared" si="27"/>
        <v>132</v>
      </c>
      <c r="X71" s="176">
        <f t="shared" si="43"/>
        <v>-9983</v>
      </c>
      <c r="Y71" s="176">
        <f t="shared" si="16"/>
        <v>0</v>
      </c>
      <c r="Z71" s="176">
        <f>IF(AND(Y71=MAX($Y$14:$Y$109),(SUM($Z$14:Z70)=0)),Y71,0)</f>
        <v>0</v>
      </c>
      <c r="AA71" s="176">
        <f t="shared" si="17"/>
        <v>0</v>
      </c>
      <c r="AB71" s="176">
        <f t="shared" si="28"/>
        <v>1854</v>
      </c>
      <c r="AC71" s="176">
        <f t="shared" si="29"/>
        <v>132</v>
      </c>
      <c r="AD71" s="176">
        <f t="shared" si="44"/>
        <v>-9983</v>
      </c>
      <c r="AE71" s="176">
        <f t="shared" si="18"/>
        <v>0</v>
      </c>
      <c r="AF71" s="176">
        <f>IF(AND(AE71=MAX($AE$14:$AE$109),(SUM($AF$14:AF70)=0)),AE71,0)</f>
        <v>0</v>
      </c>
      <c r="AG71" s="176">
        <f t="shared" si="19"/>
        <v>0</v>
      </c>
      <c r="AH71" s="155">
        <f t="shared" si="0"/>
        <v>627.26</v>
      </c>
      <c r="AI71" s="176">
        <f t="shared" si="45"/>
        <v>-9983</v>
      </c>
      <c r="AJ71" s="176">
        <f t="shared" si="50"/>
        <v>0</v>
      </c>
      <c r="AK71" s="176">
        <f>IF(AND(AJ71=MAX($AJ$14:$AJ$109),(SUM($AK$14:AK70)=0)),AJ71,0)</f>
        <v>0</v>
      </c>
      <c r="AL71" s="176">
        <f t="shared" si="26"/>
        <v>0</v>
      </c>
      <c r="AM71" s="176">
        <f t="shared" si="51"/>
        <v>1854</v>
      </c>
      <c r="AN71" s="176">
        <f t="shared" si="52"/>
        <v>132</v>
      </c>
      <c r="AO71" s="176">
        <f t="shared" si="46"/>
        <v>-9983</v>
      </c>
      <c r="AP71" s="176">
        <f t="shared" si="20"/>
        <v>0</v>
      </c>
      <c r="AQ71" s="176">
        <f>IF(AND(AP71=MAX($AP$14:$AP$109),(SUM($AQ$14:AQ70)=0)),AP71,0)</f>
        <v>0</v>
      </c>
      <c r="AR71" s="176">
        <f t="shared" si="21"/>
        <v>0</v>
      </c>
      <c r="AS71" s="176">
        <f t="shared" si="40"/>
        <v>1854</v>
      </c>
      <c r="AT71" s="176">
        <f t="shared" si="32"/>
        <v>132</v>
      </c>
      <c r="AU71" s="176">
        <f t="shared" si="47"/>
        <v>-9983</v>
      </c>
      <c r="AV71" s="176">
        <f t="shared" si="22"/>
        <v>0</v>
      </c>
      <c r="AW71" s="176">
        <f>IF(AND(AV71=MAX($AV$14:$AV$109),(SUM($AW$14:AW70)=0)),AV71,0)</f>
        <v>0</v>
      </c>
      <c r="AX71" s="176">
        <f t="shared" si="23"/>
        <v>0</v>
      </c>
      <c r="AY71" s="176">
        <f t="shared" si="33"/>
        <v>1854</v>
      </c>
      <c r="AZ71" s="176">
        <f t="shared" si="34"/>
        <v>132</v>
      </c>
      <c r="BA71" s="176">
        <f t="shared" si="48"/>
        <v>-9983</v>
      </c>
      <c r="BB71" s="176">
        <f t="shared" si="24"/>
        <v>0</v>
      </c>
      <c r="BC71" s="176">
        <f>IF(AND(BB71=MAX($BB$14:$BB$109),(SUM($BC$14:BC70)=0)),BB71,0)</f>
        <v>0</v>
      </c>
      <c r="BD71" s="176">
        <f t="shared" si="25"/>
        <v>0</v>
      </c>
      <c r="BE71" s="153">
        <v>0.59375</v>
      </c>
      <c r="BG71" s="105"/>
      <c r="BH71" s="105"/>
      <c r="BI71" s="105"/>
      <c r="BJ71" s="105"/>
      <c r="BK71" s="105"/>
      <c r="BL71" s="105"/>
      <c r="BM71" s="105"/>
      <c r="BN71" s="105"/>
      <c r="BO71" s="105"/>
      <c r="BP71" s="105"/>
    </row>
    <row r="72" spans="1:68" ht="10.050000000000001" customHeight="1" x14ac:dyDescent="0.25">
      <c r="A72" s="153">
        <v>0.60416666666666696</v>
      </c>
      <c r="B72" s="177">
        <f>'Data with RTF'!U62</f>
        <v>1058</v>
      </c>
      <c r="C72" s="177">
        <f>'Data with RTF'!G62</f>
        <v>897</v>
      </c>
      <c r="D72" s="177">
        <f>'Data with RTF'!N62</f>
        <v>0</v>
      </c>
      <c r="E72" s="177">
        <f>'Data with RTF'!AB62</f>
        <v>122</v>
      </c>
      <c r="F72" s="155">
        <f>IF(OR('Input &amp; Findings'!$G$28='Drop Down Lists'!$E$2,'Input &amp; Findings'!$G$28='Drop Down Lists'!$E$4),SUM(B72:C72),SUM(D72:E72))</f>
        <v>1955</v>
      </c>
      <c r="G72" s="155">
        <f t="shared" si="11"/>
        <v>115</v>
      </c>
      <c r="H72" s="155">
        <f t="shared" si="49"/>
        <v>80</v>
      </c>
      <c r="I72" s="155">
        <f>IF(OR('Input &amp; Findings'!$G$39='Drop Down Lists'!$E$3,'Input &amp; Findings'!$G$39='Drop Down Lists'!$E$5),MAX(D72:E72),MAX(B72:C72))</f>
        <v>122</v>
      </c>
      <c r="J72" s="156" t="str">
        <f t="shared" si="38"/>
        <v/>
      </c>
      <c r="K72" s="156" t="str">
        <f t="shared" si="35"/>
        <v/>
      </c>
      <c r="L72" s="176">
        <f t="shared" si="41"/>
        <v>-9993</v>
      </c>
      <c r="M72" s="176">
        <f t="shared" si="12"/>
        <v>0</v>
      </c>
      <c r="N72" s="176">
        <f>IF(AND(M72=MAX($M$14:$M$109),(SUM($N$14:N71)=0)),M72,0)</f>
        <v>0</v>
      </c>
      <c r="O72" s="176">
        <f t="shared" si="13"/>
        <v>0</v>
      </c>
      <c r="P72" s="176">
        <f t="shared" si="36"/>
        <v>1955</v>
      </c>
      <c r="Q72" s="176">
        <f t="shared" si="37"/>
        <v>122</v>
      </c>
      <c r="R72" s="176">
        <f t="shared" si="42"/>
        <v>-9993</v>
      </c>
      <c r="S72" s="176">
        <f t="shared" si="14"/>
        <v>0</v>
      </c>
      <c r="T72" s="176">
        <f>IF(AND(S72=MAX($S$14:$S$109),(SUM($T$14:T71)=0)),S72,0)</f>
        <v>0</v>
      </c>
      <c r="U72" s="176">
        <f t="shared" si="15"/>
        <v>0</v>
      </c>
      <c r="V72" s="176">
        <f t="shared" si="39"/>
        <v>1955</v>
      </c>
      <c r="W72" s="176">
        <f t="shared" si="27"/>
        <v>122</v>
      </c>
      <c r="X72" s="176">
        <f t="shared" si="43"/>
        <v>-9993</v>
      </c>
      <c r="Y72" s="176">
        <f t="shared" si="16"/>
        <v>0</v>
      </c>
      <c r="Z72" s="176">
        <f>IF(AND(Y72=MAX($Y$14:$Y$109),(SUM($Z$14:Z71)=0)),Y72,0)</f>
        <v>0</v>
      </c>
      <c r="AA72" s="176">
        <f t="shared" si="17"/>
        <v>0</v>
      </c>
      <c r="AB72" s="176">
        <f t="shared" si="28"/>
        <v>1955</v>
      </c>
      <c r="AC72" s="176">
        <f t="shared" si="29"/>
        <v>122</v>
      </c>
      <c r="AD72" s="176">
        <f t="shared" si="44"/>
        <v>-9993</v>
      </c>
      <c r="AE72" s="176">
        <f t="shared" si="18"/>
        <v>0</v>
      </c>
      <c r="AF72" s="176">
        <f>IF(AND(AE72=MAX($AE$14:$AE$109),(SUM($AF$14:AF71)=0)),AE72,0)</f>
        <v>0</v>
      </c>
      <c r="AG72" s="176">
        <f t="shared" si="19"/>
        <v>0</v>
      </c>
      <c r="AH72" s="155">
        <f t="shared" si="0"/>
        <v>627.26</v>
      </c>
      <c r="AI72" s="176">
        <f t="shared" si="45"/>
        <v>-9993</v>
      </c>
      <c r="AJ72" s="176">
        <f t="shared" si="50"/>
        <v>0</v>
      </c>
      <c r="AK72" s="176">
        <f>IF(AND(AJ72=MAX($AJ$14:$AJ$109),(SUM($AK$14:AK71)=0)),AJ72,0)</f>
        <v>0</v>
      </c>
      <c r="AL72" s="176">
        <f t="shared" si="26"/>
        <v>0</v>
      </c>
      <c r="AM72" s="176">
        <f t="shared" si="51"/>
        <v>1955</v>
      </c>
      <c r="AN72" s="176">
        <f t="shared" si="52"/>
        <v>122</v>
      </c>
      <c r="AO72" s="176">
        <f t="shared" si="46"/>
        <v>-9993</v>
      </c>
      <c r="AP72" s="176">
        <f t="shared" si="20"/>
        <v>0</v>
      </c>
      <c r="AQ72" s="176">
        <f>IF(AND(AP72=MAX($AP$14:$AP$109),(SUM($AQ$14:AQ71)=0)),AP72,0)</f>
        <v>0</v>
      </c>
      <c r="AR72" s="176">
        <f t="shared" si="21"/>
        <v>0</v>
      </c>
      <c r="AS72" s="176">
        <f t="shared" si="40"/>
        <v>1955</v>
      </c>
      <c r="AT72" s="176">
        <f t="shared" si="32"/>
        <v>122</v>
      </c>
      <c r="AU72" s="176">
        <f t="shared" si="47"/>
        <v>-9993</v>
      </c>
      <c r="AV72" s="176">
        <f t="shared" si="22"/>
        <v>0</v>
      </c>
      <c r="AW72" s="176">
        <f>IF(AND(AV72=MAX($AV$14:$AV$109),(SUM($AW$14:AW71)=0)),AV72,0)</f>
        <v>0</v>
      </c>
      <c r="AX72" s="176">
        <f t="shared" si="23"/>
        <v>0</v>
      </c>
      <c r="AY72" s="176">
        <f t="shared" si="33"/>
        <v>1955</v>
      </c>
      <c r="AZ72" s="176">
        <f t="shared" si="34"/>
        <v>122</v>
      </c>
      <c r="BA72" s="176">
        <f t="shared" si="48"/>
        <v>-9993</v>
      </c>
      <c r="BB72" s="176">
        <f t="shared" si="24"/>
        <v>0</v>
      </c>
      <c r="BC72" s="176">
        <f>IF(AND(BB72=MAX($BB$14:$BB$109),(SUM($BC$14:BC71)=0)),BB72,0)</f>
        <v>0</v>
      </c>
      <c r="BD72" s="176">
        <f t="shared" si="25"/>
        <v>0</v>
      </c>
      <c r="BE72" s="153">
        <v>0.60416666666666696</v>
      </c>
      <c r="BG72" s="105"/>
      <c r="BH72" s="105"/>
      <c r="BI72" s="105"/>
      <c r="BJ72" s="105"/>
      <c r="BK72" s="105"/>
      <c r="BL72" s="105"/>
      <c r="BM72" s="105"/>
      <c r="BN72" s="105"/>
      <c r="BO72" s="105"/>
      <c r="BP72" s="105"/>
    </row>
    <row r="73" spans="1:68" ht="10.050000000000001" customHeight="1" x14ac:dyDescent="0.25">
      <c r="A73" s="153">
        <v>0.61458333333333304</v>
      </c>
      <c r="B73" s="177">
        <f>'Data with RTF'!U63</f>
        <v>1109</v>
      </c>
      <c r="C73" s="177">
        <f>'Data with RTF'!G63</f>
        <v>915</v>
      </c>
      <c r="D73" s="177">
        <f>'Data with RTF'!N63</f>
        <v>0</v>
      </c>
      <c r="E73" s="177">
        <f>'Data with RTF'!AB63</f>
        <v>130</v>
      </c>
      <c r="F73" s="155">
        <f>IF(OR('Input &amp; Findings'!$G$28='Drop Down Lists'!$E$2,'Input &amp; Findings'!$G$28='Drop Down Lists'!$E$4),SUM(B73:C73),SUM(D73:E73))</f>
        <v>2024</v>
      </c>
      <c r="G73" s="155">
        <f t="shared" si="11"/>
        <v>115</v>
      </c>
      <c r="H73" s="155">
        <f t="shared" si="49"/>
        <v>80</v>
      </c>
      <c r="I73" s="155">
        <f>IF(OR('Input &amp; Findings'!$G$39='Drop Down Lists'!$E$3,'Input &amp; Findings'!$G$39='Drop Down Lists'!$E$5),MAX(D73:E73),MAX(B73:C73))</f>
        <v>130</v>
      </c>
      <c r="J73" s="156" t="str">
        <f t="shared" si="38"/>
        <v>Met</v>
      </c>
      <c r="K73" s="156" t="str">
        <f t="shared" si="35"/>
        <v>Met</v>
      </c>
      <c r="L73" s="176">
        <f t="shared" si="41"/>
        <v>15</v>
      </c>
      <c r="M73" s="176">
        <f t="shared" si="12"/>
        <v>0</v>
      </c>
      <c r="N73" s="176">
        <f>IF(AND(M73=MAX($M$14:$M$109),(SUM($N$14:N72)=0)),M73,0)</f>
        <v>0</v>
      </c>
      <c r="O73" s="176">
        <f t="shared" si="13"/>
        <v>0</v>
      </c>
      <c r="P73" s="176">
        <f>IF(AND(N73=0,N74=0,N75=0,N76=0,N72=0,N71=0,N70=0),F73,"")</f>
        <v>2024</v>
      </c>
      <c r="Q73" s="176">
        <f t="shared" si="37"/>
        <v>130</v>
      </c>
      <c r="R73" s="176">
        <f t="shared" si="42"/>
        <v>15</v>
      </c>
      <c r="S73" s="176">
        <f t="shared" si="14"/>
        <v>0</v>
      </c>
      <c r="T73" s="176">
        <f>IF(AND(S73=MAX($S$14:$S$109),(SUM($T$14:T72)=0)),S73,0)</f>
        <v>0</v>
      </c>
      <c r="U73" s="176">
        <f t="shared" si="15"/>
        <v>0</v>
      </c>
      <c r="V73" s="176">
        <f t="shared" si="39"/>
        <v>2024</v>
      </c>
      <c r="W73" s="176">
        <f t="shared" si="27"/>
        <v>130</v>
      </c>
      <c r="X73" s="176">
        <f t="shared" si="43"/>
        <v>15</v>
      </c>
      <c r="Y73" s="176">
        <f t="shared" si="16"/>
        <v>0</v>
      </c>
      <c r="Z73" s="176">
        <f>IF(AND(Y73=MAX($Y$14:$Y$109),(SUM($Z$14:Z72)=0)),Y73,0)</f>
        <v>0</v>
      </c>
      <c r="AA73" s="176">
        <f t="shared" si="17"/>
        <v>0</v>
      </c>
      <c r="AB73" s="176">
        <f t="shared" si="28"/>
        <v>2024</v>
      </c>
      <c r="AC73" s="176">
        <f t="shared" si="29"/>
        <v>130</v>
      </c>
      <c r="AD73" s="176">
        <f t="shared" si="44"/>
        <v>15</v>
      </c>
      <c r="AE73" s="176">
        <f t="shared" si="18"/>
        <v>0</v>
      </c>
      <c r="AF73" s="176">
        <f>IF(AND(AE73=MAX($AE$14:$AE$109),(SUM($AF$14:AF72)=0)),AE73,0)</f>
        <v>0</v>
      </c>
      <c r="AG73" s="176">
        <f t="shared" si="19"/>
        <v>0</v>
      </c>
      <c r="AH73" s="155">
        <f t="shared" si="0"/>
        <v>627.26</v>
      </c>
      <c r="AI73" s="176">
        <f t="shared" si="45"/>
        <v>15</v>
      </c>
      <c r="AJ73" s="176">
        <f t="shared" si="50"/>
        <v>0</v>
      </c>
      <c r="AK73" s="176">
        <f>IF(AND(AJ73=MAX($AJ$14:$AJ$109),(SUM($AK$14:AK72)=0)),AJ73,0)</f>
        <v>0</v>
      </c>
      <c r="AL73" s="176">
        <f t="shared" si="26"/>
        <v>0</v>
      </c>
      <c r="AM73" s="176">
        <f t="shared" si="51"/>
        <v>2024</v>
      </c>
      <c r="AN73" s="176">
        <f t="shared" si="52"/>
        <v>130</v>
      </c>
      <c r="AO73" s="176">
        <f t="shared" si="46"/>
        <v>15</v>
      </c>
      <c r="AP73" s="176">
        <f t="shared" si="20"/>
        <v>0</v>
      </c>
      <c r="AQ73" s="176">
        <f>IF(AND(AP73=MAX($AP$14:$AP$109),(SUM($AQ$14:AQ72)=0)),AP73,0)</f>
        <v>0</v>
      </c>
      <c r="AR73" s="176">
        <f t="shared" si="21"/>
        <v>0</v>
      </c>
      <c r="AS73" s="176">
        <f t="shared" si="40"/>
        <v>2024</v>
      </c>
      <c r="AT73" s="176">
        <f t="shared" si="32"/>
        <v>130</v>
      </c>
      <c r="AU73" s="176">
        <f t="shared" si="47"/>
        <v>15</v>
      </c>
      <c r="AV73" s="176">
        <f t="shared" si="22"/>
        <v>0</v>
      </c>
      <c r="AW73" s="176">
        <f>IF(AND(AV73=MAX($AV$14:$AV$109),(SUM($AW$14:AW72)=0)),AV73,0)</f>
        <v>0</v>
      </c>
      <c r="AX73" s="176">
        <f t="shared" si="23"/>
        <v>0</v>
      </c>
      <c r="AY73" s="176">
        <f t="shared" si="33"/>
        <v>2024</v>
      </c>
      <c r="AZ73" s="176">
        <f t="shared" si="34"/>
        <v>130</v>
      </c>
      <c r="BA73" s="176">
        <f t="shared" si="48"/>
        <v>15</v>
      </c>
      <c r="BB73" s="176">
        <f t="shared" si="24"/>
        <v>0</v>
      </c>
      <c r="BC73" s="176">
        <f>IF(AND(BB73=MAX($BB$14:$BB$109),(SUM($BC$14:BC72)=0)),BB73,0)</f>
        <v>0</v>
      </c>
      <c r="BD73" s="176">
        <f t="shared" si="25"/>
        <v>0</v>
      </c>
      <c r="BE73" s="153">
        <v>0.61458333333333304</v>
      </c>
      <c r="BG73" s="105"/>
      <c r="BH73" s="105"/>
      <c r="BI73" s="105"/>
      <c r="BJ73" s="105"/>
      <c r="BK73" s="105"/>
      <c r="BL73" s="105"/>
      <c r="BM73" s="105"/>
      <c r="BN73" s="105"/>
      <c r="BO73" s="105"/>
      <c r="BP73" s="105"/>
    </row>
    <row r="74" spans="1:68" ht="10.050000000000001" customHeight="1" x14ac:dyDescent="0.25">
      <c r="A74" s="153">
        <v>0.625</v>
      </c>
      <c r="B74" s="177">
        <f>'Data with RTF'!U64</f>
        <v>1136</v>
      </c>
      <c r="C74" s="177">
        <f>'Data with RTF'!G64</f>
        <v>899</v>
      </c>
      <c r="D74" s="177">
        <f>'Data with RTF'!N64</f>
        <v>0</v>
      </c>
      <c r="E74" s="177">
        <f>'Data with RTF'!AB64</f>
        <v>141</v>
      </c>
      <c r="F74" s="155">
        <f>IF(OR('Input &amp; Findings'!$G$28='Drop Down Lists'!$E$2,'Input &amp; Findings'!$G$28='Drop Down Lists'!$E$4),SUM(B74:C74),SUM(D74:E74))</f>
        <v>2035</v>
      </c>
      <c r="G74" s="155">
        <f t="shared" si="11"/>
        <v>115</v>
      </c>
      <c r="H74" s="155">
        <f t="shared" si="49"/>
        <v>80</v>
      </c>
      <c r="I74" s="155">
        <f>IF(OR('Input &amp; Findings'!$G$39='Drop Down Lists'!$E$3,'Input &amp; Findings'!$G$39='Drop Down Lists'!$E$5),MAX(D74:E74),MAX(B74:C74))</f>
        <v>141</v>
      </c>
      <c r="J74" s="156" t="str">
        <f t="shared" si="38"/>
        <v/>
      </c>
      <c r="K74" s="156" t="str">
        <f t="shared" si="35"/>
        <v/>
      </c>
      <c r="L74" s="176">
        <f t="shared" si="41"/>
        <v>-9974</v>
      </c>
      <c r="M74" s="176">
        <f t="shared" si="12"/>
        <v>0</v>
      </c>
      <c r="N74" s="176">
        <f>IF(AND(M74=MAX($M$14:$M$109),(SUM($N$14:N73)=0)),M74,0)</f>
        <v>0</v>
      </c>
      <c r="O74" s="176">
        <f t="shared" si="13"/>
        <v>0</v>
      </c>
      <c r="P74" s="176" t="str">
        <f t="shared" si="36"/>
        <v/>
      </c>
      <c r="Q74" s="176" t="str">
        <f t="shared" si="37"/>
        <v/>
      </c>
      <c r="R74" s="176">
        <f t="shared" si="42"/>
        <v>-19974</v>
      </c>
      <c r="S74" s="176">
        <f t="shared" si="14"/>
        <v>0</v>
      </c>
      <c r="T74" s="176">
        <f>IF(AND(S74=MAX($S$14:$S$109),(SUM($T$14:T73)=0)),S74,0)</f>
        <v>0</v>
      </c>
      <c r="U74" s="176">
        <f t="shared" si="15"/>
        <v>0</v>
      </c>
      <c r="V74" s="176" t="str">
        <f t="shared" si="39"/>
        <v/>
      </c>
      <c r="W74" s="176" t="str">
        <f t="shared" si="27"/>
        <v/>
      </c>
      <c r="X74" s="176">
        <f t="shared" si="43"/>
        <v>-29974</v>
      </c>
      <c r="Y74" s="176">
        <f t="shared" si="16"/>
        <v>0</v>
      </c>
      <c r="Z74" s="176">
        <f>IF(AND(Y74=MAX($Y$14:$Y$109),(SUM($Z$14:Z73)=0)),Y74,0)</f>
        <v>0</v>
      </c>
      <c r="AA74" s="176">
        <f t="shared" si="17"/>
        <v>0</v>
      </c>
      <c r="AB74" s="176" t="str">
        <f t="shared" si="28"/>
        <v/>
      </c>
      <c r="AC74" s="176" t="str">
        <f t="shared" si="29"/>
        <v/>
      </c>
      <c r="AD74" s="176">
        <f t="shared" si="44"/>
        <v>-39974</v>
      </c>
      <c r="AE74" s="176">
        <f t="shared" si="18"/>
        <v>0</v>
      </c>
      <c r="AF74" s="176">
        <f>IF(AND(AE74=MAX($AE$14:$AE$109),(SUM($AF$14:AF73)=0)),AE74,0)</f>
        <v>0</v>
      </c>
      <c r="AG74" s="176">
        <f t="shared" si="19"/>
        <v>0</v>
      </c>
      <c r="AH74" s="155">
        <f t="shared" si="0"/>
        <v>627.26</v>
      </c>
      <c r="AI74" s="176">
        <f t="shared" si="45"/>
        <v>-9974</v>
      </c>
      <c r="AJ74" s="176">
        <f t="shared" si="50"/>
        <v>0</v>
      </c>
      <c r="AK74" s="176">
        <f>IF(AND(AJ74=MAX($AJ$14:$AJ$109),(SUM($AK$14:AK73)=0)),AJ74,0)</f>
        <v>0</v>
      </c>
      <c r="AL74" s="176">
        <f t="shared" si="26"/>
        <v>0</v>
      </c>
      <c r="AM74" s="176" t="str">
        <f t="shared" si="51"/>
        <v/>
      </c>
      <c r="AN74" s="176" t="str">
        <f t="shared" si="52"/>
        <v/>
      </c>
      <c r="AO74" s="176">
        <f t="shared" si="46"/>
        <v>-19974</v>
      </c>
      <c r="AP74" s="176">
        <f t="shared" si="20"/>
        <v>0</v>
      </c>
      <c r="AQ74" s="176">
        <f>IF(AND(AP74=MAX($AP$14:$AP$109),(SUM($AQ$14:AQ73)=0)),AP74,0)</f>
        <v>0</v>
      </c>
      <c r="AR74" s="176">
        <f t="shared" si="21"/>
        <v>0</v>
      </c>
      <c r="AS74" s="176" t="str">
        <f t="shared" si="40"/>
        <v/>
      </c>
      <c r="AT74" s="176" t="str">
        <f t="shared" si="32"/>
        <v/>
      </c>
      <c r="AU74" s="176">
        <f t="shared" si="47"/>
        <v>-29974</v>
      </c>
      <c r="AV74" s="176">
        <f t="shared" si="22"/>
        <v>0</v>
      </c>
      <c r="AW74" s="176">
        <f>IF(AND(AV74=MAX($AV$14:$AV$109),(SUM($AW$14:AW73)=0)),AV74,0)</f>
        <v>0</v>
      </c>
      <c r="AX74" s="176">
        <f t="shared" si="23"/>
        <v>0</v>
      </c>
      <c r="AY74" s="176" t="str">
        <f t="shared" si="33"/>
        <v/>
      </c>
      <c r="AZ74" s="176" t="str">
        <f t="shared" si="34"/>
        <v/>
      </c>
      <c r="BA74" s="176">
        <f t="shared" si="48"/>
        <v>-39974</v>
      </c>
      <c r="BB74" s="176">
        <f t="shared" si="24"/>
        <v>0</v>
      </c>
      <c r="BC74" s="176">
        <f>IF(AND(BB74=MAX($BB$14:$BB$109),(SUM($BC$14:BC73)=0)),BB74,0)</f>
        <v>0</v>
      </c>
      <c r="BD74" s="176">
        <f t="shared" si="25"/>
        <v>0</v>
      </c>
      <c r="BE74" s="153">
        <v>0.625</v>
      </c>
      <c r="BG74" s="105"/>
      <c r="BH74" s="105"/>
      <c r="BI74" s="105"/>
      <c r="BJ74" s="105"/>
      <c r="BK74" s="105"/>
      <c r="BL74" s="105"/>
      <c r="BM74" s="105"/>
      <c r="BN74" s="105"/>
      <c r="BO74" s="105"/>
      <c r="BP74" s="105"/>
    </row>
    <row r="75" spans="1:68" ht="10.050000000000001" customHeight="1" x14ac:dyDescent="0.25">
      <c r="A75" s="153">
        <v>0.63541666666666696</v>
      </c>
      <c r="B75" s="177">
        <f>'Data with RTF'!U65</f>
        <v>1149</v>
      </c>
      <c r="C75" s="177">
        <f>'Data with RTF'!G65</f>
        <v>899</v>
      </c>
      <c r="D75" s="177">
        <f>'Data with RTF'!N65</f>
        <v>0</v>
      </c>
      <c r="E75" s="177">
        <f>'Data with RTF'!AB65</f>
        <v>154</v>
      </c>
      <c r="F75" s="155">
        <f>IF(OR('Input &amp; Findings'!$G$28='Drop Down Lists'!$E$2,'Input &amp; Findings'!$G$28='Drop Down Lists'!$E$4),SUM(B75:C75),SUM(D75:E75))</f>
        <v>2048</v>
      </c>
      <c r="G75" s="155">
        <f t="shared" si="11"/>
        <v>115</v>
      </c>
      <c r="H75" s="155">
        <f t="shared" si="49"/>
        <v>80</v>
      </c>
      <c r="I75" s="155">
        <f>IF(OR('Input &amp; Findings'!$G$39='Drop Down Lists'!$E$3,'Input &amp; Findings'!$G$39='Drop Down Lists'!$E$5),MAX(D75:E75),MAX(B75:C75))</f>
        <v>154</v>
      </c>
      <c r="J75" s="156" t="str">
        <f t="shared" si="38"/>
        <v/>
      </c>
      <c r="K75" s="156" t="str">
        <f t="shared" si="35"/>
        <v/>
      </c>
      <c r="L75" s="176">
        <f t="shared" si="41"/>
        <v>-9961</v>
      </c>
      <c r="M75" s="176">
        <f t="shared" si="12"/>
        <v>0</v>
      </c>
      <c r="N75" s="176">
        <f>IF(AND(M75=MAX($M$14:$M$109),(SUM($N$14:N74)=0)),M75,0)</f>
        <v>0</v>
      </c>
      <c r="O75" s="176">
        <f t="shared" si="13"/>
        <v>0</v>
      </c>
      <c r="P75" s="176" t="str">
        <f t="shared" si="36"/>
        <v/>
      </c>
      <c r="Q75" s="176" t="str">
        <f t="shared" si="37"/>
        <v/>
      </c>
      <c r="R75" s="176">
        <f t="shared" si="42"/>
        <v>-19961</v>
      </c>
      <c r="S75" s="176">
        <f t="shared" si="14"/>
        <v>0</v>
      </c>
      <c r="T75" s="176">
        <f>IF(AND(S75=MAX($S$14:$S$109),(SUM($T$14:T74)=0)),S75,0)</f>
        <v>0</v>
      </c>
      <c r="U75" s="176">
        <f t="shared" si="15"/>
        <v>0</v>
      </c>
      <c r="V75" s="176" t="str">
        <f t="shared" si="39"/>
        <v/>
      </c>
      <c r="W75" s="176" t="str">
        <f t="shared" si="27"/>
        <v/>
      </c>
      <c r="X75" s="176">
        <f t="shared" si="43"/>
        <v>-29961</v>
      </c>
      <c r="Y75" s="176">
        <f t="shared" si="16"/>
        <v>0</v>
      </c>
      <c r="Z75" s="176">
        <f>IF(AND(Y75=MAX($Y$14:$Y$109),(SUM($Z$14:Z74)=0)),Y75,0)</f>
        <v>0</v>
      </c>
      <c r="AA75" s="176">
        <f t="shared" si="17"/>
        <v>0</v>
      </c>
      <c r="AB75" s="176" t="str">
        <f t="shared" si="28"/>
        <v/>
      </c>
      <c r="AC75" s="176" t="str">
        <f t="shared" si="29"/>
        <v/>
      </c>
      <c r="AD75" s="176">
        <f t="shared" si="44"/>
        <v>-39961</v>
      </c>
      <c r="AE75" s="176">
        <f t="shared" si="18"/>
        <v>0</v>
      </c>
      <c r="AF75" s="176">
        <f>IF(AND(AE75=MAX($AE$14:$AE$109),(SUM($AF$14:AF74)=0)),AE75,0)</f>
        <v>0</v>
      </c>
      <c r="AG75" s="176">
        <f t="shared" si="19"/>
        <v>0</v>
      </c>
      <c r="AH75" s="155">
        <f t="shared" si="0"/>
        <v>627.26</v>
      </c>
      <c r="AI75" s="176">
        <f t="shared" si="45"/>
        <v>-9961</v>
      </c>
      <c r="AJ75" s="176">
        <f t="shared" si="50"/>
        <v>0</v>
      </c>
      <c r="AK75" s="176">
        <f>IF(AND(AJ75=MAX($AJ$14:$AJ$109),(SUM($AK$14:AK74)=0)),AJ75,0)</f>
        <v>0</v>
      </c>
      <c r="AL75" s="176">
        <f t="shared" si="26"/>
        <v>0</v>
      </c>
      <c r="AM75" s="176" t="str">
        <f t="shared" si="51"/>
        <v/>
      </c>
      <c r="AN75" s="176" t="str">
        <f t="shared" si="52"/>
        <v/>
      </c>
      <c r="AO75" s="176">
        <f t="shared" si="46"/>
        <v>-19961</v>
      </c>
      <c r="AP75" s="176">
        <f t="shared" si="20"/>
        <v>0</v>
      </c>
      <c r="AQ75" s="176">
        <f>IF(AND(AP75=MAX($AP$14:$AP$109),(SUM($AQ$14:AQ74)=0)),AP75,0)</f>
        <v>0</v>
      </c>
      <c r="AR75" s="176">
        <f t="shared" si="21"/>
        <v>0</v>
      </c>
      <c r="AS75" s="176" t="str">
        <f t="shared" si="40"/>
        <v/>
      </c>
      <c r="AT75" s="176" t="str">
        <f t="shared" si="32"/>
        <v/>
      </c>
      <c r="AU75" s="176">
        <f t="shared" si="47"/>
        <v>-29961</v>
      </c>
      <c r="AV75" s="176">
        <f t="shared" si="22"/>
        <v>0</v>
      </c>
      <c r="AW75" s="176">
        <f>IF(AND(AV75=MAX($AV$14:$AV$109),(SUM($AW$14:AW74)=0)),AV75,0)</f>
        <v>0</v>
      </c>
      <c r="AX75" s="176">
        <f t="shared" si="23"/>
        <v>0</v>
      </c>
      <c r="AY75" s="176" t="str">
        <f t="shared" si="33"/>
        <v/>
      </c>
      <c r="AZ75" s="176" t="str">
        <f t="shared" si="34"/>
        <v/>
      </c>
      <c r="BA75" s="176">
        <f t="shared" si="48"/>
        <v>-39961</v>
      </c>
      <c r="BB75" s="176">
        <f t="shared" si="24"/>
        <v>0</v>
      </c>
      <c r="BC75" s="176">
        <f>IF(AND(BB75=MAX($BB$14:$BB$109),(SUM($BC$14:BC74)=0)),BB75,0)</f>
        <v>0</v>
      </c>
      <c r="BD75" s="176">
        <f t="shared" si="25"/>
        <v>0</v>
      </c>
      <c r="BE75" s="153">
        <v>0.63541666666666696</v>
      </c>
      <c r="BG75" s="105"/>
      <c r="BH75" s="105"/>
      <c r="BI75" s="105"/>
      <c r="BJ75" s="105"/>
      <c r="BK75" s="105"/>
      <c r="BL75" s="105"/>
      <c r="BM75" s="105"/>
      <c r="BN75" s="105"/>
      <c r="BO75" s="105"/>
      <c r="BP75" s="105"/>
    </row>
    <row r="76" spans="1:68" ht="10.050000000000001" customHeight="1" x14ac:dyDescent="0.25">
      <c r="A76" s="153">
        <v>0.64583333333333304</v>
      </c>
      <c r="B76" s="177">
        <f>'Data with RTF'!U66</f>
        <v>1203</v>
      </c>
      <c r="C76" s="177">
        <f>'Data with RTF'!G66</f>
        <v>957</v>
      </c>
      <c r="D76" s="177">
        <f>'Data with RTF'!N66</f>
        <v>0</v>
      </c>
      <c r="E76" s="177">
        <f>'Data with RTF'!AB66</f>
        <v>163</v>
      </c>
      <c r="F76" s="155">
        <f>IF(OR('Input &amp; Findings'!$G$28='Drop Down Lists'!$E$2,'Input &amp; Findings'!$G$28='Drop Down Lists'!$E$4),SUM(B76:C76),SUM(D76:E76))</f>
        <v>2160</v>
      </c>
      <c r="G76" s="155">
        <f t="shared" si="11"/>
        <v>115</v>
      </c>
      <c r="H76" s="155">
        <f t="shared" si="49"/>
        <v>80</v>
      </c>
      <c r="I76" s="155">
        <f>IF(OR('Input &amp; Findings'!$G$39='Drop Down Lists'!$E$3,'Input &amp; Findings'!$G$39='Drop Down Lists'!$E$5),MAX(D76:E76),MAX(B76:C76))</f>
        <v>163</v>
      </c>
      <c r="J76" s="156" t="str">
        <f t="shared" si="38"/>
        <v/>
      </c>
      <c r="K76" s="156" t="str">
        <f t="shared" si="35"/>
        <v/>
      </c>
      <c r="L76" s="176">
        <f t="shared" si="41"/>
        <v>-9952</v>
      </c>
      <c r="M76" s="176">
        <f t="shared" si="12"/>
        <v>0</v>
      </c>
      <c r="N76" s="176">
        <f>IF(AND(M76=MAX($M$14:$M$109),(SUM($N$14:N75)=0)),M76,0)</f>
        <v>0</v>
      </c>
      <c r="O76" s="176">
        <f t="shared" si="13"/>
        <v>0</v>
      </c>
      <c r="P76" s="176" t="str">
        <f t="shared" si="36"/>
        <v/>
      </c>
      <c r="Q76" s="176" t="str">
        <f t="shared" si="37"/>
        <v/>
      </c>
      <c r="R76" s="176">
        <f t="shared" si="42"/>
        <v>-19952</v>
      </c>
      <c r="S76" s="176">
        <f t="shared" si="14"/>
        <v>0</v>
      </c>
      <c r="T76" s="176">
        <f>IF(AND(S76=MAX($S$14:$S$109),(SUM($T$14:T75)=0)),S76,0)</f>
        <v>0</v>
      </c>
      <c r="U76" s="176">
        <f t="shared" si="15"/>
        <v>0</v>
      </c>
      <c r="V76" s="176" t="str">
        <f t="shared" si="39"/>
        <v/>
      </c>
      <c r="W76" s="176" t="str">
        <f t="shared" si="27"/>
        <v/>
      </c>
      <c r="X76" s="176">
        <f t="shared" si="43"/>
        <v>-29952</v>
      </c>
      <c r="Y76" s="176">
        <f t="shared" si="16"/>
        <v>0</v>
      </c>
      <c r="Z76" s="176">
        <f>IF(AND(Y76=MAX($Y$14:$Y$109),(SUM($Z$14:Z75)=0)),Y76,0)</f>
        <v>0</v>
      </c>
      <c r="AA76" s="176">
        <f t="shared" si="17"/>
        <v>0</v>
      </c>
      <c r="AB76" s="176" t="str">
        <f t="shared" si="28"/>
        <v/>
      </c>
      <c r="AC76" s="176" t="str">
        <f t="shared" si="29"/>
        <v/>
      </c>
      <c r="AD76" s="176">
        <f t="shared" si="44"/>
        <v>-39952</v>
      </c>
      <c r="AE76" s="176">
        <f t="shared" si="18"/>
        <v>0</v>
      </c>
      <c r="AF76" s="176">
        <f>IF(AND(AE76=MAX($AE$14:$AE$109),(SUM($AF$14:AF75)=0)),AE76,0)</f>
        <v>0</v>
      </c>
      <c r="AG76" s="176">
        <f t="shared" si="19"/>
        <v>0</v>
      </c>
      <c r="AH76" s="155">
        <f t="shared" si="0"/>
        <v>627.26</v>
      </c>
      <c r="AI76" s="176">
        <f t="shared" si="45"/>
        <v>-9952</v>
      </c>
      <c r="AJ76" s="176">
        <f t="shared" si="50"/>
        <v>0</v>
      </c>
      <c r="AK76" s="176">
        <f>IF(AND(AJ76=MAX($AJ$14:$AJ$109),(SUM($AK$14:AK75)=0)),AJ76,0)</f>
        <v>0</v>
      </c>
      <c r="AL76" s="176">
        <f t="shared" si="26"/>
        <v>0</v>
      </c>
      <c r="AM76" s="176" t="str">
        <f t="shared" si="51"/>
        <v/>
      </c>
      <c r="AN76" s="176" t="str">
        <f t="shared" si="52"/>
        <v/>
      </c>
      <c r="AO76" s="176">
        <f t="shared" si="46"/>
        <v>-19952</v>
      </c>
      <c r="AP76" s="176">
        <f t="shared" si="20"/>
        <v>0</v>
      </c>
      <c r="AQ76" s="176">
        <f>IF(AND(AP76=MAX($AP$14:$AP$109),(SUM($AQ$14:AQ75)=0)),AP76,0)</f>
        <v>0</v>
      </c>
      <c r="AR76" s="176">
        <f t="shared" si="21"/>
        <v>0</v>
      </c>
      <c r="AS76" s="176" t="str">
        <f t="shared" si="40"/>
        <v/>
      </c>
      <c r="AT76" s="176" t="str">
        <f t="shared" si="32"/>
        <v/>
      </c>
      <c r="AU76" s="176">
        <f t="shared" si="47"/>
        <v>-29952</v>
      </c>
      <c r="AV76" s="176">
        <f t="shared" si="22"/>
        <v>0</v>
      </c>
      <c r="AW76" s="176">
        <f>IF(AND(AV76=MAX($AV$14:$AV$109),(SUM($AW$14:AW75)=0)),AV76,0)</f>
        <v>0</v>
      </c>
      <c r="AX76" s="176">
        <f t="shared" si="23"/>
        <v>0</v>
      </c>
      <c r="AY76" s="176" t="str">
        <f t="shared" si="33"/>
        <v/>
      </c>
      <c r="AZ76" s="176" t="str">
        <f t="shared" si="34"/>
        <v/>
      </c>
      <c r="BA76" s="176">
        <f t="shared" si="48"/>
        <v>-39952</v>
      </c>
      <c r="BB76" s="176">
        <f t="shared" si="24"/>
        <v>0</v>
      </c>
      <c r="BC76" s="176">
        <f>IF(AND(BB76=MAX($BB$14:$BB$109),(SUM($BC$14:BC75)=0)),BB76,0)</f>
        <v>0</v>
      </c>
      <c r="BD76" s="176">
        <f t="shared" si="25"/>
        <v>0</v>
      </c>
      <c r="BE76" s="153">
        <v>0.64583333333333304</v>
      </c>
      <c r="BG76" s="105"/>
      <c r="BH76" s="105"/>
      <c r="BI76" s="105"/>
      <c r="BJ76" s="105"/>
      <c r="BK76" s="105"/>
      <c r="BL76" s="105"/>
      <c r="BM76" s="105"/>
      <c r="BN76" s="105"/>
      <c r="BO76" s="105"/>
      <c r="BP76" s="105"/>
    </row>
    <row r="77" spans="1:68" ht="10.050000000000001" customHeight="1" x14ac:dyDescent="0.25">
      <c r="A77" s="153">
        <v>0.65625</v>
      </c>
      <c r="B77" s="177">
        <f>'Data with RTF'!U67</f>
        <v>1252</v>
      </c>
      <c r="C77" s="177">
        <f>'Data with RTF'!G67</f>
        <v>1008</v>
      </c>
      <c r="D77" s="177">
        <f>'Data with RTF'!N67</f>
        <v>0</v>
      </c>
      <c r="E77" s="177">
        <f>'Data with RTF'!AB67</f>
        <v>176</v>
      </c>
      <c r="F77" s="155">
        <f>IF(OR('Input &amp; Findings'!$G$28='Drop Down Lists'!$E$2,'Input &amp; Findings'!$G$28='Drop Down Lists'!$E$4),SUM(B77:C77),SUM(D77:E77))</f>
        <v>2260</v>
      </c>
      <c r="G77" s="155">
        <f t="shared" si="11"/>
        <v>115</v>
      </c>
      <c r="H77" s="155">
        <f t="shared" si="49"/>
        <v>80</v>
      </c>
      <c r="I77" s="155">
        <f>IF(OR('Input &amp; Findings'!$G$39='Drop Down Lists'!$E$3,'Input &amp; Findings'!$G$39='Drop Down Lists'!$E$5),MAX(D77:E77),MAX(B77:C77))</f>
        <v>176</v>
      </c>
      <c r="J77" s="156" t="str">
        <f t="shared" si="38"/>
        <v>Met</v>
      </c>
      <c r="K77" s="156" t="str">
        <f>IF(AND(H77&lt;I77,K76="",K75="",K74=""),"Met","")</f>
        <v>Met</v>
      </c>
      <c r="L77" s="176">
        <f t="shared" si="41"/>
        <v>61</v>
      </c>
      <c r="M77" s="176">
        <f t="shared" si="12"/>
        <v>2260</v>
      </c>
      <c r="N77" s="176">
        <f>IF(AND(M77=MAX($M$14:$M$109),(SUM($N$14:N76)=0)),M77,0)</f>
        <v>2260</v>
      </c>
      <c r="O77" s="176">
        <f t="shared" si="13"/>
        <v>176</v>
      </c>
      <c r="P77" s="176" t="str">
        <f t="shared" si="36"/>
        <v/>
      </c>
      <c r="Q77" s="176" t="str">
        <f t="shared" si="37"/>
        <v/>
      </c>
      <c r="R77" s="176">
        <f t="shared" si="42"/>
        <v>-9939</v>
      </c>
      <c r="S77" s="176">
        <f t="shared" si="14"/>
        <v>0</v>
      </c>
      <c r="T77" s="176">
        <f>IF(AND(S77=MAX($S$14:$S$109),(SUM($T$14:T76)=0)),S77,0)</f>
        <v>0</v>
      </c>
      <c r="U77" s="176">
        <f t="shared" si="15"/>
        <v>0</v>
      </c>
      <c r="V77" s="176" t="str">
        <f t="shared" si="39"/>
        <v/>
      </c>
      <c r="W77" s="176" t="str">
        <f t="shared" si="27"/>
        <v/>
      </c>
      <c r="X77" s="176">
        <f t="shared" si="43"/>
        <v>-19939</v>
      </c>
      <c r="Y77" s="176">
        <f t="shared" si="16"/>
        <v>0</v>
      </c>
      <c r="Z77" s="176">
        <f>IF(AND(Y77=MAX($Y$14:$Y$109),(SUM($Z$14:Z76)=0)),Y77,0)</f>
        <v>0</v>
      </c>
      <c r="AA77" s="176">
        <f t="shared" si="17"/>
        <v>0</v>
      </c>
      <c r="AB77" s="176" t="str">
        <f t="shared" si="28"/>
        <v/>
      </c>
      <c r="AC77" s="176" t="str">
        <f t="shared" si="29"/>
        <v/>
      </c>
      <c r="AD77" s="176">
        <f t="shared" si="44"/>
        <v>-29939</v>
      </c>
      <c r="AE77" s="176">
        <f t="shared" si="18"/>
        <v>0</v>
      </c>
      <c r="AF77" s="176">
        <f>IF(AND(AE77=MAX($AE$14:$AE$109),(SUM($AF$14:AF76)=0)),AE77,0)</f>
        <v>0</v>
      </c>
      <c r="AG77" s="176">
        <f t="shared" si="19"/>
        <v>0</v>
      </c>
      <c r="AH77" s="155">
        <f t="shared" ref="AH77:AH108" si="55">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627.26</v>
      </c>
      <c r="AI77" s="176">
        <f t="shared" si="45"/>
        <v>61</v>
      </c>
      <c r="AJ77" s="176">
        <f t="shared" si="50"/>
        <v>2260</v>
      </c>
      <c r="AK77" s="176">
        <f>IF(AND(AJ77=MAX($AJ$14:$AJ$109),(SUM($AK$14:AK76)=0)),AJ77,0)</f>
        <v>2260</v>
      </c>
      <c r="AL77" s="176">
        <f t="shared" si="26"/>
        <v>176</v>
      </c>
      <c r="AM77" s="176" t="str">
        <f t="shared" si="51"/>
        <v/>
      </c>
      <c r="AN77" s="176" t="str">
        <f t="shared" si="52"/>
        <v/>
      </c>
      <c r="AO77" s="176">
        <f t="shared" si="46"/>
        <v>-9939</v>
      </c>
      <c r="AP77" s="176">
        <f t="shared" si="20"/>
        <v>0</v>
      </c>
      <c r="AQ77" s="176">
        <f>IF(AND(AP77=MAX($AP$14:$AP$109),(SUM($AQ$14:AQ76)=0)),AP77,0)</f>
        <v>0</v>
      </c>
      <c r="AR77" s="176">
        <f t="shared" si="21"/>
        <v>0</v>
      </c>
      <c r="AS77" s="176" t="str">
        <f t="shared" si="40"/>
        <v/>
      </c>
      <c r="AT77" s="176" t="str">
        <f t="shared" si="32"/>
        <v/>
      </c>
      <c r="AU77" s="176">
        <f t="shared" si="47"/>
        <v>-19939</v>
      </c>
      <c r="AV77" s="176">
        <f t="shared" si="22"/>
        <v>0</v>
      </c>
      <c r="AW77" s="176">
        <f>IF(AND(AV77=MAX($AV$14:$AV$109),(SUM($AW$14:AW76)=0)),AV77,0)</f>
        <v>0</v>
      </c>
      <c r="AX77" s="176">
        <f t="shared" si="23"/>
        <v>0</v>
      </c>
      <c r="AY77" s="176" t="str">
        <f t="shared" si="33"/>
        <v/>
      </c>
      <c r="AZ77" s="176" t="str">
        <f t="shared" si="34"/>
        <v/>
      </c>
      <c r="BA77" s="176">
        <f t="shared" si="48"/>
        <v>-29939</v>
      </c>
      <c r="BB77" s="176">
        <f t="shared" si="24"/>
        <v>0</v>
      </c>
      <c r="BC77" s="176">
        <f>IF(AND(BB77=MAX($BB$14:$BB$109),(SUM($BC$14:BC76)=0)),BB77,0)</f>
        <v>0</v>
      </c>
      <c r="BD77" s="176">
        <f t="shared" si="25"/>
        <v>0</v>
      </c>
      <c r="BE77" s="153">
        <v>0.65625</v>
      </c>
      <c r="BG77" s="105"/>
      <c r="BH77" s="105"/>
      <c r="BI77" s="105"/>
      <c r="BJ77" s="105"/>
      <c r="BK77" s="105"/>
      <c r="BL77" s="105"/>
      <c r="BM77" s="105"/>
      <c r="BN77" s="105"/>
      <c r="BO77" s="105"/>
      <c r="BP77" s="105"/>
    </row>
    <row r="78" spans="1:68" ht="10.050000000000001" customHeight="1" x14ac:dyDescent="0.25">
      <c r="A78" s="153">
        <v>0.66666666666666696</v>
      </c>
      <c r="B78" s="177">
        <f>'Data with RTF'!U68</f>
        <v>1280</v>
      </c>
      <c r="C78" s="177">
        <f>'Data with RTF'!G68</f>
        <v>1031</v>
      </c>
      <c r="D78" s="177">
        <f>'Data with RTF'!N68</f>
        <v>0</v>
      </c>
      <c r="E78" s="177">
        <f>'Data with RTF'!AB68</f>
        <v>179</v>
      </c>
      <c r="F78" s="155">
        <f>IF(OR('Input &amp; Findings'!$G$28='Drop Down Lists'!$E$2,'Input &amp; Findings'!$G$28='Drop Down Lists'!$E$4),SUM(B78:C78),SUM(D78:E78))</f>
        <v>2311</v>
      </c>
      <c r="G78" s="155">
        <f t="shared" si="11"/>
        <v>115</v>
      </c>
      <c r="H78" s="155">
        <f t="shared" si="49"/>
        <v>80</v>
      </c>
      <c r="I78" s="155">
        <f>IF(OR('Input &amp; Findings'!$G$39='Drop Down Lists'!$E$3,'Input &amp; Findings'!$G$39='Drop Down Lists'!$E$5),MAX(D78:E78),MAX(B78:C78))</f>
        <v>179</v>
      </c>
      <c r="J78" s="156" t="str">
        <f t="shared" si="38"/>
        <v/>
      </c>
      <c r="K78" s="156" t="str">
        <f t="shared" si="35"/>
        <v/>
      </c>
      <c r="L78" s="176">
        <f t="shared" si="41"/>
        <v>-9936</v>
      </c>
      <c r="M78" s="176">
        <f t="shared" si="12"/>
        <v>0</v>
      </c>
      <c r="N78" s="176">
        <f>IF(AND(M78=MAX($M$14:$M$109),(SUM($N$14:N77)=0)),M78,0)</f>
        <v>0</v>
      </c>
      <c r="O78" s="176">
        <f t="shared" si="13"/>
        <v>0</v>
      </c>
      <c r="P78" s="176" t="str">
        <f t="shared" si="36"/>
        <v/>
      </c>
      <c r="Q78" s="176" t="str">
        <f t="shared" si="37"/>
        <v/>
      </c>
      <c r="R78" s="176">
        <f t="shared" si="42"/>
        <v>-19936</v>
      </c>
      <c r="S78" s="176">
        <f t="shared" si="14"/>
        <v>0</v>
      </c>
      <c r="T78" s="176">
        <f>IF(AND(S78=MAX($S$14:$S$109),(SUM($T$14:T77)=0)),S78,0)</f>
        <v>0</v>
      </c>
      <c r="U78" s="176">
        <f t="shared" si="15"/>
        <v>0</v>
      </c>
      <c r="V78" s="176" t="str">
        <f t="shared" si="39"/>
        <v/>
      </c>
      <c r="W78" s="176" t="str">
        <f t="shared" si="27"/>
        <v/>
      </c>
      <c r="X78" s="176">
        <f t="shared" si="43"/>
        <v>-29936</v>
      </c>
      <c r="Y78" s="176">
        <f t="shared" si="16"/>
        <v>0</v>
      </c>
      <c r="Z78" s="176">
        <f>IF(AND(Y78=MAX($Y$14:$Y$109),(SUM($Z$14:Z77)=0)),Y78,0)</f>
        <v>0</v>
      </c>
      <c r="AA78" s="176">
        <f t="shared" si="17"/>
        <v>0</v>
      </c>
      <c r="AB78" s="176" t="str">
        <f t="shared" si="28"/>
        <v/>
      </c>
      <c r="AC78" s="176" t="str">
        <f t="shared" si="29"/>
        <v/>
      </c>
      <c r="AD78" s="176">
        <f t="shared" si="44"/>
        <v>-39936</v>
      </c>
      <c r="AE78" s="176">
        <f t="shared" si="18"/>
        <v>0</v>
      </c>
      <c r="AF78" s="176">
        <f>IF(AND(AE78=MAX($AE$14:$AE$109),(SUM($AF$14:AF77)=0)),AE78,0)</f>
        <v>0</v>
      </c>
      <c r="AG78" s="176">
        <f t="shared" si="19"/>
        <v>0</v>
      </c>
      <c r="AH78" s="155">
        <f t="shared" si="55"/>
        <v>627.26</v>
      </c>
      <c r="AI78" s="176">
        <f t="shared" si="45"/>
        <v>-9936</v>
      </c>
      <c r="AJ78" s="176">
        <f t="shared" ref="AJ78:AJ109" si="56">IF(AI78=MAX($AI$14:$AI$109),F78,0)</f>
        <v>0</v>
      </c>
      <c r="AK78" s="176">
        <f>IF(AND(AJ78=MAX($AJ$14:$AJ$109),(SUM($AK$14:AK77)=0)),AJ78,0)</f>
        <v>0</v>
      </c>
      <c r="AL78" s="176">
        <f t="shared" si="26"/>
        <v>0</v>
      </c>
      <c r="AM78" s="176" t="str">
        <f t="shared" si="51"/>
        <v/>
      </c>
      <c r="AN78" s="176" t="str">
        <f t="shared" si="52"/>
        <v/>
      </c>
      <c r="AO78" s="176">
        <f t="shared" si="46"/>
        <v>-19936</v>
      </c>
      <c r="AP78" s="176">
        <f t="shared" si="20"/>
        <v>0</v>
      </c>
      <c r="AQ78" s="176">
        <f>IF(AND(AP78=MAX($AP$14:$AP$109),(SUM($AQ$14:AQ77)=0)),AP78,0)</f>
        <v>0</v>
      </c>
      <c r="AR78" s="176">
        <f t="shared" si="21"/>
        <v>0</v>
      </c>
      <c r="AS78" s="176" t="str">
        <f t="shared" si="40"/>
        <v/>
      </c>
      <c r="AT78" s="176" t="str">
        <f t="shared" si="32"/>
        <v/>
      </c>
      <c r="AU78" s="176">
        <f t="shared" si="47"/>
        <v>-29936</v>
      </c>
      <c r="AV78" s="176">
        <f t="shared" si="22"/>
        <v>0</v>
      </c>
      <c r="AW78" s="176">
        <f>IF(AND(AV78=MAX($AV$14:$AV$109),(SUM($AW$14:AW77)=0)),AV78,0)</f>
        <v>0</v>
      </c>
      <c r="AX78" s="176">
        <f t="shared" si="23"/>
        <v>0</v>
      </c>
      <c r="AY78" s="176" t="str">
        <f t="shared" si="33"/>
        <v/>
      </c>
      <c r="AZ78" s="176" t="str">
        <f t="shared" si="34"/>
        <v/>
      </c>
      <c r="BA78" s="176">
        <f t="shared" si="48"/>
        <v>-39936</v>
      </c>
      <c r="BB78" s="176">
        <f t="shared" si="24"/>
        <v>0</v>
      </c>
      <c r="BC78" s="176">
        <f>IF(AND(BB78=MAX($BB$14:$BB$109),(SUM($BC$14:BC77)=0)),BB78,0)</f>
        <v>0</v>
      </c>
      <c r="BD78" s="176">
        <f t="shared" si="25"/>
        <v>0</v>
      </c>
      <c r="BE78" s="153">
        <v>0.66666666666666696</v>
      </c>
      <c r="BG78" s="105"/>
      <c r="BH78" s="105"/>
      <c r="BI78" s="105"/>
      <c r="BJ78" s="105"/>
      <c r="BK78" s="105"/>
      <c r="BL78" s="105"/>
      <c r="BM78" s="105"/>
      <c r="BN78" s="105"/>
      <c r="BO78" s="105"/>
      <c r="BP78" s="105"/>
    </row>
    <row r="79" spans="1:68" ht="10.050000000000001" customHeight="1" x14ac:dyDescent="0.25">
      <c r="A79" s="153">
        <v>0.67708333333333304</v>
      </c>
      <c r="B79" s="177">
        <f>'Data with RTF'!U69</f>
        <v>1322</v>
      </c>
      <c r="C79" s="177">
        <f>'Data with RTF'!G69</f>
        <v>1103</v>
      </c>
      <c r="D79" s="177">
        <f>'Data with RTF'!N69</f>
        <v>0</v>
      </c>
      <c r="E79" s="177">
        <f>'Data with RTF'!AB69</f>
        <v>176</v>
      </c>
      <c r="F79" s="155">
        <f>IF(OR('Input &amp; Findings'!$G$28='Drop Down Lists'!$E$2,'Input &amp; Findings'!$G$28='Drop Down Lists'!$E$4),SUM(B79:C79),SUM(D79:E79))</f>
        <v>2425</v>
      </c>
      <c r="G79" s="155">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115</v>
      </c>
      <c r="H79" s="155">
        <f t="shared" si="49"/>
        <v>80</v>
      </c>
      <c r="I79" s="155">
        <f>IF(OR('Input &amp; Findings'!$G$39='Drop Down Lists'!$E$3,'Input &amp; Findings'!$G$39='Drop Down Lists'!$E$5),MAX(D79:E79),MAX(B79:C79))</f>
        <v>176</v>
      </c>
      <c r="J79" s="156" t="str">
        <f t="shared" si="38"/>
        <v/>
      </c>
      <c r="K79" s="156" t="str">
        <f t="shared" si="35"/>
        <v/>
      </c>
      <c r="L79" s="176">
        <f t="shared" si="41"/>
        <v>-9939</v>
      </c>
      <c r="M79" s="176">
        <f t="shared" ref="M79:M109" si="58">IF(L79=MAX($L$14:$L$109),F79,0)</f>
        <v>0</v>
      </c>
      <c r="N79" s="176">
        <f>IF(AND(M79=MAX($M$14:$M$109),(SUM($N$14:N78)=0)),M79,0)</f>
        <v>0</v>
      </c>
      <c r="O79" s="176">
        <f t="shared" ref="O79:O109" si="59">IF(N79=MAX($N$14:$N$109),I79,0)</f>
        <v>0</v>
      </c>
      <c r="P79" s="176" t="str">
        <f t="shared" si="36"/>
        <v/>
      </c>
      <c r="Q79" s="176" t="str">
        <f t="shared" si="37"/>
        <v/>
      </c>
      <c r="R79" s="176">
        <f t="shared" si="42"/>
        <v>-19939</v>
      </c>
      <c r="S79" s="176">
        <f t="shared" ref="S79:S109" si="60">IF(R79=MAX($R$14:$R$109),F79,0)</f>
        <v>0</v>
      </c>
      <c r="T79" s="176">
        <f>IF(AND(S79=MAX($S$14:$S$109),(SUM($T$14:T78)=0)),S79,0)</f>
        <v>0</v>
      </c>
      <c r="U79" s="176">
        <f t="shared" ref="U79:U109" si="61">IF(T79=MAX($T$14:$T$109),I79,0)</f>
        <v>0</v>
      </c>
      <c r="V79" s="176" t="str">
        <f t="shared" si="39"/>
        <v/>
      </c>
      <c r="W79" s="176" t="str">
        <f t="shared" si="27"/>
        <v/>
      </c>
      <c r="X79" s="176">
        <f t="shared" si="43"/>
        <v>-29939</v>
      </c>
      <c r="Y79" s="176">
        <f t="shared" ref="Y79:Y109" si="62">IF(X79=MAX($X$14:$X$109),V79,0)</f>
        <v>0</v>
      </c>
      <c r="Z79" s="176">
        <f>IF(AND(Y79=MAX($Y$14:$Y$109),(SUM($Z$14:Z78)=0)),Y79,0)</f>
        <v>0</v>
      </c>
      <c r="AA79" s="176">
        <f t="shared" ref="AA79:AA109" si="63">IF(Z79=MAX($Z$14:$Z$109),W79,0)</f>
        <v>0</v>
      </c>
      <c r="AB79" s="176" t="str">
        <f t="shared" si="28"/>
        <v/>
      </c>
      <c r="AC79" s="176" t="str">
        <f t="shared" si="29"/>
        <v/>
      </c>
      <c r="AD79" s="176">
        <f t="shared" si="44"/>
        <v>-39939</v>
      </c>
      <c r="AE79" s="176">
        <f t="shared" ref="AE79:AE109" si="64">IF(AD79=MAX($AD$14:$AD$109),AB79,0)</f>
        <v>0</v>
      </c>
      <c r="AF79" s="176">
        <f>IF(AND(AE79=MAX($AE$14:$AE$109),(SUM($AF$14:AF78)=0)),AE79,0)</f>
        <v>0</v>
      </c>
      <c r="AG79" s="176">
        <f t="shared" ref="AG79:AG109" si="65">IF(AF79=MAX($AF$14:$AF$109),AC79,0)</f>
        <v>0</v>
      </c>
      <c r="AH79" s="155">
        <f t="shared" si="55"/>
        <v>627.26</v>
      </c>
      <c r="AI79" s="176">
        <f t="shared" si="45"/>
        <v>-9939</v>
      </c>
      <c r="AJ79" s="176">
        <f t="shared" si="56"/>
        <v>0</v>
      </c>
      <c r="AK79" s="176">
        <f>IF(AND(AJ79=MAX($AJ$14:$AJ$109),(SUM($AK$14:AK78)=0)),AJ79,0)</f>
        <v>0</v>
      </c>
      <c r="AL79" s="176">
        <f t="shared" ref="AL79:AL109" si="66">IF(AK79=MAX($AK$14:$AK$109),I79,0)</f>
        <v>0</v>
      </c>
      <c r="AM79" s="176" t="str">
        <f t="shared" si="51"/>
        <v/>
      </c>
      <c r="AN79" s="176" t="str">
        <f t="shared" si="52"/>
        <v/>
      </c>
      <c r="AO79" s="176">
        <f t="shared" si="46"/>
        <v>-19939</v>
      </c>
      <c r="AP79" s="176">
        <f t="shared" ref="AP79:AP109" si="67">IF(AO79=MAX($AO$14:$AO$109),AM79,0)</f>
        <v>0</v>
      </c>
      <c r="AQ79" s="176">
        <f>IF(AND(AP79=MAX($AP$14:$AP$109),(SUM($AQ$14:AQ78)=0)),AP79,0)</f>
        <v>0</v>
      </c>
      <c r="AR79" s="176">
        <f t="shared" ref="AR79:AR108" si="68">IF(AQ79=MAX($AQ$14:$AQ$109),AN79,0)</f>
        <v>0</v>
      </c>
      <c r="AS79" s="176" t="str">
        <f t="shared" si="40"/>
        <v/>
      </c>
      <c r="AT79" s="176" t="str">
        <f t="shared" si="32"/>
        <v/>
      </c>
      <c r="AU79" s="176">
        <f t="shared" si="47"/>
        <v>-29939</v>
      </c>
      <c r="AV79" s="176">
        <f t="shared" ref="AV79:AV109" si="69">IF(AU79=MAX($AU$14:$AU$109),AS79,0)</f>
        <v>0</v>
      </c>
      <c r="AW79" s="176">
        <f>IF(AND(AV79=MAX($AV$14:$AV$109),(SUM($AW$14:AW78)=0)),AV79,0)</f>
        <v>0</v>
      </c>
      <c r="AX79" s="176">
        <f t="shared" ref="AX79:AX109" si="70">IF(AW79=MAX($AW$14:$AW$109),AT79,0)</f>
        <v>0</v>
      </c>
      <c r="AY79" s="176" t="str">
        <f t="shared" si="33"/>
        <v/>
      </c>
      <c r="AZ79" s="176" t="str">
        <f t="shared" si="34"/>
        <v/>
      </c>
      <c r="BA79" s="176">
        <f t="shared" si="48"/>
        <v>-39939</v>
      </c>
      <c r="BB79" s="176">
        <f t="shared" ref="BB79:BB109" si="71">IF(BA79=MAX($BA$14:$BA$109),AY79,0)</f>
        <v>0</v>
      </c>
      <c r="BC79" s="176">
        <f>IF(AND(BB79=MAX($BB$14:$BB$109),(SUM($BC$14:BC78)=0)),BB79,0)</f>
        <v>0</v>
      </c>
      <c r="BD79" s="176">
        <f t="shared" ref="BD79:BD109" si="72">IF(BC79=MAX($BC$14:$BC$109),AZ79,0)</f>
        <v>0</v>
      </c>
      <c r="BE79" s="153">
        <v>0.67708333333333304</v>
      </c>
      <c r="BG79" s="105"/>
      <c r="BH79" s="105"/>
      <c r="BI79" s="105"/>
      <c r="BJ79" s="105"/>
      <c r="BK79" s="105"/>
      <c r="BL79" s="105"/>
      <c r="BM79" s="105"/>
      <c r="BN79" s="105"/>
      <c r="BO79" s="105"/>
      <c r="BP79" s="105"/>
    </row>
    <row r="80" spans="1:68" ht="10.050000000000001" customHeight="1" x14ac:dyDescent="0.25">
      <c r="A80" s="153">
        <v>0.6875</v>
      </c>
      <c r="B80" s="177">
        <f>'Data with RTF'!U70</f>
        <v>1307</v>
      </c>
      <c r="C80" s="177">
        <f>'Data with RTF'!G70</f>
        <v>1127</v>
      </c>
      <c r="D80" s="177">
        <f>'Data with RTF'!N70</f>
        <v>0</v>
      </c>
      <c r="E80" s="177">
        <f>'Data with RTF'!AB70</f>
        <v>171</v>
      </c>
      <c r="F80" s="155">
        <f>IF(OR('Input &amp; Findings'!$G$28='Drop Down Lists'!$E$2,'Input &amp; Findings'!$G$28='Drop Down Lists'!$E$4),SUM(B80:C80),SUM(D80:E80))</f>
        <v>2434</v>
      </c>
      <c r="G80" s="155">
        <f t="shared" si="57"/>
        <v>115</v>
      </c>
      <c r="H80" s="155">
        <f t="shared" si="49"/>
        <v>80</v>
      </c>
      <c r="I80" s="155">
        <f>IF(OR('Input &amp; Findings'!$G$39='Drop Down Lists'!$E$3,'Input &amp; Findings'!$G$39='Drop Down Lists'!$E$5),MAX(D80:E80),MAX(B80:C80))</f>
        <v>171</v>
      </c>
      <c r="J80" s="156" t="str">
        <f t="shared" si="38"/>
        <v/>
      </c>
      <c r="K80" s="156" t="str">
        <f t="shared" si="35"/>
        <v/>
      </c>
      <c r="L80" s="176">
        <f t="shared" si="41"/>
        <v>-9944</v>
      </c>
      <c r="M80" s="176">
        <f t="shared" si="58"/>
        <v>0</v>
      </c>
      <c r="N80" s="176">
        <f>IF(AND(M80=MAX($M$14:$M$109),(SUM($N$14:N79)=0)),M80,0)</f>
        <v>0</v>
      </c>
      <c r="O80" s="176">
        <f t="shared" si="59"/>
        <v>0</v>
      </c>
      <c r="P80" s="176" t="str">
        <f t="shared" si="36"/>
        <v/>
      </c>
      <c r="Q80" s="176" t="str">
        <f t="shared" si="37"/>
        <v/>
      </c>
      <c r="R80" s="176">
        <f t="shared" si="42"/>
        <v>-19944</v>
      </c>
      <c r="S80" s="176">
        <f t="shared" si="60"/>
        <v>0</v>
      </c>
      <c r="T80" s="176">
        <f>IF(AND(S80=MAX($S$14:$S$109),(SUM($T$14:T79)=0)),S80,0)</f>
        <v>0</v>
      </c>
      <c r="U80" s="176">
        <f t="shared" si="61"/>
        <v>0</v>
      </c>
      <c r="V80" s="176" t="str">
        <f t="shared" si="39"/>
        <v/>
      </c>
      <c r="W80" s="176" t="str">
        <f t="shared" si="27"/>
        <v/>
      </c>
      <c r="X80" s="176">
        <f t="shared" si="43"/>
        <v>-29944</v>
      </c>
      <c r="Y80" s="176">
        <f t="shared" si="62"/>
        <v>0</v>
      </c>
      <c r="Z80" s="176">
        <f>IF(AND(Y80=MAX($Y$14:$Y$109),(SUM($Z$14:Z79)=0)),Y80,0)</f>
        <v>0</v>
      </c>
      <c r="AA80" s="176">
        <f t="shared" si="63"/>
        <v>0</v>
      </c>
      <c r="AB80" s="176" t="str">
        <f t="shared" si="28"/>
        <v/>
      </c>
      <c r="AC80" s="176" t="str">
        <f t="shared" si="29"/>
        <v/>
      </c>
      <c r="AD80" s="176">
        <f t="shared" si="44"/>
        <v>-39944</v>
      </c>
      <c r="AE80" s="176">
        <f t="shared" si="64"/>
        <v>0</v>
      </c>
      <c r="AF80" s="176">
        <f>IF(AND(AE80=MAX($AE$14:$AE$109),(SUM($AF$14:AF79)=0)),AE80,0)</f>
        <v>0</v>
      </c>
      <c r="AG80" s="176">
        <f t="shared" si="65"/>
        <v>0</v>
      </c>
      <c r="AH80" s="155">
        <f t="shared" si="55"/>
        <v>627.26</v>
      </c>
      <c r="AI80" s="176">
        <f t="shared" si="45"/>
        <v>-9944</v>
      </c>
      <c r="AJ80" s="176">
        <f t="shared" si="56"/>
        <v>0</v>
      </c>
      <c r="AK80" s="176">
        <f>IF(AND(AJ80=MAX($AJ$14:$AJ$109),(SUM($AK$14:AK79)=0)),AJ80,0)</f>
        <v>0</v>
      </c>
      <c r="AL80" s="176">
        <f t="shared" si="66"/>
        <v>0</v>
      </c>
      <c r="AM80" s="176" t="str">
        <f t="shared" si="51"/>
        <v/>
      </c>
      <c r="AN80" s="176" t="str">
        <f t="shared" si="52"/>
        <v/>
      </c>
      <c r="AO80" s="176">
        <f t="shared" si="46"/>
        <v>-19944</v>
      </c>
      <c r="AP80" s="176">
        <f t="shared" si="67"/>
        <v>0</v>
      </c>
      <c r="AQ80" s="176">
        <f>IF(AND(AP80=MAX($AP$14:$AP$109),(SUM($AQ$14:AQ79)=0)),AP80,0)</f>
        <v>0</v>
      </c>
      <c r="AR80" s="176">
        <f t="shared" si="68"/>
        <v>0</v>
      </c>
      <c r="AS80" s="176" t="str">
        <f t="shared" si="40"/>
        <v/>
      </c>
      <c r="AT80" s="176" t="str">
        <f t="shared" si="32"/>
        <v/>
      </c>
      <c r="AU80" s="176">
        <f t="shared" si="47"/>
        <v>-29944</v>
      </c>
      <c r="AV80" s="176">
        <f t="shared" si="69"/>
        <v>0</v>
      </c>
      <c r="AW80" s="176">
        <f>IF(AND(AV80=MAX($AV$14:$AV$109),(SUM($AW$14:AW79)=0)),AV80,0)</f>
        <v>0</v>
      </c>
      <c r="AX80" s="176">
        <f t="shared" si="70"/>
        <v>0</v>
      </c>
      <c r="AY80" s="176" t="str">
        <f t="shared" si="33"/>
        <v/>
      </c>
      <c r="AZ80" s="176" t="str">
        <f t="shared" si="34"/>
        <v/>
      </c>
      <c r="BA80" s="176">
        <f t="shared" si="48"/>
        <v>-39944</v>
      </c>
      <c r="BB80" s="176">
        <f t="shared" si="71"/>
        <v>0</v>
      </c>
      <c r="BC80" s="176">
        <f>IF(AND(BB80=MAX($BB$14:$BB$109),(SUM($BC$14:BC79)=0)),BB80,0)</f>
        <v>0</v>
      </c>
      <c r="BD80" s="176">
        <f t="shared" si="72"/>
        <v>0</v>
      </c>
      <c r="BE80" s="153">
        <v>0.6875</v>
      </c>
      <c r="BG80" s="105"/>
      <c r="BH80" s="105"/>
      <c r="BI80" s="105"/>
      <c r="BJ80" s="105"/>
      <c r="BK80" s="105"/>
      <c r="BL80" s="105"/>
      <c r="BM80" s="105"/>
      <c r="BN80" s="105"/>
      <c r="BO80" s="105"/>
      <c r="BP80" s="105"/>
    </row>
    <row r="81" spans="1:68" ht="10.050000000000001" customHeight="1" x14ac:dyDescent="0.25">
      <c r="A81" s="153">
        <v>0.69791666666666696</v>
      </c>
      <c r="B81" s="177">
        <f>'Data with RTF'!U71</f>
        <v>1324</v>
      </c>
      <c r="C81" s="177">
        <f>'Data with RTF'!G71</f>
        <v>1116</v>
      </c>
      <c r="D81" s="177">
        <f>'Data with RTF'!N71</f>
        <v>0</v>
      </c>
      <c r="E81" s="177">
        <f>'Data with RTF'!AB71</f>
        <v>167</v>
      </c>
      <c r="F81" s="155">
        <f>IF(OR('Input &amp; Findings'!$G$28='Drop Down Lists'!$E$2,'Input &amp; Findings'!$G$28='Drop Down Lists'!$E$4),SUM(B81:C81),SUM(D81:E81))</f>
        <v>2440</v>
      </c>
      <c r="G81" s="155">
        <f t="shared" si="57"/>
        <v>115</v>
      </c>
      <c r="H81" s="155">
        <f t="shared" si="49"/>
        <v>80</v>
      </c>
      <c r="I81" s="155">
        <f>IF(OR('Input &amp; Findings'!$G$39='Drop Down Lists'!$E$3,'Input &amp; Findings'!$G$39='Drop Down Lists'!$E$5),MAX(D81:E81),MAX(B81:C81))</f>
        <v>167</v>
      </c>
      <c r="J81" s="156" t="str">
        <f t="shared" si="38"/>
        <v>Met</v>
      </c>
      <c r="K81" s="156" t="str">
        <f t="shared" si="35"/>
        <v>Met</v>
      </c>
      <c r="L81" s="176">
        <f t="shared" si="41"/>
        <v>52</v>
      </c>
      <c r="M81" s="176">
        <f t="shared" si="58"/>
        <v>0</v>
      </c>
      <c r="N81" s="176">
        <f>IF(AND(M81=MAX($M$14:$M$109),(SUM($N$14:N80)=0)),M81,0)</f>
        <v>0</v>
      </c>
      <c r="O81" s="176">
        <f t="shared" si="59"/>
        <v>0</v>
      </c>
      <c r="P81" s="176">
        <f t="shared" si="36"/>
        <v>2440</v>
      </c>
      <c r="Q81" s="176">
        <f t="shared" si="37"/>
        <v>167</v>
      </c>
      <c r="R81" s="176">
        <f t="shared" si="42"/>
        <v>52</v>
      </c>
      <c r="S81" s="176">
        <f t="shared" si="60"/>
        <v>2440</v>
      </c>
      <c r="T81" s="176">
        <f>IF(AND(S81=MAX($S$14:$S$109),(SUM($T$14:T80)=0)),S81,0)</f>
        <v>2440</v>
      </c>
      <c r="U81" s="176">
        <f t="shared" si="61"/>
        <v>167</v>
      </c>
      <c r="V81" s="176" t="str">
        <f t="shared" si="39"/>
        <v/>
      </c>
      <c r="W81" s="176" t="str">
        <f t="shared" ref="W81:W106" si="73">IF(AND(T81=0,T82=0,T83=0,T84=0,T80=0,T79=0,T78=0),Q81,"")</f>
        <v/>
      </c>
      <c r="X81" s="176">
        <f t="shared" si="43"/>
        <v>-9948</v>
      </c>
      <c r="Y81" s="176">
        <f t="shared" si="62"/>
        <v>0</v>
      </c>
      <c r="Z81" s="176">
        <f>IF(AND(Y81=MAX($Y$14:$Y$109),(SUM($Z$14:Z80)=0)),Y81,0)</f>
        <v>0</v>
      </c>
      <c r="AA81" s="176">
        <f t="shared" si="63"/>
        <v>0</v>
      </c>
      <c r="AB81" s="176" t="str">
        <f t="shared" ref="AB81:AB106" si="74">IF(AND(Z81=0,Z82=0,Z83=0,Z84=0,Z80=0,Z79=0,Z78=0),V81,"")</f>
        <v/>
      </c>
      <c r="AC81" s="176" t="str">
        <f t="shared" ref="AC81:AC106" si="75">IF(AND(Z81=0,Z82=0,Z83=0,Z84=0,Z80=0,Z79=0,Z78=0),W81,"")</f>
        <v/>
      </c>
      <c r="AD81" s="176">
        <f t="shared" si="44"/>
        <v>-19948</v>
      </c>
      <c r="AE81" s="176">
        <f t="shared" si="64"/>
        <v>0</v>
      </c>
      <c r="AF81" s="176">
        <f>IF(AND(AE81=MAX($AE$14:$AE$109),(SUM($AF$14:AF80)=0)),AE81,0)</f>
        <v>0</v>
      </c>
      <c r="AG81" s="176">
        <f t="shared" si="65"/>
        <v>0</v>
      </c>
      <c r="AH81" s="155">
        <f t="shared" si="55"/>
        <v>627.26</v>
      </c>
      <c r="AI81" s="176">
        <f t="shared" si="45"/>
        <v>52</v>
      </c>
      <c r="AJ81" s="176">
        <f t="shared" si="56"/>
        <v>0</v>
      </c>
      <c r="AK81" s="176">
        <f>IF(AND(AJ81=MAX($AJ$14:$AJ$109),(SUM($AK$14:AK80)=0)),AJ81,0)</f>
        <v>0</v>
      </c>
      <c r="AL81" s="176">
        <f t="shared" si="66"/>
        <v>0</v>
      </c>
      <c r="AM81" s="176">
        <f t="shared" ref="AM81:AM109" si="76">IF(AND(AK81=0,AK82=0,AK83=0,AK84=0,AK80=0,AK79=0,AK78=0),F81,"")</f>
        <v>2440</v>
      </c>
      <c r="AN81" s="176">
        <f t="shared" ref="AN81:AN109" si="77">IF(AND(AK81=0,AK82=0,AK83=0,AK84=0,AK80=0,AK79=0,AK78=0),I81,"")</f>
        <v>167</v>
      </c>
      <c r="AO81" s="176">
        <f t="shared" si="46"/>
        <v>52</v>
      </c>
      <c r="AP81" s="176">
        <f t="shared" si="67"/>
        <v>2440</v>
      </c>
      <c r="AQ81" s="176">
        <f>IF(AND(AP81=MAX($AP$14:$AP$109),(SUM($AQ$14:AQ80)=0)),AP81,0)</f>
        <v>2440</v>
      </c>
      <c r="AR81" s="176">
        <f t="shared" si="68"/>
        <v>167</v>
      </c>
      <c r="AS81" s="176" t="str">
        <f t="shared" si="40"/>
        <v/>
      </c>
      <c r="AT81" s="176" t="str">
        <f t="shared" ref="AT81:AT106" si="78">IF(AND(AQ81=0,AQ82=0,AQ83=0,AQ84=0,AQ80=0,AQ79=0,AQ78=0),AN81,"")</f>
        <v/>
      </c>
      <c r="AU81" s="176">
        <f t="shared" si="47"/>
        <v>-9948</v>
      </c>
      <c r="AV81" s="176">
        <f t="shared" si="69"/>
        <v>0</v>
      </c>
      <c r="AW81" s="176">
        <f>IF(AND(AV81=MAX($AV$14:$AV$109),(SUM($AW$14:AW80)=0)),AV81,0)</f>
        <v>0</v>
      </c>
      <c r="AX81" s="176">
        <f t="shared" si="70"/>
        <v>0</v>
      </c>
      <c r="AY81" s="176" t="str">
        <f t="shared" ref="AY81:AY106" si="79">IF(AND(AW81=0,AW82=0,AW83=0,AW84=0,AW80=0,AW79=0,AW78=0),AS81,"")</f>
        <v/>
      </c>
      <c r="AZ81" s="176" t="str">
        <f t="shared" ref="AZ81:AZ106" si="80">IF(AND(AW81=0,AW82=0,AW83=0,AW84=0,AW80=0,AW79=0,AW78=0),AT81,"")</f>
        <v/>
      </c>
      <c r="BA81" s="176">
        <f t="shared" si="48"/>
        <v>-19948</v>
      </c>
      <c r="BB81" s="176">
        <f t="shared" si="71"/>
        <v>0</v>
      </c>
      <c r="BC81" s="176">
        <f>IF(AND(BB81=MAX($BB$14:$BB$109),(SUM($BC$14:BC80)=0)),BB81,0)</f>
        <v>0</v>
      </c>
      <c r="BD81" s="176">
        <f t="shared" si="72"/>
        <v>0</v>
      </c>
      <c r="BE81" s="153">
        <v>0.69791666666666696</v>
      </c>
      <c r="BG81" s="105"/>
      <c r="BH81" s="105"/>
      <c r="BI81" s="105"/>
      <c r="BJ81" s="105"/>
      <c r="BK81" s="105"/>
      <c r="BL81" s="105"/>
      <c r="BM81" s="105"/>
      <c r="BN81" s="105"/>
      <c r="BO81" s="105"/>
      <c r="BP81" s="105"/>
    </row>
    <row r="82" spans="1:68" ht="10.050000000000001" customHeight="1" x14ac:dyDescent="0.25">
      <c r="A82" s="153">
        <v>0.70833333333333304</v>
      </c>
      <c r="B82" s="177">
        <f>'Data with RTF'!U72</f>
        <v>1317</v>
      </c>
      <c r="C82" s="177">
        <f>'Data with RTF'!G72</f>
        <v>1141</v>
      </c>
      <c r="D82" s="177">
        <f>'Data with RTF'!N72</f>
        <v>0</v>
      </c>
      <c r="E82" s="177">
        <f>'Data with RTF'!AB72</f>
        <v>153</v>
      </c>
      <c r="F82" s="155">
        <f>IF(OR('Input &amp; Findings'!$G$28='Drop Down Lists'!$E$2,'Input &amp; Findings'!$G$28='Drop Down Lists'!$E$4),SUM(B82:C82),SUM(D82:E82))</f>
        <v>2458</v>
      </c>
      <c r="G82" s="155">
        <f t="shared" si="57"/>
        <v>115</v>
      </c>
      <c r="H82" s="155">
        <f t="shared" si="49"/>
        <v>80</v>
      </c>
      <c r="I82" s="155">
        <f>IF(OR('Input &amp; Findings'!$G$39='Drop Down Lists'!$E$3,'Input &amp; Findings'!$G$39='Drop Down Lists'!$E$5),MAX(D82:E82),MAX(B82:C82))</f>
        <v>153</v>
      </c>
      <c r="J82" s="156" t="str">
        <f t="shared" si="38"/>
        <v/>
      </c>
      <c r="K82" s="156" t="str">
        <f t="shared" ref="K82:K109" si="81">IF(AND(H82&lt;I82,K81="",K80="",K79=""),"Met","")</f>
        <v/>
      </c>
      <c r="L82" s="176">
        <f t="shared" si="41"/>
        <v>-9962</v>
      </c>
      <c r="M82" s="176">
        <f t="shared" si="58"/>
        <v>0</v>
      </c>
      <c r="N82" s="176">
        <f>IF(AND(M82=MAX($M$14:$M$109),(SUM($N$14:N81)=0)),M82,0)</f>
        <v>0</v>
      </c>
      <c r="O82" s="176">
        <f t="shared" si="59"/>
        <v>0</v>
      </c>
      <c r="P82" s="176">
        <f t="shared" ref="P82:P109" si="82">IF(AND(N82=0,N83=0,N84=0,N85=0,N81=0,N80=0,N79=0),F82,"")</f>
        <v>2458</v>
      </c>
      <c r="Q82" s="176">
        <f t="shared" ref="Q82:Q109" si="83">IF(AND(N82=0,N83=0,N84=0,N85=0,N81=0,N80=0,N79=0),I82,"")</f>
        <v>153</v>
      </c>
      <c r="R82" s="176">
        <f t="shared" si="42"/>
        <v>-9962</v>
      </c>
      <c r="S82" s="176">
        <f t="shared" si="60"/>
        <v>0</v>
      </c>
      <c r="T82" s="176">
        <f>IF(AND(S82=MAX($S$14:$S$109),(SUM($T$14:T81)=0)),S82,0)</f>
        <v>0</v>
      </c>
      <c r="U82" s="176">
        <f t="shared" si="61"/>
        <v>0</v>
      </c>
      <c r="V82" s="176" t="str">
        <f t="shared" si="39"/>
        <v/>
      </c>
      <c r="W82" s="176" t="str">
        <f t="shared" si="73"/>
        <v/>
      </c>
      <c r="X82" s="176">
        <f t="shared" si="43"/>
        <v>-19962</v>
      </c>
      <c r="Y82" s="176">
        <f t="shared" si="62"/>
        <v>0</v>
      </c>
      <c r="Z82" s="176">
        <f>IF(AND(Y82=MAX($Y$14:$Y$109),(SUM($Z$14:Z81)=0)),Y82,0)</f>
        <v>0</v>
      </c>
      <c r="AA82" s="176">
        <f t="shared" si="63"/>
        <v>0</v>
      </c>
      <c r="AB82" s="176" t="str">
        <f t="shared" si="74"/>
        <v/>
      </c>
      <c r="AC82" s="176" t="str">
        <f t="shared" si="75"/>
        <v/>
      </c>
      <c r="AD82" s="176">
        <f t="shared" si="44"/>
        <v>-29962</v>
      </c>
      <c r="AE82" s="176">
        <f t="shared" si="64"/>
        <v>0</v>
      </c>
      <c r="AF82" s="176">
        <f>IF(AND(AE82=MAX($AE$14:$AE$109),(SUM($AF$14:AF81)=0)),AE82,0)</f>
        <v>0</v>
      </c>
      <c r="AG82" s="176">
        <f t="shared" si="65"/>
        <v>0</v>
      </c>
      <c r="AH82" s="155">
        <f t="shared" si="55"/>
        <v>627.26</v>
      </c>
      <c r="AI82" s="176">
        <f t="shared" si="45"/>
        <v>-9962</v>
      </c>
      <c r="AJ82" s="176">
        <f t="shared" si="56"/>
        <v>0</v>
      </c>
      <c r="AK82" s="176">
        <f>IF(AND(AJ82=MAX($AJ$14:$AJ$109),(SUM($AK$14:AK81)=0)),AJ82,0)</f>
        <v>0</v>
      </c>
      <c r="AL82" s="176">
        <f t="shared" si="66"/>
        <v>0</v>
      </c>
      <c r="AM82" s="176">
        <f t="shared" si="76"/>
        <v>2458</v>
      </c>
      <c r="AN82" s="176">
        <f t="shared" si="77"/>
        <v>153</v>
      </c>
      <c r="AO82" s="176">
        <f t="shared" si="46"/>
        <v>-9962</v>
      </c>
      <c r="AP82" s="176">
        <f t="shared" si="67"/>
        <v>0</v>
      </c>
      <c r="AQ82" s="176">
        <f>IF(AND(AP82=MAX($AP$14:$AP$109),(SUM($AQ$14:AQ81)=0)),AP82,0)</f>
        <v>0</v>
      </c>
      <c r="AR82" s="176">
        <f t="shared" si="68"/>
        <v>0</v>
      </c>
      <c r="AS82" s="176" t="str">
        <f t="shared" si="40"/>
        <v/>
      </c>
      <c r="AT82" s="176" t="str">
        <f t="shared" si="78"/>
        <v/>
      </c>
      <c r="AU82" s="176">
        <f t="shared" si="47"/>
        <v>-19962</v>
      </c>
      <c r="AV82" s="176">
        <f t="shared" si="69"/>
        <v>0</v>
      </c>
      <c r="AW82" s="176">
        <f>IF(AND(AV82=MAX($AV$14:$AV$109),(SUM($AW$14:AW81)=0)),AV82,0)</f>
        <v>0</v>
      </c>
      <c r="AX82" s="176">
        <f t="shared" si="70"/>
        <v>0</v>
      </c>
      <c r="AY82" s="176" t="str">
        <f t="shared" si="79"/>
        <v/>
      </c>
      <c r="AZ82" s="176" t="str">
        <f t="shared" si="80"/>
        <v/>
      </c>
      <c r="BA82" s="176">
        <f t="shared" si="48"/>
        <v>-29962</v>
      </c>
      <c r="BB82" s="176">
        <f t="shared" si="71"/>
        <v>0</v>
      </c>
      <c r="BC82" s="176">
        <f>IF(AND(BB82=MAX($BB$14:$BB$109),(SUM($BC$14:BC81)=0)),BB82,0)</f>
        <v>0</v>
      </c>
      <c r="BD82" s="176">
        <f t="shared" si="72"/>
        <v>0</v>
      </c>
      <c r="BE82" s="153">
        <v>0.70833333333333304</v>
      </c>
      <c r="BG82" s="105"/>
      <c r="BH82" s="105"/>
      <c r="BI82" s="105"/>
      <c r="BJ82" s="105"/>
      <c r="BK82" s="105"/>
      <c r="BL82" s="105"/>
      <c r="BM82" s="105"/>
      <c r="BN82" s="105"/>
      <c r="BO82" s="105"/>
      <c r="BP82" s="105"/>
    </row>
    <row r="83" spans="1:68" ht="10.050000000000001" customHeight="1" x14ac:dyDescent="0.25">
      <c r="A83" s="153">
        <v>0.71875</v>
      </c>
      <c r="B83" s="177">
        <f>'Data with RTF'!U73</f>
        <v>1276</v>
      </c>
      <c r="C83" s="177">
        <f>'Data with RTF'!G73</f>
        <v>1056</v>
      </c>
      <c r="D83" s="177">
        <f>'Data with RTF'!N73</f>
        <v>0</v>
      </c>
      <c r="E83" s="177">
        <f>'Data with RTF'!AB73</f>
        <v>158</v>
      </c>
      <c r="F83" s="155">
        <f>IF(OR('Input &amp; Findings'!$G$28='Drop Down Lists'!$E$2,'Input &amp; Findings'!$G$28='Drop Down Lists'!$E$4),SUM(B83:C83),SUM(D83:E83))</f>
        <v>2332</v>
      </c>
      <c r="G83" s="155">
        <f t="shared" si="57"/>
        <v>115</v>
      </c>
      <c r="H83" s="155">
        <f t="shared" si="49"/>
        <v>80</v>
      </c>
      <c r="I83" s="155">
        <f>IF(OR('Input &amp; Findings'!$G$39='Drop Down Lists'!$E$3,'Input &amp; Findings'!$G$39='Drop Down Lists'!$E$5),MAX(D83:E83),MAX(B83:C83))</f>
        <v>158</v>
      </c>
      <c r="J83" s="156" t="str">
        <f t="shared" ref="J83:J109" si="84">IF(AND(G83&lt;I83,J82="",J81="",J80=""),"Met","")</f>
        <v/>
      </c>
      <c r="K83" s="156" t="str">
        <f t="shared" si="81"/>
        <v/>
      </c>
      <c r="L83" s="176">
        <f t="shared" si="41"/>
        <v>-9957</v>
      </c>
      <c r="M83" s="176">
        <f t="shared" si="58"/>
        <v>0</v>
      </c>
      <c r="N83" s="176">
        <f>IF(AND(M83=MAX($M$14:$M$109),(SUM($N$14:N82)=0)),M83,0)</f>
        <v>0</v>
      </c>
      <c r="O83" s="176">
        <f t="shared" si="59"/>
        <v>0</v>
      </c>
      <c r="P83" s="176">
        <f t="shared" si="82"/>
        <v>2332</v>
      </c>
      <c r="Q83" s="176">
        <f t="shared" si="83"/>
        <v>158</v>
      </c>
      <c r="R83" s="176">
        <f t="shared" si="42"/>
        <v>-9957</v>
      </c>
      <c r="S83" s="176">
        <f t="shared" si="60"/>
        <v>0</v>
      </c>
      <c r="T83" s="176">
        <f>IF(AND(S83=MAX($S$14:$S$109),(SUM($T$14:T82)=0)),S83,0)</f>
        <v>0</v>
      </c>
      <c r="U83" s="176">
        <f t="shared" si="61"/>
        <v>0</v>
      </c>
      <c r="V83" s="176" t="str">
        <f t="shared" ref="V83:V109" si="85">IF(AND(T83=0,T84=0,T85=0,T86=0,T82=0,T81=0,T80=0),P83,"")</f>
        <v/>
      </c>
      <c r="W83" s="176" t="str">
        <f t="shared" si="73"/>
        <v/>
      </c>
      <c r="X83" s="176">
        <f t="shared" si="43"/>
        <v>-19957</v>
      </c>
      <c r="Y83" s="176">
        <f t="shared" si="62"/>
        <v>0</v>
      </c>
      <c r="Z83" s="176">
        <f>IF(AND(Y83=MAX($Y$14:$Y$109),(SUM($Z$14:Z82)=0)),Y83,0)</f>
        <v>0</v>
      </c>
      <c r="AA83" s="176">
        <f t="shared" si="63"/>
        <v>0</v>
      </c>
      <c r="AB83" s="176" t="str">
        <f t="shared" si="74"/>
        <v/>
      </c>
      <c r="AC83" s="176" t="str">
        <f t="shared" si="75"/>
        <v/>
      </c>
      <c r="AD83" s="176">
        <f t="shared" si="44"/>
        <v>-29957</v>
      </c>
      <c r="AE83" s="176">
        <f t="shared" si="64"/>
        <v>0</v>
      </c>
      <c r="AF83" s="176">
        <f>IF(AND(AE83=MAX($AE$14:$AE$109),(SUM($AF$14:AF82)=0)),AE83,0)</f>
        <v>0</v>
      </c>
      <c r="AG83" s="176">
        <f t="shared" si="65"/>
        <v>0</v>
      </c>
      <c r="AH83" s="155">
        <f t="shared" si="55"/>
        <v>627.26</v>
      </c>
      <c r="AI83" s="176">
        <f t="shared" si="45"/>
        <v>-9957</v>
      </c>
      <c r="AJ83" s="176">
        <f t="shared" si="56"/>
        <v>0</v>
      </c>
      <c r="AK83" s="176">
        <f>IF(AND(AJ83=MAX($AJ$14:$AJ$109),(SUM($AK$14:AK82)=0)),AJ83,0)</f>
        <v>0</v>
      </c>
      <c r="AL83" s="176">
        <f t="shared" si="66"/>
        <v>0</v>
      </c>
      <c r="AM83" s="176">
        <f t="shared" si="76"/>
        <v>2332</v>
      </c>
      <c r="AN83" s="176">
        <f t="shared" si="77"/>
        <v>158</v>
      </c>
      <c r="AO83" s="176">
        <f t="shared" si="46"/>
        <v>-9957</v>
      </c>
      <c r="AP83" s="176">
        <f t="shared" si="67"/>
        <v>0</v>
      </c>
      <c r="AQ83" s="176">
        <f>IF(AND(AP83=MAX($AP$14:$AP$109),(SUM($AQ$14:AQ82)=0)),AP83,0)</f>
        <v>0</v>
      </c>
      <c r="AR83" s="176">
        <f t="shared" si="68"/>
        <v>0</v>
      </c>
      <c r="AS83" s="176" t="str">
        <f t="shared" ref="AS83:AS109" si="86">IF(AND(AQ83=0,AQ84=0,AQ85=0,AQ86=0,AQ82=0,AQ81=0,AQ80=0),AM83,"")</f>
        <v/>
      </c>
      <c r="AT83" s="176" t="str">
        <f t="shared" si="78"/>
        <v/>
      </c>
      <c r="AU83" s="176">
        <f t="shared" si="47"/>
        <v>-19957</v>
      </c>
      <c r="AV83" s="176">
        <f t="shared" si="69"/>
        <v>0</v>
      </c>
      <c r="AW83" s="176">
        <f>IF(AND(AV83=MAX($AV$14:$AV$109),(SUM($AW$14:AW82)=0)),AV83,0)</f>
        <v>0</v>
      </c>
      <c r="AX83" s="176">
        <f t="shared" si="70"/>
        <v>0</v>
      </c>
      <c r="AY83" s="176" t="str">
        <f t="shared" si="79"/>
        <v/>
      </c>
      <c r="AZ83" s="176" t="str">
        <f t="shared" si="80"/>
        <v/>
      </c>
      <c r="BA83" s="176">
        <f t="shared" si="48"/>
        <v>-29957</v>
      </c>
      <c r="BB83" s="176">
        <f t="shared" si="71"/>
        <v>0</v>
      </c>
      <c r="BC83" s="176">
        <f>IF(AND(BB83=MAX($BB$14:$BB$109),(SUM($BC$14:BC82)=0)),BB83,0)</f>
        <v>0</v>
      </c>
      <c r="BD83" s="176">
        <f t="shared" si="72"/>
        <v>0</v>
      </c>
      <c r="BE83" s="153">
        <v>0.71875</v>
      </c>
      <c r="BG83" s="105"/>
      <c r="BH83" s="105"/>
      <c r="BI83" s="105"/>
      <c r="BJ83" s="105"/>
      <c r="BK83" s="105"/>
      <c r="BL83" s="105"/>
      <c r="BM83" s="105"/>
      <c r="BN83" s="105"/>
      <c r="BO83" s="105"/>
      <c r="BP83" s="105"/>
    </row>
    <row r="84" spans="1:68" ht="10.050000000000001" customHeight="1" x14ac:dyDescent="0.25">
      <c r="A84" s="153">
        <v>0.72916666666666696</v>
      </c>
      <c r="B84" s="177">
        <f>'Data with RTF'!U74</f>
        <v>1198</v>
      </c>
      <c r="C84" s="177">
        <f>'Data with RTF'!G74</f>
        <v>964</v>
      </c>
      <c r="D84" s="177">
        <f>'Data with RTF'!N74</f>
        <v>0</v>
      </c>
      <c r="E84" s="177">
        <f>'Data with RTF'!AB74</f>
        <v>145</v>
      </c>
      <c r="F84" s="155">
        <f>IF(OR('Input &amp; Findings'!$G$28='Drop Down Lists'!$E$2,'Input &amp; Findings'!$G$28='Drop Down Lists'!$E$4),SUM(B84:C84),SUM(D84:E84))</f>
        <v>2162</v>
      </c>
      <c r="G84" s="155">
        <f t="shared" si="57"/>
        <v>115</v>
      </c>
      <c r="H84" s="155">
        <f t="shared" si="49"/>
        <v>80</v>
      </c>
      <c r="I84" s="155">
        <f>IF(OR('Input &amp; Findings'!$G$39='Drop Down Lists'!$E$3,'Input &amp; Findings'!$G$39='Drop Down Lists'!$E$5),MAX(D84:E84),MAX(B84:C84))</f>
        <v>145</v>
      </c>
      <c r="J84" s="156" t="str">
        <f t="shared" si="84"/>
        <v/>
      </c>
      <c r="K84" s="156" t="str">
        <f t="shared" si="81"/>
        <v/>
      </c>
      <c r="L84" s="176">
        <f t="shared" si="41"/>
        <v>-9970</v>
      </c>
      <c r="M84" s="176">
        <f t="shared" si="58"/>
        <v>0</v>
      </c>
      <c r="N84" s="176">
        <f>IF(AND(M84=MAX($M$14:$M$109),(SUM($N$14:N83)=0)),M84,0)</f>
        <v>0</v>
      </c>
      <c r="O84" s="176">
        <f t="shared" si="59"/>
        <v>0</v>
      </c>
      <c r="P84" s="176">
        <f t="shared" si="82"/>
        <v>2162</v>
      </c>
      <c r="Q84" s="176">
        <f t="shared" si="83"/>
        <v>145</v>
      </c>
      <c r="R84" s="176">
        <f t="shared" si="42"/>
        <v>-9970</v>
      </c>
      <c r="S84" s="176">
        <f t="shared" si="60"/>
        <v>0</v>
      </c>
      <c r="T84" s="176">
        <f>IF(AND(S84=MAX($S$14:$S$109),(SUM($T$14:T83)=0)),S84,0)</f>
        <v>0</v>
      </c>
      <c r="U84" s="176">
        <f t="shared" si="61"/>
        <v>0</v>
      </c>
      <c r="V84" s="176" t="str">
        <f t="shared" si="85"/>
        <v/>
      </c>
      <c r="W84" s="176" t="str">
        <f t="shared" si="73"/>
        <v/>
      </c>
      <c r="X84" s="176">
        <f t="shared" si="43"/>
        <v>-19970</v>
      </c>
      <c r="Y84" s="176">
        <f t="shared" si="62"/>
        <v>0</v>
      </c>
      <c r="Z84" s="176">
        <f>IF(AND(Y84=MAX($Y$14:$Y$109),(SUM($Z$14:Z83)=0)),Y84,0)</f>
        <v>0</v>
      </c>
      <c r="AA84" s="176">
        <f t="shared" si="63"/>
        <v>0</v>
      </c>
      <c r="AB84" s="176" t="str">
        <f t="shared" si="74"/>
        <v/>
      </c>
      <c r="AC84" s="176" t="str">
        <f t="shared" si="75"/>
        <v/>
      </c>
      <c r="AD84" s="176">
        <f t="shared" si="44"/>
        <v>-29970</v>
      </c>
      <c r="AE84" s="176">
        <f t="shared" si="64"/>
        <v>0</v>
      </c>
      <c r="AF84" s="176">
        <f>IF(AND(AE84=MAX($AE$14:$AE$109),(SUM($AF$14:AF83)=0)),AE84,0)</f>
        <v>0</v>
      </c>
      <c r="AG84" s="176">
        <f t="shared" si="65"/>
        <v>0</v>
      </c>
      <c r="AH84" s="155">
        <f t="shared" si="55"/>
        <v>627.26</v>
      </c>
      <c r="AI84" s="176">
        <f t="shared" si="45"/>
        <v>-9970</v>
      </c>
      <c r="AJ84" s="176">
        <f t="shared" si="56"/>
        <v>0</v>
      </c>
      <c r="AK84" s="176">
        <f>IF(AND(AJ84=MAX($AJ$14:$AJ$109),(SUM($AK$14:AK83)=0)),AJ84,0)</f>
        <v>0</v>
      </c>
      <c r="AL84" s="176">
        <f t="shared" si="66"/>
        <v>0</v>
      </c>
      <c r="AM84" s="176">
        <f t="shared" si="76"/>
        <v>2162</v>
      </c>
      <c r="AN84" s="176">
        <f t="shared" si="77"/>
        <v>145</v>
      </c>
      <c r="AO84" s="176">
        <f t="shared" si="46"/>
        <v>-9970</v>
      </c>
      <c r="AP84" s="176">
        <f t="shared" si="67"/>
        <v>0</v>
      </c>
      <c r="AQ84" s="176">
        <f>IF(AND(AP84=MAX($AP$14:$AP$109),(SUM($AQ$14:AQ83)=0)),AP84,0)</f>
        <v>0</v>
      </c>
      <c r="AR84" s="176">
        <f t="shared" si="68"/>
        <v>0</v>
      </c>
      <c r="AS84" s="176" t="str">
        <f t="shared" si="86"/>
        <v/>
      </c>
      <c r="AT84" s="176" t="str">
        <f t="shared" si="78"/>
        <v/>
      </c>
      <c r="AU84" s="176">
        <f t="shared" si="47"/>
        <v>-19970</v>
      </c>
      <c r="AV84" s="176">
        <f t="shared" si="69"/>
        <v>0</v>
      </c>
      <c r="AW84" s="176">
        <f>IF(AND(AV84=MAX($AV$14:$AV$109),(SUM($AW$14:AW83)=0)),AV84,0)</f>
        <v>0</v>
      </c>
      <c r="AX84" s="176">
        <f t="shared" si="70"/>
        <v>0</v>
      </c>
      <c r="AY84" s="176" t="str">
        <f t="shared" si="79"/>
        <v/>
      </c>
      <c r="AZ84" s="176" t="str">
        <f t="shared" si="80"/>
        <v/>
      </c>
      <c r="BA84" s="176">
        <f t="shared" si="48"/>
        <v>-29970</v>
      </c>
      <c r="BB84" s="176">
        <f t="shared" si="71"/>
        <v>0</v>
      </c>
      <c r="BC84" s="176">
        <f>IF(AND(BB84=MAX($BB$14:$BB$109),(SUM($BC$14:BC83)=0)),BB84,0)</f>
        <v>0</v>
      </c>
      <c r="BD84" s="176">
        <f t="shared" si="72"/>
        <v>0</v>
      </c>
      <c r="BE84" s="153">
        <v>0.72916666666666696</v>
      </c>
      <c r="BG84" s="105"/>
      <c r="BH84" s="105"/>
      <c r="BI84" s="105"/>
      <c r="BJ84" s="105"/>
      <c r="BK84" s="105"/>
      <c r="BL84" s="105"/>
      <c r="BM84" s="105"/>
      <c r="BN84" s="105"/>
      <c r="BO84" s="105"/>
      <c r="BP84" s="105"/>
    </row>
    <row r="85" spans="1:68" ht="10.050000000000001" customHeight="1" x14ac:dyDescent="0.25">
      <c r="A85" s="153">
        <v>0.73958333333333304</v>
      </c>
      <c r="B85" s="177">
        <f>'Data with RTF'!U75</f>
        <v>1095</v>
      </c>
      <c r="C85" s="177">
        <f>'Data with RTF'!G75</f>
        <v>879</v>
      </c>
      <c r="D85" s="177">
        <f>'Data with RTF'!N75</f>
        <v>0</v>
      </c>
      <c r="E85" s="177">
        <f>'Data with RTF'!AB75</f>
        <v>132</v>
      </c>
      <c r="F85" s="155">
        <f>IF(OR('Input &amp; Findings'!$G$28='Drop Down Lists'!$E$2,'Input &amp; Findings'!$G$28='Drop Down Lists'!$E$4),SUM(B85:C85),SUM(D85:E85))</f>
        <v>1974</v>
      </c>
      <c r="G85" s="155">
        <f t="shared" si="57"/>
        <v>115</v>
      </c>
      <c r="H85" s="155">
        <f t="shared" si="49"/>
        <v>80</v>
      </c>
      <c r="I85" s="155">
        <f>IF(OR('Input &amp; Findings'!$G$39='Drop Down Lists'!$E$3,'Input &amp; Findings'!$G$39='Drop Down Lists'!$E$5),MAX(D85:E85),MAX(B85:C85))</f>
        <v>132</v>
      </c>
      <c r="J85" s="156" t="str">
        <f t="shared" si="84"/>
        <v>Met</v>
      </c>
      <c r="K85" s="156" t="str">
        <f t="shared" si="81"/>
        <v>Met</v>
      </c>
      <c r="L85" s="176">
        <f t="shared" si="41"/>
        <v>17</v>
      </c>
      <c r="M85" s="176">
        <f t="shared" si="58"/>
        <v>0</v>
      </c>
      <c r="N85" s="176">
        <f>IF(AND(M85=MAX($M$14:$M$109),(SUM($N$14:N84)=0)),M85,0)</f>
        <v>0</v>
      </c>
      <c r="O85" s="176">
        <f t="shared" si="59"/>
        <v>0</v>
      </c>
      <c r="P85" s="176">
        <f t="shared" si="82"/>
        <v>1974</v>
      </c>
      <c r="Q85" s="176">
        <f t="shared" si="83"/>
        <v>132</v>
      </c>
      <c r="R85" s="176">
        <f t="shared" si="42"/>
        <v>17</v>
      </c>
      <c r="S85" s="176">
        <f t="shared" si="60"/>
        <v>0</v>
      </c>
      <c r="T85" s="176">
        <f>IF(AND(S85=MAX($S$14:$S$109),(SUM($T$14:T84)=0)),S85,0)</f>
        <v>0</v>
      </c>
      <c r="U85" s="176">
        <f t="shared" si="61"/>
        <v>0</v>
      </c>
      <c r="V85" s="176">
        <f t="shared" si="85"/>
        <v>1974</v>
      </c>
      <c r="W85" s="176">
        <f t="shared" si="73"/>
        <v>132</v>
      </c>
      <c r="X85" s="176">
        <f t="shared" si="43"/>
        <v>17</v>
      </c>
      <c r="Y85" s="176">
        <f t="shared" si="62"/>
        <v>0</v>
      </c>
      <c r="Z85" s="176">
        <f>IF(AND(Y85=MAX($Y$14:$Y$109),(SUM($Z$14:Z84)=0)),Y85,0)</f>
        <v>0</v>
      </c>
      <c r="AA85" s="176">
        <f t="shared" si="63"/>
        <v>0</v>
      </c>
      <c r="AB85" s="176">
        <f t="shared" si="74"/>
        <v>1974</v>
      </c>
      <c r="AC85" s="176">
        <f t="shared" si="75"/>
        <v>132</v>
      </c>
      <c r="AD85" s="176">
        <f t="shared" si="44"/>
        <v>17</v>
      </c>
      <c r="AE85" s="176">
        <f t="shared" si="64"/>
        <v>0</v>
      </c>
      <c r="AF85" s="176">
        <f>IF(AND(AE85=MAX($AE$14:$AE$109),(SUM($AF$14:AF84)=0)),AE85,0)</f>
        <v>0</v>
      </c>
      <c r="AG85" s="176">
        <f t="shared" si="65"/>
        <v>0</v>
      </c>
      <c r="AH85" s="155">
        <f t="shared" si="55"/>
        <v>627.26</v>
      </c>
      <c r="AI85" s="176">
        <f t="shared" si="45"/>
        <v>17</v>
      </c>
      <c r="AJ85" s="176">
        <f t="shared" si="56"/>
        <v>0</v>
      </c>
      <c r="AK85" s="176">
        <f>IF(AND(AJ85=MAX($AJ$14:$AJ$109),(SUM($AK$14:AK84)=0)),AJ85,0)</f>
        <v>0</v>
      </c>
      <c r="AL85" s="176">
        <f t="shared" si="66"/>
        <v>0</v>
      </c>
      <c r="AM85" s="176">
        <f t="shared" si="76"/>
        <v>1974</v>
      </c>
      <c r="AN85" s="176">
        <f t="shared" si="77"/>
        <v>132</v>
      </c>
      <c r="AO85" s="176">
        <f t="shared" si="46"/>
        <v>17</v>
      </c>
      <c r="AP85" s="176">
        <f t="shared" si="67"/>
        <v>0</v>
      </c>
      <c r="AQ85" s="176">
        <f>IF(AND(AP85=MAX($AP$14:$AP$109),(SUM($AQ$14:AQ84)=0)),AP85,0)</f>
        <v>0</v>
      </c>
      <c r="AR85" s="176">
        <f t="shared" si="68"/>
        <v>0</v>
      </c>
      <c r="AS85" s="176">
        <f t="shared" si="86"/>
        <v>1974</v>
      </c>
      <c r="AT85" s="176">
        <f t="shared" si="78"/>
        <v>132</v>
      </c>
      <c r="AU85" s="176">
        <f t="shared" si="47"/>
        <v>17</v>
      </c>
      <c r="AV85" s="176">
        <f t="shared" si="69"/>
        <v>0</v>
      </c>
      <c r="AW85" s="176">
        <f>IF(AND(AV85=MAX($AV$14:$AV$109),(SUM($AW$14:AW84)=0)),AV85,0)</f>
        <v>0</v>
      </c>
      <c r="AX85" s="176">
        <f t="shared" si="70"/>
        <v>0</v>
      </c>
      <c r="AY85" s="176">
        <f t="shared" si="79"/>
        <v>1974</v>
      </c>
      <c r="AZ85" s="176">
        <f t="shared" si="80"/>
        <v>132</v>
      </c>
      <c r="BA85" s="176">
        <f t="shared" si="48"/>
        <v>17</v>
      </c>
      <c r="BB85" s="176">
        <f t="shared" si="71"/>
        <v>0</v>
      </c>
      <c r="BC85" s="176">
        <f>IF(AND(BB85=MAX($BB$14:$BB$109),(SUM($BC$14:BC84)=0)),BB85,0)</f>
        <v>0</v>
      </c>
      <c r="BD85" s="176">
        <f t="shared" si="72"/>
        <v>0</v>
      </c>
      <c r="BE85" s="153">
        <v>0.73958333333333304</v>
      </c>
      <c r="BG85" s="105"/>
      <c r="BH85" s="105"/>
      <c r="BI85" s="105"/>
      <c r="BJ85" s="105"/>
      <c r="BK85" s="105"/>
      <c r="BL85" s="105"/>
      <c r="BM85" s="105"/>
      <c r="BN85" s="105"/>
      <c r="BO85" s="105"/>
      <c r="BP85" s="105"/>
    </row>
    <row r="86" spans="1:68" ht="10.050000000000001" customHeight="1" x14ac:dyDescent="0.25">
      <c r="A86" s="153">
        <v>0.75</v>
      </c>
      <c r="B86" s="177">
        <f>'Data with RTF'!U76</f>
        <v>980</v>
      </c>
      <c r="C86" s="177">
        <f>'Data with RTF'!G76</f>
        <v>832</v>
      </c>
      <c r="D86" s="177">
        <f>'Data with RTF'!N76</f>
        <v>0</v>
      </c>
      <c r="E86" s="177">
        <f>'Data with RTF'!AB76</f>
        <v>111</v>
      </c>
      <c r="F86" s="155">
        <f>IF(OR('Input &amp; Findings'!$G$28='Drop Down Lists'!$E$2,'Input &amp; Findings'!$G$28='Drop Down Lists'!$E$4),SUM(B86:C86),SUM(D86:E86))</f>
        <v>1812</v>
      </c>
      <c r="G86" s="155">
        <f t="shared" si="57"/>
        <v>115</v>
      </c>
      <c r="H86" s="155">
        <f t="shared" si="49"/>
        <v>80</v>
      </c>
      <c r="I86" s="155">
        <f>IF(OR('Input &amp; Findings'!$G$39='Drop Down Lists'!$E$3,'Input &amp; Findings'!$G$39='Drop Down Lists'!$E$5),MAX(D86:E86),MAX(B86:C86))</f>
        <v>111</v>
      </c>
      <c r="J86" s="156" t="str">
        <f t="shared" si="84"/>
        <v/>
      </c>
      <c r="K86" s="156" t="str">
        <f t="shared" si="81"/>
        <v/>
      </c>
      <c r="L86" s="176">
        <f t="shared" si="41"/>
        <v>-10004</v>
      </c>
      <c r="M86" s="176">
        <f t="shared" si="58"/>
        <v>0</v>
      </c>
      <c r="N86" s="176">
        <f>IF(AND(M86=MAX($M$14:$M$109),(SUM($N$14:N85)=0)),M86,0)</f>
        <v>0</v>
      </c>
      <c r="O86" s="176">
        <f t="shared" si="59"/>
        <v>0</v>
      </c>
      <c r="P86" s="176">
        <f t="shared" si="82"/>
        <v>1812</v>
      </c>
      <c r="Q86" s="176">
        <f t="shared" si="83"/>
        <v>111</v>
      </c>
      <c r="R86" s="176">
        <f t="shared" si="42"/>
        <v>-10004</v>
      </c>
      <c r="S86" s="176">
        <f t="shared" si="60"/>
        <v>0</v>
      </c>
      <c r="T86" s="176">
        <f>IF(AND(S86=MAX($S$14:$S$109),(SUM($T$14:T85)=0)),S86,0)</f>
        <v>0</v>
      </c>
      <c r="U86" s="176">
        <f t="shared" si="61"/>
        <v>0</v>
      </c>
      <c r="V86" s="176">
        <f t="shared" si="85"/>
        <v>1812</v>
      </c>
      <c r="W86" s="176">
        <f t="shared" si="73"/>
        <v>111</v>
      </c>
      <c r="X86" s="176">
        <f t="shared" si="43"/>
        <v>-10004</v>
      </c>
      <c r="Y86" s="176">
        <f t="shared" si="62"/>
        <v>0</v>
      </c>
      <c r="Z86" s="176">
        <f>IF(AND(Y86=MAX($Y$14:$Y$109),(SUM($Z$14:Z85)=0)),Y86,0)</f>
        <v>0</v>
      </c>
      <c r="AA86" s="176">
        <f t="shared" si="63"/>
        <v>0</v>
      </c>
      <c r="AB86" s="176">
        <f t="shared" si="74"/>
        <v>1812</v>
      </c>
      <c r="AC86" s="176">
        <f t="shared" si="75"/>
        <v>111</v>
      </c>
      <c r="AD86" s="176">
        <f t="shared" si="44"/>
        <v>-10004</v>
      </c>
      <c r="AE86" s="176">
        <f t="shared" si="64"/>
        <v>0</v>
      </c>
      <c r="AF86" s="176">
        <f>IF(AND(AE86=MAX($AE$14:$AE$109),(SUM($AF$14:AF85)=0)),AE86,0)</f>
        <v>0</v>
      </c>
      <c r="AG86" s="176">
        <f t="shared" si="65"/>
        <v>0</v>
      </c>
      <c r="AH86" s="155">
        <f t="shared" si="55"/>
        <v>627.26</v>
      </c>
      <c r="AI86" s="176">
        <f t="shared" si="45"/>
        <v>-10004</v>
      </c>
      <c r="AJ86" s="176">
        <f t="shared" si="56"/>
        <v>0</v>
      </c>
      <c r="AK86" s="176">
        <f>IF(AND(AJ86=MAX($AJ$14:$AJ$109),(SUM($AK$14:AK85)=0)),AJ86,0)</f>
        <v>0</v>
      </c>
      <c r="AL86" s="176">
        <f t="shared" si="66"/>
        <v>0</v>
      </c>
      <c r="AM86" s="176">
        <f t="shared" si="76"/>
        <v>1812</v>
      </c>
      <c r="AN86" s="176">
        <f t="shared" si="77"/>
        <v>111</v>
      </c>
      <c r="AO86" s="176">
        <f t="shared" si="46"/>
        <v>-10004</v>
      </c>
      <c r="AP86" s="176">
        <f t="shared" si="67"/>
        <v>0</v>
      </c>
      <c r="AQ86" s="176">
        <f>IF(AND(AP86=MAX($AP$14:$AP$109),(SUM($AQ$14:AQ85)=0)),AP86,0)</f>
        <v>0</v>
      </c>
      <c r="AR86" s="176">
        <f t="shared" si="68"/>
        <v>0</v>
      </c>
      <c r="AS86" s="176">
        <f t="shared" si="86"/>
        <v>1812</v>
      </c>
      <c r="AT86" s="176">
        <f t="shared" si="78"/>
        <v>111</v>
      </c>
      <c r="AU86" s="176">
        <f t="shared" si="47"/>
        <v>-10004</v>
      </c>
      <c r="AV86" s="176">
        <f t="shared" si="69"/>
        <v>0</v>
      </c>
      <c r="AW86" s="176">
        <f>IF(AND(AV86=MAX($AV$14:$AV$109),(SUM($AW$14:AW85)=0)),AV86,0)</f>
        <v>0</v>
      </c>
      <c r="AX86" s="176">
        <f t="shared" si="70"/>
        <v>0</v>
      </c>
      <c r="AY86" s="176">
        <f t="shared" si="79"/>
        <v>1812</v>
      </c>
      <c r="AZ86" s="176">
        <f t="shared" si="80"/>
        <v>111</v>
      </c>
      <c r="BA86" s="176">
        <f t="shared" si="48"/>
        <v>-10004</v>
      </c>
      <c r="BB86" s="176">
        <f t="shared" si="71"/>
        <v>0</v>
      </c>
      <c r="BC86" s="176">
        <f>IF(AND(BB86=MAX($BB$14:$BB$109),(SUM($BC$14:BC85)=0)),BB86,0)</f>
        <v>0</v>
      </c>
      <c r="BD86" s="176">
        <f t="shared" si="72"/>
        <v>0</v>
      </c>
      <c r="BE86" s="153">
        <v>0.75</v>
      </c>
      <c r="BG86" s="105"/>
      <c r="BH86" s="105"/>
      <c r="BI86" s="105"/>
      <c r="BJ86" s="105"/>
      <c r="BK86" s="105"/>
      <c r="BL86" s="105"/>
      <c r="BM86" s="105"/>
      <c r="BN86" s="105"/>
      <c r="BO86" s="105"/>
      <c r="BP86" s="105"/>
    </row>
    <row r="87" spans="1:68" ht="10.050000000000001" customHeight="1" x14ac:dyDescent="0.25">
      <c r="A87" s="153">
        <v>0.76041666666666696</v>
      </c>
      <c r="B87" s="177">
        <f>'Data with RTF'!U77</f>
        <v>700</v>
      </c>
      <c r="C87" s="177">
        <f>'Data with RTF'!G77</f>
        <v>620</v>
      </c>
      <c r="D87" s="177">
        <f>'Data with RTF'!N77</f>
        <v>0</v>
      </c>
      <c r="E87" s="177">
        <f>'Data with RTF'!AB77</f>
        <v>69</v>
      </c>
      <c r="F87" s="155">
        <f>IF(OR('Input &amp; Findings'!$G$28='Drop Down Lists'!$E$2,'Input &amp; Findings'!$G$28='Drop Down Lists'!$E$4),SUM(B87:C87),SUM(D87:E87))</f>
        <v>1320</v>
      </c>
      <c r="G87" s="155">
        <f t="shared" si="57"/>
        <v>115</v>
      </c>
      <c r="H87" s="155">
        <f t="shared" si="49"/>
        <v>80</v>
      </c>
      <c r="I87" s="155">
        <f>IF(OR('Input &amp; Findings'!$G$39='Drop Down Lists'!$E$3,'Input &amp; Findings'!$G$39='Drop Down Lists'!$E$5),MAX(D87:E87),MAX(B87:C87))</f>
        <v>69</v>
      </c>
      <c r="J87" s="156" t="str">
        <f t="shared" si="84"/>
        <v/>
      </c>
      <c r="K87" s="156" t="str">
        <f t="shared" si="81"/>
        <v/>
      </c>
      <c r="L87" s="176">
        <f t="shared" si="41"/>
        <v>-10046</v>
      </c>
      <c r="M87" s="176">
        <f t="shared" si="58"/>
        <v>0</v>
      </c>
      <c r="N87" s="176">
        <f>IF(AND(M87=MAX($M$14:$M$109),(SUM($N$14:N86)=0)),M87,0)</f>
        <v>0</v>
      </c>
      <c r="O87" s="176">
        <f t="shared" si="59"/>
        <v>0</v>
      </c>
      <c r="P87" s="176">
        <f t="shared" si="82"/>
        <v>1320</v>
      </c>
      <c r="Q87" s="176">
        <f t="shared" si="83"/>
        <v>69</v>
      </c>
      <c r="R87" s="176">
        <f t="shared" si="42"/>
        <v>-10046</v>
      </c>
      <c r="S87" s="176">
        <f t="shared" si="60"/>
        <v>0</v>
      </c>
      <c r="T87" s="176">
        <f>IF(AND(S87=MAX($S$14:$S$109),(SUM($T$14:T86)=0)),S87,0)</f>
        <v>0</v>
      </c>
      <c r="U87" s="176">
        <f t="shared" si="61"/>
        <v>0</v>
      </c>
      <c r="V87" s="176">
        <f t="shared" si="85"/>
        <v>1320</v>
      </c>
      <c r="W87" s="176">
        <f t="shared" si="73"/>
        <v>69</v>
      </c>
      <c r="X87" s="176">
        <f t="shared" si="43"/>
        <v>-10046</v>
      </c>
      <c r="Y87" s="176">
        <f t="shared" si="62"/>
        <v>0</v>
      </c>
      <c r="Z87" s="176">
        <f>IF(AND(Y87=MAX($Y$14:$Y$109),(SUM($Z$14:Z86)=0)),Y87,0)</f>
        <v>0</v>
      </c>
      <c r="AA87" s="176">
        <f t="shared" si="63"/>
        <v>0</v>
      </c>
      <c r="AB87" s="176">
        <f t="shared" si="74"/>
        <v>1320</v>
      </c>
      <c r="AC87" s="176">
        <f t="shared" si="75"/>
        <v>69</v>
      </c>
      <c r="AD87" s="176">
        <f t="shared" si="44"/>
        <v>-10046</v>
      </c>
      <c r="AE87" s="176">
        <f t="shared" si="64"/>
        <v>0</v>
      </c>
      <c r="AF87" s="176">
        <f>IF(AND(AE87=MAX($AE$14:$AE$109),(SUM($AF$14:AF86)=0)),AE87,0)</f>
        <v>0</v>
      </c>
      <c r="AG87" s="176">
        <f t="shared" si="65"/>
        <v>0</v>
      </c>
      <c r="AH87" s="155">
        <f t="shared" si="55"/>
        <v>627.26</v>
      </c>
      <c r="AI87" s="176">
        <f t="shared" si="45"/>
        <v>-10046</v>
      </c>
      <c r="AJ87" s="176">
        <f t="shared" si="56"/>
        <v>0</v>
      </c>
      <c r="AK87" s="176">
        <f>IF(AND(AJ87=MAX($AJ$14:$AJ$109),(SUM($AK$14:AK86)=0)),AJ87,0)</f>
        <v>0</v>
      </c>
      <c r="AL87" s="176">
        <f t="shared" si="66"/>
        <v>0</v>
      </c>
      <c r="AM87" s="176">
        <f t="shared" si="76"/>
        <v>1320</v>
      </c>
      <c r="AN87" s="176">
        <f t="shared" si="77"/>
        <v>69</v>
      </c>
      <c r="AO87" s="176">
        <f t="shared" si="46"/>
        <v>-10046</v>
      </c>
      <c r="AP87" s="176">
        <f t="shared" si="67"/>
        <v>0</v>
      </c>
      <c r="AQ87" s="176">
        <f>IF(AND(AP87=MAX($AP$14:$AP$109),(SUM($AQ$14:AQ86)=0)),AP87,0)</f>
        <v>0</v>
      </c>
      <c r="AR87" s="176">
        <f t="shared" si="68"/>
        <v>0</v>
      </c>
      <c r="AS87" s="176">
        <f t="shared" si="86"/>
        <v>1320</v>
      </c>
      <c r="AT87" s="176">
        <f t="shared" si="78"/>
        <v>69</v>
      </c>
      <c r="AU87" s="176">
        <f t="shared" si="47"/>
        <v>-10046</v>
      </c>
      <c r="AV87" s="176">
        <f t="shared" si="69"/>
        <v>0</v>
      </c>
      <c r="AW87" s="176">
        <f>IF(AND(AV87=MAX($AV$14:$AV$109),(SUM($AW$14:AW86)=0)),AV87,0)</f>
        <v>0</v>
      </c>
      <c r="AX87" s="176">
        <f t="shared" si="70"/>
        <v>0</v>
      </c>
      <c r="AY87" s="176">
        <f t="shared" si="79"/>
        <v>1320</v>
      </c>
      <c r="AZ87" s="176">
        <f t="shared" si="80"/>
        <v>69</v>
      </c>
      <c r="BA87" s="176">
        <f t="shared" si="48"/>
        <v>-10046</v>
      </c>
      <c r="BB87" s="176">
        <f t="shared" si="71"/>
        <v>0</v>
      </c>
      <c r="BC87" s="176">
        <f>IF(AND(BB87=MAX($BB$14:$BB$109),(SUM($BC$14:BC86)=0)),BB87,0)</f>
        <v>0</v>
      </c>
      <c r="BD87" s="176">
        <f t="shared" si="72"/>
        <v>0</v>
      </c>
      <c r="BE87" s="153">
        <v>0.76041666666666696</v>
      </c>
      <c r="BG87" s="105"/>
      <c r="BH87" s="105"/>
      <c r="BI87" s="105"/>
      <c r="BJ87" s="105"/>
      <c r="BK87" s="105"/>
      <c r="BL87" s="105"/>
      <c r="BM87" s="105"/>
      <c r="BN87" s="105"/>
      <c r="BO87" s="105"/>
      <c r="BP87" s="105"/>
    </row>
    <row r="88" spans="1:68" ht="10.050000000000001" customHeight="1" x14ac:dyDescent="0.25">
      <c r="A88" s="153">
        <v>0.77083333333333304</v>
      </c>
      <c r="B88" s="177">
        <f>'Data with RTF'!U78</f>
        <v>450</v>
      </c>
      <c r="C88" s="177">
        <f>'Data with RTF'!G78</f>
        <v>421</v>
      </c>
      <c r="D88" s="177">
        <f>'Data with RTF'!N78</f>
        <v>0</v>
      </c>
      <c r="E88" s="177">
        <f>'Data with RTF'!AB78</f>
        <v>36</v>
      </c>
      <c r="F88" s="155">
        <f>IF(OR('Input &amp; Findings'!$G$28='Drop Down Lists'!$E$2,'Input &amp; Findings'!$G$28='Drop Down Lists'!$E$4),SUM(B88:C88),SUM(D88:E88))</f>
        <v>871</v>
      </c>
      <c r="G88" s="155">
        <f t="shared" si="57"/>
        <v>245.11218321320007</v>
      </c>
      <c r="H88" s="155">
        <f t="shared" si="49"/>
        <v>84.127981999700182</v>
      </c>
      <c r="I88" s="155">
        <f>IF(OR('Input &amp; Findings'!$G$39='Drop Down Lists'!$E$3,'Input &amp; Findings'!$G$39='Drop Down Lists'!$E$5),MAX(D88:E88),MAX(B88:C88))</f>
        <v>36</v>
      </c>
      <c r="J88" s="156" t="str">
        <f t="shared" si="84"/>
        <v/>
      </c>
      <c r="K88" s="156" t="str">
        <f t="shared" si="81"/>
        <v/>
      </c>
      <c r="L88" s="176">
        <f t="shared" si="41"/>
        <v>-10209.112183213199</v>
      </c>
      <c r="M88" s="176">
        <f t="shared" si="58"/>
        <v>0</v>
      </c>
      <c r="N88" s="176">
        <f>IF(AND(M88=MAX($M$14:$M$109),(SUM($N$14:N87)=0)),M88,0)</f>
        <v>0</v>
      </c>
      <c r="O88" s="176">
        <f t="shared" si="59"/>
        <v>0</v>
      </c>
      <c r="P88" s="176">
        <f t="shared" si="82"/>
        <v>871</v>
      </c>
      <c r="Q88" s="176">
        <f t="shared" si="83"/>
        <v>36</v>
      </c>
      <c r="R88" s="176">
        <f t="shared" si="42"/>
        <v>-10209.112183213199</v>
      </c>
      <c r="S88" s="176">
        <f t="shared" si="60"/>
        <v>0</v>
      </c>
      <c r="T88" s="176">
        <f>IF(AND(S88=MAX($S$14:$S$109),(SUM($T$14:T87)=0)),S88,0)</f>
        <v>0</v>
      </c>
      <c r="U88" s="176">
        <f t="shared" si="61"/>
        <v>0</v>
      </c>
      <c r="V88" s="176">
        <f t="shared" si="85"/>
        <v>871</v>
      </c>
      <c r="W88" s="176">
        <f t="shared" si="73"/>
        <v>36</v>
      </c>
      <c r="X88" s="176">
        <f t="shared" si="43"/>
        <v>-10209.112183213199</v>
      </c>
      <c r="Y88" s="176">
        <f t="shared" si="62"/>
        <v>0</v>
      </c>
      <c r="Z88" s="176">
        <f>IF(AND(Y88=MAX($Y$14:$Y$109),(SUM($Z$14:Z87)=0)),Y88,0)</f>
        <v>0</v>
      </c>
      <c r="AA88" s="176">
        <f t="shared" si="63"/>
        <v>0</v>
      </c>
      <c r="AB88" s="176">
        <f t="shared" si="74"/>
        <v>871</v>
      </c>
      <c r="AC88" s="176">
        <f t="shared" si="75"/>
        <v>36</v>
      </c>
      <c r="AD88" s="176">
        <f t="shared" si="44"/>
        <v>-10209.112183213199</v>
      </c>
      <c r="AE88" s="176">
        <f t="shared" si="64"/>
        <v>0</v>
      </c>
      <c r="AF88" s="176">
        <f>IF(AND(AE88=MAX($AE$14:$AE$109),(SUM($AF$14:AF87)=0)),AE88,0)</f>
        <v>0</v>
      </c>
      <c r="AG88" s="176">
        <f t="shared" si="65"/>
        <v>0</v>
      </c>
      <c r="AH88" s="155">
        <f t="shared" si="55"/>
        <v>627.26</v>
      </c>
      <c r="AI88" s="176">
        <f t="shared" si="45"/>
        <v>-10209.112183213199</v>
      </c>
      <c r="AJ88" s="176">
        <f t="shared" si="56"/>
        <v>0</v>
      </c>
      <c r="AK88" s="176">
        <f>IF(AND(AJ88=MAX($AJ$14:$AJ$109),(SUM($AK$14:AK87)=0)),AJ88,0)</f>
        <v>0</v>
      </c>
      <c r="AL88" s="176">
        <f t="shared" si="66"/>
        <v>0</v>
      </c>
      <c r="AM88" s="176">
        <f t="shared" si="76"/>
        <v>871</v>
      </c>
      <c r="AN88" s="176">
        <f t="shared" si="77"/>
        <v>36</v>
      </c>
      <c r="AO88" s="176">
        <f t="shared" si="46"/>
        <v>-10209.112183213199</v>
      </c>
      <c r="AP88" s="176">
        <f t="shared" si="67"/>
        <v>0</v>
      </c>
      <c r="AQ88" s="176">
        <f>IF(AND(AP88=MAX($AP$14:$AP$109),(SUM($AQ$14:AQ87)=0)),AP88,0)</f>
        <v>0</v>
      </c>
      <c r="AR88" s="176">
        <f t="shared" si="68"/>
        <v>0</v>
      </c>
      <c r="AS88" s="176">
        <f t="shared" si="86"/>
        <v>871</v>
      </c>
      <c r="AT88" s="176">
        <f t="shared" si="78"/>
        <v>36</v>
      </c>
      <c r="AU88" s="176">
        <f t="shared" si="47"/>
        <v>-10209.112183213199</v>
      </c>
      <c r="AV88" s="176">
        <f t="shared" si="69"/>
        <v>0</v>
      </c>
      <c r="AW88" s="176">
        <f>IF(AND(AV88=MAX($AV$14:$AV$109),(SUM($AW$14:AW87)=0)),AV88,0)</f>
        <v>0</v>
      </c>
      <c r="AX88" s="176">
        <f t="shared" si="70"/>
        <v>0</v>
      </c>
      <c r="AY88" s="176">
        <f t="shared" si="79"/>
        <v>871</v>
      </c>
      <c r="AZ88" s="176">
        <f t="shared" si="80"/>
        <v>36</v>
      </c>
      <c r="BA88" s="176">
        <f t="shared" si="48"/>
        <v>-10209.112183213199</v>
      </c>
      <c r="BB88" s="176">
        <f t="shared" si="71"/>
        <v>0</v>
      </c>
      <c r="BC88" s="176">
        <f>IF(AND(BB88=MAX($BB$14:$BB$109),(SUM($BC$14:BC87)=0)),BB88,0)</f>
        <v>0</v>
      </c>
      <c r="BD88" s="176">
        <f t="shared" si="72"/>
        <v>0</v>
      </c>
      <c r="BE88" s="153">
        <v>0.77083333333333304</v>
      </c>
      <c r="BG88" s="105"/>
      <c r="BH88" s="105"/>
      <c r="BI88" s="105"/>
      <c r="BJ88" s="105"/>
      <c r="BK88" s="105"/>
      <c r="BL88" s="105"/>
      <c r="BM88" s="105"/>
      <c r="BN88" s="105"/>
      <c r="BO88" s="105"/>
      <c r="BP88" s="105"/>
    </row>
    <row r="89" spans="1:68" ht="10.050000000000001" customHeight="1" x14ac:dyDescent="0.25">
      <c r="A89" s="153">
        <v>0.78125</v>
      </c>
      <c r="B89" s="177">
        <f>'Data with RTF'!U79</f>
        <v>199</v>
      </c>
      <c r="C89" s="177">
        <f>'Data with RTF'!G79</f>
        <v>229</v>
      </c>
      <c r="D89" s="177">
        <f>'Data with RTF'!N79</f>
        <v>0</v>
      </c>
      <c r="E89" s="177">
        <f>'Data with RTF'!AB79</f>
        <v>15</v>
      </c>
      <c r="F89" s="155">
        <f>IF(OR('Input &amp; Findings'!$G$28='Drop Down Lists'!$E$2,'Input &amp; Findings'!$G$28='Drop Down Lists'!$E$4),SUM(B89:C89),SUM(D89:E89))</f>
        <v>428</v>
      </c>
      <c r="G89" s="155">
        <f t="shared" si="57"/>
        <v>505.95274558479997</v>
      </c>
      <c r="H89" s="155">
        <f t="shared" si="49"/>
        <v>270.51577138840003</v>
      </c>
      <c r="I89" s="155">
        <f>IF(OR('Input &amp; Findings'!$G$39='Drop Down Lists'!$E$3,'Input &amp; Findings'!$G$39='Drop Down Lists'!$E$5),MAX(D89:E89),MAX(B89:C89))</f>
        <v>15</v>
      </c>
      <c r="J89" s="156" t="str">
        <f t="shared" si="84"/>
        <v/>
      </c>
      <c r="K89" s="156" t="str">
        <f t="shared" si="81"/>
        <v/>
      </c>
      <c r="L89" s="176">
        <f t="shared" si="41"/>
        <v>-10490.9527455848</v>
      </c>
      <c r="M89" s="176">
        <f t="shared" si="58"/>
        <v>0</v>
      </c>
      <c r="N89" s="176">
        <f>IF(AND(M89=MAX($M$14:$M$109),(SUM($N$14:N88)=0)),M89,0)</f>
        <v>0</v>
      </c>
      <c r="O89" s="176">
        <f t="shared" si="59"/>
        <v>0</v>
      </c>
      <c r="P89" s="176">
        <f t="shared" si="82"/>
        <v>428</v>
      </c>
      <c r="Q89" s="176">
        <f t="shared" si="83"/>
        <v>15</v>
      </c>
      <c r="R89" s="176">
        <f t="shared" si="42"/>
        <v>-10490.9527455848</v>
      </c>
      <c r="S89" s="176">
        <f t="shared" si="60"/>
        <v>0</v>
      </c>
      <c r="T89" s="176">
        <f>IF(AND(S89=MAX($S$14:$S$109),(SUM($T$14:T88)=0)),S89,0)</f>
        <v>0</v>
      </c>
      <c r="U89" s="176">
        <f t="shared" si="61"/>
        <v>0</v>
      </c>
      <c r="V89" s="176">
        <f t="shared" si="85"/>
        <v>428</v>
      </c>
      <c r="W89" s="176">
        <f t="shared" si="73"/>
        <v>15</v>
      </c>
      <c r="X89" s="176">
        <f t="shared" si="43"/>
        <v>-10490.9527455848</v>
      </c>
      <c r="Y89" s="176">
        <f t="shared" si="62"/>
        <v>0</v>
      </c>
      <c r="Z89" s="176">
        <f>IF(AND(Y89=MAX($Y$14:$Y$109),(SUM($Z$14:Z88)=0)),Y89,0)</f>
        <v>0</v>
      </c>
      <c r="AA89" s="176">
        <f t="shared" si="63"/>
        <v>0</v>
      </c>
      <c r="AB89" s="176">
        <f t="shared" si="74"/>
        <v>428</v>
      </c>
      <c r="AC89" s="176">
        <f t="shared" si="75"/>
        <v>15</v>
      </c>
      <c r="AD89" s="176">
        <f t="shared" si="44"/>
        <v>-10490.9527455848</v>
      </c>
      <c r="AE89" s="176">
        <f t="shared" si="64"/>
        <v>0</v>
      </c>
      <c r="AF89" s="176">
        <f>IF(AND(AE89=MAX($AE$14:$AE$109),(SUM($AF$14:AF88)=0)),AE89,0)</f>
        <v>0</v>
      </c>
      <c r="AG89" s="176">
        <f t="shared" si="65"/>
        <v>0</v>
      </c>
      <c r="AH89" s="155">
        <f t="shared" si="55"/>
        <v>627.26</v>
      </c>
      <c r="AI89" s="176">
        <f t="shared" si="45"/>
        <v>-10490.9527455848</v>
      </c>
      <c r="AJ89" s="176">
        <f t="shared" si="56"/>
        <v>0</v>
      </c>
      <c r="AK89" s="176">
        <f>IF(AND(AJ89=MAX($AJ$14:$AJ$109),(SUM($AK$14:AK88)=0)),AJ89,0)</f>
        <v>0</v>
      </c>
      <c r="AL89" s="176">
        <f t="shared" si="66"/>
        <v>0</v>
      </c>
      <c r="AM89" s="176">
        <f t="shared" si="76"/>
        <v>428</v>
      </c>
      <c r="AN89" s="176">
        <f t="shared" si="77"/>
        <v>15</v>
      </c>
      <c r="AO89" s="176">
        <f t="shared" si="46"/>
        <v>-10490.9527455848</v>
      </c>
      <c r="AP89" s="176">
        <f t="shared" si="67"/>
        <v>0</v>
      </c>
      <c r="AQ89" s="176">
        <f>IF(AND(AP89=MAX($AP$14:$AP$109),(SUM($AQ$14:AQ88)=0)),AP89,0)</f>
        <v>0</v>
      </c>
      <c r="AR89" s="176">
        <f t="shared" si="68"/>
        <v>0</v>
      </c>
      <c r="AS89" s="176">
        <f t="shared" si="86"/>
        <v>428</v>
      </c>
      <c r="AT89" s="176">
        <f t="shared" si="78"/>
        <v>15</v>
      </c>
      <c r="AU89" s="176">
        <f t="shared" si="47"/>
        <v>-10490.9527455848</v>
      </c>
      <c r="AV89" s="176">
        <f t="shared" si="69"/>
        <v>0</v>
      </c>
      <c r="AW89" s="176">
        <f>IF(AND(AV89=MAX($AV$14:$AV$109),(SUM($AW$14:AW88)=0)),AV89,0)</f>
        <v>0</v>
      </c>
      <c r="AX89" s="176">
        <f t="shared" si="70"/>
        <v>0</v>
      </c>
      <c r="AY89" s="176">
        <f t="shared" si="79"/>
        <v>428</v>
      </c>
      <c r="AZ89" s="176">
        <f t="shared" si="80"/>
        <v>15</v>
      </c>
      <c r="BA89" s="176">
        <f t="shared" si="48"/>
        <v>-10490.9527455848</v>
      </c>
      <c r="BB89" s="176">
        <f t="shared" si="71"/>
        <v>0</v>
      </c>
      <c r="BC89" s="176">
        <f>IF(AND(BB89=MAX($BB$14:$BB$109),(SUM($BC$14:BC88)=0)),BB89,0)</f>
        <v>0</v>
      </c>
      <c r="BD89" s="176">
        <f t="shared" si="72"/>
        <v>0</v>
      </c>
      <c r="BE89" s="153">
        <v>0.78125</v>
      </c>
      <c r="BG89" s="105"/>
      <c r="BH89" s="105"/>
      <c r="BI89" s="105"/>
      <c r="BJ89" s="105"/>
      <c r="BK89" s="105"/>
      <c r="BL89" s="105"/>
      <c r="BM89" s="105"/>
      <c r="BN89" s="105"/>
      <c r="BO89" s="105"/>
      <c r="BP89" s="105"/>
    </row>
    <row r="90" spans="1:68" ht="10.050000000000001" customHeight="1" x14ac:dyDescent="0.25">
      <c r="A90" s="153">
        <v>0.79166666666666696</v>
      </c>
      <c r="B90" s="177">
        <f>'Data with RTF'!U80</f>
        <v>0</v>
      </c>
      <c r="C90" s="177">
        <f>'Data with RTF'!G80</f>
        <v>0</v>
      </c>
      <c r="D90" s="177">
        <f>'Data with RTF'!N80</f>
        <v>0</v>
      </c>
      <c r="E90" s="177">
        <f>'Data with RTF'!AB80</f>
        <v>0</v>
      </c>
      <c r="F90" s="155">
        <f>IF(OR('Input &amp; Findings'!$G$28='Drop Down Lists'!$E$2,'Input &amp; Findings'!$G$28='Drop Down Lists'!$E$4),SUM(B90:C90),SUM(D90:E90))</f>
        <v>0</v>
      </c>
      <c r="G90" s="155">
        <f t="shared" si="57"/>
        <v>879.23222799999996</v>
      </c>
      <c r="H90" s="155">
        <f t="shared" si="49"/>
        <v>613.77772474000005</v>
      </c>
      <c r="I90" s="155">
        <f>IF(OR('Input &amp; Findings'!$G$39='Drop Down Lists'!$E$3,'Input &amp; Findings'!$G$39='Drop Down Lists'!$E$5),MAX(D90:E90),MAX(B90:C90))</f>
        <v>0</v>
      </c>
      <c r="J90" s="156" t="str">
        <f t="shared" si="84"/>
        <v/>
      </c>
      <c r="K90" s="156" t="str">
        <f t="shared" si="81"/>
        <v/>
      </c>
      <c r="L90" s="176">
        <f t="shared" si="41"/>
        <v>-10879.232228000001</v>
      </c>
      <c r="M90" s="176">
        <f t="shared" si="58"/>
        <v>0</v>
      </c>
      <c r="N90" s="176">
        <f>IF(AND(M90=MAX($M$14:$M$109),(SUM($N$14:N89)=0)),M90,0)</f>
        <v>0</v>
      </c>
      <c r="O90" s="176">
        <f t="shared" si="59"/>
        <v>0</v>
      </c>
      <c r="P90" s="176">
        <f t="shared" si="82"/>
        <v>0</v>
      </c>
      <c r="Q90" s="176">
        <f t="shared" si="83"/>
        <v>0</v>
      </c>
      <c r="R90" s="176">
        <f t="shared" si="42"/>
        <v>-10879.232228000001</v>
      </c>
      <c r="S90" s="176">
        <f t="shared" si="60"/>
        <v>0</v>
      </c>
      <c r="T90" s="176">
        <f>IF(AND(S90=MAX($S$14:$S$109),(SUM($T$14:T89)=0)),S90,0)</f>
        <v>0</v>
      </c>
      <c r="U90" s="176">
        <f t="shared" si="61"/>
        <v>0</v>
      </c>
      <c r="V90" s="176">
        <f t="shared" si="85"/>
        <v>0</v>
      </c>
      <c r="W90" s="176">
        <f t="shared" si="73"/>
        <v>0</v>
      </c>
      <c r="X90" s="176">
        <f t="shared" si="43"/>
        <v>-10879.232228000001</v>
      </c>
      <c r="Y90" s="176">
        <f t="shared" si="62"/>
        <v>0</v>
      </c>
      <c r="Z90" s="176">
        <f>IF(AND(Y90=MAX($Y$14:$Y$109),(SUM($Z$14:Z89)=0)),Y90,0)</f>
        <v>0</v>
      </c>
      <c r="AA90" s="176">
        <f t="shared" si="63"/>
        <v>0</v>
      </c>
      <c r="AB90" s="176">
        <f t="shared" si="74"/>
        <v>0</v>
      </c>
      <c r="AC90" s="176">
        <f t="shared" si="75"/>
        <v>0</v>
      </c>
      <c r="AD90" s="176">
        <f t="shared" si="44"/>
        <v>-10879.232228000001</v>
      </c>
      <c r="AE90" s="176">
        <f t="shared" si="64"/>
        <v>0</v>
      </c>
      <c r="AF90" s="176">
        <f>IF(AND(AE90=MAX($AE$14:$AE$109),(SUM($AF$14:AF89)=0)),AE90,0)</f>
        <v>0</v>
      </c>
      <c r="AG90" s="176">
        <f t="shared" si="65"/>
        <v>0</v>
      </c>
      <c r="AH90" s="155">
        <f t="shared" si="55"/>
        <v>627.26</v>
      </c>
      <c r="AI90" s="176">
        <f t="shared" si="45"/>
        <v>-10879.232228000001</v>
      </c>
      <c r="AJ90" s="176">
        <f t="shared" si="56"/>
        <v>0</v>
      </c>
      <c r="AK90" s="176">
        <f>IF(AND(AJ90=MAX($AJ$14:$AJ$109),(SUM($AK$14:AK89)=0)),AJ90,0)</f>
        <v>0</v>
      </c>
      <c r="AL90" s="176">
        <f t="shared" si="66"/>
        <v>0</v>
      </c>
      <c r="AM90" s="176">
        <f t="shared" si="76"/>
        <v>0</v>
      </c>
      <c r="AN90" s="176">
        <f t="shared" si="77"/>
        <v>0</v>
      </c>
      <c r="AO90" s="176">
        <f t="shared" si="46"/>
        <v>-10879.232228000001</v>
      </c>
      <c r="AP90" s="176">
        <f t="shared" si="67"/>
        <v>0</v>
      </c>
      <c r="AQ90" s="176">
        <f>IF(AND(AP90=MAX($AP$14:$AP$109),(SUM($AQ$14:AQ89)=0)),AP90,0)</f>
        <v>0</v>
      </c>
      <c r="AR90" s="176">
        <f t="shared" si="68"/>
        <v>0</v>
      </c>
      <c r="AS90" s="176">
        <f t="shared" si="86"/>
        <v>0</v>
      </c>
      <c r="AT90" s="176">
        <f t="shared" si="78"/>
        <v>0</v>
      </c>
      <c r="AU90" s="176">
        <f t="shared" si="47"/>
        <v>-10879.232228000001</v>
      </c>
      <c r="AV90" s="176">
        <f t="shared" si="69"/>
        <v>0</v>
      </c>
      <c r="AW90" s="176">
        <f>IF(AND(AV90=MAX($AV$14:$AV$109),(SUM($AW$14:AW89)=0)),AV90,0)</f>
        <v>0</v>
      </c>
      <c r="AX90" s="176">
        <f t="shared" si="70"/>
        <v>0</v>
      </c>
      <c r="AY90" s="176">
        <f t="shared" si="79"/>
        <v>0</v>
      </c>
      <c r="AZ90" s="176">
        <f t="shared" si="80"/>
        <v>0</v>
      </c>
      <c r="BA90" s="176">
        <f t="shared" si="48"/>
        <v>-10879.232228000001</v>
      </c>
      <c r="BB90" s="176">
        <f t="shared" si="71"/>
        <v>0</v>
      </c>
      <c r="BC90" s="176">
        <f>IF(AND(BB90=MAX($BB$14:$BB$109),(SUM($BC$14:BC89)=0)),BB90,0)</f>
        <v>0</v>
      </c>
      <c r="BD90" s="176">
        <f t="shared" si="72"/>
        <v>0</v>
      </c>
      <c r="BE90" s="153">
        <v>0.79166666666666696</v>
      </c>
      <c r="BG90" s="105"/>
      <c r="BH90" s="105"/>
      <c r="BI90" s="105"/>
      <c r="BJ90" s="105"/>
      <c r="BK90" s="105"/>
      <c r="BL90" s="105"/>
      <c r="BM90" s="105"/>
      <c r="BN90" s="105"/>
      <c r="BO90" s="105"/>
      <c r="BP90" s="105"/>
    </row>
    <row r="91" spans="1:68" ht="10.050000000000001" customHeight="1" x14ac:dyDescent="0.25">
      <c r="A91" s="153">
        <v>0.80208333333333304</v>
      </c>
      <c r="B91" s="177">
        <f>'Data with RTF'!U81</f>
        <v>0</v>
      </c>
      <c r="C91" s="177">
        <f>'Data with RTF'!G81</f>
        <v>0</v>
      </c>
      <c r="D91" s="177">
        <f>'Data with RTF'!N81</f>
        <v>0</v>
      </c>
      <c r="E91" s="177">
        <f>'Data with RTF'!AB81</f>
        <v>0</v>
      </c>
      <c r="F91" s="155">
        <f>IF(OR('Input &amp; Findings'!$G$28='Drop Down Lists'!$E$2,'Input &amp; Findings'!$G$28='Drop Down Lists'!$E$4),SUM(B91:C91),SUM(D91:E91))</f>
        <v>0</v>
      </c>
      <c r="G91" s="155">
        <f t="shared" si="57"/>
        <v>879.23222799999996</v>
      </c>
      <c r="H91" s="155">
        <f t="shared" si="49"/>
        <v>613.77772474000005</v>
      </c>
      <c r="I91" s="155">
        <f>IF(OR('Input &amp; Findings'!$G$39='Drop Down Lists'!$E$3,'Input &amp; Findings'!$G$39='Drop Down Lists'!$E$5),MAX(D91:E91),MAX(B91:C91))</f>
        <v>0</v>
      </c>
      <c r="J91" s="156" t="str">
        <f t="shared" si="84"/>
        <v/>
      </c>
      <c r="K91" s="156" t="str">
        <f t="shared" si="81"/>
        <v/>
      </c>
      <c r="L91" s="176">
        <f t="shared" si="41"/>
        <v>-10879.232228000001</v>
      </c>
      <c r="M91" s="176">
        <f t="shared" si="58"/>
        <v>0</v>
      </c>
      <c r="N91" s="176">
        <f>IF(AND(M91=MAX($M$14:$M$109),(SUM($N$14:N90)=0)),M91,0)</f>
        <v>0</v>
      </c>
      <c r="O91" s="176">
        <f t="shared" si="59"/>
        <v>0</v>
      </c>
      <c r="P91" s="176">
        <f t="shared" si="82"/>
        <v>0</v>
      </c>
      <c r="Q91" s="176">
        <f t="shared" si="83"/>
        <v>0</v>
      </c>
      <c r="R91" s="176">
        <f t="shared" si="42"/>
        <v>-10879.232228000001</v>
      </c>
      <c r="S91" s="176">
        <f t="shared" si="60"/>
        <v>0</v>
      </c>
      <c r="T91" s="176">
        <f>IF(AND(S91=MAX($S$14:$S$109),(SUM($T$14:T90)=0)),S91,0)</f>
        <v>0</v>
      </c>
      <c r="U91" s="176">
        <f t="shared" si="61"/>
        <v>0</v>
      </c>
      <c r="V91" s="176">
        <f t="shared" si="85"/>
        <v>0</v>
      </c>
      <c r="W91" s="176">
        <f t="shared" si="73"/>
        <v>0</v>
      </c>
      <c r="X91" s="176">
        <f t="shared" si="43"/>
        <v>-10879.232228000001</v>
      </c>
      <c r="Y91" s="176">
        <f t="shared" si="62"/>
        <v>0</v>
      </c>
      <c r="Z91" s="176">
        <f>IF(AND(Y91=MAX($Y$14:$Y$109),(SUM($Z$14:Z90)=0)),Y91,0)</f>
        <v>0</v>
      </c>
      <c r="AA91" s="176">
        <f t="shared" si="63"/>
        <v>0</v>
      </c>
      <c r="AB91" s="176">
        <f t="shared" si="74"/>
        <v>0</v>
      </c>
      <c r="AC91" s="176">
        <f t="shared" si="75"/>
        <v>0</v>
      </c>
      <c r="AD91" s="176">
        <f t="shared" si="44"/>
        <v>-10879.232228000001</v>
      </c>
      <c r="AE91" s="176">
        <f t="shared" si="64"/>
        <v>0</v>
      </c>
      <c r="AF91" s="176">
        <f>IF(AND(AE91=MAX($AE$14:$AE$109),(SUM($AF$14:AF90)=0)),AE91,0)</f>
        <v>0</v>
      </c>
      <c r="AG91" s="176">
        <f t="shared" si="65"/>
        <v>0</v>
      </c>
      <c r="AH91" s="155">
        <f t="shared" si="55"/>
        <v>627.26</v>
      </c>
      <c r="AI91" s="176">
        <f t="shared" si="45"/>
        <v>-10879.232228000001</v>
      </c>
      <c r="AJ91" s="176">
        <f t="shared" si="56"/>
        <v>0</v>
      </c>
      <c r="AK91" s="176">
        <f>IF(AND(AJ91=MAX($AJ$14:$AJ$109),(SUM($AK$14:AK90)=0)),AJ91,0)</f>
        <v>0</v>
      </c>
      <c r="AL91" s="176">
        <f t="shared" si="66"/>
        <v>0</v>
      </c>
      <c r="AM91" s="176">
        <f t="shared" si="76"/>
        <v>0</v>
      </c>
      <c r="AN91" s="176">
        <f t="shared" si="77"/>
        <v>0</v>
      </c>
      <c r="AO91" s="176">
        <f t="shared" si="46"/>
        <v>-10879.232228000001</v>
      </c>
      <c r="AP91" s="176">
        <f t="shared" si="67"/>
        <v>0</v>
      </c>
      <c r="AQ91" s="176">
        <f>IF(AND(AP91=MAX($AP$14:$AP$109),(SUM($AQ$14:AQ90)=0)),AP91,0)</f>
        <v>0</v>
      </c>
      <c r="AR91" s="176">
        <f t="shared" si="68"/>
        <v>0</v>
      </c>
      <c r="AS91" s="176">
        <f t="shared" si="86"/>
        <v>0</v>
      </c>
      <c r="AT91" s="176">
        <f t="shared" si="78"/>
        <v>0</v>
      </c>
      <c r="AU91" s="176">
        <f t="shared" si="47"/>
        <v>-10879.232228000001</v>
      </c>
      <c r="AV91" s="176">
        <f t="shared" si="69"/>
        <v>0</v>
      </c>
      <c r="AW91" s="176">
        <f>IF(AND(AV91=MAX($AV$14:$AV$109),(SUM($AW$14:AW90)=0)),AV91,0)</f>
        <v>0</v>
      </c>
      <c r="AX91" s="176">
        <f t="shared" si="70"/>
        <v>0</v>
      </c>
      <c r="AY91" s="176">
        <f t="shared" si="79"/>
        <v>0</v>
      </c>
      <c r="AZ91" s="176">
        <f t="shared" si="80"/>
        <v>0</v>
      </c>
      <c r="BA91" s="176">
        <f t="shared" si="48"/>
        <v>-10879.232228000001</v>
      </c>
      <c r="BB91" s="176">
        <f t="shared" si="71"/>
        <v>0</v>
      </c>
      <c r="BC91" s="176">
        <f>IF(AND(BB91=MAX($BB$14:$BB$109),(SUM($BC$14:BC90)=0)),BB91,0)</f>
        <v>0</v>
      </c>
      <c r="BD91" s="176">
        <f t="shared" si="72"/>
        <v>0</v>
      </c>
      <c r="BE91" s="153">
        <v>0.80208333333333304</v>
      </c>
      <c r="BG91" s="105"/>
      <c r="BH91" s="105"/>
      <c r="BI91" s="105"/>
      <c r="BJ91" s="105"/>
      <c r="BK91" s="105"/>
      <c r="BL91" s="105"/>
      <c r="BM91" s="105"/>
      <c r="BN91" s="105"/>
      <c r="BO91" s="105"/>
      <c r="BP91" s="105"/>
    </row>
    <row r="92" spans="1:68" ht="10.050000000000001" customHeight="1" x14ac:dyDescent="0.25">
      <c r="A92" s="153">
        <v>0.8125</v>
      </c>
      <c r="B92" s="177">
        <f>'Data with RTF'!U82</f>
        <v>0</v>
      </c>
      <c r="C92" s="177">
        <f>'Data with RTF'!G82</f>
        <v>0</v>
      </c>
      <c r="D92" s="177">
        <f>'Data with RTF'!N82</f>
        <v>0</v>
      </c>
      <c r="E92" s="177">
        <f>'Data with RTF'!AB82</f>
        <v>0</v>
      </c>
      <c r="F92" s="155">
        <f>IF(OR('Input &amp; Findings'!$G$28='Drop Down Lists'!$E$2,'Input &amp; Findings'!$G$28='Drop Down Lists'!$E$4),SUM(B92:C92),SUM(D92:E92))</f>
        <v>0</v>
      </c>
      <c r="G92" s="155">
        <f t="shared" si="57"/>
        <v>879.23222799999996</v>
      </c>
      <c r="H92" s="155">
        <f t="shared" si="49"/>
        <v>613.77772474000005</v>
      </c>
      <c r="I92" s="155">
        <f>IF(OR('Input &amp; Findings'!$G$39='Drop Down Lists'!$E$3,'Input &amp; Findings'!$G$39='Drop Down Lists'!$E$5),MAX(D92:E92),MAX(B92:C92))</f>
        <v>0</v>
      </c>
      <c r="J92" s="156" t="str">
        <f t="shared" si="84"/>
        <v/>
      </c>
      <c r="K92" s="156" t="str">
        <f t="shared" si="81"/>
        <v/>
      </c>
      <c r="L92" s="176">
        <f t="shared" si="41"/>
        <v>-10879.232228000001</v>
      </c>
      <c r="M92" s="176">
        <f t="shared" si="58"/>
        <v>0</v>
      </c>
      <c r="N92" s="176">
        <f>IF(AND(M92=MAX($M$14:$M$109),(SUM($N$14:N91)=0)),M92,0)</f>
        <v>0</v>
      </c>
      <c r="O92" s="176">
        <f t="shared" si="59"/>
        <v>0</v>
      </c>
      <c r="P92" s="176">
        <f t="shared" si="82"/>
        <v>0</v>
      </c>
      <c r="Q92" s="176">
        <f t="shared" si="83"/>
        <v>0</v>
      </c>
      <c r="R92" s="176">
        <f t="shared" si="42"/>
        <v>-10879.232228000001</v>
      </c>
      <c r="S92" s="176">
        <f t="shared" si="60"/>
        <v>0</v>
      </c>
      <c r="T92" s="176">
        <f>IF(AND(S92=MAX($S$14:$S$109),(SUM($T$14:T91)=0)),S92,0)</f>
        <v>0</v>
      </c>
      <c r="U92" s="176">
        <f t="shared" si="61"/>
        <v>0</v>
      </c>
      <c r="V92" s="176">
        <f t="shared" si="85"/>
        <v>0</v>
      </c>
      <c r="W92" s="176">
        <f t="shared" si="73"/>
        <v>0</v>
      </c>
      <c r="X92" s="176">
        <f t="shared" si="43"/>
        <v>-10879.232228000001</v>
      </c>
      <c r="Y92" s="176">
        <f t="shared" si="62"/>
        <v>0</v>
      </c>
      <c r="Z92" s="176">
        <f>IF(AND(Y92=MAX($Y$14:$Y$109),(SUM($Z$14:Z91)=0)),Y92,0)</f>
        <v>0</v>
      </c>
      <c r="AA92" s="176">
        <f t="shared" si="63"/>
        <v>0</v>
      </c>
      <c r="AB92" s="176">
        <f t="shared" si="74"/>
        <v>0</v>
      </c>
      <c r="AC92" s="176">
        <f t="shared" si="75"/>
        <v>0</v>
      </c>
      <c r="AD92" s="176">
        <f t="shared" si="44"/>
        <v>-10879.232228000001</v>
      </c>
      <c r="AE92" s="176">
        <f t="shared" si="64"/>
        <v>0</v>
      </c>
      <c r="AF92" s="176">
        <f>IF(AND(AE92=MAX($AE$14:$AE$109),(SUM($AF$14:AF91)=0)),AE92,0)</f>
        <v>0</v>
      </c>
      <c r="AG92" s="176">
        <f t="shared" si="65"/>
        <v>0</v>
      </c>
      <c r="AH92" s="155">
        <f t="shared" si="55"/>
        <v>627.26</v>
      </c>
      <c r="AI92" s="176">
        <f t="shared" si="45"/>
        <v>-10879.232228000001</v>
      </c>
      <c r="AJ92" s="176">
        <f t="shared" si="56"/>
        <v>0</v>
      </c>
      <c r="AK92" s="176">
        <f>IF(AND(AJ92=MAX($AJ$14:$AJ$109),(SUM($AK$14:AK91)=0)),AJ92,0)</f>
        <v>0</v>
      </c>
      <c r="AL92" s="176">
        <f t="shared" si="66"/>
        <v>0</v>
      </c>
      <c r="AM92" s="176">
        <f t="shared" si="76"/>
        <v>0</v>
      </c>
      <c r="AN92" s="176">
        <f t="shared" si="77"/>
        <v>0</v>
      </c>
      <c r="AO92" s="176">
        <f t="shared" si="46"/>
        <v>-10879.232228000001</v>
      </c>
      <c r="AP92" s="176">
        <f t="shared" si="67"/>
        <v>0</v>
      </c>
      <c r="AQ92" s="176">
        <f>IF(AND(AP92=MAX($AP$14:$AP$109),(SUM($AQ$14:AQ91)=0)),AP92,0)</f>
        <v>0</v>
      </c>
      <c r="AR92" s="176">
        <f t="shared" si="68"/>
        <v>0</v>
      </c>
      <c r="AS92" s="176">
        <f t="shared" si="86"/>
        <v>0</v>
      </c>
      <c r="AT92" s="176">
        <f t="shared" si="78"/>
        <v>0</v>
      </c>
      <c r="AU92" s="176">
        <f t="shared" si="47"/>
        <v>-10879.232228000001</v>
      </c>
      <c r="AV92" s="176">
        <f t="shared" si="69"/>
        <v>0</v>
      </c>
      <c r="AW92" s="176">
        <f>IF(AND(AV92=MAX($AV$14:$AV$109),(SUM($AW$14:AW91)=0)),AV92,0)</f>
        <v>0</v>
      </c>
      <c r="AX92" s="176">
        <f t="shared" si="70"/>
        <v>0</v>
      </c>
      <c r="AY92" s="176">
        <f t="shared" si="79"/>
        <v>0</v>
      </c>
      <c r="AZ92" s="176">
        <f t="shared" si="80"/>
        <v>0</v>
      </c>
      <c r="BA92" s="176">
        <f t="shared" si="48"/>
        <v>-10879.232228000001</v>
      </c>
      <c r="BB92" s="176">
        <f t="shared" si="71"/>
        <v>0</v>
      </c>
      <c r="BC92" s="176">
        <f>IF(AND(BB92=MAX($BB$14:$BB$109),(SUM($BC$14:BC91)=0)),BB92,0)</f>
        <v>0</v>
      </c>
      <c r="BD92" s="176">
        <f t="shared" si="72"/>
        <v>0</v>
      </c>
      <c r="BE92" s="153">
        <v>0.8125</v>
      </c>
      <c r="BG92" s="105"/>
      <c r="BH92" s="105"/>
      <c r="BI92" s="105"/>
      <c r="BJ92" s="105"/>
      <c r="BK92" s="105"/>
      <c r="BL92" s="297" t="s">
        <v>323</v>
      </c>
      <c r="BM92" s="296" t="str">
        <f>IF('Input &amp; Findings'!F20="No",IF(K4&gt;3, "Yes","No"),IF(AND(K9="No",K4&gt;3),"Yes",IF(AND(K9="Yes",OR(K6&gt;3,K4&gt;3)),"Yes","No")))</f>
        <v>Yes</v>
      </c>
      <c r="BN92" s="105"/>
      <c r="BO92" s="105"/>
      <c r="BP92" s="105"/>
    </row>
    <row r="93" spans="1:68" ht="9.75" customHeight="1" x14ac:dyDescent="0.25">
      <c r="A93" s="153">
        <v>0.82291666666666696</v>
      </c>
      <c r="B93" s="177">
        <f>'Data with RTF'!U83</f>
        <v>0</v>
      </c>
      <c r="C93" s="177">
        <f>'Data with RTF'!G83</f>
        <v>0</v>
      </c>
      <c r="D93" s="177">
        <f>'Data with RTF'!N83</f>
        <v>0</v>
      </c>
      <c r="E93" s="177">
        <f>'Data with RTF'!AB83</f>
        <v>0</v>
      </c>
      <c r="F93" s="155">
        <f>IF(OR('Input &amp; Findings'!$G$28='Drop Down Lists'!$E$2,'Input &amp; Findings'!$G$28='Drop Down Lists'!$E$4),SUM(B93:C93),SUM(D93:E93))</f>
        <v>0</v>
      </c>
      <c r="G93" s="155">
        <f t="shared" si="57"/>
        <v>879.23222799999996</v>
      </c>
      <c r="H93" s="155">
        <f t="shared" si="49"/>
        <v>613.77772474000005</v>
      </c>
      <c r="I93" s="155">
        <f>IF(OR('Input &amp; Findings'!$G$39='Drop Down Lists'!$E$3,'Input &amp; Findings'!$G$39='Drop Down Lists'!$E$5),MAX(D93:E93),MAX(B93:C93))</f>
        <v>0</v>
      </c>
      <c r="J93" s="156" t="str">
        <f t="shared" si="84"/>
        <v/>
      </c>
      <c r="K93" s="156" t="str">
        <f t="shared" si="81"/>
        <v/>
      </c>
      <c r="L93" s="176">
        <f t="shared" si="41"/>
        <v>-10879.232228000001</v>
      </c>
      <c r="M93" s="176">
        <f t="shared" si="58"/>
        <v>0</v>
      </c>
      <c r="N93" s="176">
        <f>IF(AND(M93=MAX($M$14:$M$109),(SUM($N$14:N92)=0)),M93,0)</f>
        <v>0</v>
      </c>
      <c r="O93" s="176">
        <f t="shared" si="59"/>
        <v>0</v>
      </c>
      <c r="P93" s="176">
        <f t="shared" si="82"/>
        <v>0</v>
      </c>
      <c r="Q93" s="176">
        <f t="shared" si="83"/>
        <v>0</v>
      </c>
      <c r="R93" s="176">
        <f t="shared" si="42"/>
        <v>-10879.232228000001</v>
      </c>
      <c r="S93" s="176">
        <f t="shared" si="60"/>
        <v>0</v>
      </c>
      <c r="T93" s="176">
        <f>IF(AND(S93=MAX($S$14:$S$109),(SUM($T$14:T92)=0)),S93,0)</f>
        <v>0</v>
      </c>
      <c r="U93" s="176">
        <f t="shared" si="61"/>
        <v>0</v>
      </c>
      <c r="V93" s="176">
        <f t="shared" si="85"/>
        <v>0</v>
      </c>
      <c r="W93" s="176">
        <f t="shared" si="73"/>
        <v>0</v>
      </c>
      <c r="X93" s="176">
        <f t="shared" si="43"/>
        <v>-10879.232228000001</v>
      </c>
      <c r="Y93" s="176">
        <f t="shared" si="62"/>
        <v>0</v>
      </c>
      <c r="Z93" s="176">
        <f>IF(AND(Y93=MAX($Y$14:$Y$109),(SUM($Z$14:Z92)=0)),Y93,0)</f>
        <v>0</v>
      </c>
      <c r="AA93" s="176">
        <f t="shared" si="63"/>
        <v>0</v>
      </c>
      <c r="AB93" s="176">
        <f t="shared" si="74"/>
        <v>0</v>
      </c>
      <c r="AC93" s="176">
        <f t="shared" si="75"/>
        <v>0</v>
      </c>
      <c r="AD93" s="176">
        <f t="shared" si="44"/>
        <v>-10879.232228000001</v>
      </c>
      <c r="AE93" s="176">
        <f t="shared" si="64"/>
        <v>0</v>
      </c>
      <c r="AF93" s="176">
        <f>IF(AND(AE93=MAX($AE$14:$AE$109),(SUM($AF$14:AF92)=0)),AE93,0)</f>
        <v>0</v>
      </c>
      <c r="AG93" s="176">
        <f t="shared" si="65"/>
        <v>0</v>
      </c>
      <c r="AH93" s="155">
        <f t="shared" si="55"/>
        <v>627.26</v>
      </c>
      <c r="AI93" s="176">
        <f t="shared" si="45"/>
        <v>-10879.232228000001</v>
      </c>
      <c r="AJ93" s="176">
        <f t="shared" si="56"/>
        <v>0</v>
      </c>
      <c r="AK93" s="176">
        <f>IF(AND(AJ93=MAX($AJ$14:$AJ$109),(SUM($AK$14:AK92)=0)),AJ93,0)</f>
        <v>0</v>
      </c>
      <c r="AL93" s="176">
        <f t="shared" si="66"/>
        <v>0</v>
      </c>
      <c r="AM93" s="176">
        <f t="shared" si="76"/>
        <v>0</v>
      </c>
      <c r="AN93" s="176">
        <f t="shared" si="77"/>
        <v>0</v>
      </c>
      <c r="AO93" s="176">
        <f t="shared" si="46"/>
        <v>-10879.232228000001</v>
      </c>
      <c r="AP93" s="176">
        <f t="shared" si="67"/>
        <v>0</v>
      </c>
      <c r="AQ93" s="176">
        <f>IF(AND(AP93=MAX($AP$14:$AP$109),(SUM($AQ$14:AQ92)=0)),AP93,0)</f>
        <v>0</v>
      </c>
      <c r="AR93" s="176">
        <f t="shared" si="68"/>
        <v>0</v>
      </c>
      <c r="AS93" s="176">
        <f t="shared" si="86"/>
        <v>0</v>
      </c>
      <c r="AT93" s="176">
        <f t="shared" si="78"/>
        <v>0</v>
      </c>
      <c r="AU93" s="176">
        <f t="shared" si="47"/>
        <v>-10879.232228000001</v>
      </c>
      <c r="AV93" s="176">
        <f t="shared" si="69"/>
        <v>0</v>
      </c>
      <c r="AW93" s="176">
        <f>IF(AND(AV93=MAX($AV$14:$AV$109),(SUM($AW$14:AW92)=0)),AV93,0)</f>
        <v>0</v>
      </c>
      <c r="AX93" s="176">
        <f t="shared" si="70"/>
        <v>0</v>
      </c>
      <c r="AY93" s="176">
        <f t="shared" si="79"/>
        <v>0</v>
      </c>
      <c r="AZ93" s="176">
        <f t="shared" si="80"/>
        <v>0</v>
      </c>
      <c r="BA93" s="176">
        <f t="shared" si="48"/>
        <v>-10879.232228000001</v>
      </c>
      <c r="BB93" s="176">
        <f t="shared" si="71"/>
        <v>0</v>
      </c>
      <c r="BC93" s="176">
        <f>IF(AND(BB93=MAX($BB$14:$BB$109),(SUM($BC$14:BC92)=0)),BB93,0)</f>
        <v>0</v>
      </c>
      <c r="BD93" s="176">
        <f t="shared" si="72"/>
        <v>0</v>
      </c>
      <c r="BE93" s="153">
        <v>0.82291666666666696</v>
      </c>
      <c r="BG93" s="105"/>
      <c r="BH93" s="105"/>
      <c r="BI93" s="105"/>
      <c r="BJ93" s="105"/>
      <c r="BK93" s="105"/>
      <c r="BL93" s="105"/>
      <c r="BM93" s="105"/>
      <c r="BN93" s="105"/>
      <c r="BO93" s="105"/>
      <c r="BP93" s="105"/>
    </row>
    <row r="94" spans="1:68" ht="10.050000000000001" customHeight="1" x14ac:dyDescent="0.25">
      <c r="A94" s="153">
        <v>0.83333333333333304</v>
      </c>
      <c r="B94" s="177">
        <f>'Data with RTF'!U84</f>
        <v>0</v>
      </c>
      <c r="C94" s="177">
        <f>'Data with RTF'!G84</f>
        <v>0</v>
      </c>
      <c r="D94" s="177">
        <f>'Data with RTF'!N84</f>
        <v>0</v>
      </c>
      <c r="E94" s="177">
        <f>'Data with RTF'!AB84</f>
        <v>0</v>
      </c>
      <c r="F94" s="155">
        <f>IF(OR('Input &amp; Findings'!$G$28='Drop Down Lists'!$E$2,'Input &amp; Findings'!$G$28='Drop Down Lists'!$E$4),SUM(B94:C94),SUM(D94:E94))</f>
        <v>0</v>
      </c>
      <c r="G94" s="155">
        <f t="shared" si="57"/>
        <v>879.23222799999996</v>
      </c>
      <c r="H94" s="155">
        <f t="shared" si="49"/>
        <v>613.77772474000005</v>
      </c>
      <c r="I94" s="155">
        <f>IF(OR('Input &amp; Findings'!$G$39='Drop Down Lists'!$E$3,'Input &amp; Findings'!$G$39='Drop Down Lists'!$E$5),MAX(D94:E94),MAX(B94:C94))</f>
        <v>0</v>
      </c>
      <c r="J94" s="156" t="str">
        <f t="shared" si="84"/>
        <v/>
      </c>
      <c r="K94" s="156" t="str">
        <f t="shared" si="81"/>
        <v/>
      </c>
      <c r="L94" s="176">
        <f t="shared" si="41"/>
        <v>-10879.232228000001</v>
      </c>
      <c r="M94" s="176">
        <f t="shared" si="58"/>
        <v>0</v>
      </c>
      <c r="N94" s="176">
        <f>IF(AND(M94=MAX($M$14:$M$109),(SUM($N$14:N93)=0)),M94,0)</f>
        <v>0</v>
      </c>
      <c r="O94" s="176">
        <f t="shared" si="59"/>
        <v>0</v>
      </c>
      <c r="P94" s="176">
        <f t="shared" si="82"/>
        <v>0</v>
      </c>
      <c r="Q94" s="176">
        <f t="shared" si="83"/>
        <v>0</v>
      </c>
      <c r="R94" s="176">
        <f t="shared" si="42"/>
        <v>-10879.232228000001</v>
      </c>
      <c r="S94" s="176">
        <f t="shared" si="60"/>
        <v>0</v>
      </c>
      <c r="T94" s="176">
        <f>IF(AND(S94=MAX($S$14:$S$109),(SUM($T$14:T93)=0)),S94,0)</f>
        <v>0</v>
      </c>
      <c r="U94" s="176">
        <f t="shared" si="61"/>
        <v>0</v>
      </c>
      <c r="V94" s="176">
        <f t="shared" si="85"/>
        <v>0</v>
      </c>
      <c r="W94" s="176">
        <f t="shared" si="73"/>
        <v>0</v>
      </c>
      <c r="X94" s="176">
        <f t="shared" si="43"/>
        <v>-10879.232228000001</v>
      </c>
      <c r="Y94" s="176">
        <f t="shared" si="62"/>
        <v>0</v>
      </c>
      <c r="Z94" s="176">
        <f>IF(AND(Y94=MAX($Y$14:$Y$109),(SUM($Z$14:Z93)=0)),Y94,0)</f>
        <v>0</v>
      </c>
      <c r="AA94" s="176">
        <f t="shared" si="63"/>
        <v>0</v>
      </c>
      <c r="AB94" s="176">
        <f t="shared" si="74"/>
        <v>0</v>
      </c>
      <c r="AC94" s="176">
        <f t="shared" si="75"/>
        <v>0</v>
      </c>
      <c r="AD94" s="176">
        <f t="shared" si="44"/>
        <v>-10879.232228000001</v>
      </c>
      <c r="AE94" s="176">
        <f t="shared" si="64"/>
        <v>0</v>
      </c>
      <c r="AF94" s="176">
        <f>IF(AND(AE94=MAX($AE$14:$AE$109),(SUM($AF$14:AF93)=0)),AE94,0)</f>
        <v>0</v>
      </c>
      <c r="AG94" s="176">
        <f t="shared" si="65"/>
        <v>0</v>
      </c>
      <c r="AH94" s="155">
        <f t="shared" si="55"/>
        <v>627.26</v>
      </c>
      <c r="AI94" s="176">
        <f t="shared" si="45"/>
        <v>-10879.232228000001</v>
      </c>
      <c r="AJ94" s="176">
        <f t="shared" si="56"/>
        <v>0</v>
      </c>
      <c r="AK94" s="176">
        <f>IF(AND(AJ94=MAX($AJ$14:$AJ$109),(SUM($AK$14:AK93)=0)),AJ94,0)</f>
        <v>0</v>
      </c>
      <c r="AL94" s="176">
        <f t="shared" si="66"/>
        <v>0</v>
      </c>
      <c r="AM94" s="176">
        <f t="shared" si="76"/>
        <v>0</v>
      </c>
      <c r="AN94" s="176">
        <f t="shared" si="77"/>
        <v>0</v>
      </c>
      <c r="AO94" s="176">
        <f t="shared" si="46"/>
        <v>-10879.232228000001</v>
      </c>
      <c r="AP94" s="176">
        <f t="shared" si="67"/>
        <v>0</v>
      </c>
      <c r="AQ94" s="176">
        <f>IF(AND(AP94=MAX($AP$14:$AP$109),(SUM($AQ$14:AQ93)=0)),AP94,0)</f>
        <v>0</v>
      </c>
      <c r="AR94" s="176">
        <f t="shared" si="68"/>
        <v>0</v>
      </c>
      <c r="AS94" s="176">
        <f t="shared" si="86"/>
        <v>0</v>
      </c>
      <c r="AT94" s="176">
        <f t="shared" si="78"/>
        <v>0</v>
      </c>
      <c r="AU94" s="176">
        <f t="shared" si="47"/>
        <v>-10879.232228000001</v>
      </c>
      <c r="AV94" s="176">
        <f t="shared" si="69"/>
        <v>0</v>
      </c>
      <c r="AW94" s="176">
        <f>IF(AND(AV94=MAX($AV$14:$AV$109),(SUM($AW$14:AW93)=0)),AV94,0)</f>
        <v>0</v>
      </c>
      <c r="AX94" s="176">
        <f t="shared" si="70"/>
        <v>0</v>
      </c>
      <c r="AY94" s="176">
        <f t="shared" si="79"/>
        <v>0</v>
      </c>
      <c r="AZ94" s="176">
        <f t="shared" si="80"/>
        <v>0</v>
      </c>
      <c r="BA94" s="176">
        <f t="shared" si="48"/>
        <v>-10879.232228000001</v>
      </c>
      <c r="BB94" s="176">
        <f t="shared" si="71"/>
        <v>0</v>
      </c>
      <c r="BC94" s="176">
        <f>IF(AND(BB94=MAX($BB$14:$BB$109),(SUM($BC$14:BC93)=0)),BB94,0)</f>
        <v>0</v>
      </c>
      <c r="BD94" s="176">
        <f t="shared" si="72"/>
        <v>0</v>
      </c>
      <c r="BE94" s="153">
        <v>0.83333333333333304</v>
      </c>
      <c r="BG94" s="105"/>
      <c r="BH94" s="105"/>
      <c r="BI94" s="105"/>
      <c r="BJ94" s="105"/>
      <c r="BK94" s="105"/>
      <c r="BL94" s="105"/>
      <c r="BM94" s="105"/>
      <c r="BN94" s="105"/>
      <c r="BO94" s="105"/>
      <c r="BP94" s="105"/>
    </row>
    <row r="95" spans="1:68" ht="10.050000000000001" hidden="1" customHeight="1" x14ac:dyDescent="0.25">
      <c r="A95" s="153">
        <v>0.84375</v>
      </c>
      <c r="B95" s="177">
        <f>'Data with RTF'!U85</f>
        <v>0</v>
      </c>
      <c r="C95" s="177">
        <f>'Data with RTF'!G85</f>
        <v>0</v>
      </c>
      <c r="D95" s="177">
        <f>'Data with RTF'!N85</f>
        <v>0</v>
      </c>
      <c r="E95" s="177">
        <f>'Data with RTF'!AB85</f>
        <v>0</v>
      </c>
      <c r="F95" s="155">
        <f>IF(OR('Input &amp; Findings'!$G$28='Drop Down Lists'!$E$2,'Input &amp; Findings'!$G$28='Drop Down Lists'!$E$4),SUM(B95:C95),SUM(D95:E95))</f>
        <v>0</v>
      </c>
      <c r="G95" s="155">
        <f t="shared" si="57"/>
        <v>879.23222799999996</v>
      </c>
      <c r="H95" s="155">
        <f t="shared" si="49"/>
        <v>613.77772474000005</v>
      </c>
      <c r="I95" s="155">
        <f>IF(OR('Input &amp; Findings'!$G$39='Drop Down Lists'!$E$3,'Input &amp; Findings'!$G$39='Drop Down Lists'!$E$5),MAX(D95:E95),MAX(B95:C95))</f>
        <v>0</v>
      </c>
      <c r="J95" s="156" t="str">
        <f t="shared" si="84"/>
        <v/>
      </c>
      <c r="K95" s="156" t="str">
        <f t="shared" si="81"/>
        <v/>
      </c>
      <c r="L95" s="176">
        <f t="shared" si="41"/>
        <v>-10879.232228000001</v>
      </c>
      <c r="M95" s="176">
        <f t="shared" si="58"/>
        <v>0</v>
      </c>
      <c r="N95" s="176">
        <f>IF(AND(M95=MAX($M$14:$M$109),(SUM($N$14:N94)=0)),M95,0)</f>
        <v>0</v>
      </c>
      <c r="O95" s="176">
        <f t="shared" si="59"/>
        <v>0</v>
      </c>
      <c r="P95" s="176">
        <f t="shared" si="82"/>
        <v>0</v>
      </c>
      <c r="Q95" s="176">
        <f t="shared" si="83"/>
        <v>0</v>
      </c>
      <c r="R95" s="176">
        <f t="shared" si="42"/>
        <v>-10879.232228000001</v>
      </c>
      <c r="S95" s="176">
        <f t="shared" si="60"/>
        <v>0</v>
      </c>
      <c r="T95" s="176">
        <f>IF(AND(S95=MAX($S$14:$S$109),(SUM($T$14:T94)=0)),S95,0)</f>
        <v>0</v>
      </c>
      <c r="U95" s="176">
        <f t="shared" si="61"/>
        <v>0</v>
      </c>
      <c r="V95" s="176">
        <f t="shared" si="85"/>
        <v>0</v>
      </c>
      <c r="W95" s="176">
        <f t="shared" si="73"/>
        <v>0</v>
      </c>
      <c r="X95" s="176">
        <f t="shared" si="43"/>
        <v>-10879.232228000001</v>
      </c>
      <c r="Y95" s="176">
        <f t="shared" si="62"/>
        <v>0</v>
      </c>
      <c r="Z95" s="176">
        <f>IF(AND(Y95=MAX($Y$14:$Y$109),(SUM($Z$14:Z94)=0)),Y95,0)</f>
        <v>0</v>
      </c>
      <c r="AA95" s="176">
        <f t="shared" si="63"/>
        <v>0</v>
      </c>
      <c r="AB95" s="176">
        <f t="shared" si="74"/>
        <v>0</v>
      </c>
      <c r="AC95" s="176">
        <f t="shared" si="75"/>
        <v>0</v>
      </c>
      <c r="AD95" s="176">
        <f t="shared" si="44"/>
        <v>-10879.232228000001</v>
      </c>
      <c r="AE95" s="176">
        <f t="shared" si="64"/>
        <v>0</v>
      </c>
      <c r="AF95" s="176">
        <f>IF(AND(AE95=MAX($AE$14:$AE$109),(SUM($AF$14:AF94)=0)),AE95,0)</f>
        <v>0</v>
      </c>
      <c r="AG95" s="176">
        <f t="shared" si="65"/>
        <v>0</v>
      </c>
      <c r="AH95" s="155">
        <f t="shared" si="55"/>
        <v>627.26</v>
      </c>
      <c r="AI95" s="176">
        <f t="shared" si="45"/>
        <v>-10879.232228000001</v>
      </c>
      <c r="AJ95" s="176">
        <f t="shared" si="56"/>
        <v>0</v>
      </c>
      <c r="AK95" s="176">
        <f>IF(AND(AJ95=MAX($AJ$14:$AJ$109),(SUM($AK$14:AK94)=0)),AJ95,0)</f>
        <v>0</v>
      </c>
      <c r="AL95" s="176">
        <f t="shared" si="66"/>
        <v>0</v>
      </c>
      <c r="AM95" s="176">
        <f t="shared" si="76"/>
        <v>0</v>
      </c>
      <c r="AN95" s="176">
        <f t="shared" si="77"/>
        <v>0</v>
      </c>
      <c r="AO95" s="176">
        <f t="shared" si="46"/>
        <v>-10879.232228000001</v>
      </c>
      <c r="AP95" s="176">
        <f t="shared" si="67"/>
        <v>0</v>
      </c>
      <c r="AQ95" s="176">
        <f>IF(AND(AP95=MAX($AP$14:$AP$109),(SUM($AQ$14:AQ94)=0)),AP95,0)</f>
        <v>0</v>
      </c>
      <c r="AR95" s="176">
        <f t="shared" si="68"/>
        <v>0</v>
      </c>
      <c r="AS95" s="176">
        <f t="shared" si="86"/>
        <v>0</v>
      </c>
      <c r="AT95" s="176">
        <f t="shared" si="78"/>
        <v>0</v>
      </c>
      <c r="AU95" s="176">
        <f t="shared" si="47"/>
        <v>-10879.232228000001</v>
      </c>
      <c r="AV95" s="176">
        <f t="shared" si="69"/>
        <v>0</v>
      </c>
      <c r="AW95" s="176">
        <f>IF(AND(AV95=MAX($AV$14:$AV$109),(SUM($AW$14:AW94)=0)),AV95,0)</f>
        <v>0</v>
      </c>
      <c r="AX95" s="176">
        <f t="shared" si="70"/>
        <v>0</v>
      </c>
      <c r="AY95" s="176">
        <f t="shared" si="79"/>
        <v>0</v>
      </c>
      <c r="AZ95" s="176">
        <f t="shared" si="80"/>
        <v>0</v>
      </c>
      <c r="BA95" s="176">
        <f t="shared" si="48"/>
        <v>-10879.232228000001</v>
      </c>
      <c r="BB95" s="176">
        <f t="shared" si="71"/>
        <v>0</v>
      </c>
      <c r="BC95" s="176">
        <f>IF(AND(BB95=MAX($BB$14:$BB$109),(SUM($BC$14:BC94)=0)),BB95,0)</f>
        <v>0</v>
      </c>
      <c r="BD95" s="176">
        <f t="shared" si="72"/>
        <v>0</v>
      </c>
      <c r="BE95" s="153">
        <v>0.84375</v>
      </c>
    </row>
    <row r="96" spans="1:68" ht="10.050000000000001" hidden="1" customHeight="1" x14ac:dyDescent="0.25">
      <c r="A96" s="153">
        <v>0.85416666666666696</v>
      </c>
      <c r="B96" s="177">
        <f>'Data with RTF'!U86</f>
        <v>0</v>
      </c>
      <c r="C96" s="177">
        <f>'Data with RTF'!G86</f>
        <v>0</v>
      </c>
      <c r="D96" s="177">
        <f>'Data with RTF'!N86</f>
        <v>0</v>
      </c>
      <c r="E96" s="177">
        <f>'Data with RTF'!AB86</f>
        <v>0</v>
      </c>
      <c r="F96" s="155">
        <f>IF(OR('Input &amp; Findings'!$G$28='Drop Down Lists'!$E$2,'Input &amp; Findings'!$G$28='Drop Down Lists'!$E$4),SUM(B96:C96),SUM(D96:E96))</f>
        <v>0</v>
      </c>
      <c r="G96" s="155">
        <f t="shared" si="57"/>
        <v>879.23222799999996</v>
      </c>
      <c r="H96" s="155">
        <f t="shared" si="49"/>
        <v>613.77772474000005</v>
      </c>
      <c r="I96" s="155">
        <f>IF(OR('Input &amp; Findings'!$G$39='Drop Down Lists'!$E$3,'Input &amp; Findings'!$G$39='Drop Down Lists'!$E$5),MAX(D96:E96),MAX(B96:C96))</f>
        <v>0</v>
      </c>
      <c r="J96" s="156" t="str">
        <f t="shared" si="84"/>
        <v/>
      </c>
      <c r="K96" s="156" t="str">
        <f t="shared" si="81"/>
        <v/>
      </c>
      <c r="L96" s="176">
        <f t="shared" si="41"/>
        <v>-10879.232228000001</v>
      </c>
      <c r="M96" s="176">
        <f t="shared" si="58"/>
        <v>0</v>
      </c>
      <c r="N96" s="176">
        <f>IF(AND(M96=MAX($M$14:$M$109),(SUM($N$14:N95)=0)),M96,0)</f>
        <v>0</v>
      </c>
      <c r="O96" s="176">
        <f t="shared" si="59"/>
        <v>0</v>
      </c>
      <c r="P96" s="176">
        <f t="shared" si="82"/>
        <v>0</v>
      </c>
      <c r="Q96" s="176">
        <f t="shared" si="83"/>
        <v>0</v>
      </c>
      <c r="R96" s="176">
        <f t="shared" si="42"/>
        <v>-10879.232228000001</v>
      </c>
      <c r="S96" s="176">
        <f t="shared" si="60"/>
        <v>0</v>
      </c>
      <c r="T96" s="176">
        <f>IF(AND(S96=MAX($S$14:$S$109),(SUM($T$14:T95)=0)),S96,0)</f>
        <v>0</v>
      </c>
      <c r="U96" s="176">
        <f t="shared" si="61"/>
        <v>0</v>
      </c>
      <c r="V96" s="176">
        <f t="shared" si="85"/>
        <v>0</v>
      </c>
      <c r="W96" s="176">
        <f t="shared" si="73"/>
        <v>0</v>
      </c>
      <c r="X96" s="176">
        <f t="shared" si="43"/>
        <v>-10879.232228000001</v>
      </c>
      <c r="Y96" s="176">
        <f t="shared" si="62"/>
        <v>0</v>
      </c>
      <c r="Z96" s="176">
        <f>IF(AND(Y96=MAX($Y$14:$Y$109),(SUM($Z$14:Z95)=0)),Y96,0)</f>
        <v>0</v>
      </c>
      <c r="AA96" s="176">
        <f t="shared" si="63"/>
        <v>0</v>
      </c>
      <c r="AB96" s="176">
        <f t="shared" si="74"/>
        <v>0</v>
      </c>
      <c r="AC96" s="176">
        <f t="shared" si="75"/>
        <v>0</v>
      </c>
      <c r="AD96" s="176">
        <f t="shared" si="44"/>
        <v>-10879.232228000001</v>
      </c>
      <c r="AE96" s="176">
        <f t="shared" si="64"/>
        <v>0</v>
      </c>
      <c r="AF96" s="176">
        <f>IF(AND(AE96=MAX($AE$14:$AE$109),(SUM($AF$14:AF95)=0)),AE96,0)</f>
        <v>0</v>
      </c>
      <c r="AG96" s="176">
        <f t="shared" si="65"/>
        <v>0</v>
      </c>
      <c r="AH96" s="155">
        <f t="shared" si="55"/>
        <v>627.26</v>
      </c>
      <c r="AI96" s="176">
        <f t="shared" si="45"/>
        <v>-10879.232228000001</v>
      </c>
      <c r="AJ96" s="176">
        <f t="shared" si="56"/>
        <v>0</v>
      </c>
      <c r="AK96" s="176">
        <f>IF(AND(AJ96=MAX($AJ$14:$AJ$109),(SUM($AK$14:AK95)=0)),AJ96,0)</f>
        <v>0</v>
      </c>
      <c r="AL96" s="176">
        <f t="shared" si="66"/>
        <v>0</v>
      </c>
      <c r="AM96" s="176">
        <f t="shared" si="76"/>
        <v>0</v>
      </c>
      <c r="AN96" s="176">
        <f t="shared" si="77"/>
        <v>0</v>
      </c>
      <c r="AO96" s="176">
        <f t="shared" si="46"/>
        <v>-10879.232228000001</v>
      </c>
      <c r="AP96" s="176">
        <f t="shared" si="67"/>
        <v>0</v>
      </c>
      <c r="AQ96" s="176">
        <f>IF(AND(AP96=MAX($AP$14:$AP$109),(SUM($AQ$14:AQ95)=0)),AP96,0)</f>
        <v>0</v>
      </c>
      <c r="AR96" s="176">
        <f t="shared" si="68"/>
        <v>0</v>
      </c>
      <c r="AS96" s="176">
        <f t="shared" si="86"/>
        <v>0</v>
      </c>
      <c r="AT96" s="176">
        <f t="shared" si="78"/>
        <v>0</v>
      </c>
      <c r="AU96" s="176">
        <f t="shared" si="47"/>
        <v>-10879.232228000001</v>
      </c>
      <c r="AV96" s="176">
        <f t="shared" si="69"/>
        <v>0</v>
      </c>
      <c r="AW96" s="176">
        <f>IF(AND(AV96=MAX($AV$14:$AV$109),(SUM($AW$14:AW95)=0)),AV96,0)</f>
        <v>0</v>
      </c>
      <c r="AX96" s="176">
        <f t="shared" si="70"/>
        <v>0</v>
      </c>
      <c r="AY96" s="176">
        <f t="shared" si="79"/>
        <v>0</v>
      </c>
      <c r="AZ96" s="176">
        <f t="shared" si="80"/>
        <v>0</v>
      </c>
      <c r="BA96" s="176">
        <f t="shared" si="48"/>
        <v>-10879.232228000001</v>
      </c>
      <c r="BB96" s="176">
        <f t="shared" si="71"/>
        <v>0</v>
      </c>
      <c r="BC96" s="176">
        <f>IF(AND(BB96=MAX($BB$14:$BB$109),(SUM($BC$14:BC95)=0)),BB96,0)</f>
        <v>0</v>
      </c>
      <c r="BD96" s="176">
        <f t="shared" si="72"/>
        <v>0</v>
      </c>
      <c r="BE96" s="153">
        <v>0.85416666666666696</v>
      </c>
    </row>
    <row r="97" spans="1:57" ht="10.050000000000001" hidden="1" customHeight="1" x14ac:dyDescent="0.25">
      <c r="A97" s="153">
        <v>0.86458333333333304</v>
      </c>
      <c r="B97" s="177">
        <f>'Data with RTF'!U87</f>
        <v>0</v>
      </c>
      <c r="C97" s="177">
        <f>'Data with RTF'!G87</f>
        <v>0</v>
      </c>
      <c r="D97" s="177">
        <f>'Data with RTF'!N87</f>
        <v>0</v>
      </c>
      <c r="E97" s="177">
        <f>'Data with RTF'!AB87</f>
        <v>0</v>
      </c>
      <c r="F97" s="155">
        <f>IF(OR('Input &amp; Findings'!$G$28='Drop Down Lists'!$E$2,'Input &amp; Findings'!$G$28='Drop Down Lists'!$E$4),SUM(B97:C97),SUM(D97:E97))</f>
        <v>0</v>
      </c>
      <c r="G97" s="155">
        <f t="shared" si="57"/>
        <v>879.23222799999996</v>
      </c>
      <c r="H97" s="155">
        <f t="shared" si="49"/>
        <v>613.77772474000005</v>
      </c>
      <c r="I97" s="155">
        <f>IF(OR('Input &amp; Findings'!$G$39='Drop Down Lists'!$E$3,'Input &amp; Findings'!$G$39='Drop Down Lists'!$E$5),MAX(D97:E97),MAX(B97:C97))</f>
        <v>0</v>
      </c>
      <c r="J97" s="156" t="str">
        <f t="shared" si="84"/>
        <v/>
      </c>
      <c r="K97" s="156" t="str">
        <f t="shared" si="81"/>
        <v/>
      </c>
      <c r="L97" s="176">
        <f t="shared" si="41"/>
        <v>-10879.232228000001</v>
      </c>
      <c r="M97" s="176">
        <f t="shared" si="58"/>
        <v>0</v>
      </c>
      <c r="N97" s="176">
        <f>IF(AND(M97=MAX($M$14:$M$109),(SUM($N$14:N96)=0)),M97,0)</f>
        <v>0</v>
      </c>
      <c r="O97" s="176">
        <f t="shared" si="59"/>
        <v>0</v>
      </c>
      <c r="P97" s="176">
        <f t="shared" si="82"/>
        <v>0</v>
      </c>
      <c r="Q97" s="176">
        <f t="shared" si="83"/>
        <v>0</v>
      </c>
      <c r="R97" s="176">
        <f t="shared" si="42"/>
        <v>-10879.232228000001</v>
      </c>
      <c r="S97" s="176">
        <f t="shared" si="60"/>
        <v>0</v>
      </c>
      <c r="T97" s="176">
        <f>IF(AND(S97=MAX($S$14:$S$109),(SUM($T$14:T96)=0)),S97,0)</f>
        <v>0</v>
      </c>
      <c r="U97" s="176">
        <f t="shared" si="61"/>
        <v>0</v>
      </c>
      <c r="V97" s="176">
        <f t="shared" si="85"/>
        <v>0</v>
      </c>
      <c r="W97" s="176">
        <f t="shared" si="73"/>
        <v>0</v>
      </c>
      <c r="X97" s="176">
        <f t="shared" si="43"/>
        <v>-10879.232228000001</v>
      </c>
      <c r="Y97" s="176">
        <f t="shared" si="62"/>
        <v>0</v>
      </c>
      <c r="Z97" s="176">
        <f>IF(AND(Y97=MAX($Y$14:$Y$109),(SUM($Z$14:Z96)=0)),Y97,0)</f>
        <v>0</v>
      </c>
      <c r="AA97" s="176">
        <f t="shared" si="63"/>
        <v>0</v>
      </c>
      <c r="AB97" s="176">
        <f t="shared" si="74"/>
        <v>0</v>
      </c>
      <c r="AC97" s="176">
        <f t="shared" si="75"/>
        <v>0</v>
      </c>
      <c r="AD97" s="176">
        <f t="shared" si="44"/>
        <v>-10879.232228000001</v>
      </c>
      <c r="AE97" s="176">
        <f t="shared" si="64"/>
        <v>0</v>
      </c>
      <c r="AF97" s="176">
        <f>IF(AND(AE97=MAX($AE$14:$AE$109),(SUM($AF$14:AF96)=0)),AE97,0)</f>
        <v>0</v>
      </c>
      <c r="AG97" s="176">
        <f t="shared" si="65"/>
        <v>0</v>
      </c>
      <c r="AH97" s="155">
        <f t="shared" si="55"/>
        <v>627.26</v>
      </c>
      <c r="AI97" s="176">
        <f t="shared" si="45"/>
        <v>-10879.232228000001</v>
      </c>
      <c r="AJ97" s="176">
        <f t="shared" si="56"/>
        <v>0</v>
      </c>
      <c r="AK97" s="176">
        <f>IF(AND(AJ97=MAX($AJ$14:$AJ$109),(SUM($AK$14:AK96)=0)),AJ97,0)</f>
        <v>0</v>
      </c>
      <c r="AL97" s="176">
        <f t="shared" si="66"/>
        <v>0</v>
      </c>
      <c r="AM97" s="176">
        <f t="shared" si="76"/>
        <v>0</v>
      </c>
      <c r="AN97" s="176">
        <f t="shared" si="77"/>
        <v>0</v>
      </c>
      <c r="AO97" s="176">
        <f t="shared" si="46"/>
        <v>-10879.232228000001</v>
      </c>
      <c r="AP97" s="176">
        <f t="shared" si="67"/>
        <v>0</v>
      </c>
      <c r="AQ97" s="176">
        <f>IF(AND(AP97=MAX($AP$14:$AP$109),(SUM($AQ$14:AQ96)=0)),AP97,0)</f>
        <v>0</v>
      </c>
      <c r="AR97" s="176">
        <f t="shared" si="68"/>
        <v>0</v>
      </c>
      <c r="AS97" s="176">
        <f t="shared" si="86"/>
        <v>0</v>
      </c>
      <c r="AT97" s="176">
        <f t="shared" si="78"/>
        <v>0</v>
      </c>
      <c r="AU97" s="176">
        <f t="shared" si="47"/>
        <v>-10879.232228000001</v>
      </c>
      <c r="AV97" s="176">
        <f t="shared" si="69"/>
        <v>0</v>
      </c>
      <c r="AW97" s="176">
        <f>IF(AND(AV97=MAX($AV$14:$AV$109),(SUM($AW$14:AW96)=0)),AV97,0)</f>
        <v>0</v>
      </c>
      <c r="AX97" s="176">
        <f t="shared" si="70"/>
        <v>0</v>
      </c>
      <c r="AY97" s="176">
        <f t="shared" si="79"/>
        <v>0</v>
      </c>
      <c r="AZ97" s="176">
        <f t="shared" si="80"/>
        <v>0</v>
      </c>
      <c r="BA97" s="176">
        <f t="shared" si="48"/>
        <v>-10879.232228000001</v>
      </c>
      <c r="BB97" s="176">
        <f t="shared" si="71"/>
        <v>0</v>
      </c>
      <c r="BC97" s="176">
        <f>IF(AND(BB97=MAX($BB$14:$BB$109),(SUM($BC$14:BC96)=0)),BB97,0)</f>
        <v>0</v>
      </c>
      <c r="BD97" s="176">
        <f t="shared" si="72"/>
        <v>0</v>
      </c>
      <c r="BE97" s="153">
        <v>0.86458333333333304</v>
      </c>
    </row>
    <row r="98" spans="1:57" ht="10.050000000000001" hidden="1" customHeight="1" x14ac:dyDescent="0.25">
      <c r="A98" s="153">
        <v>0.875</v>
      </c>
      <c r="B98" s="177">
        <f>'Data with RTF'!U88</f>
        <v>0</v>
      </c>
      <c r="C98" s="177">
        <f>'Data with RTF'!G88</f>
        <v>0</v>
      </c>
      <c r="D98" s="177">
        <f>'Data with RTF'!N88</f>
        <v>0</v>
      </c>
      <c r="E98" s="177">
        <f>'Data with RTF'!AB88</f>
        <v>0</v>
      </c>
      <c r="F98" s="155">
        <f>IF(OR('Input &amp; Findings'!$G$28='Drop Down Lists'!$E$2,'Input &amp; Findings'!$G$28='Drop Down Lists'!$E$4),SUM(B98:C98),SUM(D98:E98))</f>
        <v>0</v>
      </c>
      <c r="G98" s="155">
        <f t="shared" si="57"/>
        <v>879.23222799999996</v>
      </c>
      <c r="H98" s="155">
        <f t="shared" si="49"/>
        <v>613.77772474000005</v>
      </c>
      <c r="I98" s="155">
        <f>IF(OR('Input &amp; Findings'!$G$39='Drop Down Lists'!$E$3,'Input &amp; Findings'!$G$39='Drop Down Lists'!$E$5),MAX(D98:E98),MAX(B98:C98))</f>
        <v>0</v>
      </c>
      <c r="J98" s="156" t="str">
        <f t="shared" si="84"/>
        <v/>
      </c>
      <c r="K98" s="156" t="str">
        <f t="shared" si="81"/>
        <v/>
      </c>
      <c r="L98" s="176">
        <f t="shared" si="41"/>
        <v>-10879.232228000001</v>
      </c>
      <c r="M98" s="176">
        <f t="shared" si="58"/>
        <v>0</v>
      </c>
      <c r="N98" s="176">
        <f>IF(AND(M98=MAX($M$14:$M$109),(SUM($N$14:N97)=0)),M98,0)</f>
        <v>0</v>
      </c>
      <c r="O98" s="176">
        <f t="shared" si="59"/>
        <v>0</v>
      </c>
      <c r="P98" s="176">
        <f t="shared" si="82"/>
        <v>0</v>
      </c>
      <c r="Q98" s="176">
        <f t="shared" si="83"/>
        <v>0</v>
      </c>
      <c r="R98" s="176">
        <f t="shared" si="42"/>
        <v>-10879.232228000001</v>
      </c>
      <c r="S98" s="176">
        <f t="shared" si="60"/>
        <v>0</v>
      </c>
      <c r="T98" s="176">
        <f>IF(AND(S98=MAX($S$14:$S$109),(SUM($T$14:T97)=0)),S98,0)</f>
        <v>0</v>
      </c>
      <c r="U98" s="176">
        <f t="shared" si="61"/>
        <v>0</v>
      </c>
      <c r="V98" s="176">
        <f t="shared" si="85"/>
        <v>0</v>
      </c>
      <c r="W98" s="176">
        <f t="shared" si="73"/>
        <v>0</v>
      </c>
      <c r="X98" s="176">
        <f t="shared" si="43"/>
        <v>-10879.232228000001</v>
      </c>
      <c r="Y98" s="176">
        <f t="shared" si="62"/>
        <v>0</v>
      </c>
      <c r="Z98" s="176">
        <f>IF(AND(Y98=MAX($Y$14:$Y$109),(SUM($Z$14:Z97)=0)),Y98,0)</f>
        <v>0</v>
      </c>
      <c r="AA98" s="176">
        <f t="shared" si="63"/>
        <v>0</v>
      </c>
      <c r="AB98" s="176">
        <f t="shared" si="74"/>
        <v>0</v>
      </c>
      <c r="AC98" s="176">
        <f t="shared" si="75"/>
        <v>0</v>
      </c>
      <c r="AD98" s="176">
        <f t="shared" si="44"/>
        <v>-10879.232228000001</v>
      </c>
      <c r="AE98" s="176">
        <f t="shared" si="64"/>
        <v>0</v>
      </c>
      <c r="AF98" s="176">
        <f>IF(AND(AE98=MAX($AE$14:$AE$109),(SUM($AF$14:AF97)=0)),AE98,0)</f>
        <v>0</v>
      </c>
      <c r="AG98" s="176">
        <f t="shared" si="65"/>
        <v>0</v>
      </c>
      <c r="AH98" s="155">
        <f t="shared" si="55"/>
        <v>627.26</v>
      </c>
      <c r="AI98" s="176">
        <f t="shared" si="45"/>
        <v>-10879.232228000001</v>
      </c>
      <c r="AJ98" s="176">
        <f t="shared" si="56"/>
        <v>0</v>
      </c>
      <c r="AK98" s="176">
        <f>IF(AND(AJ98=MAX($AJ$14:$AJ$109),(SUM($AK$14:AK97)=0)),AJ98,0)</f>
        <v>0</v>
      </c>
      <c r="AL98" s="176">
        <f t="shared" si="66"/>
        <v>0</v>
      </c>
      <c r="AM98" s="176">
        <f t="shared" si="76"/>
        <v>0</v>
      </c>
      <c r="AN98" s="176">
        <f t="shared" si="77"/>
        <v>0</v>
      </c>
      <c r="AO98" s="176">
        <f t="shared" si="46"/>
        <v>-10879.232228000001</v>
      </c>
      <c r="AP98" s="176">
        <f t="shared" si="67"/>
        <v>0</v>
      </c>
      <c r="AQ98" s="176">
        <f>IF(AND(AP98=MAX($AP$14:$AP$109),(SUM($AQ$14:AQ97)=0)),AP98,0)</f>
        <v>0</v>
      </c>
      <c r="AR98" s="176">
        <f t="shared" si="68"/>
        <v>0</v>
      </c>
      <c r="AS98" s="176">
        <f t="shared" si="86"/>
        <v>0</v>
      </c>
      <c r="AT98" s="176">
        <f t="shared" si="78"/>
        <v>0</v>
      </c>
      <c r="AU98" s="176">
        <f t="shared" si="47"/>
        <v>-10879.232228000001</v>
      </c>
      <c r="AV98" s="176">
        <f t="shared" si="69"/>
        <v>0</v>
      </c>
      <c r="AW98" s="176">
        <f>IF(AND(AV98=MAX($AV$14:$AV$109),(SUM($AW$14:AW97)=0)),AV98,0)</f>
        <v>0</v>
      </c>
      <c r="AX98" s="176">
        <f t="shared" si="70"/>
        <v>0</v>
      </c>
      <c r="AY98" s="176">
        <f t="shared" si="79"/>
        <v>0</v>
      </c>
      <c r="AZ98" s="176">
        <f t="shared" si="80"/>
        <v>0</v>
      </c>
      <c r="BA98" s="176">
        <f t="shared" si="48"/>
        <v>-10879.232228000001</v>
      </c>
      <c r="BB98" s="176">
        <f t="shared" si="71"/>
        <v>0</v>
      </c>
      <c r="BC98" s="176">
        <f>IF(AND(BB98=MAX($BB$14:$BB$109),(SUM($BC$14:BC97)=0)),BB98,0)</f>
        <v>0</v>
      </c>
      <c r="BD98" s="176">
        <f t="shared" si="72"/>
        <v>0</v>
      </c>
      <c r="BE98" s="153">
        <v>0.875</v>
      </c>
    </row>
    <row r="99" spans="1:57" ht="10.050000000000001" hidden="1" customHeight="1" x14ac:dyDescent="0.25">
      <c r="A99" s="153">
        <v>0.88541666666666696</v>
      </c>
      <c r="B99" s="177">
        <f>'Data with RTF'!U89</f>
        <v>0</v>
      </c>
      <c r="C99" s="177">
        <f>'Data with RTF'!G89</f>
        <v>0</v>
      </c>
      <c r="D99" s="177">
        <f>'Data with RTF'!N89</f>
        <v>0</v>
      </c>
      <c r="E99" s="177">
        <f>'Data with RTF'!AB89</f>
        <v>0</v>
      </c>
      <c r="F99" s="155">
        <f>IF(OR('Input &amp; Findings'!$G$28='Drop Down Lists'!$E$2,'Input &amp; Findings'!$G$28='Drop Down Lists'!$E$4),SUM(B99:C99),SUM(D99:E99))</f>
        <v>0</v>
      </c>
      <c r="G99" s="155">
        <f t="shared" si="57"/>
        <v>879.23222799999996</v>
      </c>
      <c r="H99" s="155">
        <f t="shared" si="49"/>
        <v>613.77772474000005</v>
      </c>
      <c r="I99" s="155">
        <f>IF(OR('Input &amp; Findings'!$G$39='Drop Down Lists'!$E$3,'Input &amp; Findings'!$G$39='Drop Down Lists'!$E$5),MAX(D99:E99),MAX(B99:C99))</f>
        <v>0</v>
      </c>
      <c r="J99" s="156" t="str">
        <f t="shared" si="84"/>
        <v/>
      </c>
      <c r="K99" s="156" t="str">
        <f t="shared" si="81"/>
        <v/>
      </c>
      <c r="L99" s="176">
        <f t="shared" si="41"/>
        <v>-10879.232228000001</v>
      </c>
      <c r="M99" s="176">
        <f t="shared" si="58"/>
        <v>0</v>
      </c>
      <c r="N99" s="176">
        <f>IF(AND(M99=MAX($M$14:$M$109),(SUM($N$14:N98)=0)),M99,0)</f>
        <v>0</v>
      </c>
      <c r="O99" s="176">
        <f t="shared" si="59"/>
        <v>0</v>
      </c>
      <c r="P99" s="176">
        <f t="shared" si="82"/>
        <v>0</v>
      </c>
      <c r="Q99" s="176">
        <f t="shared" si="83"/>
        <v>0</v>
      </c>
      <c r="R99" s="176">
        <f t="shared" si="42"/>
        <v>-10879.232228000001</v>
      </c>
      <c r="S99" s="176">
        <f t="shared" si="60"/>
        <v>0</v>
      </c>
      <c r="T99" s="176">
        <f>IF(AND(S99=MAX($S$14:$S$109),(SUM($T$14:T98)=0)),S99,0)</f>
        <v>0</v>
      </c>
      <c r="U99" s="176">
        <f t="shared" si="61"/>
        <v>0</v>
      </c>
      <c r="V99" s="176">
        <f t="shared" si="85"/>
        <v>0</v>
      </c>
      <c r="W99" s="176">
        <f t="shared" si="73"/>
        <v>0</v>
      </c>
      <c r="X99" s="176">
        <f t="shared" si="43"/>
        <v>-10879.232228000001</v>
      </c>
      <c r="Y99" s="176">
        <f t="shared" si="62"/>
        <v>0</v>
      </c>
      <c r="Z99" s="176">
        <f>IF(AND(Y99=MAX($Y$14:$Y$109),(SUM($Z$14:Z98)=0)),Y99,0)</f>
        <v>0</v>
      </c>
      <c r="AA99" s="176">
        <f t="shared" si="63"/>
        <v>0</v>
      </c>
      <c r="AB99" s="176">
        <f t="shared" si="74"/>
        <v>0</v>
      </c>
      <c r="AC99" s="176">
        <f t="shared" si="75"/>
        <v>0</v>
      </c>
      <c r="AD99" s="176">
        <f t="shared" si="44"/>
        <v>-10879.232228000001</v>
      </c>
      <c r="AE99" s="176">
        <f t="shared" si="64"/>
        <v>0</v>
      </c>
      <c r="AF99" s="176">
        <f>IF(AND(AE99=MAX($AE$14:$AE$109),(SUM($AF$14:AF98)=0)),AE99,0)</f>
        <v>0</v>
      </c>
      <c r="AG99" s="176">
        <f t="shared" si="65"/>
        <v>0</v>
      </c>
      <c r="AH99" s="155">
        <f t="shared" si="55"/>
        <v>627.26</v>
      </c>
      <c r="AI99" s="176">
        <f t="shared" si="45"/>
        <v>-10879.232228000001</v>
      </c>
      <c r="AJ99" s="176">
        <f t="shared" si="56"/>
        <v>0</v>
      </c>
      <c r="AK99" s="176">
        <f>IF(AND(AJ99=MAX($AJ$14:$AJ$109),(SUM($AK$14:AK98)=0)),AJ99,0)</f>
        <v>0</v>
      </c>
      <c r="AL99" s="176">
        <f t="shared" si="66"/>
        <v>0</v>
      </c>
      <c r="AM99" s="176">
        <f t="shared" si="76"/>
        <v>0</v>
      </c>
      <c r="AN99" s="176">
        <f t="shared" si="77"/>
        <v>0</v>
      </c>
      <c r="AO99" s="176">
        <f t="shared" si="46"/>
        <v>-10879.232228000001</v>
      </c>
      <c r="AP99" s="176">
        <f t="shared" si="67"/>
        <v>0</v>
      </c>
      <c r="AQ99" s="176">
        <f>IF(AND(AP99=MAX($AP$14:$AP$109),(SUM($AQ$14:AQ98)=0)),AP99,0)</f>
        <v>0</v>
      </c>
      <c r="AR99" s="176">
        <f t="shared" si="68"/>
        <v>0</v>
      </c>
      <c r="AS99" s="176">
        <f t="shared" si="86"/>
        <v>0</v>
      </c>
      <c r="AT99" s="176">
        <f t="shared" si="78"/>
        <v>0</v>
      </c>
      <c r="AU99" s="176">
        <f t="shared" si="47"/>
        <v>-10879.232228000001</v>
      </c>
      <c r="AV99" s="176">
        <f t="shared" si="69"/>
        <v>0</v>
      </c>
      <c r="AW99" s="176">
        <f>IF(AND(AV99=MAX($AV$14:$AV$109),(SUM($AW$14:AW98)=0)),AV99,0)</f>
        <v>0</v>
      </c>
      <c r="AX99" s="176">
        <f t="shared" si="70"/>
        <v>0</v>
      </c>
      <c r="AY99" s="176">
        <f t="shared" si="79"/>
        <v>0</v>
      </c>
      <c r="AZ99" s="176">
        <f t="shared" si="80"/>
        <v>0</v>
      </c>
      <c r="BA99" s="176">
        <f t="shared" si="48"/>
        <v>-10879.232228000001</v>
      </c>
      <c r="BB99" s="176">
        <f t="shared" si="71"/>
        <v>0</v>
      </c>
      <c r="BC99" s="176">
        <f>IF(AND(BB99=MAX($BB$14:$BB$109),(SUM($BC$14:BC98)=0)),BB99,0)</f>
        <v>0</v>
      </c>
      <c r="BD99" s="176">
        <f t="shared" si="72"/>
        <v>0</v>
      </c>
      <c r="BE99" s="153">
        <v>0.88541666666666696</v>
      </c>
    </row>
    <row r="100" spans="1:57" ht="9.75" hidden="1" customHeight="1" x14ac:dyDescent="0.25">
      <c r="A100" s="153">
        <v>0.89583333333333304</v>
      </c>
      <c r="B100" s="177">
        <f>'Data with RTF'!U90</f>
        <v>0</v>
      </c>
      <c r="C100" s="177">
        <f>'Data with RTF'!G90</f>
        <v>0</v>
      </c>
      <c r="D100" s="177">
        <f>'Data with RTF'!N90</f>
        <v>0</v>
      </c>
      <c r="E100" s="177">
        <f>'Data with RTF'!AB90</f>
        <v>0</v>
      </c>
      <c r="F100" s="155">
        <f>IF(OR('Input &amp; Findings'!$G$28='Drop Down Lists'!$E$2,'Input &amp; Findings'!$G$28='Drop Down Lists'!$E$4),SUM(B100:C100),SUM(D100:E100))</f>
        <v>0</v>
      </c>
      <c r="G100" s="155">
        <f t="shared" si="57"/>
        <v>879.23222799999996</v>
      </c>
      <c r="H100" s="155">
        <f t="shared" si="49"/>
        <v>613.77772474000005</v>
      </c>
      <c r="I100" s="155">
        <f>IF(OR('Input &amp; Findings'!$G$39='Drop Down Lists'!$E$3,'Input &amp; Findings'!$G$39='Drop Down Lists'!$E$5),MAX(D100:E100),MAX(B100:C100))</f>
        <v>0</v>
      </c>
      <c r="J100" s="156" t="str">
        <f t="shared" si="84"/>
        <v/>
      </c>
      <c r="K100" s="156" t="str">
        <f t="shared" si="81"/>
        <v/>
      </c>
      <c r="L100" s="176">
        <f t="shared" si="41"/>
        <v>-10879.232228000001</v>
      </c>
      <c r="M100" s="176">
        <f t="shared" si="58"/>
        <v>0</v>
      </c>
      <c r="N100" s="176">
        <f>IF(AND(M100=MAX($M$14:$M$109),(SUM($N$14:N99)=0)),M100,0)</f>
        <v>0</v>
      </c>
      <c r="O100" s="176">
        <f t="shared" si="59"/>
        <v>0</v>
      </c>
      <c r="P100" s="176">
        <f t="shared" si="82"/>
        <v>0</v>
      </c>
      <c r="Q100" s="176">
        <f t="shared" si="83"/>
        <v>0</v>
      </c>
      <c r="R100" s="176">
        <f t="shared" si="42"/>
        <v>-10879.232228000001</v>
      </c>
      <c r="S100" s="176">
        <f t="shared" si="60"/>
        <v>0</v>
      </c>
      <c r="T100" s="176">
        <f>IF(AND(S100=MAX($S$14:$S$109),(SUM($T$14:T99)=0)),S100,0)</f>
        <v>0</v>
      </c>
      <c r="U100" s="176">
        <f t="shared" si="61"/>
        <v>0</v>
      </c>
      <c r="V100" s="176">
        <f t="shared" si="85"/>
        <v>0</v>
      </c>
      <c r="W100" s="176">
        <f t="shared" si="73"/>
        <v>0</v>
      </c>
      <c r="X100" s="176">
        <f t="shared" si="43"/>
        <v>-10879.232228000001</v>
      </c>
      <c r="Y100" s="176">
        <f t="shared" si="62"/>
        <v>0</v>
      </c>
      <c r="Z100" s="176">
        <f>IF(AND(Y100=MAX($Y$14:$Y$109),(SUM($Z$14:Z99)=0)),Y100,0)</f>
        <v>0</v>
      </c>
      <c r="AA100" s="176">
        <f t="shared" si="63"/>
        <v>0</v>
      </c>
      <c r="AB100" s="176">
        <f t="shared" si="74"/>
        <v>0</v>
      </c>
      <c r="AC100" s="176">
        <f t="shared" si="75"/>
        <v>0</v>
      </c>
      <c r="AD100" s="176">
        <f t="shared" si="44"/>
        <v>-10879.232228000001</v>
      </c>
      <c r="AE100" s="176">
        <f t="shared" si="64"/>
        <v>0</v>
      </c>
      <c r="AF100" s="176">
        <f>IF(AND(AE100=MAX($AE$14:$AE$109),(SUM($AF$14:AF99)=0)),AE100,0)</f>
        <v>0</v>
      </c>
      <c r="AG100" s="176">
        <f t="shared" si="65"/>
        <v>0</v>
      </c>
      <c r="AH100" s="155">
        <f t="shared" si="55"/>
        <v>627.26</v>
      </c>
      <c r="AI100" s="176">
        <f t="shared" si="45"/>
        <v>-10879.232228000001</v>
      </c>
      <c r="AJ100" s="176">
        <f t="shared" si="56"/>
        <v>0</v>
      </c>
      <c r="AK100" s="176">
        <f>IF(AND(AJ100=MAX($AJ$14:$AJ$109),(SUM($AK$14:AK99)=0)),AJ100,0)</f>
        <v>0</v>
      </c>
      <c r="AL100" s="176">
        <f t="shared" si="66"/>
        <v>0</v>
      </c>
      <c r="AM100" s="176">
        <f t="shared" si="76"/>
        <v>0</v>
      </c>
      <c r="AN100" s="176">
        <f t="shared" si="77"/>
        <v>0</v>
      </c>
      <c r="AO100" s="176">
        <f t="shared" si="46"/>
        <v>-10879.232228000001</v>
      </c>
      <c r="AP100" s="176">
        <f t="shared" si="67"/>
        <v>0</v>
      </c>
      <c r="AQ100" s="176">
        <f>IF(AND(AP100=MAX($AP$14:$AP$109),(SUM($AQ$14:AQ99)=0)),AP100,0)</f>
        <v>0</v>
      </c>
      <c r="AR100" s="176">
        <f t="shared" si="68"/>
        <v>0</v>
      </c>
      <c r="AS100" s="176">
        <f t="shared" si="86"/>
        <v>0</v>
      </c>
      <c r="AT100" s="176">
        <f t="shared" si="78"/>
        <v>0</v>
      </c>
      <c r="AU100" s="176">
        <f t="shared" si="47"/>
        <v>-10879.232228000001</v>
      </c>
      <c r="AV100" s="176">
        <f t="shared" si="69"/>
        <v>0</v>
      </c>
      <c r="AW100" s="176">
        <f>IF(AND(AV100=MAX($AV$14:$AV$109),(SUM($AW$14:AW99)=0)),AV100,0)</f>
        <v>0</v>
      </c>
      <c r="AX100" s="176">
        <f t="shared" si="70"/>
        <v>0</v>
      </c>
      <c r="AY100" s="176">
        <f t="shared" si="79"/>
        <v>0</v>
      </c>
      <c r="AZ100" s="176">
        <f t="shared" si="80"/>
        <v>0</v>
      </c>
      <c r="BA100" s="176">
        <f t="shared" si="48"/>
        <v>-10879.232228000001</v>
      </c>
      <c r="BB100" s="176">
        <f t="shared" si="71"/>
        <v>0</v>
      </c>
      <c r="BC100" s="176">
        <f>IF(AND(BB100=MAX($BB$14:$BB$109),(SUM($BC$14:BC99)=0)),BB100,0)</f>
        <v>0</v>
      </c>
      <c r="BD100" s="176">
        <f t="shared" si="72"/>
        <v>0</v>
      </c>
      <c r="BE100" s="153">
        <v>0.89583333333333304</v>
      </c>
    </row>
    <row r="101" spans="1:57" ht="9.75" hidden="1" customHeight="1" x14ac:dyDescent="0.25">
      <c r="A101" s="153">
        <v>0.90625</v>
      </c>
      <c r="B101" s="177">
        <f>'Data with RTF'!U91</f>
        <v>0</v>
      </c>
      <c r="C101" s="177">
        <f>'Data with RTF'!G91</f>
        <v>0</v>
      </c>
      <c r="D101" s="177">
        <f>'Data with RTF'!N91</f>
        <v>0</v>
      </c>
      <c r="E101" s="177">
        <f>'Data with RTF'!AB91</f>
        <v>0</v>
      </c>
      <c r="F101" s="155">
        <f>IF(OR('Input &amp; Findings'!$G$28='Drop Down Lists'!$E$2,'Input &amp; Findings'!$G$28='Drop Down Lists'!$E$4),SUM(B101:C101),SUM(D101:E101))</f>
        <v>0</v>
      </c>
      <c r="G101" s="155">
        <f t="shared" si="57"/>
        <v>879.23222799999996</v>
      </c>
      <c r="H101" s="155">
        <f t="shared" si="49"/>
        <v>613.77772474000005</v>
      </c>
      <c r="I101" s="155">
        <f>IF(OR('Input &amp; Findings'!$G$39='Drop Down Lists'!$E$3,'Input &amp; Findings'!$G$39='Drop Down Lists'!$E$5),MAX(D101:E101),MAX(B101:C101))</f>
        <v>0</v>
      </c>
      <c r="J101" s="156" t="str">
        <f t="shared" si="84"/>
        <v/>
      </c>
      <c r="K101" s="156" t="str">
        <f t="shared" si="81"/>
        <v/>
      </c>
      <c r="L101" s="176">
        <f t="shared" si="41"/>
        <v>-10879.232228000001</v>
      </c>
      <c r="M101" s="176">
        <f t="shared" si="58"/>
        <v>0</v>
      </c>
      <c r="N101" s="176">
        <f>IF(AND(M101=MAX($M$14:$M$109),(SUM($N$14:N100)=0)),M101,0)</f>
        <v>0</v>
      </c>
      <c r="O101" s="176">
        <f t="shared" si="59"/>
        <v>0</v>
      </c>
      <c r="P101" s="176">
        <f t="shared" si="82"/>
        <v>0</v>
      </c>
      <c r="Q101" s="176">
        <f t="shared" si="83"/>
        <v>0</v>
      </c>
      <c r="R101" s="176">
        <f t="shared" si="42"/>
        <v>-10879.232228000001</v>
      </c>
      <c r="S101" s="176">
        <f t="shared" si="60"/>
        <v>0</v>
      </c>
      <c r="T101" s="176">
        <f>IF(AND(S101=MAX($S$14:$S$109),(SUM($T$14:T100)=0)),S101,0)</f>
        <v>0</v>
      </c>
      <c r="U101" s="176">
        <f t="shared" si="61"/>
        <v>0</v>
      </c>
      <c r="V101" s="176">
        <f t="shared" si="85"/>
        <v>0</v>
      </c>
      <c r="W101" s="176">
        <f t="shared" si="73"/>
        <v>0</v>
      </c>
      <c r="X101" s="176">
        <f t="shared" si="43"/>
        <v>-10879.232228000001</v>
      </c>
      <c r="Y101" s="176">
        <f t="shared" si="62"/>
        <v>0</v>
      </c>
      <c r="Z101" s="176">
        <f>IF(AND(Y101=MAX($Y$14:$Y$109),(SUM($Z$14:Z100)=0)),Y101,0)</f>
        <v>0</v>
      </c>
      <c r="AA101" s="176">
        <f t="shared" si="63"/>
        <v>0</v>
      </c>
      <c r="AB101" s="176">
        <f t="shared" si="74"/>
        <v>0</v>
      </c>
      <c r="AC101" s="176">
        <f t="shared" si="75"/>
        <v>0</v>
      </c>
      <c r="AD101" s="176">
        <f t="shared" si="44"/>
        <v>-10879.232228000001</v>
      </c>
      <c r="AE101" s="176">
        <f t="shared" si="64"/>
        <v>0</v>
      </c>
      <c r="AF101" s="176">
        <f>IF(AND(AE101=MAX($AE$14:$AE$109),(SUM($AF$14:AF100)=0)),AE101,0)</f>
        <v>0</v>
      </c>
      <c r="AG101" s="176">
        <f t="shared" si="65"/>
        <v>0</v>
      </c>
      <c r="AH101" s="155">
        <f t="shared" si="55"/>
        <v>627.26</v>
      </c>
      <c r="AI101" s="176">
        <f t="shared" si="45"/>
        <v>-10879.232228000001</v>
      </c>
      <c r="AJ101" s="176">
        <f t="shared" si="56"/>
        <v>0</v>
      </c>
      <c r="AK101" s="176">
        <f>IF(AND(AJ101=MAX($AJ$14:$AJ$109),(SUM($AK$14:AK100)=0)),AJ101,0)</f>
        <v>0</v>
      </c>
      <c r="AL101" s="176">
        <f t="shared" si="66"/>
        <v>0</v>
      </c>
      <c r="AM101" s="176">
        <f t="shared" si="76"/>
        <v>0</v>
      </c>
      <c r="AN101" s="176">
        <f t="shared" si="77"/>
        <v>0</v>
      </c>
      <c r="AO101" s="176">
        <f t="shared" si="46"/>
        <v>-10879.232228000001</v>
      </c>
      <c r="AP101" s="176">
        <f t="shared" si="67"/>
        <v>0</v>
      </c>
      <c r="AQ101" s="176">
        <f>IF(AND(AP101=MAX($AP$14:$AP$109),(SUM($AQ$14:AQ100)=0)),AP101,0)</f>
        <v>0</v>
      </c>
      <c r="AR101" s="176">
        <f t="shared" si="68"/>
        <v>0</v>
      </c>
      <c r="AS101" s="176">
        <f t="shared" si="86"/>
        <v>0</v>
      </c>
      <c r="AT101" s="176">
        <f t="shared" si="78"/>
        <v>0</v>
      </c>
      <c r="AU101" s="176">
        <f t="shared" si="47"/>
        <v>-10879.232228000001</v>
      </c>
      <c r="AV101" s="176">
        <f t="shared" si="69"/>
        <v>0</v>
      </c>
      <c r="AW101" s="176">
        <f>IF(AND(AV101=MAX($AV$14:$AV$109),(SUM($AW$14:AW100)=0)),AV101,0)</f>
        <v>0</v>
      </c>
      <c r="AX101" s="176">
        <f t="shared" si="70"/>
        <v>0</v>
      </c>
      <c r="AY101" s="176">
        <f t="shared" si="79"/>
        <v>0</v>
      </c>
      <c r="AZ101" s="176">
        <f t="shared" si="80"/>
        <v>0</v>
      </c>
      <c r="BA101" s="176">
        <f t="shared" si="48"/>
        <v>-10879.232228000001</v>
      </c>
      <c r="BB101" s="176">
        <f t="shared" si="71"/>
        <v>0</v>
      </c>
      <c r="BC101" s="176">
        <f>IF(AND(BB101=MAX($BB$14:$BB$109),(SUM($BC$14:BC100)=0)),BB101,0)</f>
        <v>0</v>
      </c>
      <c r="BD101" s="176">
        <f t="shared" si="72"/>
        <v>0</v>
      </c>
      <c r="BE101" s="153">
        <v>0.90625</v>
      </c>
    </row>
    <row r="102" spans="1:57" ht="13.05" hidden="1" customHeight="1" x14ac:dyDescent="0.25">
      <c r="A102" s="153">
        <v>0.91666666666666696</v>
      </c>
      <c r="B102" s="154">
        <f>'Data with RTF'!U92</f>
        <v>0</v>
      </c>
      <c r="C102" s="154">
        <f>'Data with RTF'!G92</f>
        <v>0</v>
      </c>
      <c r="D102" s="154">
        <f>'Data with RTF'!N92</f>
        <v>0</v>
      </c>
      <c r="E102" s="154">
        <f>'Data with RTF'!AB92</f>
        <v>0</v>
      </c>
      <c r="F102" s="155">
        <f>IF(OR('Input &amp; Findings'!$G$28='Drop Down Lists'!$E$2,'Input &amp; Findings'!$G$28='Drop Down Lists'!$E$4),SUM(B102:C102),SUM(D102:E102))</f>
        <v>0</v>
      </c>
      <c r="G102" s="155">
        <f t="shared" si="57"/>
        <v>879.23222799999996</v>
      </c>
      <c r="H102" s="155">
        <f t="shared" si="49"/>
        <v>613.77772474000005</v>
      </c>
      <c r="I102" s="155">
        <f>IF(OR('Input &amp; Findings'!$G$39='Drop Down Lists'!$E$3,'Input &amp; Findings'!$G$39='Drop Down Lists'!$E$5),MAX(D102:E102),MAX(B102:C102))</f>
        <v>0</v>
      </c>
      <c r="J102" s="156" t="str">
        <f t="shared" si="84"/>
        <v/>
      </c>
      <c r="K102" s="156" t="str">
        <f t="shared" si="81"/>
        <v/>
      </c>
      <c r="L102" s="176">
        <f t="shared" si="41"/>
        <v>-10879.232228000001</v>
      </c>
      <c r="M102" s="176">
        <f t="shared" si="58"/>
        <v>0</v>
      </c>
      <c r="N102" s="176">
        <f>IF(AND(M102=MAX($M$14:$M$109),(SUM($N$14:N101)=0)),M102,0)</f>
        <v>0</v>
      </c>
      <c r="O102" s="176">
        <f t="shared" si="59"/>
        <v>0</v>
      </c>
      <c r="P102" s="176">
        <f t="shared" si="82"/>
        <v>0</v>
      </c>
      <c r="Q102" s="176">
        <f t="shared" si="83"/>
        <v>0</v>
      </c>
      <c r="R102" s="176">
        <f t="shared" si="42"/>
        <v>-10879.232228000001</v>
      </c>
      <c r="S102" s="176">
        <f t="shared" si="60"/>
        <v>0</v>
      </c>
      <c r="T102" s="176">
        <f>IF(AND(S102=MAX($S$14:$S$109),(SUM($T$14:T101)=0)),S102,0)</f>
        <v>0</v>
      </c>
      <c r="U102" s="176">
        <f t="shared" si="61"/>
        <v>0</v>
      </c>
      <c r="V102" s="176">
        <f t="shared" si="85"/>
        <v>0</v>
      </c>
      <c r="W102" s="176">
        <f t="shared" si="73"/>
        <v>0</v>
      </c>
      <c r="X102" s="176">
        <f t="shared" si="43"/>
        <v>-10879.232228000001</v>
      </c>
      <c r="Y102" s="176">
        <f t="shared" si="62"/>
        <v>0</v>
      </c>
      <c r="Z102" s="176">
        <f>IF(AND(Y102=MAX($Y$14:$Y$109),(SUM($Z$14:Z101)=0)),Y102,0)</f>
        <v>0</v>
      </c>
      <c r="AA102" s="176">
        <f t="shared" si="63"/>
        <v>0</v>
      </c>
      <c r="AB102" s="176">
        <f t="shared" si="74"/>
        <v>0</v>
      </c>
      <c r="AC102" s="176">
        <f t="shared" si="75"/>
        <v>0</v>
      </c>
      <c r="AD102" s="176">
        <f t="shared" si="44"/>
        <v>-10879.232228000001</v>
      </c>
      <c r="AE102" s="176">
        <f t="shared" si="64"/>
        <v>0</v>
      </c>
      <c r="AF102" s="176">
        <f>IF(AND(AE102=MAX($AE$14:$AE$109),(SUM($AF$14:AF101)=0)),AE102,0)</f>
        <v>0</v>
      </c>
      <c r="AG102" s="176">
        <f t="shared" si="65"/>
        <v>0</v>
      </c>
      <c r="AH102" s="155">
        <f t="shared" si="55"/>
        <v>627.26</v>
      </c>
      <c r="AI102" s="176">
        <f t="shared" si="45"/>
        <v>-10879.232228000001</v>
      </c>
      <c r="AJ102" s="176">
        <f t="shared" si="56"/>
        <v>0</v>
      </c>
      <c r="AK102" s="176">
        <f>IF(AND(AJ102=MAX($AJ$14:$AJ$109),(SUM($AK$14:AK101)=0)),AJ102,0)</f>
        <v>0</v>
      </c>
      <c r="AL102" s="176">
        <f t="shared" si="66"/>
        <v>0</v>
      </c>
      <c r="AM102" s="176">
        <f t="shared" si="76"/>
        <v>0</v>
      </c>
      <c r="AN102" s="176">
        <f t="shared" si="77"/>
        <v>0</v>
      </c>
      <c r="AO102" s="176">
        <f t="shared" si="46"/>
        <v>-10879.232228000001</v>
      </c>
      <c r="AP102" s="176">
        <f t="shared" si="67"/>
        <v>0</v>
      </c>
      <c r="AQ102" s="176">
        <f>IF(AND(AP102=MAX($AP$14:$AP$109),(SUM($AQ$14:AQ101)=0)),AP102,0)</f>
        <v>0</v>
      </c>
      <c r="AR102" s="176">
        <f t="shared" si="68"/>
        <v>0</v>
      </c>
      <c r="AS102" s="176">
        <f t="shared" si="86"/>
        <v>0</v>
      </c>
      <c r="AT102" s="176">
        <f t="shared" si="78"/>
        <v>0</v>
      </c>
      <c r="AU102" s="176">
        <f t="shared" si="47"/>
        <v>-10879.232228000001</v>
      </c>
      <c r="AV102" s="176">
        <f t="shared" si="69"/>
        <v>0</v>
      </c>
      <c r="AW102" s="176">
        <f>IF(AND(AV102=MAX($AV$14:$AV$109),(SUM($AW$14:AW101)=0)),AV102,0)</f>
        <v>0</v>
      </c>
      <c r="AX102" s="176">
        <f t="shared" si="70"/>
        <v>0</v>
      </c>
      <c r="AY102" s="176">
        <f t="shared" si="79"/>
        <v>0</v>
      </c>
      <c r="AZ102" s="176">
        <f t="shared" si="80"/>
        <v>0</v>
      </c>
      <c r="BA102" s="176">
        <f t="shared" si="48"/>
        <v>-10879.232228000001</v>
      </c>
      <c r="BB102" s="176">
        <f t="shared" si="71"/>
        <v>0</v>
      </c>
      <c r="BC102" s="176">
        <f>IF(AND(BB102=MAX($BB$14:$BB$109),(SUM($BC$14:BC101)=0)),BB102,0)</f>
        <v>0</v>
      </c>
      <c r="BD102" s="176">
        <f t="shared" si="72"/>
        <v>0</v>
      </c>
      <c r="BE102" s="153">
        <v>0.91666666666666696</v>
      </c>
    </row>
    <row r="103" spans="1:57" ht="13.05" hidden="1" customHeight="1" x14ac:dyDescent="0.25">
      <c r="A103" s="153">
        <v>0.92708333333333304</v>
      </c>
      <c r="B103" s="154">
        <f>'Data with RTF'!U93</f>
        <v>0</v>
      </c>
      <c r="C103" s="154">
        <f>'Data with RTF'!G93</f>
        <v>0</v>
      </c>
      <c r="D103" s="154">
        <f>'Data with RTF'!N93</f>
        <v>0</v>
      </c>
      <c r="E103" s="154">
        <f>'Data with RTF'!AB93</f>
        <v>0</v>
      </c>
      <c r="F103" s="155">
        <f>IF(OR('Input &amp; Findings'!$G$28='Drop Down Lists'!$E$2,'Input &amp; Findings'!$G$28='Drop Down Lists'!$E$4),SUM(B103:C103),SUM(D103:E103))</f>
        <v>0</v>
      </c>
      <c r="G103" s="155">
        <f t="shared" si="57"/>
        <v>879.23222799999996</v>
      </c>
      <c r="H103" s="155">
        <f t="shared" si="49"/>
        <v>613.77772474000005</v>
      </c>
      <c r="I103" s="155">
        <f>IF(OR('Input &amp; Findings'!$G$39='Drop Down Lists'!$E$3,'Input &amp; Findings'!$G$39='Drop Down Lists'!$E$5),MAX(D103:E103),MAX(B103:C103))</f>
        <v>0</v>
      </c>
      <c r="J103" s="156" t="str">
        <f t="shared" si="84"/>
        <v/>
      </c>
      <c r="K103" s="156" t="str">
        <f t="shared" si="81"/>
        <v/>
      </c>
      <c r="L103" s="176">
        <f t="shared" ref="L103:L109" si="87">IF(J103="Met",I103-G103,I103-G103-10000)</f>
        <v>-10879.232228000001</v>
      </c>
      <c r="M103" s="176">
        <f t="shared" si="58"/>
        <v>0</v>
      </c>
      <c r="N103" s="176">
        <f>IF(AND(M103=MAX($M$14:$M$109),(SUM($N$14:N102)=0)),M103,0)</f>
        <v>0</v>
      </c>
      <c r="O103" s="176">
        <f t="shared" si="59"/>
        <v>0</v>
      </c>
      <c r="P103" s="176">
        <f t="shared" si="82"/>
        <v>0</v>
      </c>
      <c r="Q103" s="176">
        <f t="shared" si="83"/>
        <v>0</v>
      </c>
      <c r="R103" s="176">
        <f t="shared" ref="R103:R109" si="88">IF(Q103="",L103-10000,L103)</f>
        <v>-10879.232228000001</v>
      </c>
      <c r="S103" s="176">
        <f t="shared" si="60"/>
        <v>0</v>
      </c>
      <c r="T103" s="176">
        <f>IF(AND(S103=MAX($S$14:$S$109),(SUM($T$14:T102)=0)),S103,0)</f>
        <v>0</v>
      </c>
      <c r="U103" s="176">
        <f t="shared" si="61"/>
        <v>0</v>
      </c>
      <c r="V103" s="176">
        <f t="shared" si="85"/>
        <v>0</v>
      </c>
      <c r="W103" s="176">
        <f t="shared" si="73"/>
        <v>0</v>
      </c>
      <c r="X103" s="176">
        <f t="shared" ref="X103:X109" si="89">IF(W103="",R103-10000,R103)</f>
        <v>-10879.232228000001</v>
      </c>
      <c r="Y103" s="176">
        <f t="shared" si="62"/>
        <v>0</v>
      </c>
      <c r="Z103" s="176">
        <f>IF(AND(Y103=MAX($Y$14:$Y$109),(SUM($Z$14:Z102)=0)),Y103,0)</f>
        <v>0</v>
      </c>
      <c r="AA103" s="176">
        <f t="shared" si="63"/>
        <v>0</v>
      </c>
      <c r="AB103" s="176">
        <f t="shared" si="74"/>
        <v>0</v>
      </c>
      <c r="AC103" s="176">
        <f t="shared" si="75"/>
        <v>0</v>
      </c>
      <c r="AD103" s="176">
        <f t="shared" ref="AD103:AD109" si="90">IF(AC103="",X103-10000,X103)</f>
        <v>-10879.232228000001</v>
      </c>
      <c r="AE103" s="176">
        <f t="shared" si="64"/>
        <v>0</v>
      </c>
      <c r="AF103" s="176">
        <f>IF(AND(AE103=MAX($AE$14:$AE$109),(SUM($AF$14:AF102)=0)),AE103,0)</f>
        <v>0</v>
      </c>
      <c r="AG103" s="176">
        <f t="shared" si="65"/>
        <v>0</v>
      </c>
      <c r="AH103" s="155">
        <f t="shared" si="55"/>
        <v>627.26</v>
      </c>
      <c r="AI103" s="176">
        <f t="shared" ref="AI103:AI109" si="91">IF(K103="Met",I103-G103,I103-G103-10000)</f>
        <v>-10879.232228000001</v>
      </c>
      <c r="AJ103" s="176">
        <f t="shared" si="56"/>
        <v>0</v>
      </c>
      <c r="AK103" s="176">
        <f>IF(AND(AJ103=MAX($AJ$14:$AJ$109),(SUM($AK$14:AK102)=0)),AJ103,0)</f>
        <v>0</v>
      </c>
      <c r="AL103" s="176">
        <f t="shared" si="66"/>
        <v>0</v>
      </c>
      <c r="AM103" s="176">
        <f t="shared" si="76"/>
        <v>0</v>
      </c>
      <c r="AN103" s="176">
        <f t="shared" si="77"/>
        <v>0</v>
      </c>
      <c r="AO103" s="176">
        <f t="shared" ref="AO103:AO109" si="92">IF(AN103="",AI103-10000,AI103)</f>
        <v>-10879.232228000001</v>
      </c>
      <c r="AP103" s="176">
        <f t="shared" si="67"/>
        <v>0</v>
      </c>
      <c r="AQ103" s="176">
        <f>IF(AND(AP103=MAX($AP$14:$AP$109),(SUM($AQ$14:AQ102)=0)),AP103,0)</f>
        <v>0</v>
      </c>
      <c r="AR103" s="176">
        <f t="shared" si="68"/>
        <v>0</v>
      </c>
      <c r="AS103" s="176">
        <f t="shared" si="86"/>
        <v>0</v>
      </c>
      <c r="AT103" s="176">
        <f t="shared" si="78"/>
        <v>0</v>
      </c>
      <c r="AU103" s="176">
        <f t="shared" ref="AU103:AU109" si="93">IF(AT103="",AO103-10000,AO103)</f>
        <v>-10879.232228000001</v>
      </c>
      <c r="AV103" s="176">
        <f t="shared" si="69"/>
        <v>0</v>
      </c>
      <c r="AW103" s="176">
        <f>IF(AND(AV103=MAX($AV$14:$AV$109),(SUM($AW$14:AW102)=0)),AV103,0)</f>
        <v>0</v>
      </c>
      <c r="AX103" s="176">
        <f t="shared" si="70"/>
        <v>0</v>
      </c>
      <c r="AY103" s="176">
        <f t="shared" si="79"/>
        <v>0</v>
      </c>
      <c r="AZ103" s="176">
        <f t="shared" si="80"/>
        <v>0</v>
      </c>
      <c r="BA103" s="176">
        <f t="shared" ref="BA103:BA109" si="94">IF(AZ103="",AU103-10000,AU103)</f>
        <v>-10879.232228000001</v>
      </c>
      <c r="BB103" s="176">
        <f t="shared" si="71"/>
        <v>0</v>
      </c>
      <c r="BC103" s="176">
        <f>IF(AND(BB103=MAX($BB$14:$BB$109),(SUM($BC$14:BC102)=0)),BB103,0)</f>
        <v>0</v>
      </c>
      <c r="BD103" s="176">
        <f t="shared" si="72"/>
        <v>0</v>
      </c>
      <c r="BE103" s="153">
        <v>0.92708333333333304</v>
      </c>
    </row>
    <row r="104" spans="1:57" ht="13.05" hidden="1" customHeight="1" x14ac:dyDescent="0.25">
      <c r="A104" s="153">
        <v>0.9375</v>
      </c>
      <c r="B104" s="154">
        <f>'Data with RTF'!U94</f>
        <v>0</v>
      </c>
      <c r="C104" s="154">
        <f>'Data with RTF'!G94</f>
        <v>0</v>
      </c>
      <c r="D104" s="154">
        <f>'Data with RTF'!N94</f>
        <v>0</v>
      </c>
      <c r="E104" s="154">
        <f>'Data with RTF'!AB94</f>
        <v>0</v>
      </c>
      <c r="F104" s="155">
        <f>IF(OR('Input &amp; Findings'!$G$28='Drop Down Lists'!$E$2,'Input &amp; Findings'!$G$28='Drop Down Lists'!$E$4),SUM(B104:C104),SUM(D104:E104))</f>
        <v>0</v>
      </c>
      <c r="G104" s="155">
        <f t="shared" si="57"/>
        <v>879.23222799999996</v>
      </c>
      <c r="H104" s="155">
        <f t="shared" ref="H104:H109" si="95">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613.77772474000005</v>
      </c>
      <c r="I104" s="155">
        <f>IF(OR('Input &amp; Findings'!$G$39='Drop Down Lists'!$E$3,'Input &amp; Findings'!$G$39='Drop Down Lists'!$E$5),MAX(D104:E104),MAX(B104:C104))</f>
        <v>0</v>
      </c>
      <c r="J104" s="156" t="str">
        <f t="shared" si="84"/>
        <v/>
      </c>
      <c r="K104" s="156" t="str">
        <f t="shared" si="81"/>
        <v/>
      </c>
      <c r="L104" s="176">
        <f t="shared" si="87"/>
        <v>-10879.232228000001</v>
      </c>
      <c r="M104" s="176">
        <f t="shared" si="58"/>
        <v>0</v>
      </c>
      <c r="N104" s="176">
        <f>IF(AND(M104=MAX($M$14:$M$109),(SUM($N$14:N103)=0)),M104,0)</f>
        <v>0</v>
      </c>
      <c r="O104" s="176">
        <f t="shared" si="59"/>
        <v>0</v>
      </c>
      <c r="P104" s="176">
        <f t="shared" si="82"/>
        <v>0</v>
      </c>
      <c r="Q104" s="176">
        <f t="shared" si="83"/>
        <v>0</v>
      </c>
      <c r="R104" s="176">
        <f t="shared" si="88"/>
        <v>-10879.232228000001</v>
      </c>
      <c r="S104" s="176">
        <f t="shared" si="60"/>
        <v>0</v>
      </c>
      <c r="T104" s="176">
        <f>IF(AND(S104=MAX($S$14:$S$109),(SUM($T$14:T103)=0)),S104,0)</f>
        <v>0</v>
      </c>
      <c r="U104" s="176">
        <f t="shared" si="61"/>
        <v>0</v>
      </c>
      <c r="V104" s="176">
        <f t="shared" si="85"/>
        <v>0</v>
      </c>
      <c r="W104" s="176">
        <f t="shared" si="73"/>
        <v>0</v>
      </c>
      <c r="X104" s="176">
        <f t="shared" si="89"/>
        <v>-10879.232228000001</v>
      </c>
      <c r="Y104" s="176">
        <f t="shared" si="62"/>
        <v>0</v>
      </c>
      <c r="Z104" s="176">
        <f>IF(AND(Y104=MAX($Y$14:$Y$109),(SUM($Z$14:Z103)=0)),Y104,0)</f>
        <v>0</v>
      </c>
      <c r="AA104" s="176">
        <f t="shared" si="63"/>
        <v>0</v>
      </c>
      <c r="AB104" s="176">
        <f t="shared" si="74"/>
        <v>0</v>
      </c>
      <c r="AC104" s="176">
        <f t="shared" si="75"/>
        <v>0</v>
      </c>
      <c r="AD104" s="176">
        <f t="shared" si="90"/>
        <v>-10879.232228000001</v>
      </c>
      <c r="AE104" s="176">
        <f t="shared" si="64"/>
        <v>0</v>
      </c>
      <c r="AF104" s="176">
        <f>IF(AND(AE104=MAX($AE$14:$AE$109),(SUM($AF$14:AF103)=0)),AE104,0)</f>
        <v>0</v>
      </c>
      <c r="AG104" s="176">
        <f t="shared" si="65"/>
        <v>0</v>
      </c>
      <c r="AH104" s="155">
        <f t="shared" si="55"/>
        <v>627.26</v>
      </c>
      <c r="AI104" s="176">
        <f t="shared" si="91"/>
        <v>-10879.232228000001</v>
      </c>
      <c r="AJ104" s="176">
        <f t="shared" si="56"/>
        <v>0</v>
      </c>
      <c r="AK104" s="176">
        <f>IF(AND(AJ104=MAX($AJ$14:$AJ$109),(SUM($AK$14:AK103)=0)),AJ104,0)</f>
        <v>0</v>
      </c>
      <c r="AL104" s="176">
        <f t="shared" si="66"/>
        <v>0</v>
      </c>
      <c r="AM104" s="176">
        <f t="shared" si="76"/>
        <v>0</v>
      </c>
      <c r="AN104" s="176">
        <f t="shared" si="77"/>
        <v>0</v>
      </c>
      <c r="AO104" s="176">
        <f t="shared" si="92"/>
        <v>-10879.232228000001</v>
      </c>
      <c r="AP104" s="176">
        <f t="shared" si="67"/>
        <v>0</v>
      </c>
      <c r="AQ104" s="176">
        <f>IF(AND(AP104=MAX($AP$14:$AP$109),(SUM($AQ$14:AQ103)=0)),AP104,0)</f>
        <v>0</v>
      </c>
      <c r="AR104" s="176">
        <f t="shared" si="68"/>
        <v>0</v>
      </c>
      <c r="AS104" s="176">
        <f t="shared" si="86"/>
        <v>0</v>
      </c>
      <c r="AT104" s="176">
        <f t="shared" si="78"/>
        <v>0</v>
      </c>
      <c r="AU104" s="176">
        <f t="shared" si="93"/>
        <v>-10879.232228000001</v>
      </c>
      <c r="AV104" s="176">
        <f t="shared" si="69"/>
        <v>0</v>
      </c>
      <c r="AW104" s="176">
        <f>IF(AND(AV104=MAX($AV$14:$AV$109),(SUM($AW$14:AW103)=0)),AV104,0)</f>
        <v>0</v>
      </c>
      <c r="AX104" s="176">
        <f t="shared" si="70"/>
        <v>0</v>
      </c>
      <c r="AY104" s="176">
        <f t="shared" si="79"/>
        <v>0</v>
      </c>
      <c r="AZ104" s="176">
        <f t="shared" si="80"/>
        <v>0</v>
      </c>
      <c r="BA104" s="176">
        <f t="shared" si="94"/>
        <v>-10879.232228000001</v>
      </c>
      <c r="BB104" s="176">
        <f t="shared" si="71"/>
        <v>0</v>
      </c>
      <c r="BC104" s="176">
        <f>IF(AND(BB104=MAX($BB$14:$BB$109),(SUM($BC$14:BC103)=0)),BB104,0)</f>
        <v>0</v>
      </c>
      <c r="BD104" s="176">
        <f t="shared" si="72"/>
        <v>0</v>
      </c>
      <c r="BE104" s="153">
        <v>0.9375</v>
      </c>
    </row>
    <row r="105" spans="1:57" ht="13.05" hidden="1" customHeight="1" x14ac:dyDescent="0.25">
      <c r="A105" s="153">
        <v>0.94791666666666696</v>
      </c>
      <c r="B105" s="154">
        <f>'Data with RTF'!U95</f>
        <v>0</v>
      </c>
      <c r="C105" s="154">
        <f>'Data with RTF'!G95</f>
        <v>0</v>
      </c>
      <c r="D105" s="154">
        <f>'Data with RTF'!N95</f>
        <v>0</v>
      </c>
      <c r="E105" s="154">
        <f>'Data with RTF'!AB95</f>
        <v>0</v>
      </c>
      <c r="F105" s="155">
        <f>IF(OR('Input &amp; Findings'!$G$28='Drop Down Lists'!$E$2,'Input &amp; Findings'!$G$28='Drop Down Lists'!$E$4),SUM(B105:C105),SUM(D105:E105))</f>
        <v>0</v>
      </c>
      <c r="G105" s="155">
        <f t="shared" si="57"/>
        <v>879.23222799999996</v>
      </c>
      <c r="H105" s="155">
        <f t="shared" si="95"/>
        <v>613.77772474000005</v>
      </c>
      <c r="I105" s="155">
        <f>IF(OR('Input &amp; Findings'!$G$39='Drop Down Lists'!$E$3,'Input &amp; Findings'!$G$39='Drop Down Lists'!$E$5),MAX(D105:E105),MAX(B105:C105))</f>
        <v>0</v>
      </c>
      <c r="J105" s="156" t="str">
        <f t="shared" si="84"/>
        <v/>
      </c>
      <c r="K105" s="156" t="str">
        <f t="shared" si="81"/>
        <v/>
      </c>
      <c r="L105" s="176">
        <f t="shared" si="87"/>
        <v>-10879.232228000001</v>
      </c>
      <c r="M105" s="176">
        <f t="shared" si="58"/>
        <v>0</v>
      </c>
      <c r="N105" s="176">
        <f>IF(AND(M105=MAX($M$14:$M$109),(SUM($N$14:N104)=0)),M105,0)</f>
        <v>0</v>
      </c>
      <c r="O105" s="176">
        <f t="shared" si="59"/>
        <v>0</v>
      </c>
      <c r="P105" s="176">
        <f t="shared" si="82"/>
        <v>0</v>
      </c>
      <c r="Q105" s="176">
        <f t="shared" si="83"/>
        <v>0</v>
      </c>
      <c r="R105" s="176">
        <f t="shared" si="88"/>
        <v>-10879.232228000001</v>
      </c>
      <c r="S105" s="176">
        <f t="shared" si="60"/>
        <v>0</v>
      </c>
      <c r="T105" s="176">
        <f>IF(AND(S105=MAX($S$14:$S$109),(SUM($T$14:T104)=0)),S105,0)</f>
        <v>0</v>
      </c>
      <c r="U105" s="176">
        <f t="shared" si="61"/>
        <v>0</v>
      </c>
      <c r="V105" s="176">
        <f t="shared" si="85"/>
        <v>0</v>
      </c>
      <c r="W105" s="176">
        <f t="shared" si="73"/>
        <v>0</v>
      </c>
      <c r="X105" s="176">
        <f t="shared" si="89"/>
        <v>-10879.232228000001</v>
      </c>
      <c r="Y105" s="176">
        <f t="shared" si="62"/>
        <v>0</v>
      </c>
      <c r="Z105" s="176">
        <f>IF(AND(Y105=MAX($Y$14:$Y$109),(SUM($Z$14:Z104)=0)),Y105,0)</f>
        <v>0</v>
      </c>
      <c r="AA105" s="176">
        <f t="shared" si="63"/>
        <v>0</v>
      </c>
      <c r="AB105" s="176">
        <f t="shared" si="74"/>
        <v>0</v>
      </c>
      <c r="AC105" s="176">
        <f t="shared" si="75"/>
        <v>0</v>
      </c>
      <c r="AD105" s="176">
        <f t="shared" si="90"/>
        <v>-10879.232228000001</v>
      </c>
      <c r="AE105" s="176">
        <f t="shared" si="64"/>
        <v>0</v>
      </c>
      <c r="AF105" s="176">
        <f>IF(AND(AE105=MAX($AE$14:$AE$109),(SUM($AF$14:AF104)=0)),AE105,0)</f>
        <v>0</v>
      </c>
      <c r="AG105" s="176">
        <f t="shared" si="65"/>
        <v>0</v>
      </c>
      <c r="AH105" s="155">
        <f t="shared" si="55"/>
        <v>627.26</v>
      </c>
      <c r="AI105" s="176">
        <f t="shared" si="91"/>
        <v>-10879.232228000001</v>
      </c>
      <c r="AJ105" s="176">
        <f t="shared" si="56"/>
        <v>0</v>
      </c>
      <c r="AK105" s="176">
        <f>IF(AND(AJ105=MAX($AJ$14:$AJ$109),(SUM($AK$14:AK104)=0)),AJ105,0)</f>
        <v>0</v>
      </c>
      <c r="AL105" s="176">
        <f t="shared" si="66"/>
        <v>0</v>
      </c>
      <c r="AM105" s="176">
        <f t="shared" si="76"/>
        <v>0</v>
      </c>
      <c r="AN105" s="176">
        <f t="shared" si="77"/>
        <v>0</v>
      </c>
      <c r="AO105" s="176">
        <f t="shared" si="92"/>
        <v>-10879.232228000001</v>
      </c>
      <c r="AP105" s="176">
        <f t="shared" si="67"/>
        <v>0</v>
      </c>
      <c r="AQ105" s="176">
        <f>IF(AND(AP105=MAX($AP$14:$AP$109),(SUM($AQ$14:AQ104)=0)),AP105,0)</f>
        <v>0</v>
      </c>
      <c r="AR105" s="176">
        <f t="shared" si="68"/>
        <v>0</v>
      </c>
      <c r="AS105" s="176">
        <f t="shared" si="86"/>
        <v>0</v>
      </c>
      <c r="AT105" s="176">
        <f t="shared" si="78"/>
        <v>0</v>
      </c>
      <c r="AU105" s="176">
        <f t="shared" si="93"/>
        <v>-10879.232228000001</v>
      </c>
      <c r="AV105" s="176">
        <f t="shared" si="69"/>
        <v>0</v>
      </c>
      <c r="AW105" s="176">
        <f>IF(AND(AV105=MAX($AV$14:$AV$109),(SUM($AW$14:AW104)=0)),AV105,0)</f>
        <v>0</v>
      </c>
      <c r="AX105" s="176">
        <f t="shared" si="70"/>
        <v>0</v>
      </c>
      <c r="AY105" s="176">
        <f t="shared" si="79"/>
        <v>0</v>
      </c>
      <c r="AZ105" s="176">
        <f t="shared" si="80"/>
        <v>0</v>
      </c>
      <c r="BA105" s="176">
        <f t="shared" si="94"/>
        <v>-10879.232228000001</v>
      </c>
      <c r="BB105" s="176">
        <f t="shared" si="71"/>
        <v>0</v>
      </c>
      <c r="BC105" s="176">
        <f>IF(AND(BB105=MAX($BB$14:$BB$109),(SUM($BC$14:BC104)=0)),BB105,0)</f>
        <v>0</v>
      </c>
      <c r="BD105" s="176">
        <f t="shared" si="72"/>
        <v>0</v>
      </c>
      <c r="BE105" s="153">
        <v>0.94791666666666696</v>
      </c>
    </row>
    <row r="106" spans="1:57" ht="13.05" hidden="1" customHeight="1" x14ac:dyDescent="0.25">
      <c r="A106" s="153">
        <v>0.95833333333333304</v>
      </c>
      <c r="B106" s="154">
        <f>'Data with RTF'!U96</f>
        <v>0</v>
      </c>
      <c r="C106" s="154">
        <f>'Data with RTF'!G96</f>
        <v>0</v>
      </c>
      <c r="D106" s="154">
        <f>'Data with RTF'!N96</f>
        <v>0</v>
      </c>
      <c r="E106" s="154">
        <f>'Data with RTF'!AB96</f>
        <v>0</v>
      </c>
      <c r="F106" s="155">
        <f>IF(OR('Input &amp; Findings'!$G$28='Drop Down Lists'!$E$2,'Input &amp; Findings'!$G$28='Drop Down Lists'!$E$4),SUM(B106:C106),SUM(D106:E106))</f>
        <v>0</v>
      </c>
      <c r="G106" s="155">
        <f t="shared" si="57"/>
        <v>879.23222799999996</v>
      </c>
      <c r="H106" s="155">
        <f t="shared" si="95"/>
        <v>613.77772474000005</v>
      </c>
      <c r="I106" s="155">
        <f>IF(OR('Input &amp; Findings'!$G$39='Drop Down Lists'!$E$3,'Input &amp; Findings'!$G$39='Drop Down Lists'!$E$5),MAX(D106:E106),MAX(B106:C106))</f>
        <v>0</v>
      </c>
      <c r="J106" s="156" t="str">
        <f t="shared" si="84"/>
        <v/>
      </c>
      <c r="K106" s="156" t="str">
        <f t="shared" si="81"/>
        <v/>
      </c>
      <c r="L106" s="176">
        <f t="shared" si="87"/>
        <v>-10879.232228000001</v>
      </c>
      <c r="M106" s="176">
        <f t="shared" si="58"/>
        <v>0</v>
      </c>
      <c r="N106" s="176">
        <f>IF(AND(M106=MAX($M$14:$M$109),(SUM($N$14:N105)=0)),M106,0)</f>
        <v>0</v>
      </c>
      <c r="O106" s="176">
        <f t="shared" si="59"/>
        <v>0</v>
      </c>
      <c r="P106" s="176">
        <f t="shared" si="82"/>
        <v>0</v>
      </c>
      <c r="Q106" s="176">
        <f t="shared" si="83"/>
        <v>0</v>
      </c>
      <c r="R106" s="176">
        <f t="shared" si="88"/>
        <v>-10879.232228000001</v>
      </c>
      <c r="S106" s="176">
        <f t="shared" si="60"/>
        <v>0</v>
      </c>
      <c r="T106" s="176">
        <f>IF(AND(S106=MAX($S$14:$S$109),(SUM($T$14:T105)=0)),S106,0)</f>
        <v>0</v>
      </c>
      <c r="U106" s="176">
        <f t="shared" si="61"/>
        <v>0</v>
      </c>
      <c r="V106" s="176">
        <f t="shared" si="85"/>
        <v>0</v>
      </c>
      <c r="W106" s="176">
        <f t="shared" si="73"/>
        <v>0</v>
      </c>
      <c r="X106" s="176">
        <f t="shared" si="89"/>
        <v>-10879.232228000001</v>
      </c>
      <c r="Y106" s="176">
        <f t="shared" si="62"/>
        <v>0</v>
      </c>
      <c r="Z106" s="176">
        <f>IF(AND(Y106=MAX($Y$14:$Y$109),(SUM($Z$14:Z105)=0)),Y106,0)</f>
        <v>0</v>
      </c>
      <c r="AA106" s="176">
        <f t="shared" si="63"/>
        <v>0</v>
      </c>
      <c r="AB106" s="176">
        <f t="shared" si="74"/>
        <v>0</v>
      </c>
      <c r="AC106" s="176">
        <f t="shared" si="75"/>
        <v>0</v>
      </c>
      <c r="AD106" s="176">
        <f t="shared" si="90"/>
        <v>-10879.232228000001</v>
      </c>
      <c r="AE106" s="176">
        <f t="shared" si="64"/>
        <v>0</v>
      </c>
      <c r="AF106" s="176">
        <f>IF(AND(AE106=MAX($AE$14:$AE$109),(SUM($AF$14:AF105)=0)),AE106,0)</f>
        <v>0</v>
      </c>
      <c r="AG106" s="176">
        <f t="shared" si="65"/>
        <v>0</v>
      </c>
      <c r="AH106" s="155">
        <f t="shared" si="55"/>
        <v>627.26</v>
      </c>
      <c r="AI106" s="176">
        <f t="shared" si="91"/>
        <v>-10879.232228000001</v>
      </c>
      <c r="AJ106" s="176">
        <f t="shared" si="56"/>
        <v>0</v>
      </c>
      <c r="AK106" s="176">
        <f>IF(AND(AJ106=MAX($AJ$14:$AJ$109),(SUM($AK$14:AK105)=0)),AJ106,0)</f>
        <v>0</v>
      </c>
      <c r="AL106" s="176">
        <f t="shared" si="66"/>
        <v>0</v>
      </c>
      <c r="AM106" s="176">
        <f t="shared" si="76"/>
        <v>0</v>
      </c>
      <c r="AN106" s="176">
        <f t="shared" si="77"/>
        <v>0</v>
      </c>
      <c r="AO106" s="176">
        <f t="shared" si="92"/>
        <v>-10879.232228000001</v>
      </c>
      <c r="AP106" s="176">
        <f t="shared" si="67"/>
        <v>0</v>
      </c>
      <c r="AQ106" s="176">
        <f>IF(AND(AP106=MAX($AP$14:$AP$109),(SUM($AQ$14:AQ105)=0)),AP106,0)</f>
        <v>0</v>
      </c>
      <c r="AR106" s="176">
        <f t="shared" si="68"/>
        <v>0</v>
      </c>
      <c r="AS106" s="176">
        <f t="shared" si="86"/>
        <v>0</v>
      </c>
      <c r="AT106" s="176">
        <f t="shared" si="78"/>
        <v>0</v>
      </c>
      <c r="AU106" s="176">
        <f t="shared" si="93"/>
        <v>-10879.232228000001</v>
      </c>
      <c r="AV106" s="176">
        <f t="shared" si="69"/>
        <v>0</v>
      </c>
      <c r="AW106" s="176">
        <f>IF(AND(AV106=MAX($AV$14:$AV$109),(SUM($AW$14:AW105)=0)),AV106,0)</f>
        <v>0</v>
      </c>
      <c r="AX106" s="176">
        <f t="shared" si="70"/>
        <v>0</v>
      </c>
      <c r="AY106" s="176">
        <f t="shared" si="79"/>
        <v>0</v>
      </c>
      <c r="AZ106" s="176">
        <f t="shared" si="80"/>
        <v>0</v>
      </c>
      <c r="BA106" s="176">
        <f t="shared" si="94"/>
        <v>-10879.232228000001</v>
      </c>
      <c r="BB106" s="176">
        <f t="shared" si="71"/>
        <v>0</v>
      </c>
      <c r="BC106" s="176">
        <f>IF(AND(BB106=MAX($BB$14:$BB$109),(SUM($BC$14:BC105)=0)),BB106,0)</f>
        <v>0</v>
      </c>
      <c r="BD106" s="176">
        <f t="shared" si="72"/>
        <v>0</v>
      </c>
      <c r="BE106" s="153">
        <v>0.95833333333333304</v>
      </c>
    </row>
    <row r="107" spans="1:57" ht="13.05" hidden="1" customHeight="1" x14ac:dyDescent="0.25">
      <c r="A107" s="153">
        <v>0.96875</v>
      </c>
      <c r="B107" s="154">
        <f>'Data with RTF'!U97</f>
        <v>0</v>
      </c>
      <c r="C107" s="154">
        <f>'Data with RTF'!G97</f>
        <v>0</v>
      </c>
      <c r="D107" s="154">
        <f>'Data with RTF'!N97</f>
        <v>0</v>
      </c>
      <c r="E107" s="154">
        <f>'Data with RTF'!AB97</f>
        <v>0</v>
      </c>
      <c r="F107" s="155">
        <f>IF(OR('Input &amp; Findings'!$G$28='Drop Down Lists'!$E$2,'Input &amp; Findings'!$G$28='Drop Down Lists'!$E$4),SUM(B107:C107),SUM(D107:E107))</f>
        <v>0</v>
      </c>
      <c r="G107" s="155">
        <f t="shared" si="57"/>
        <v>879.23222799999996</v>
      </c>
      <c r="H107" s="155">
        <f t="shared" si="95"/>
        <v>613.77772474000005</v>
      </c>
      <c r="I107" s="155">
        <f>IF(OR('Input &amp; Findings'!$G$39='Drop Down Lists'!$E$3,'Input &amp; Findings'!$G$39='Drop Down Lists'!$E$5),MAX(D107:E107),MAX(B107:C107))</f>
        <v>0</v>
      </c>
      <c r="J107" s="156" t="str">
        <f t="shared" si="84"/>
        <v/>
      </c>
      <c r="K107" s="156" t="str">
        <f t="shared" si="81"/>
        <v/>
      </c>
      <c r="L107" s="176">
        <f t="shared" si="87"/>
        <v>-10879.232228000001</v>
      </c>
      <c r="M107" s="176">
        <f t="shared" si="58"/>
        <v>0</v>
      </c>
      <c r="N107" s="176">
        <f>IF(AND(M107=MAX($M$14:$M$109),(SUM($N$14:N106)=0)),M107,0)</f>
        <v>0</v>
      </c>
      <c r="O107" s="176">
        <f t="shared" si="59"/>
        <v>0</v>
      </c>
      <c r="P107" s="176">
        <f t="shared" si="82"/>
        <v>0</v>
      </c>
      <c r="Q107" s="176">
        <f t="shared" si="83"/>
        <v>0</v>
      </c>
      <c r="R107" s="176">
        <f t="shared" si="88"/>
        <v>-10879.232228000001</v>
      </c>
      <c r="S107" s="176">
        <f t="shared" si="60"/>
        <v>0</v>
      </c>
      <c r="T107" s="176">
        <f>IF(AND(S107=MAX($S$14:$S$109),(SUM($T$14:T106)=0)),S107,0)</f>
        <v>0</v>
      </c>
      <c r="U107" s="176">
        <f t="shared" si="61"/>
        <v>0</v>
      </c>
      <c r="V107" s="176">
        <f t="shared" si="85"/>
        <v>0</v>
      </c>
      <c r="W107" s="176">
        <f>IF(AND(T107=0,T108=0,T109=0,S110=0,T106=0,T105=0,T104=0),Q107,"")</f>
        <v>0</v>
      </c>
      <c r="X107" s="176">
        <f t="shared" si="89"/>
        <v>-10879.232228000001</v>
      </c>
      <c r="Y107" s="176">
        <f t="shared" si="62"/>
        <v>0</v>
      </c>
      <c r="Z107" s="176">
        <f>IF(AND(Y107=MAX($Y$14:$Y$109),(SUM($Z$14:Z106)=0)),Y107,0)</f>
        <v>0</v>
      </c>
      <c r="AA107" s="176">
        <f t="shared" si="63"/>
        <v>0</v>
      </c>
      <c r="AB107" s="176">
        <f>IF(AND(Z107=0,Z108=0,Z109=0,Y110=0,Z106=0,Z105=0,Z104=0),V107,"")</f>
        <v>0</v>
      </c>
      <c r="AC107" s="176">
        <f>IF(AND(Z107=0,Z108=0,Z109=0,Y110=0,Z106=0,Z105=0,Z104=0),W107,"")</f>
        <v>0</v>
      </c>
      <c r="AD107" s="176">
        <f t="shared" si="90"/>
        <v>-10879.232228000001</v>
      </c>
      <c r="AE107" s="176">
        <f t="shared" si="64"/>
        <v>0</v>
      </c>
      <c r="AF107" s="176">
        <f>IF(AND(AE107=MAX($AE$14:$AE$109),(SUM($AF$14:AF106)=0)),AE107,0)</f>
        <v>0</v>
      </c>
      <c r="AG107" s="176">
        <f t="shared" si="65"/>
        <v>0</v>
      </c>
      <c r="AH107" s="155">
        <f t="shared" si="55"/>
        <v>627.26</v>
      </c>
      <c r="AI107" s="176">
        <f t="shared" si="91"/>
        <v>-10879.232228000001</v>
      </c>
      <c r="AJ107" s="176">
        <f t="shared" si="56"/>
        <v>0</v>
      </c>
      <c r="AK107" s="176">
        <f>IF(AND(AJ107=MAX($AJ$14:$AJ$109),(SUM($AK$14:AK106)=0)),AJ107,0)</f>
        <v>0</v>
      </c>
      <c r="AL107" s="176">
        <f t="shared" si="66"/>
        <v>0</v>
      </c>
      <c r="AM107" s="176">
        <f t="shared" si="76"/>
        <v>0</v>
      </c>
      <c r="AN107" s="176">
        <f t="shared" si="77"/>
        <v>0</v>
      </c>
      <c r="AO107" s="176">
        <f t="shared" si="92"/>
        <v>-10879.232228000001</v>
      </c>
      <c r="AP107" s="176">
        <f t="shared" si="67"/>
        <v>0</v>
      </c>
      <c r="AQ107" s="176">
        <f>IF(AND(AP107=MAX($AP$14:$AP$109),(SUM($AQ$14:AQ106)=0)),AP107,0)</f>
        <v>0</v>
      </c>
      <c r="AR107" s="176">
        <f t="shared" si="68"/>
        <v>0</v>
      </c>
      <c r="AS107" s="176">
        <f t="shared" si="86"/>
        <v>0</v>
      </c>
      <c r="AT107" s="176">
        <f>IF(AND(AQ107=0,AQ108=0,AQ109=0,AP110=0,AQ106=0,AQ105=0,AQ104=0),AN107,"")</f>
        <v>0</v>
      </c>
      <c r="AU107" s="176">
        <f t="shared" si="93"/>
        <v>-10879.232228000001</v>
      </c>
      <c r="AV107" s="176">
        <f t="shared" si="69"/>
        <v>0</v>
      </c>
      <c r="AW107" s="176">
        <f>IF(AND(AV107=MAX($AV$14:$AV$109),(SUM($AW$14:AW106)=0)),AV107,0)</f>
        <v>0</v>
      </c>
      <c r="AX107" s="176">
        <f t="shared" si="70"/>
        <v>0</v>
      </c>
      <c r="AY107" s="176">
        <f>IF(AND(AW107=0,AW108=0,AW109=0,AV110=0,AW106=0,AW105=0,AW104=0),AS107,"")</f>
        <v>0</v>
      </c>
      <c r="AZ107" s="176">
        <f>IF(AND(AW107=0,AW108=0,AW109=0,AV110=0,AW106=0,AW105=0,AW104=0),AT107,"")</f>
        <v>0</v>
      </c>
      <c r="BA107" s="176">
        <f t="shared" si="94"/>
        <v>-10879.232228000001</v>
      </c>
      <c r="BB107" s="176">
        <f t="shared" si="71"/>
        <v>0</v>
      </c>
      <c r="BC107" s="176">
        <f>IF(AND(BB107=MAX($BB$14:$BB$109),(SUM($BC$14:BC106)=0)),BB107,0)</f>
        <v>0</v>
      </c>
      <c r="BD107" s="176">
        <f t="shared" si="72"/>
        <v>0</v>
      </c>
      <c r="BE107" s="153">
        <v>0.96875</v>
      </c>
    </row>
    <row r="108" spans="1:57" ht="13.05" hidden="1" customHeight="1" x14ac:dyDescent="0.25">
      <c r="A108" s="153">
        <v>0.97916666666666696</v>
      </c>
      <c r="B108" s="154">
        <f>'Data with RTF'!U98</f>
        <v>0</v>
      </c>
      <c r="C108" s="154">
        <f>'Data with RTF'!G98</f>
        <v>0</v>
      </c>
      <c r="D108" s="154">
        <f>'Data with RTF'!N98</f>
        <v>0</v>
      </c>
      <c r="E108" s="154">
        <f>'Data with RTF'!AB98</f>
        <v>0</v>
      </c>
      <c r="F108" s="155">
        <f>IF(OR('Input &amp; Findings'!$G$28='Drop Down Lists'!$E$2,'Input &amp; Findings'!$G$28='Drop Down Lists'!$E$4),SUM(B108:C108),SUM(D108:E108))</f>
        <v>0</v>
      </c>
      <c r="G108" s="155">
        <f t="shared" si="57"/>
        <v>879.23222799999996</v>
      </c>
      <c r="H108" s="155">
        <f t="shared" si="95"/>
        <v>613.77772474000005</v>
      </c>
      <c r="I108" s="155">
        <f>IF(OR('Input &amp; Findings'!$G$39='Drop Down Lists'!$E$3,'Input &amp; Findings'!$G$39='Drop Down Lists'!$E$5),MAX(D108:E108),MAX(B108:C108))</f>
        <v>0</v>
      </c>
      <c r="J108" s="156" t="str">
        <f t="shared" si="84"/>
        <v/>
      </c>
      <c r="K108" s="156" t="str">
        <f t="shared" si="81"/>
        <v/>
      </c>
      <c r="L108" s="176">
        <f t="shared" si="87"/>
        <v>-10879.232228000001</v>
      </c>
      <c r="M108" s="176">
        <f t="shared" si="58"/>
        <v>0</v>
      </c>
      <c r="N108" s="176">
        <f>IF(AND(M108=MAX($M$14:$M$109),(SUM($N$14:N107)=0)),M108,0)</f>
        <v>0</v>
      </c>
      <c r="O108" s="176">
        <f t="shared" si="59"/>
        <v>0</v>
      </c>
      <c r="P108" s="176">
        <f t="shared" si="82"/>
        <v>0</v>
      </c>
      <c r="Q108" s="176">
        <f t="shared" si="83"/>
        <v>0</v>
      </c>
      <c r="R108" s="176">
        <f t="shared" si="88"/>
        <v>-10879.232228000001</v>
      </c>
      <c r="S108" s="176">
        <f t="shared" si="60"/>
        <v>0</v>
      </c>
      <c r="T108" s="176">
        <f>IF(AND(S108=MAX($S$14:$S$109),(SUM($T$14:T107)=0)),S108,0)</f>
        <v>0</v>
      </c>
      <c r="U108" s="176">
        <f t="shared" si="61"/>
        <v>0</v>
      </c>
      <c r="V108" s="176">
        <f t="shared" si="85"/>
        <v>0</v>
      </c>
      <c r="W108" s="176">
        <f>IF(AND(T108=0,T109=0,S110=0,S111=0,T107=0,T106=0,T105=0),Q108,"")</f>
        <v>0</v>
      </c>
      <c r="X108" s="176">
        <f t="shared" si="89"/>
        <v>-10879.232228000001</v>
      </c>
      <c r="Y108" s="176">
        <f t="shared" si="62"/>
        <v>0</v>
      </c>
      <c r="Z108" s="176">
        <f>IF(AND(Y108=MAX($Y$14:$Y$109),(SUM($Z$14:Z107)=0)),Y108,0)</f>
        <v>0</v>
      </c>
      <c r="AA108" s="176">
        <f t="shared" si="63"/>
        <v>0</v>
      </c>
      <c r="AB108" s="176">
        <f>IF(AND(Z108=0,Z109=0,Y110=0,Y111=0,Z107=0,Z106=0,Z105=0),V108,"")</f>
        <v>0</v>
      </c>
      <c r="AC108" s="176">
        <f>IF(AND(Z108=0,Z109=0,Y110=0,Y111=0,Z107=0,Z106=0,Z105=0),W108,"")</f>
        <v>0</v>
      </c>
      <c r="AD108" s="176">
        <f t="shared" si="90"/>
        <v>-10879.232228000001</v>
      </c>
      <c r="AE108" s="176">
        <f t="shared" si="64"/>
        <v>0</v>
      </c>
      <c r="AF108" s="176">
        <f>IF(AND(AE108=MAX($AE$14:$AE$109),(SUM($AF$14:AF107)=0)),AE108,0)</f>
        <v>0</v>
      </c>
      <c r="AG108" s="176">
        <f t="shared" si="65"/>
        <v>0</v>
      </c>
      <c r="AH108" s="155">
        <f t="shared" si="55"/>
        <v>627.26</v>
      </c>
      <c r="AI108" s="176">
        <f t="shared" si="91"/>
        <v>-10879.232228000001</v>
      </c>
      <c r="AJ108" s="176">
        <f t="shared" si="56"/>
        <v>0</v>
      </c>
      <c r="AK108" s="176">
        <f>IF(AND(AJ108=MAX($AJ$14:$AJ$109),(SUM($AK$14:AK107)=0)),AJ108,0)</f>
        <v>0</v>
      </c>
      <c r="AL108" s="176">
        <f t="shared" si="66"/>
        <v>0</v>
      </c>
      <c r="AM108" s="176">
        <f t="shared" si="76"/>
        <v>0</v>
      </c>
      <c r="AN108" s="176">
        <f t="shared" si="77"/>
        <v>0</v>
      </c>
      <c r="AO108" s="176">
        <f t="shared" si="92"/>
        <v>-10879.232228000001</v>
      </c>
      <c r="AP108" s="176">
        <f t="shared" si="67"/>
        <v>0</v>
      </c>
      <c r="AQ108" s="176">
        <f>IF(AND(AP108=MAX($AP$14:$AP$109),(SUM($AQ$14:AQ107)=0)),AP108,0)</f>
        <v>0</v>
      </c>
      <c r="AR108" s="176">
        <f t="shared" si="68"/>
        <v>0</v>
      </c>
      <c r="AS108" s="176">
        <f t="shared" si="86"/>
        <v>0</v>
      </c>
      <c r="AT108" s="176">
        <f>IF(AND(AQ108=0,AQ109=0,AP110=0,AP111=0,AQ107=0,AQ106=0,AQ105=0),AN108,"")</f>
        <v>0</v>
      </c>
      <c r="AU108" s="176">
        <f t="shared" si="93"/>
        <v>-10879.232228000001</v>
      </c>
      <c r="AV108" s="176">
        <f t="shared" si="69"/>
        <v>0</v>
      </c>
      <c r="AW108" s="176">
        <f>IF(AND(AV108=MAX($AV$14:$AV$109),(SUM($AW$14:AW107)=0)),AV108,0)</f>
        <v>0</v>
      </c>
      <c r="AX108" s="176">
        <f t="shared" si="70"/>
        <v>0</v>
      </c>
      <c r="AY108" s="176">
        <f>IF(AND(AW108=0,AW109=0,AV110=0,AV111=0,AW107=0,AW106=0,AW105=0),AS108,"")</f>
        <v>0</v>
      </c>
      <c r="AZ108" s="176">
        <f>IF(AND(AW108=0,AW109=0,AV110=0,AV111=0,AW107=0,AW106=0,AW105=0),AT108,"")</f>
        <v>0</v>
      </c>
      <c r="BA108" s="176">
        <f t="shared" si="94"/>
        <v>-10879.232228000001</v>
      </c>
      <c r="BB108" s="176">
        <f t="shared" si="71"/>
        <v>0</v>
      </c>
      <c r="BC108" s="176">
        <f>IF(AND(BB108=MAX($BB$14:$BB$109),(SUM($BC$14:BC107)=0)),BB108,0)</f>
        <v>0</v>
      </c>
      <c r="BD108" s="176">
        <f t="shared" si="72"/>
        <v>0</v>
      </c>
      <c r="BE108" s="153">
        <v>0.97916666666666696</v>
      </c>
    </row>
    <row r="109" spans="1:57" ht="13.05" hidden="1" customHeight="1" x14ac:dyDescent="0.25">
      <c r="A109" s="153">
        <v>0.98958333333333304</v>
      </c>
      <c r="B109" s="154">
        <f>'Data with RTF'!U99</f>
        <v>0</v>
      </c>
      <c r="C109" s="154">
        <f>'Data with RTF'!G99</f>
        <v>0</v>
      </c>
      <c r="D109" s="154">
        <f>'Data with RTF'!N99</f>
        <v>0</v>
      </c>
      <c r="E109" s="154">
        <f>'Data with RTF'!AB99</f>
        <v>0</v>
      </c>
      <c r="F109" s="155">
        <f>IF(OR('Input &amp; Findings'!$G$28='Drop Down Lists'!$E$2,'Input &amp; Findings'!$G$28='Drop Down Lists'!$E$4),SUM(B109:C109),SUM(D109:E109))</f>
        <v>0</v>
      </c>
      <c r="G109" s="155">
        <f t="shared" si="57"/>
        <v>879.23222799999996</v>
      </c>
      <c r="H109" s="155">
        <f t="shared" si="95"/>
        <v>613.77772474000005</v>
      </c>
      <c r="I109" s="155">
        <f>IF(OR('Input &amp; Findings'!$G$39='Drop Down Lists'!$E$3,'Input &amp; Findings'!$G$39='Drop Down Lists'!$E$5),MAX(D109:E109),MAX(B109:C109))</f>
        <v>0</v>
      </c>
      <c r="J109" s="156" t="str">
        <f t="shared" si="84"/>
        <v/>
      </c>
      <c r="K109" s="156" t="str">
        <f t="shared" si="81"/>
        <v/>
      </c>
      <c r="L109" s="176">
        <f t="shared" si="87"/>
        <v>-10879.232228000001</v>
      </c>
      <c r="M109" s="176">
        <f t="shared" si="58"/>
        <v>0</v>
      </c>
      <c r="N109" s="176">
        <f>IF(AND(M109=MAX($M$14:$M$109),(SUM($N$14:N108)=0)),M109,0)</f>
        <v>0</v>
      </c>
      <c r="O109" s="176">
        <f t="shared" si="59"/>
        <v>0</v>
      </c>
      <c r="P109" s="176">
        <f t="shared" si="82"/>
        <v>0</v>
      </c>
      <c r="Q109" s="176">
        <f t="shared" si="83"/>
        <v>0</v>
      </c>
      <c r="R109" s="176">
        <f t="shared" si="88"/>
        <v>-10879.232228000001</v>
      </c>
      <c r="S109" s="176">
        <f t="shared" si="60"/>
        <v>0</v>
      </c>
      <c r="T109" s="176">
        <f>IF(AND(S109=MAX($S$14:$S$109),(SUM($T$14:T108)=0)),S109,0)</f>
        <v>0</v>
      </c>
      <c r="U109" s="176">
        <f t="shared" si="61"/>
        <v>0</v>
      </c>
      <c r="V109" s="176">
        <f t="shared" si="85"/>
        <v>0</v>
      </c>
      <c r="W109" s="176">
        <f>IF(AND(T109=0,S110=0,S111=0,S112=0,T108=0,T107=0,T106=0),Q109,"")</f>
        <v>0</v>
      </c>
      <c r="X109" s="176">
        <f t="shared" si="89"/>
        <v>-10879.232228000001</v>
      </c>
      <c r="Y109" s="176">
        <f t="shared" si="62"/>
        <v>0</v>
      </c>
      <c r="Z109" s="176">
        <f>IF(AND(Y109=MAX($Y$14:$Y$109),(SUM($Z$14:Z108)=0)),Y109,0)</f>
        <v>0</v>
      </c>
      <c r="AA109" s="176">
        <f t="shared" si="63"/>
        <v>0</v>
      </c>
      <c r="AB109" s="176">
        <f>IF(AND(Z109=0,Y110=0,Y111=0,Y112=0,Z108=0,Z107=0,Z106=0),V109,"")</f>
        <v>0</v>
      </c>
      <c r="AC109" s="176">
        <f>IF(AND(Z109=0,Y110=0,Y111=0,Y112=0,Z108=0,Z107=0,Z106=0),W109,"")</f>
        <v>0</v>
      </c>
      <c r="AD109" s="176">
        <f t="shared" si="90"/>
        <v>-10879.232228000001</v>
      </c>
      <c r="AE109" s="176">
        <f t="shared" si="64"/>
        <v>0</v>
      </c>
      <c r="AF109" s="176">
        <f>IF(AND(AE109=MAX($AE$14:$AE$109),(SUM($AF$14:AF108)=0)),AE109,0)</f>
        <v>0</v>
      </c>
      <c r="AG109" s="176">
        <f t="shared" si="65"/>
        <v>0</v>
      </c>
      <c r="AH109" s="155"/>
      <c r="AI109" s="176">
        <f t="shared" si="91"/>
        <v>-10879.232228000001</v>
      </c>
      <c r="AJ109" s="176">
        <f t="shared" si="56"/>
        <v>0</v>
      </c>
      <c r="AK109" s="176">
        <f>IF(AND(AJ109=MAX($AJ$14:$AJ$109),(SUM($AK$14:AK108)=0)),AJ109,0)</f>
        <v>0</v>
      </c>
      <c r="AL109" s="176">
        <f t="shared" si="66"/>
        <v>0</v>
      </c>
      <c r="AM109" s="176">
        <f t="shared" si="76"/>
        <v>0</v>
      </c>
      <c r="AN109" s="176">
        <f t="shared" si="77"/>
        <v>0</v>
      </c>
      <c r="AO109" s="176">
        <f t="shared" si="92"/>
        <v>-10879.232228000001</v>
      </c>
      <c r="AP109" s="176">
        <f t="shared" si="67"/>
        <v>0</v>
      </c>
      <c r="AQ109" s="176">
        <f>IF(AND(AP109=MAX($AP$14:$AP$109),(SUM($AQ$14:AQ108)=0)),AP109,0)</f>
        <v>0</v>
      </c>
      <c r="AR109" s="176">
        <f>IF(AQ109=MAX($AQ$14:$AQ$109),AN109,0)</f>
        <v>0</v>
      </c>
      <c r="AS109" s="176">
        <f t="shared" si="86"/>
        <v>0</v>
      </c>
      <c r="AT109" s="176">
        <f>IF(AND(AQ109=0,AP110=0,AP111=0,AP112=0,AQ108=0,AQ107=0,AQ106=0),AN109,"")</f>
        <v>0</v>
      </c>
      <c r="AU109" s="176">
        <f t="shared" si="93"/>
        <v>-10879.232228000001</v>
      </c>
      <c r="AV109" s="176">
        <f t="shared" si="69"/>
        <v>0</v>
      </c>
      <c r="AW109" s="176">
        <f>IF(AND(AV109=MAX($AV$14:$AV$109),(SUM($AW$14:AW108)=0)),AV109,0)</f>
        <v>0</v>
      </c>
      <c r="AX109" s="176">
        <f t="shared" si="70"/>
        <v>0</v>
      </c>
      <c r="AY109" s="176">
        <f>IF(AND(AW109=0,AV110=0,AV111=0,AV112=0,AW108=0,AW107=0,AW106=0),AS109,"")</f>
        <v>0</v>
      </c>
      <c r="AZ109" s="176">
        <f>IF(AND(AW109=0,AV110=0,AV111=0,AV112=0,AW108=0,AW107=0,AW106=0),AT109,"")</f>
        <v>0</v>
      </c>
      <c r="BA109" s="176">
        <f t="shared" si="94"/>
        <v>-10879.232228000001</v>
      </c>
      <c r="BB109" s="176">
        <f t="shared" si="71"/>
        <v>0</v>
      </c>
      <c r="BC109" s="176">
        <f>IF(AND(BB109=MAX($BB$14:$BB$109),(SUM($BC$14:BC108)=0)),BB109,0)</f>
        <v>0</v>
      </c>
      <c r="BD109" s="176">
        <f t="shared" si="72"/>
        <v>0</v>
      </c>
      <c r="BE109" s="153">
        <v>0.98958333333333304</v>
      </c>
    </row>
    <row r="110" spans="1:57" ht="13.05" customHeight="1" x14ac:dyDescent="0.25">
      <c r="A110" s="105"/>
      <c r="B110" s="105"/>
      <c r="C110" s="105"/>
      <c r="D110" s="105"/>
      <c r="E110" s="105"/>
      <c r="F110" s="105"/>
      <c r="G110" s="105"/>
      <c r="H110" s="105"/>
      <c r="I110" s="105"/>
      <c r="J110" s="106"/>
      <c r="K110" s="106"/>
      <c r="L110" s="106"/>
      <c r="M110" s="106"/>
      <c r="N110" s="106"/>
      <c r="O110" s="106"/>
      <c r="Q110" s="103"/>
      <c r="R110" s="103"/>
      <c r="S110" s="103"/>
      <c r="T110" s="103"/>
      <c r="U110" s="103"/>
      <c r="V110" s="103"/>
      <c r="W110" s="103"/>
      <c r="Y110" s="103"/>
      <c r="Z110" s="103"/>
      <c r="AA110" s="103"/>
      <c r="AB110" s="103"/>
      <c r="AC110" s="103"/>
      <c r="AD110" s="103"/>
      <c r="AE110" s="103"/>
      <c r="AF110" s="103"/>
      <c r="AG110" s="103"/>
      <c r="AH110" s="103"/>
    </row>
    <row r="111" spans="1:57" x14ac:dyDescent="0.25">
      <c r="A111" s="105"/>
      <c r="B111" s="105"/>
      <c r="C111" s="105"/>
      <c r="D111" s="105"/>
      <c r="E111" s="105"/>
      <c r="F111" s="105"/>
      <c r="G111" s="108"/>
      <c r="I111" s="105"/>
      <c r="J111" s="105"/>
      <c r="K111" s="105"/>
      <c r="L111" s="105"/>
      <c r="M111" s="105"/>
      <c r="N111" s="105"/>
      <c r="O111" s="105"/>
      <c r="Y111" s="103"/>
      <c r="Z111" s="103"/>
      <c r="AA111" s="103"/>
      <c r="AB111" s="103"/>
      <c r="AC111" s="103"/>
      <c r="AD111" s="103"/>
      <c r="AE111" s="103"/>
      <c r="AF111" s="103"/>
      <c r="AG111" s="103"/>
      <c r="AH111" s="103"/>
    </row>
    <row r="112" spans="1:57" x14ac:dyDescent="0.25">
      <c r="A112" s="105"/>
      <c r="B112" s="105"/>
      <c r="C112" s="105"/>
      <c r="D112" s="105"/>
      <c r="E112" s="105"/>
      <c r="F112" s="105"/>
      <c r="G112" s="105"/>
      <c r="H112" s="105"/>
      <c r="I112" s="105"/>
      <c r="J112" s="105"/>
      <c r="K112" s="105"/>
      <c r="L112" s="105"/>
      <c r="M112" s="105"/>
      <c r="N112" s="105"/>
      <c r="O112" s="105"/>
    </row>
    <row r="113" spans="1:15" x14ac:dyDescent="0.25">
      <c r="A113" s="105"/>
      <c r="B113" s="105"/>
      <c r="C113" s="105"/>
      <c r="D113" s="105"/>
      <c r="E113" s="105"/>
      <c r="F113" s="105"/>
      <c r="G113" s="105"/>
      <c r="H113" s="105"/>
      <c r="I113" s="105"/>
      <c r="J113" s="105"/>
      <c r="K113" s="105"/>
      <c r="L113" s="105"/>
      <c r="M113" s="105"/>
      <c r="N113" s="105"/>
      <c r="O113" s="105"/>
    </row>
    <row r="114" spans="1:15" x14ac:dyDescent="0.25">
      <c r="A114" s="105"/>
      <c r="B114" s="105"/>
      <c r="C114" s="105"/>
      <c r="D114" s="105"/>
      <c r="E114" s="105"/>
      <c r="F114" s="105"/>
      <c r="G114" s="105"/>
      <c r="H114" s="105"/>
      <c r="I114" s="105"/>
      <c r="J114" s="105"/>
      <c r="K114" s="105"/>
      <c r="L114" s="105"/>
      <c r="M114" s="105"/>
      <c r="N114" s="105"/>
      <c r="O114" s="105"/>
    </row>
    <row r="115" spans="1:15" x14ac:dyDescent="0.25">
      <c r="A115" s="105"/>
      <c r="B115" s="105"/>
      <c r="C115" s="105"/>
      <c r="D115" s="105"/>
      <c r="E115" s="105"/>
      <c r="F115" s="105"/>
      <c r="G115" s="105"/>
      <c r="H115" s="105"/>
      <c r="I115" s="105"/>
      <c r="J115" s="105"/>
      <c r="K115" s="105"/>
      <c r="L115" s="105"/>
      <c r="M115" s="105"/>
      <c r="N115" s="105"/>
      <c r="O115" s="105"/>
    </row>
    <row r="116" spans="1:15" x14ac:dyDescent="0.25">
      <c r="A116" s="105"/>
      <c r="B116" s="105"/>
      <c r="C116" s="105"/>
      <c r="D116" s="105"/>
      <c r="E116" s="105"/>
      <c r="F116" s="105"/>
      <c r="G116" s="105"/>
      <c r="H116" s="105"/>
      <c r="I116" s="105"/>
      <c r="J116" s="105"/>
      <c r="K116" s="105"/>
      <c r="L116" s="105"/>
      <c r="M116" s="105"/>
      <c r="N116" s="105"/>
      <c r="O116" s="105"/>
    </row>
    <row r="117" spans="1:15" x14ac:dyDescent="0.25">
      <c r="A117" s="105"/>
      <c r="B117" s="105"/>
      <c r="C117" s="105"/>
      <c r="D117" s="105"/>
      <c r="E117" s="105"/>
      <c r="F117" s="105"/>
      <c r="G117" s="105"/>
      <c r="H117" s="105"/>
      <c r="I117" s="105"/>
      <c r="J117" s="105"/>
      <c r="K117" s="105"/>
      <c r="L117" s="105"/>
      <c r="M117" s="105"/>
      <c r="N117" s="105"/>
      <c r="O117" s="105"/>
    </row>
    <row r="118" spans="1:15" x14ac:dyDescent="0.25">
      <c r="A118" s="105"/>
      <c r="B118" s="105"/>
      <c r="C118" s="105"/>
      <c r="D118" s="105"/>
      <c r="E118" s="105"/>
      <c r="F118" s="105"/>
      <c r="G118" s="105"/>
      <c r="H118" s="105"/>
      <c r="I118" s="105"/>
      <c r="J118" s="105"/>
      <c r="K118" s="105"/>
      <c r="L118" s="105"/>
      <c r="M118" s="105"/>
      <c r="N118" s="105"/>
      <c r="O118" s="105"/>
    </row>
    <row r="119" spans="1:15" x14ac:dyDescent="0.25">
      <c r="A119" s="105"/>
      <c r="B119" s="105"/>
      <c r="C119" s="105"/>
      <c r="D119" s="105"/>
      <c r="E119" s="105"/>
      <c r="F119" s="105"/>
      <c r="G119" s="105"/>
      <c r="H119" s="105"/>
      <c r="I119" s="105"/>
      <c r="J119" s="105"/>
      <c r="K119" s="105"/>
      <c r="L119" s="105"/>
      <c r="M119" s="105"/>
      <c r="N119" s="105"/>
      <c r="O119" s="105"/>
    </row>
    <row r="120" spans="1:15" x14ac:dyDescent="0.25">
      <c r="A120" s="105"/>
      <c r="B120" s="105"/>
      <c r="C120" s="105"/>
      <c r="D120" s="105"/>
      <c r="E120" s="105"/>
      <c r="F120" s="105"/>
      <c r="G120" s="105"/>
      <c r="H120" s="105"/>
      <c r="I120" s="105"/>
      <c r="J120" s="105"/>
      <c r="K120" s="105"/>
      <c r="L120" s="105"/>
      <c r="M120" s="105"/>
      <c r="N120" s="105"/>
      <c r="O120" s="105"/>
    </row>
    <row r="121" spans="1:15" x14ac:dyDescent="0.25">
      <c r="A121" s="105"/>
      <c r="B121" s="105"/>
      <c r="C121" s="105"/>
      <c r="D121" s="105"/>
      <c r="E121" s="105"/>
      <c r="F121" s="105"/>
      <c r="G121" s="105"/>
      <c r="H121" s="105"/>
      <c r="I121" s="105"/>
      <c r="J121" s="105"/>
      <c r="K121" s="105"/>
      <c r="L121" s="105"/>
      <c r="M121" s="105"/>
      <c r="N121" s="105"/>
      <c r="O121" s="105"/>
    </row>
    <row r="122" spans="1:15" x14ac:dyDescent="0.25">
      <c r="A122" s="105"/>
      <c r="B122" s="105"/>
      <c r="C122" s="105"/>
      <c r="D122" s="105"/>
      <c r="E122" s="105"/>
      <c r="F122" s="105"/>
      <c r="G122" s="105"/>
      <c r="H122" s="105"/>
      <c r="I122" s="105"/>
      <c r="J122" s="105"/>
      <c r="K122" s="105"/>
      <c r="L122" s="105"/>
      <c r="M122" s="105"/>
      <c r="N122" s="105"/>
      <c r="O122" s="105"/>
    </row>
    <row r="123" spans="1:15" x14ac:dyDescent="0.25">
      <c r="A123" s="105"/>
      <c r="B123" s="105"/>
      <c r="C123" s="105"/>
      <c r="D123" s="105"/>
      <c r="E123" s="105"/>
      <c r="F123" s="105"/>
      <c r="G123" s="105"/>
      <c r="H123" s="105"/>
      <c r="I123" s="105"/>
      <c r="J123" s="105"/>
      <c r="K123" s="105"/>
      <c r="L123" s="105"/>
      <c r="M123" s="105"/>
      <c r="N123" s="105"/>
      <c r="O123" s="105"/>
    </row>
    <row r="124" spans="1:15" x14ac:dyDescent="0.25">
      <c r="A124" s="105"/>
      <c r="B124" s="105"/>
      <c r="C124" s="105"/>
      <c r="D124" s="105"/>
      <c r="E124" s="105"/>
      <c r="F124" s="105"/>
      <c r="G124" s="105"/>
      <c r="H124" s="105"/>
      <c r="I124" s="105"/>
      <c r="J124" s="105"/>
      <c r="K124" s="105"/>
      <c r="L124" s="105"/>
      <c r="M124" s="105"/>
      <c r="N124" s="105"/>
      <c r="O124" s="105"/>
    </row>
    <row r="125" spans="1:15" x14ac:dyDescent="0.25">
      <c r="A125" s="105"/>
      <c r="B125" s="105"/>
      <c r="C125" s="105"/>
      <c r="D125" s="105"/>
      <c r="E125" s="105"/>
      <c r="F125" s="105"/>
      <c r="G125" s="105"/>
      <c r="H125" s="105"/>
      <c r="I125" s="105"/>
      <c r="J125" s="105"/>
      <c r="K125" s="105"/>
      <c r="L125" s="105"/>
      <c r="M125" s="105"/>
      <c r="N125" s="105"/>
      <c r="O125" s="105"/>
    </row>
    <row r="126" spans="1:15" x14ac:dyDescent="0.25">
      <c r="A126" s="105"/>
      <c r="B126" s="105"/>
      <c r="C126" s="105"/>
      <c r="D126" s="105"/>
      <c r="E126" s="105"/>
      <c r="F126" s="105"/>
      <c r="G126" s="105"/>
      <c r="H126" s="105"/>
      <c r="I126" s="105"/>
      <c r="J126" s="105"/>
      <c r="K126" s="105"/>
      <c r="L126" s="105"/>
      <c r="M126" s="105"/>
      <c r="N126" s="105"/>
      <c r="O126" s="105"/>
    </row>
    <row r="127" spans="1:15" x14ac:dyDescent="0.25">
      <c r="A127" s="105"/>
      <c r="B127" s="105"/>
      <c r="C127" s="105"/>
      <c r="D127" s="105"/>
      <c r="E127" s="105"/>
      <c r="F127" s="105"/>
      <c r="G127" s="105"/>
      <c r="H127" s="105"/>
      <c r="I127" s="105"/>
      <c r="J127" s="105"/>
      <c r="K127" s="105"/>
      <c r="L127" s="105"/>
      <c r="M127" s="105"/>
      <c r="N127" s="105"/>
      <c r="O127" s="105"/>
    </row>
    <row r="128" spans="1:15" x14ac:dyDescent="0.25">
      <c r="A128" s="105"/>
      <c r="B128" s="105"/>
      <c r="C128" s="105"/>
      <c r="D128" s="105"/>
      <c r="E128" s="105"/>
      <c r="F128" s="105"/>
      <c r="G128" s="105"/>
      <c r="H128" s="105"/>
      <c r="I128" s="105"/>
      <c r="J128" s="105"/>
      <c r="K128" s="105"/>
      <c r="L128" s="105"/>
      <c r="M128" s="105"/>
      <c r="N128" s="105"/>
      <c r="O128" s="105"/>
    </row>
    <row r="129" spans="1:15" x14ac:dyDescent="0.25">
      <c r="A129" s="105"/>
      <c r="B129" s="105"/>
      <c r="C129" s="105"/>
      <c r="D129" s="105"/>
      <c r="E129" s="105"/>
      <c r="F129" s="105"/>
      <c r="G129" s="105"/>
      <c r="H129" s="105"/>
      <c r="I129" s="105"/>
      <c r="J129" s="105"/>
      <c r="K129" s="105"/>
      <c r="L129" s="105"/>
      <c r="M129" s="105"/>
      <c r="N129" s="105"/>
      <c r="O129" s="105"/>
    </row>
    <row r="130" spans="1:15" x14ac:dyDescent="0.25">
      <c r="A130" s="105"/>
      <c r="B130" s="105"/>
      <c r="C130" s="105"/>
      <c r="D130" s="105"/>
      <c r="E130" s="105"/>
      <c r="F130" s="105"/>
      <c r="G130" s="105"/>
      <c r="H130" s="105"/>
      <c r="I130" s="105"/>
      <c r="J130" s="105"/>
      <c r="K130" s="105"/>
      <c r="L130" s="105"/>
      <c r="M130" s="105"/>
      <c r="N130" s="105"/>
      <c r="O130" s="105"/>
    </row>
    <row r="131" spans="1:15" x14ac:dyDescent="0.25">
      <c r="A131" s="105"/>
      <c r="B131" s="105"/>
      <c r="C131" s="105"/>
      <c r="D131" s="105"/>
      <c r="E131" s="105"/>
      <c r="F131" s="105"/>
      <c r="G131" s="105"/>
      <c r="H131" s="105"/>
      <c r="I131" s="105"/>
      <c r="J131" s="105"/>
      <c r="K131" s="105"/>
      <c r="L131" s="105"/>
      <c r="M131" s="105"/>
      <c r="N131" s="105"/>
      <c r="O131" s="105"/>
    </row>
    <row r="132" spans="1:15" x14ac:dyDescent="0.25">
      <c r="A132" s="105"/>
      <c r="B132" s="105"/>
      <c r="C132" s="105"/>
      <c r="D132" s="105"/>
      <c r="E132" s="105"/>
      <c r="F132" s="105"/>
      <c r="G132" s="105"/>
      <c r="H132" s="105"/>
      <c r="I132" s="105"/>
      <c r="J132" s="105"/>
      <c r="K132" s="105"/>
      <c r="L132" s="105"/>
      <c r="M132" s="105"/>
      <c r="N132" s="105"/>
      <c r="O132" s="105"/>
    </row>
    <row r="133" spans="1:15" x14ac:dyDescent="0.25">
      <c r="A133" s="105"/>
      <c r="B133" s="105"/>
      <c r="C133" s="105"/>
      <c r="D133" s="105"/>
      <c r="E133" s="105"/>
      <c r="F133" s="105"/>
      <c r="G133" s="105"/>
      <c r="H133" s="105"/>
      <c r="I133" s="105"/>
      <c r="J133" s="105"/>
      <c r="K133" s="105"/>
      <c r="L133" s="105"/>
      <c r="M133" s="105"/>
      <c r="N133" s="105"/>
      <c r="O133" s="105"/>
    </row>
    <row r="134" spans="1:15" x14ac:dyDescent="0.25">
      <c r="A134" s="105"/>
      <c r="B134" s="105"/>
      <c r="C134" s="105"/>
      <c r="D134" s="105"/>
      <c r="E134" s="105"/>
      <c r="F134" s="105"/>
      <c r="G134" s="105"/>
      <c r="H134" s="105"/>
      <c r="I134" s="105"/>
      <c r="J134" s="105"/>
      <c r="K134" s="105"/>
      <c r="L134" s="105"/>
      <c r="M134" s="105"/>
      <c r="N134" s="105"/>
      <c r="O134" s="105"/>
    </row>
    <row r="135" spans="1:15" x14ac:dyDescent="0.25">
      <c r="A135" s="105"/>
      <c r="B135" s="105"/>
      <c r="C135" s="105"/>
      <c r="D135" s="105"/>
      <c r="E135" s="105"/>
      <c r="F135" s="105"/>
      <c r="G135" s="105"/>
      <c r="H135" s="105"/>
      <c r="I135" s="105"/>
      <c r="J135" s="105"/>
      <c r="K135" s="105"/>
      <c r="L135" s="105"/>
      <c r="M135" s="105"/>
      <c r="N135" s="105"/>
      <c r="O135" s="105"/>
    </row>
    <row r="136" spans="1:15" x14ac:dyDescent="0.25">
      <c r="A136" s="105"/>
      <c r="B136" s="105"/>
      <c r="C136" s="105"/>
      <c r="D136" s="105"/>
      <c r="E136" s="105"/>
      <c r="F136" s="105"/>
      <c r="G136" s="105"/>
      <c r="H136" s="105"/>
      <c r="I136" s="105"/>
      <c r="J136" s="105"/>
      <c r="K136" s="105"/>
      <c r="L136" s="105"/>
      <c r="M136" s="105"/>
      <c r="N136" s="105"/>
      <c r="O136" s="105"/>
    </row>
    <row r="137" spans="1:15" x14ac:dyDescent="0.25">
      <c r="A137" s="105"/>
      <c r="B137" s="105"/>
      <c r="C137" s="105"/>
      <c r="D137" s="105"/>
      <c r="E137" s="105"/>
      <c r="F137" s="105"/>
      <c r="G137" s="105"/>
      <c r="H137" s="105"/>
      <c r="I137" s="105"/>
      <c r="J137" s="105"/>
      <c r="K137" s="105"/>
      <c r="L137" s="105"/>
      <c r="M137" s="105"/>
      <c r="N137" s="105"/>
      <c r="O137" s="105"/>
    </row>
    <row r="138" spans="1:15" x14ac:dyDescent="0.25">
      <c r="A138" s="105"/>
      <c r="B138" s="105"/>
      <c r="C138" s="105"/>
      <c r="D138" s="105"/>
      <c r="E138" s="105"/>
      <c r="F138" s="105"/>
      <c r="G138" s="105"/>
      <c r="H138" s="105"/>
      <c r="I138" s="105"/>
      <c r="J138" s="105"/>
      <c r="K138" s="105"/>
      <c r="L138" s="105"/>
      <c r="M138" s="105"/>
      <c r="N138" s="105"/>
      <c r="O138" s="105"/>
    </row>
    <row r="139" spans="1:15" x14ac:dyDescent="0.25">
      <c r="A139" s="105"/>
      <c r="B139" s="105"/>
      <c r="C139" s="105"/>
      <c r="D139" s="105"/>
      <c r="E139" s="105"/>
      <c r="F139" s="105"/>
      <c r="G139" s="105"/>
      <c r="H139" s="105"/>
      <c r="I139" s="105"/>
      <c r="J139" s="105"/>
      <c r="K139" s="105"/>
      <c r="L139" s="105"/>
      <c r="M139" s="105"/>
      <c r="N139" s="105"/>
      <c r="O139" s="105"/>
    </row>
    <row r="140" spans="1:15" x14ac:dyDescent="0.25">
      <c r="A140" s="105"/>
      <c r="B140" s="105"/>
      <c r="C140" s="105"/>
      <c r="D140" s="105"/>
      <c r="E140" s="105"/>
      <c r="F140" s="105"/>
      <c r="G140" s="105"/>
      <c r="H140" s="105"/>
      <c r="I140" s="105"/>
      <c r="J140" s="105"/>
      <c r="K140" s="105"/>
      <c r="L140" s="105"/>
      <c r="M140" s="105"/>
      <c r="N140" s="105"/>
      <c r="O140" s="105"/>
    </row>
    <row r="141" spans="1:15" x14ac:dyDescent="0.25">
      <c r="A141" s="105"/>
      <c r="B141" s="105"/>
      <c r="C141" s="105"/>
      <c r="D141" s="105"/>
      <c r="E141" s="105"/>
      <c r="F141" s="105"/>
      <c r="G141" s="105"/>
      <c r="H141" s="105"/>
      <c r="I141" s="105"/>
      <c r="J141" s="105"/>
      <c r="K141" s="105"/>
      <c r="L141" s="105"/>
      <c r="M141" s="105"/>
      <c r="N141" s="105"/>
      <c r="O141" s="105"/>
    </row>
    <row r="142" spans="1:15" x14ac:dyDescent="0.25">
      <c r="A142" s="105"/>
      <c r="B142" s="105"/>
      <c r="C142" s="105"/>
      <c r="D142" s="105"/>
      <c r="E142" s="105"/>
      <c r="F142" s="105"/>
      <c r="G142" s="105"/>
      <c r="H142" s="105"/>
      <c r="I142" s="105"/>
      <c r="J142" s="105"/>
      <c r="K142" s="105"/>
      <c r="L142" s="105"/>
      <c r="M142" s="105"/>
      <c r="N142" s="105"/>
      <c r="O142" s="105"/>
    </row>
    <row r="143" spans="1:15" x14ac:dyDescent="0.25">
      <c r="A143" s="105"/>
      <c r="B143" s="105"/>
      <c r="C143" s="105"/>
      <c r="D143" s="105"/>
      <c r="E143" s="105"/>
      <c r="F143" s="105"/>
      <c r="G143" s="105"/>
      <c r="H143" s="105"/>
      <c r="I143" s="105"/>
      <c r="J143" s="105"/>
      <c r="K143" s="105"/>
      <c r="L143" s="105"/>
      <c r="M143" s="105"/>
      <c r="N143" s="105"/>
      <c r="O143" s="105"/>
    </row>
    <row r="144" spans="1:15" x14ac:dyDescent="0.25">
      <c r="A144" s="105"/>
      <c r="B144" s="105"/>
      <c r="C144" s="105"/>
      <c r="D144" s="105"/>
      <c r="E144" s="105"/>
      <c r="F144" s="105"/>
      <c r="G144" s="105"/>
      <c r="H144" s="105"/>
      <c r="I144" s="105"/>
      <c r="J144" s="105"/>
      <c r="K144" s="105"/>
      <c r="L144" s="105"/>
      <c r="M144" s="105"/>
      <c r="N144" s="105"/>
      <c r="O144" s="105"/>
    </row>
    <row r="145" spans="1:15" x14ac:dyDescent="0.25">
      <c r="A145" s="105"/>
      <c r="B145" s="105"/>
      <c r="C145" s="105"/>
      <c r="D145" s="105"/>
      <c r="E145" s="105"/>
      <c r="F145" s="105"/>
      <c r="G145" s="105"/>
      <c r="H145" s="105"/>
      <c r="I145" s="105"/>
      <c r="J145" s="105"/>
      <c r="K145" s="105"/>
      <c r="L145" s="105"/>
      <c r="M145" s="105"/>
      <c r="N145" s="105"/>
      <c r="O145" s="105"/>
    </row>
    <row r="146" spans="1:15" x14ac:dyDescent="0.25">
      <c r="A146" s="105"/>
      <c r="B146" s="105"/>
      <c r="C146" s="105"/>
      <c r="D146" s="105"/>
      <c r="E146" s="105"/>
      <c r="F146" s="105"/>
      <c r="G146" s="105"/>
      <c r="H146" s="105"/>
      <c r="I146" s="105"/>
      <c r="J146" s="105"/>
      <c r="K146" s="105"/>
      <c r="L146" s="105"/>
      <c r="M146" s="105"/>
      <c r="N146" s="105"/>
      <c r="O146" s="105"/>
    </row>
    <row r="147" spans="1:15" x14ac:dyDescent="0.25">
      <c r="A147" s="105"/>
      <c r="B147" s="105"/>
      <c r="C147" s="105"/>
      <c r="D147" s="105"/>
      <c r="E147" s="105"/>
      <c r="F147" s="105"/>
      <c r="G147" s="105"/>
      <c r="H147" s="105"/>
      <c r="I147" s="105"/>
      <c r="J147" s="105"/>
      <c r="K147" s="105"/>
      <c r="L147" s="105"/>
      <c r="M147" s="105"/>
      <c r="N147" s="105"/>
      <c r="O147" s="105"/>
    </row>
    <row r="148" spans="1:15" x14ac:dyDescent="0.25">
      <c r="A148" s="105"/>
      <c r="B148" s="105"/>
      <c r="C148" s="105"/>
      <c r="D148" s="105"/>
      <c r="E148" s="105"/>
      <c r="F148" s="105"/>
      <c r="G148" s="105"/>
      <c r="H148" s="105"/>
      <c r="I148" s="105"/>
      <c r="J148" s="105"/>
      <c r="K148" s="105"/>
      <c r="L148" s="105"/>
      <c r="M148" s="105"/>
      <c r="N148" s="105"/>
      <c r="O148" s="105"/>
    </row>
    <row r="149" spans="1:15" x14ac:dyDescent="0.25">
      <c r="A149" s="105"/>
      <c r="B149" s="105"/>
      <c r="C149" s="105"/>
      <c r="D149" s="105"/>
      <c r="E149" s="105"/>
      <c r="F149" s="105"/>
      <c r="G149" s="105"/>
      <c r="H149" s="105"/>
      <c r="I149" s="105"/>
      <c r="J149" s="105"/>
      <c r="K149" s="105"/>
      <c r="L149" s="105"/>
      <c r="M149" s="105"/>
      <c r="N149" s="105"/>
      <c r="O149" s="105"/>
    </row>
    <row r="150" spans="1:15" x14ac:dyDescent="0.25">
      <c r="A150" s="105"/>
      <c r="B150" s="105"/>
      <c r="C150" s="105"/>
      <c r="D150" s="105"/>
      <c r="E150" s="105"/>
      <c r="F150" s="105"/>
      <c r="G150" s="105"/>
      <c r="H150" s="105"/>
      <c r="I150" s="105"/>
      <c r="J150" s="105"/>
      <c r="K150" s="105"/>
      <c r="L150" s="105"/>
      <c r="M150" s="105"/>
      <c r="N150" s="105"/>
      <c r="O150" s="105"/>
    </row>
    <row r="151" spans="1:15" x14ac:dyDescent="0.25">
      <c r="A151" s="105"/>
      <c r="B151" s="105"/>
      <c r="C151" s="105"/>
      <c r="D151" s="105"/>
      <c r="E151" s="105"/>
      <c r="F151" s="105"/>
      <c r="G151" s="105"/>
      <c r="H151" s="105"/>
      <c r="I151" s="105"/>
      <c r="J151" s="105"/>
      <c r="K151" s="105"/>
      <c r="L151" s="105"/>
      <c r="M151" s="105"/>
      <c r="N151" s="105"/>
      <c r="O151" s="105"/>
    </row>
    <row r="152" spans="1:15" x14ac:dyDescent="0.25">
      <c r="A152" s="105"/>
      <c r="B152" s="105"/>
      <c r="C152" s="105"/>
      <c r="D152" s="105"/>
      <c r="E152" s="105"/>
      <c r="F152" s="105"/>
      <c r="G152" s="105"/>
      <c r="H152" s="105"/>
      <c r="I152" s="105"/>
      <c r="J152" s="105"/>
      <c r="K152" s="105"/>
      <c r="L152" s="105"/>
      <c r="M152" s="105"/>
      <c r="N152" s="105"/>
      <c r="O152" s="105"/>
    </row>
    <row r="153" spans="1:15" x14ac:dyDescent="0.25">
      <c r="A153" s="105"/>
      <c r="B153" s="105"/>
      <c r="C153" s="105"/>
      <c r="D153" s="105"/>
      <c r="E153" s="105"/>
      <c r="F153" s="105"/>
      <c r="G153" s="105"/>
      <c r="H153" s="105"/>
      <c r="I153" s="105"/>
      <c r="J153" s="105"/>
      <c r="K153" s="105"/>
      <c r="L153" s="105"/>
      <c r="M153" s="105"/>
      <c r="N153" s="105"/>
      <c r="O153" s="105"/>
    </row>
    <row r="154" spans="1:15" x14ac:dyDescent="0.25">
      <c r="A154" s="105"/>
      <c r="B154" s="105"/>
      <c r="C154" s="105"/>
      <c r="D154" s="105"/>
      <c r="E154" s="105"/>
      <c r="F154" s="105"/>
      <c r="G154" s="105"/>
      <c r="H154" s="105"/>
      <c r="I154" s="105"/>
      <c r="J154" s="105"/>
      <c r="K154" s="105"/>
      <c r="L154" s="105"/>
      <c r="M154" s="105"/>
      <c r="N154" s="105"/>
      <c r="O154" s="105"/>
    </row>
    <row r="155" spans="1:15" x14ac:dyDescent="0.25">
      <c r="A155" s="105"/>
      <c r="B155" s="105"/>
      <c r="C155" s="105"/>
      <c r="D155" s="105"/>
      <c r="E155" s="105"/>
      <c r="F155" s="105"/>
      <c r="G155" s="105"/>
      <c r="H155" s="105"/>
      <c r="I155" s="105"/>
      <c r="J155" s="105"/>
      <c r="K155" s="105"/>
      <c r="L155" s="105"/>
      <c r="M155" s="105"/>
      <c r="N155" s="105"/>
      <c r="O155" s="105"/>
    </row>
    <row r="156" spans="1:15" x14ac:dyDescent="0.25">
      <c r="A156" s="105"/>
      <c r="B156" s="105"/>
      <c r="C156" s="105"/>
      <c r="D156" s="105"/>
      <c r="E156" s="105"/>
      <c r="F156" s="105"/>
      <c r="G156" s="105"/>
      <c r="H156" s="105"/>
      <c r="I156" s="105"/>
      <c r="J156" s="105"/>
      <c r="K156" s="105"/>
      <c r="L156" s="105"/>
      <c r="M156" s="105"/>
      <c r="N156" s="105"/>
      <c r="O156" s="105"/>
    </row>
    <row r="157" spans="1:15" x14ac:dyDescent="0.25">
      <c r="A157" s="105"/>
      <c r="B157" s="105"/>
      <c r="C157" s="105"/>
      <c r="D157" s="105"/>
      <c r="E157" s="105"/>
      <c r="F157" s="105"/>
      <c r="G157" s="105"/>
      <c r="H157" s="105"/>
      <c r="I157" s="105"/>
      <c r="J157" s="105"/>
      <c r="K157" s="105"/>
      <c r="L157" s="105"/>
      <c r="M157" s="105"/>
      <c r="N157" s="105"/>
      <c r="O157" s="105"/>
    </row>
    <row r="158" spans="1:15" x14ac:dyDescent="0.25">
      <c r="A158" s="105"/>
      <c r="B158" s="105"/>
      <c r="C158" s="105"/>
      <c r="D158" s="105"/>
      <c r="E158" s="105"/>
      <c r="F158" s="105"/>
      <c r="G158" s="105"/>
      <c r="H158" s="105"/>
      <c r="I158" s="105"/>
      <c r="J158" s="105"/>
      <c r="K158" s="105"/>
      <c r="L158" s="105"/>
      <c r="M158" s="105"/>
      <c r="N158" s="105"/>
      <c r="O158" s="105"/>
    </row>
    <row r="159" spans="1:15" x14ac:dyDescent="0.25">
      <c r="A159" s="105"/>
      <c r="B159" s="105"/>
      <c r="C159" s="105"/>
      <c r="D159" s="105"/>
      <c r="E159" s="105"/>
      <c r="F159" s="105"/>
      <c r="G159" s="105"/>
      <c r="H159" s="105"/>
      <c r="I159" s="105"/>
      <c r="J159" s="105"/>
      <c r="K159" s="105"/>
      <c r="L159" s="105"/>
      <c r="M159" s="105"/>
      <c r="N159" s="105"/>
      <c r="O159" s="105"/>
    </row>
    <row r="160" spans="1:15" x14ac:dyDescent="0.25">
      <c r="A160" s="105"/>
      <c r="B160" s="105"/>
      <c r="C160" s="105"/>
      <c r="D160" s="105"/>
      <c r="E160" s="105"/>
      <c r="F160" s="105"/>
      <c r="G160" s="105"/>
      <c r="H160" s="105"/>
      <c r="I160" s="105"/>
      <c r="J160" s="105"/>
      <c r="K160" s="105"/>
      <c r="L160" s="105"/>
      <c r="M160" s="105"/>
      <c r="N160" s="105"/>
      <c r="O160" s="105"/>
    </row>
    <row r="161" spans="1:15" x14ac:dyDescent="0.25">
      <c r="A161" s="105"/>
      <c r="B161" s="105"/>
      <c r="C161" s="105"/>
      <c r="D161" s="105"/>
      <c r="E161" s="105"/>
      <c r="F161" s="105"/>
      <c r="G161" s="105"/>
      <c r="H161" s="105"/>
      <c r="I161" s="105"/>
      <c r="J161" s="105"/>
      <c r="K161" s="105"/>
      <c r="L161" s="105"/>
      <c r="M161" s="105"/>
      <c r="N161" s="105"/>
      <c r="O161" s="105"/>
    </row>
    <row r="162" spans="1:15" x14ac:dyDescent="0.25">
      <c r="A162" s="105"/>
      <c r="B162" s="105"/>
      <c r="C162" s="105"/>
      <c r="D162" s="105"/>
      <c r="E162" s="105"/>
      <c r="F162" s="105"/>
      <c r="G162" s="105"/>
      <c r="H162" s="105"/>
      <c r="I162" s="105"/>
      <c r="J162" s="105"/>
      <c r="K162" s="105"/>
      <c r="L162" s="105"/>
      <c r="M162" s="105"/>
      <c r="N162" s="105"/>
      <c r="O162" s="105"/>
    </row>
    <row r="163" spans="1:15" x14ac:dyDescent="0.25">
      <c r="A163" s="105"/>
      <c r="B163" s="105"/>
      <c r="C163" s="105"/>
      <c r="D163" s="105"/>
      <c r="E163" s="105"/>
      <c r="F163" s="105"/>
      <c r="G163" s="105"/>
      <c r="H163" s="105"/>
      <c r="I163" s="105"/>
      <c r="J163" s="105"/>
      <c r="K163" s="105"/>
      <c r="L163" s="105"/>
      <c r="M163" s="105"/>
      <c r="N163" s="105"/>
      <c r="O163" s="105"/>
    </row>
    <row r="164" spans="1:15" x14ac:dyDescent="0.25">
      <c r="A164" s="105"/>
      <c r="B164" s="105"/>
      <c r="C164" s="105"/>
      <c r="D164" s="105"/>
      <c r="E164" s="105"/>
      <c r="F164" s="105"/>
      <c r="G164" s="105"/>
      <c r="H164" s="105"/>
      <c r="I164" s="105"/>
      <c r="J164" s="105"/>
      <c r="K164" s="105"/>
      <c r="L164" s="105"/>
      <c r="M164" s="105"/>
      <c r="N164" s="105"/>
      <c r="O164" s="105"/>
    </row>
    <row r="165" spans="1:15" x14ac:dyDescent="0.25">
      <c r="A165" s="105"/>
      <c r="B165" s="105"/>
      <c r="C165" s="105"/>
      <c r="D165" s="105"/>
      <c r="E165" s="105"/>
      <c r="F165" s="105"/>
      <c r="G165" s="105"/>
      <c r="H165" s="105"/>
      <c r="I165" s="105"/>
      <c r="J165" s="105"/>
      <c r="K165" s="105"/>
      <c r="L165" s="105"/>
      <c r="M165" s="105"/>
      <c r="N165" s="105"/>
      <c r="O165" s="105"/>
    </row>
    <row r="166" spans="1:15" x14ac:dyDescent="0.25">
      <c r="A166" s="105"/>
      <c r="B166" s="105"/>
      <c r="C166" s="105"/>
      <c r="D166" s="105"/>
      <c r="E166" s="105"/>
      <c r="F166" s="105"/>
      <c r="G166" s="105"/>
      <c r="H166" s="105"/>
      <c r="I166" s="105"/>
      <c r="J166" s="105"/>
      <c r="K166" s="105"/>
      <c r="L166" s="105"/>
      <c r="M166" s="105"/>
      <c r="N166" s="105"/>
      <c r="O166" s="105"/>
    </row>
    <row r="167" spans="1:15" x14ac:dyDescent="0.25">
      <c r="A167" s="105"/>
      <c r="B167" s="105"/>
      <c r="C167" s="105"/>
      <c r="D167" s="105"/>
      <c r="E167" s="105"/>
      <c r="F167" s="105"/>
      <c r="G167" s="105"/>
      <c r="H167" s="105"/>
      <c r="I167" s="105"/>
      <c r="J167" s="105"/>
      <c r="K167" s="105"/>
      <c r="L167" s="105"/>
      <c r="M167" s="105"/>
      <c r="N167" s="105"/>
      <c r="O167" s="105"/>
    </row>
    <row r="168" spans="1:15" x14ac:dyDescent="0.25">
      <c r="A168" s="105"/>
      <c r="B168" s="105"/>
      <c r="C168" s="105"/>
      <c r="D168" s="105"/>
      <c r="E168" s="105"/>
      <c r="F168" s="105"/>
      <c r="G168" s="105"/>
      <c r="H168" s="105"/>
      <c r="I168" s="105"/>
      <c r="J168" s="105"/>
      <c r="K168" s="105"/>
      <c r="L168" s="105"/>
      <c r="M168" s="105"/>
      <c r="N168" s="105"/>
      <c r="O168" s="105"/>
    </row>
    <row r="169" spans="1:15" x14ac:dyDescent="0.25">
      <c r="A169" s="105"/>
      <c r="B169" s="105"/>
      <c r="C169" s="105"/>
      <c r="D169" s="105"/>
      <c r="E169" s="105"/>
      <c r="F169" s="105"/>
      <c r="G169" s="105"/>
      <c r="H169" s="105"/>
      <c r="I169" s="105"/>
      <c r="J169" s="105"/>
      <c r="K169" s="105"/>
      <c r="L169" s="105"/>
      <c r="M169" s="105"/>
      <c r="N169" s="105"/>
      <c r="O169" s="105"/>
    </row>
    <row r="170" spans="1:15" x14ac:dyDescent="0.25">
      <c r="A170" s="105"/>
      <c r="B170" s="105"/>
      <c r="C170" s="105"/>
      <c r="D170" s="105"/>
      <c r="E170" s="105"/>
      <c r="F170" s="105"/>
      <c r="G170" s="105"/>
      <c r="H170" s="105"/>
      <c r="I170" s="105"/>
      <c r="J170" s="105"/>
      <c r="K170" s="105"/>
      <c r="L170" s="105"/>
      <c r="M170" s="105"/>
      <c r="N170" s="105"/>
      <c r="O170" s="105"/>
    </row>
    <row r="171" spans="1:15" x14ac:dyDescent="0.25">
      <c r="A171" s="105"/>
      <c r="B171" s="105"/>
      <c r="C171" s="105"/>
      <c r="D171" s="105"/>
      <c r="E171" s="105"/>
      <c r="F171" s="105"/>
      <c r="G171" s="105"/>
      <c r="H171" s="105"/>
      <c r="I171" s="105"/>
      <c r="J171" s="105"/>
      <c r="K171" s="105"/>
      <c r="L171" s="105"/>
      <c r="M171" s="105"/>
      <c r="N171" s="105"/>
      <c r="O171" s="105"/>
    </row>
    <row r="172" spans="1:15" x14ac:dyDescent="0.25">
      <c r="A172" s="105"/>
      <c r="B172" s="105"/>
      <c r="C172" s="105"/>
      <c r="D172" s="105"/>
      <c r="E172" s="105"/>
      <c r="F172" s="105"/>
      <c r="G172" s="105"/>
      <c r="H172" s="105"/>
      <c r="I172" s="105"/>
      <c r="J172" s="105"/>
      <c r="K172" s="105"/>
      <c r="L172" s="105"/>
      <c r="M172" s="105"/>
      <c r="N172" s="105"/>
      <c r="O172" s="105"/>
    </row>
    <row r="173" spans="1:15" x14ac:dyDescent="0.25">
      <c r="A173" s="105"/>
      <c r="B173" s="105"/>
      <c r="C173" s="105"/>
      <c r="D173" s="105"/>
      <c r="E173" s="105"/>
      <c r="F173" s="105"/>
      <c r="G173" s="105"/>
      <c r="H173" s="105"/>
      <c r="I173" s="105"/>
      <c r="J173" s="105"/>
      <c r="K173" s="105"/>
      <c r="L173" s="105"/>
      <c r="M173" s="105"/>
      <c r="N173" s="105"/>
      <c r="O173" s="105"/>
    </row>
    <row r="174" spans="1:15" x14ac:dyDescent="0.25">
      <c r="A174" s="105"/>
      <c r="B174" s="105"/>
      <c r="C174" s="105"/>
      <c r="D174" s="105"/>
      <c r="E174" s="105"/>
      <c r="F174" s="105"/>
      <c r="G174" s="105"/>
      <c r="H174" s="105"/>
      <c r="I174" s="105"/>
      <c r="J174" s="105"/>
      <c r="K174" s="105"/>
      <c r="L174" s="105"/>
      <c r="M174" s="105"/>
      <c r="N174" s="105"/>
      <c r="O174" s="105"/>
    </row>
    <row r="175" spans="1:15" x14ac:dyDescent="0.25">
      <c r="A175" s="105"/>
      <c r="B175" s="105"/>
      <c r="C175" s="105"/>
      <c r="D175" s="105"/>
      <c r="E175" s="105"/>
      <c r="F175" s="105"/>
      <c r="G175" s="105"/>
      <c r="H175" s="105"/>
      <c r="I175" s="105"/>
      <c r="J175" s="105"/>
      <c r="K175" s="105"/>
      <c r="L175" s="105"/>
      <c r="M175" s="105"/>
      <c r="N175" s="105"/>
      <c r="O175" s="105"/>
    </row>
    <row r="176" spans="1:15" x14ac:dyDescent="0.25">
      <c r="A176" s="105"/>
      <c r="B176" s="105"/>
      <c r="C176" s="105"/>
      <c r="D176" s="105"/>
      <c r="E176" s="105"/>
      <c r="F176" s="105"/>
      <c r="G176" s="105"/>
      <c r="H176" s="105"/>
      <c r="I176" s="105"/>
      <c r="J176" s="105"/>
      <c r="K176" s="105"/>
      <c r="L176" s="105"/>
      <c r="M176" s="105"/>
      <c r="N176" s="105"/>
      <c r="O176" s="105"/>
    </row>
    <row r="177" spans="1:15" x14ac:dyDescent="0.25">
      <c r="A177" s="105"/>
      <c r="B177" s="105"/>
      <c r="C177" s="105"/>
      <c r="D177" s="105"/>
      <c r="E177" s="105"/>
      <c r="F177" s="105"/>
      <c r="G177" s="105"/>
      <c r="H177" s="105"/>
      <c r="I177" s="105"/>
      <c r="J177" s="105"/>
      <c r="K177" s="105"/>
      <c r="L177" s="105"/>
      <c r="M177" s="105"/>
      <c r="N177" s="105"/>
      <c r="O177" s="105"/>
    </row>
    <row r="178" spans="1:15" x14ac:dyDescent="0.25">
      <c r="A178" s="105"/>
      <c r="B178" s="105"/>
      <c r="C178" s="105"/>
      <c r="D178" s="105"/>
      <c r="E178" s="105"/>
      <c r="F178" s="105"/>
      <c r="G178" s="105"/>
      <c r="H178" s="105"/>
      <c r="I178" s="105"/>
      <c r="J178" s="105"/>
      <c r="K178" s="105"/>
      <c r="L178" s="105"/>
      <c r="M178" s="105"/>
      <c r="N178" s="105"/>
      <c r="O178" s="105"/>
    </row>
    <row r="179" spans="1:15" x14ac:dyDescent="0.25">
      <c r="A179" s="105"/>
      <c r="B179" s="105"/>
      <c r="C179" s="105"/>
      <c r="D179" s="105"/>
      <c r="E179" s="105"/>
      <c r="F179" s="105"/>
      <c r="G179" s="105"/>
      <c r="H179" s="105"/>
      <c r="I179" s="105"/>
      <c r="J179" s="105"/>
      <c r="K179" s="105"/>
      <c r="L179" s="105"/>
      <c r="M179" s="105"/>
      <c r="N179" s="105"/>
      <c r="O179" s="105"/>
    </row>
    <row r="180" spans="1:15" x14ac:dyDescent="0.25">
      <c r="A180" s="105"/>
      <c r="B180" s="105"/>
      <c r="C180" s="105"/>
      <c r="D180" s="105"/>
      <c r="E180" s="105"/>
      <c r="F180" s="105"/>
      <c r="G180" s="105"/>
      <c r="H180" s="105"/>
      <c r="I180" s="105"/>
      <c r="J180" s="105"/>
      <c r="K180" s="105"/>
      <c r="L180" s="105"/>
      <c r="M180" s="105"/>
      <c r="N180" s="105"/>
      <c r="O180" s="105"/>
    </row>
    <row r="181" spans="1:15" x14ac:dyDescent="0.25">
      <c r="A181" s="105"/>
      <c r="B181" s="105"/>
      <c r="C181" s="105"/>
      <c r="D181" s="105"/>
      <c r="E181" s="105"/>
      <c r="F181" s="105"/>
      <c r="G181" s="105"/>
      <c r="H181" s="105"/>
      <c r="I181" s="105"/>
      <c r="J181" s="105"/>
      <c r="K181" s="105"/>
      <c r="L181" s="105"/>
      <c r="M181" s="105"/>
      <c r="N181" s="105"/>
      <c r="O181" s="105"/>
    </row>
    <row r="182" spans="1:15" x14ac:dyDescent="0.25">
      <c r="A182" s="105"/>
      <c r="B182" s="105"/>
      <c r="C182" s="105"/>
      <c r="D182" s="105"/>
      <c r="E182" s="105"/>
      <c r="F182" s="105"/>
      <c r="G182" s="105"/>
      <c r="H182" s="105"/>
      <c r="I182" s="105"/>
      <c r="J182" s="105"/>
      <c r="K182" s="105"/>
      <c r="L182" s="105"/>
      <c r="M182" s="105"/>
      <c r="N182" s="105"/>
      <c r="O182" s="105"/>
    </row>
    <row r="183" spans="1:15" x14ac:dyDescent="0.25">
      <c r="A183" s="105"/>
      <c r="B183" s="105"/>
      <c r="C183" s="105"/>
      <c r="D183" s="105"/>
      <c r="E183" s="105"/>
      <c r="F183" s="105"/>
      <c r="G183" s="105"/>
      <c r="H183" s="105"/>
      <c r="I183" s="105"/>
      <c r="J183" s="105"/>
      <c r="K183" s="105"/>
      <c r="L183" s="105"/>
      <c r="M183" s="105"/>
      <c r="N183" s="105"/>
      <c r="O183" s="105"/>
    </row>
    <row r="184" spans="1:15" x14ac:dyDescent="0.25">
      <c r="A184" s="105"/>
      <c r="B184" s="105"/>
      <c r="C184" s="105"/>
      <c r="D184" s="105"/>
      <c r="E184" s="105"/>
      <c r="F184" s="105"/>
      <c r="G184" s="105"/>
      <c r="H184" s="105"/>
      <c r="I184" s="105"/>
      <c r="J184" s="105"/>
      <c r="K184" s="105"/>
      <c r="L184" s="105"/>
      <c r="M184" s="105"/>
      <c r="N184" s="105"/>
      <c r="O184" s="105"/>
    </row>
    <row r="185" spans="1:15" x14ac:dyDescent="0.25">
      <c r="A185" s="105"/>
      <c r="B185" s="105"/>
      <c r="C185" s="105"/>
      <c r="D185" s="105"/>
      <c r="E185" s="105"/>
      <c r="F185" s="105"/>
      <c r="G185" s="105"/>
      <c r="H185" s="105"/>
      <c r="I185" s="105"/>
      <c r="J185" s="105"/>
      <c r="K185" s="105"/>
      <c r="L185" s="105"/>
      <c r="M185" s="105"/>
      <c r="N185" s="105"/>
      <c r="O185" s="105"/>
    </row>
    <row r="186" spans="1:15" x14ac:dyDescent="0.25">
      <c r="A186" s="105"/>
      <c r="B186" s="105"/>
      <c r="C186" s="105"/>
      <c r="D186" s="105"/>
      <c r="E186" s="105"/>
      <c r="F186" s="105"/>
      <c r="G186" s="105"/>
      <c r="H186" s="105"/>
      <c r="I186" s="105"/>
      <c r="J186" s="105"/>
      <c r="K186" s="105"/>
      <c r="L186" s="105"/>
      <c r="M186" s="105"/>
      <c r="N186" s="105"/>
      <c r="O186" s="105"/>
    </row>
    <row r="187" spans="1:15" x14ac:dyDescent="0.25">
      <c r="A187" s="105"/>
      <c r="B187" s="105"/>
      <c r="C187" s="105"/>
      <c r="D187" s="105"/>
      <c r="E187" s="105"/>
      <c r="F187" s="105"/>
      <c r="G187" s="105"/>
      <c r="H187" s="105"/>
      <c r="I187" s="105"/>
      <c r="J187" s="105"/>
      <c r="K187" s="105"/>
      <c r="L187" s="105"/>
      <c r="M187" s="105"/>
      <c r="N187" s="105"/>
      <c r="O187" s="105"/>
    </row>
    <row r="188" spans="1:15" x14ac:dyDescent="0.25">
      <c r="A188" s="105"/>
      <c r="B188" s="105"/>
      <c r="C188" s="105"/>
      <c r="D188" s="105"/>
      <c r="E188" s="105"/>
      <c r="F188" s="105"/>
      <c r="G188" s="105"/>
      <c r="H188" s="105"/>
      <c r="I188" s="105"/>
      <c r="J188" s="105"/>
      <c r="K188" s="105"/>
      <c r="L188" s="105"/>
      <c r="M188" s="105"/>
      <c r="N188" s="105"/>
      <c r="O188" s="105"/>
    </row>
    <row r="189" spans="1:15" x14ac:dyDescent="0.25">
      <c r="A189" s="105"/>
      <c r="B189" s="105"/>
      <c r="C189" s="105"/>
      <c r="D189" s="105"/>
      <c r="E189" s="105"/>
      <c r="F189" s="105"/>
      <c r="G189" s="105"/>
      <c r="H189" s="105"/>
      <c r="I189" s="105"/>
      <c r="J189" s="105"/>
      <c r="K189" s="105"/>
      <c r="L189" s="105"/>
      <c r="M189" s="105"/>
      <c r="N189" s="105"/>
      <c r="O189" s="105"/>
    </row>
    <row r="190" spans="1:15" x14ac:dyDescent="0.25">
      <c r="A190" s="105"/>
      <c r="B190" s="105"/>
      <c r="C190" s="105"/>
      <c r="D190" s="105"/>
      <c r="E190" s="105"/>
      <c r="F190" s="105"/>
      <c r="G190" s="105"/>
      <c r="H190" s="105"/>
      <c r="I190" s="105"/>
      <c r="J190" s="105"/>
      <c r="K190" s="105"/>
      <c r="L190" s="105"/>
      <c r="M190" s="105"/>
      <c r="N190" s="105"/>
      <c r="O190" s="105"/>
    </row>
    <row r="191" spans="1:15" x14ac:dyDescent="0.25">
      <c r="A191" s="105"/>
      <c r="B191" s="105"/>
      <c r="C191" s="105"/>
      <c r="D191" s="105"/>
      <c r="E191" s="105"/>
      <c r="F191" s="105"/>
      <c r="G191" s="105"/>
      <c r="H191" s="105"/>
      <c r="I191" s="105"/>
      <c r="J191" s="105"/>
      <c r="K191" s="105"/>
      <c r="L191" s="105"/>
      <c r="M191" s="105"/>
      <c r="N191" s="105"/>
      <c r="O191" s="105"/>
    </row>
    <row r="192" spans="1:15" x14ac:dyDescent="0.25">
      <c r="A192" s="105"/>
      <c r="B192" s="105"/>
      <c r="C192" s="105"/>
      <c r="D192" s="105"/>
      <c r="E192" s="105"/>
      <c r="F192" s="105"/>
      <c r="G192" s="105"/>
      <c r="H192" s="105"/>
      <c r="I192" s="105"/>
      <c r="J192" s="105"/>
      <c r="K192" s="105"/>
      <c r="L192" s="105"/>
      <c r="M192" s="105"/>
      <c r="N192" s="105"/>
      <c r="O192" s="105"/>
    </row>
    <row r="193" spans="1:15" x14ac:dyDescent="0.25">
      <c r="A193" s="105"/>
      <c r="B193" s="105"/>
      <c r="C193" s="105"/>
      <c r="D193" s="105"/>
      <c r="E193" s="105"/>
      <c r="F193" s="105"/>
      <c r="G193" s="105"/>
      <c r="H193" s="105"/>
      <c r="I193" s="105"/>
      <c r="J193" s="105"/>
      <c r="K193" s="105"/>
      <c r="L193" s="105"/>
      <c r="M193" s="105"/>
      <c r="N193" s="105"/>
      <c r="O193" s="105"/>
    </row>
    <row r="194" spans="1:15" x14ac:dyDescent="0.25">
      <c r="A194" s="105"/>
      <c r="B194" s="105"/>
      <c r="C194" s="105"/>
      <c r="D194" s="105"/>
      <c r="E194" s="105"/>
      <c r="F194" s="105"/>
      <c r="G194" s="105"/>
      <c r="H194" s="105"/>
      <c r="I194" s="105"/>
      <c r="J194" s="105"/>
      <c r="K194" s="105"/>
      <c r="L194" s="105"/>
      <c r="M194" s="105"/>
      <c r="N194" s="105"/>
      <c r="O194" s="105"/>
    </row>
    <row r="195" spans="1:15" x14ac:dyDescent="0.25">
      <c r="A195" s="105"/>
      <c r="B195" s="105"/>
      <c r="C195" s="105"/>
      <c r="D195" s="105"/>
      <c r="E195" s="105"/>
      <c r="F195" s="105"/>
      <c r="G195" s="105"/>
      <c r="H195" s="105"/>
      <c r="I195" s="105"/>
      <c r="J195" s="105"/>
      <c r="K195" s="105"/>
      <c r="L195" s="105"/>
      <c r="M195" s="105"/>
      <c r="N195" s="105"/>
      <c r="O195" s="105"/>
    </row>
    <row r="196" spans="1:15" x14ac:dyDescent="0.25">
      <c r="A196" s="105"/>
      <c r="B196" s="105"/>
      <c r="C196" s="105"/>
      <c r="D196" s="105"/>
      <c r="E196" s="105"/>
      <c r="F196" s="105"/>
      <c r="G196" s="105"/>
      <c r="H196" s="105"/>
      <c r="I196" s="105"/>
      <c r="J196" s="105"/>
      <c r="K196" s="105"/>
      <c r="L196" s="105"/>
      <c r="M196" s="105"/>
      <c r="N196" s="105"/>
      <c r="O196" s="105"/>
    </row>
    <row r="197" spans="1:15" x14ac:dyDescent="0.25">
      <c r="A197" s="105"/>
      <c r="B197" s="105"/>
      <c r="C197" s="105"/>
      <c r="D197" s="105"/>
      <c r="E197" s="105"/>
      <c r="F197" s="105"/>
      <c r="G197" s="105"/>
      <c r="H197" s="105"/>
      <c r="I197" s="105"/>
      <c r="J197" s="105"/>
      <c r="K197" s="105"/>
      <c r="L197" s="105"/>
      <c r="M197" s="105"/>
      <c r="N197" s="105"/>
      <c r="O197" s="105"/>
    </row>
    <row r="198" spans="1:15" x14ac:dyDescent="0.25">
      <c r="A198" s="105"/>
      <c r="B198" s="105"/>
      <c r="C198" s="105"/>
      <c r="D198" s="105"/>
      <c r="E198" s="105"/>
      <c r="F198" s="105"/>
      <c r="G198" s="105"/>
      <c r="H198" s="105"/>
      <c r="I198" s="105"/>
      <c r="J198" s="105"/>
      <c r="K198" s="105"/>
      <c r="L198" s="105"/>
      <c r="M198" s="105"/>
      <c r="N198" s="105"/>
      <c r="O198" s="105"/>
    </row>
    <row r="199" spans="1:15" x14ac:dyDescent="0.25">
      <c r="A199" s="105"/>
      <c r="B199" s="105"/>
      <c r="C199" s="105"/>
      <c r="D199" s="105"/>
      <c r="E199" s="105"/>
      <c r="F199" s="105"/>
      <c r="G199" s="105"/>
      <c r="H199" s="105"/>
      <c r="I199" s="105"/>
      <c r="J199" s="105"/>
      <c r="K199" s="105"/>
      <c r="L199" s="105"/>
      <c r="M199" s="105"/>
      <c r="N199" s="105"/>
      <c r="O199" s="105"/>
    </row>
    <row r="200" spans="1:15" x14ac:dyDescent="0.25">
      <c r="A200" s="105"/>
      <c r="B200" s="105"/>
      <c r="C200" s="105"/>
      <c r="D200" s="105"/>
      <c r="E200" s="105"/>
      <c r="F200" s="105"/>
      <c r="G200" s="105"/>
      <c r="H200" s="105"/>
      <c r="I200" s="105"/>
      <c r="J200" s="105"/>
      <c r="K200" s="105"/>
      <c r="L200" s="105"/>
      <c r="M200" s="105"/>
      <c r="N200" s="105"/>
      <c r="O200" s="105"/>
    </row>
  </sheetData>
  <sheetProtection algorithmName="SHA-512" hashValue="j0oxEIeEbe2C+nJFRw/YlAoI8Rufdt0sSRI461JRAY5XGOparwBI72OUELLNCj+peUBf98qoPbBENCs55WuJxA==" saltValue="Gc6/2SwfASiPTXF+HHtkPQ=="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 ref="P10:P13"/>
    <mergeCell ref="Q10:Q13"/>
    <mergeCell ref="M10:M13"/>
    <mergeCell ref="N10:N11"/>
    <mergeCell ref="R10:R13"/>
    <mergeCell ref="S10:S13"/>
    <mergeCell ref="T10:T11"/>
    <mergeCell ref="U10:U11"/>
    <mergeCell ref="V10:V13"/>
    <mergeCell ref="AD10:AD13"/>
    <mergeCell ref="AE10:AE13"/>
    <mergeCell ref="AF10:AF11"/>
    <mergeCell ref="W10:W13"/>
    <mergeCell ref="X10:X13"/>
    <mergeCell ref="Y10:Y13"/>
    <mergeCell ref="Z10:Z11"/>
    <mergeCell ref="AA10:AA11"/>
    <mergeCell ref="BG56:BI56"/>
    <mergeCell ref="BG57:BI57"/>
    <mergeCell ref="BG58:BI58"/>
    <mergeCell ref="BG49:BI49"/>
    <mergeCell ref="BG59:BI59"/>
    <mergeCell ref="BG50:BI50"/>
    <mergeCell ref="BG51:BI51"/>
    <mergeCell ref="BG52:BI52"/>
    <mergeCell ref="BG53:BI53"/>
    <mergeCell ref="BG55:BI55"/>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selection activeCell="B171" sqref="B171"/>
    </sheetView>
  </sheetViews>
  <sheetFormatPr defaultColWidth="9.21875" defaultRowHeight="13.2" x14ac:dyDescent="0.25"/>
  <cols>
    <col min="1" max="1" width="12.5546875" style="21" customWidth="1"/>
    <col min="2" max="2" width="13.21875" style="21" customWidth="1"/>
    <col min="3" max="3" width="16.77734375" style="21" customWidth="1"/>
    <col min="4" max="4" width="16.21875" style="21" customWidth="1"/>
    <col min="5" max="5" width="13.5546875" style="21" customWidth="1"/>
    <col min="6" max="6" width="15.5546875" style="21" customWidth="1"/>
    <col min="7" max="7" width="9.21875" style="21"/>
    <col min="8" max="8" width="10" style="21" customWidth="1"/>
    <col min="9" max="9" width="10.77734375" style="21" customWidth="1"/>
    <col min="10" max="11" width="11.21875" style="21" customWidth="1"/>
    <col min="12" max="23" width="13.5546875" style="21" hidden="1" customWidth="1"/>
    <col min="24" max="24" width="1.44140625" style="21" customWidth="1"/>
    <col min="25" max="25" width="9.21875" style="21" customWidth="1"/>
    <col min="26" max="26" width="8.21875" style="21" customWidth="1"/>
    <col min="27" max="27" width="9.77734375" style="21" customWidth="1"/>
    <col min="28" max="28" width="10" style="21" customWidth="1"/>
    <col min="29" max="29" width="9.21875" style="21"/>
    <col min="30" max="30" width="10.77734375" style="21" bestFit="1" customWidth="1"/>
    <col min="31" max="16384" width="9.21875" style="21"/>
  </cols>
  <sheetData>
    <row r="1" spans="1:37" ht="12.75" customHeight="1" x14ac:dyDescent="0.25">
      <c r="A1" s="557" t="s">
        <v>339</v>
      </c>
      <c r="B1" s="557"/>
      <c r="C1" s="557"/>
      <c r="D1" s="557"/>
      <c r="E1" s="557"/>
      <c r="F1" s="557"/>
      <c r="G1" s="614" t="s">
        <v>437</v>
      </c>
      <c r="H1" s="615"/>
      <c r="I1" s="615"/>
      <c r="J1" s="615"/>
      <c r="K1" s="615"/>
      <c r="L1" s="319"/>
      <c r="M1" s="611" t="s">
        <v>545</v>
      </c>
      <c r="N1" s="611" t="s">
        <v>546</v>
      </c>
      <c r="O1" s="609" t="s">
        <v>547</v>
      </c>
      <c r="P1" s="609" t="s">
        <v>548</v>
      </c>
      <c r="Q1" s="609" t="s">
        <v>549</v>
      </c>
      <c r="R1" s="609" t="s">
        <v>550</v>
      </c>
      <c r="X1" s="293"/>
      <c r="Y1" s="612" t="s">
        <v>466</v>
      </c>
      <c r="Z1" s="612" t="s">
        <v>465</v>
      </c>
      <c r="AA1" s="612" t="s">
        <v>467</v>
      </c>
      <c r="AB1" s="612" t="s">
        <v>468</v>
      </c>
      <c r="AC1" s="103"/>
      <c r="AD1" s="108"/>
      <c r="AE1" s="103"/>
      <c r="AF1" s="103"/>
      <c r="AG1" s="103"/>
      <c r="AH1" s="103"/>
      <c r="AI1" s="103"/>
      <c r="AJ1" s="103"/>
      <c r="AK1" s="103"/>
    </row>
    <row r="2" spans="1:37" ht="12.75" customHeight="1" x14ac:dyDescent="0.25">
      <c r="A2" s="557"/>
      <c r="B2" s="557"/>
      <c r="C2" s="557"/>
      <c r="D2" s="557"/>
      <c r="E2" s="557"/>
      <c r="F2" s="557"/>
      <c r="G2" s="616"/>
      <c r="H2" s="617"/>
      <c r="I2" s="617"/>
      <c r="J2" s="617"/>
      <c r="K2" s="617"/>
      <c r="L2" s="320"/>
      <c r="M2" s="611"/>
      <c r="N2" s="611"/>
      <c r="O2" s="610"/>
      <c r="P2" s="610"/>
      <c r="Q2" s="610"/>
      <c r="R2" s="610"/>
      <c r="X2" s="293"/>
      <c r="Y2" s="612"/>
      <c r="Z2" s="612"/>
      <c r="AA2" s="612"/>
      <c r="AB2" s="612"/>
      <c r="AC2" s="103"/>
      <c r="AD2" s="371"/>
      <c r="AE2" s="103"/>
      <c r="AF2" s="103"/>
      <c r="AG2" s="103"/>
      <c r="AH2" s="103"/>
      <c r="AI2" s="103"/>
      <c r="AJ2" s="103"/>
      <c r="AK2" s="103"/>
    </row>
    <row r="3" spans="1:37" ht="12.75" customHeight="1" x14ac:dyDescent="0.25">
      <c r="A3" s="566" t="s">
        <v>223</v>
      </c>
      <c r="B3" s="567"/>
      <c r="C3" s="568"/>
      <c r="D3" s="626" t="s">
        <v>469</v>
      </c>
      <c r="E3" s="626"/>
      <c r="F3" s="627">
        <f>VLOOKUP(MAX(S7:S102),S7:W102,5,FALSE)</f>
        <v>0.29166666666666702</v>
      </c>
      <c r="G3" s="608" t="s">
        <v>345</v>
      </c>
      <c r="H3" s="613" t="s">
        <v>346</v>
      </c>
      <c r="I3" s="613" t="s">
        <v>347</v>
      </c>
      <c r="J3" s="613" t="s">
        <v>348</v>
      </c>
      <c r="K3" s="613" t="s">
        <v>349</v>
      </c>
      <c r="L3" s="608" t="s">
        <v>345</v>
      </c>
      <c r="M3" s="611"/>
      <c r="N3" s="611"/>
      <c r="O3" s="610"/>
      <c r="P3" s="610"/>
      <c r="Q3" s="610"/>
      <c r="R3" s="610"/>
      <c r="S3" s="583" t="s">
        <v>482</v>
      </c>
      <c r="T3" s="583" t="s">
        <v>482</v>
      </c>
      <c r="U3" s="583" t="s">
        <v>482</v>
      </c>
      <c r="V3" s="583" t="s">
        <v>482</v>
      </c>
      <c r="W3" s="608" t="s">
        <v>345</v>
      </c>
      <c r="X3" s="103"/>
      <c r="Y3" s="612"/>
      <c r="Z3" s="612"/>
      <c r="AA3" s="612"/>
      <c r="AB3" s="612"/>
      <c r="AC3" s="103"/>
      <c r="AD3" s="371"/>
      <c r="AE3" s="103"/>
      <c r="AF3" s="103"/>
      <c r="AG3" s="103"/>
      <c r="AH3" s="103"/>
      <c r="AI3" s="103"/>
      <c r="AJ3" s="103"/>
      <c r="AK3" s="103"/>
    </row>
    <row r="4" spans="1:37" ht="12.75" customHeight="1" x14ac:dyDescent="0.25">
      <c r="A4" s="569"/>
      <c r="B4" s="570"/>
      <c r="C4" s="571"/>
      <c r="D4" s="626"/>
      <c r="E4" s="626"/>
      <c r="F4" s="627"/>
      <c r="G4" s="608"/>
      <c r="H4" s="613"/>
      <c r="I4" s="613"/>
      <c r="J4" s="613"/>
      <c r="K4" s="613"/>
      <c r="L4" s="608"/>
      <c r="M4" s="611"/>
      <c r="N4" s="611"/>
      <c r="O4" s="610"/>
      <c r="P4" s="610"/>
      <c r="Q4" s="610"/>
      <c r="R4" s="610"/>
      <c r="S4" s="585"/>
      <c r="T4" s="585"/>
      <c r="U4" s="585"/>
      <c r="V4" s="585"/>
      <c r="W4" s="608"/>
      <c r="X4" s="103"/>
      <c r="Y4" s="612"/>
      <c r="Z4" s="612"/>
      <c r="AA4" s="612"/>
      <c r="AB4" s="612"/>
      <c r="AC4" s="103"/>
      <c r="AD4" s="103"/>
      <c r="AE4" s="103"/>
      <c r="AF4" s="103"/>
      <c r="AG4" s="103"/>
      <c r="AH4" s="103"/>
      <c r="AI4" s="103"/>
      <c r="AJ4" s="103"/>
      <c r="AK4" s="103"/>
    </row>
    <row r="5" spans="1:37" ht="12.75" customHeight="1" x14ac:dyDescent="0.25">
      <c r="A5" s="321" t="s">
        <v>224</v>
      </c>
      <c r="B5" s="322" t="str">
        <f>IF('Input &amp; Findings'!$G$31=1, "1 Lane","2 or More Lanes")</f>
        <v>2 or More Lanes</v>
      </c>
      <c r="C5" s="128"/>
      <c r="D5" s="626" t="s">
        <v>470</v>
      </c>
      <c r="E5" s="626"/>
      <c r="F5" s="627">
        <f>F3+0.0416666667</f>
        <v>0.33333333336666704</v>
      </c>
      <c r="G5" s="608"/>
      <c r="H5" s="613"/>
      <c r="I5" s="613"/>
      <c r="J5" s="613"/>
      <c r="K5" s="613"/>
      <c r="L5" s="608"/>
      <c r="M5" s="611"/>
      <c r="N5" s="611"/>
      <c r="O5" s="610"/>
      <c r="P5" s="610"/>
      <c r="Q5" s="610"/>
      <c r="R5" s="610"/>
      <c r="S5" s="283" t="s">
        <v>23</v>
      </c>
      <c r="T5" s="283" t="s">
        <v>23</v>
      </c>
      <c r="U5" s="283" t="s">
        <v>24</v>
      </c>
      <c r="V5" s="283" t="s">
        <v>24</v>
      </c>
      <c r="W5" s="608"/>
      <c r="X5" s="103"/>
      <c r="Y5" s="612"/>
      <c r="Z5" s="612"/>
      <c r="AA5" s="612"/>
      <c r="AB5" s="612"/>
      <c r="AC5" s="103"/>
      <c r="AD5" s="372"/>
      <c r="AE5" s="103"/>
      <c r="AF5" s="103"/>
      <c r="AG5" s="103"/>
      <c r="AH5" s="103"/>
      <c r="AI5" s="103"/>
      <c r="AJ5" s="103"/>
      <c r="AK5" s="103"/>
    </row>
    <row r="6" spans="1:37" ht="18.75" customHeight="1" x14ac:dyDescent="0.25">
      <c r="A6" s="321" t="s">
        <v>225</v>
      </c>
      <c r="B6" s="322" t="str">
        <f>IF('Input &amp; Findings'!$G$47=1, "1 Lane","2 or More Lanes")</f>
        <v>2 or More Lanes</v>
      </c>
      <c r="C6" s="323"/>
      <c r="D6" s="626"/>
      <c r="E6" s="626"/>
      <c r="F6" s="627"/>
      <c r="G6" s="608"/>
      <c r="H6" s="613"/>
      <c r="I6" s="613"/>
      <c r="J6" s="613"/>
      <c r="K6" s="613"/>
      <c r="L6" s="608"/>
      <c r="M6" s="611"/>
      <c r="N6" s="611"/>
      <c r="O6" s="610"/>
      <c r="P6" s="610"/>
      <c r="Q6" s="610"/>
      <c r="R6" s="610"/>
      <c r="S6" s="284" t="s">
        <v>476</v>
      </c>
      <c r="T6" s="284" t="s">
        <v>477</v>
      </c>
      <c r="U6" s="284" t="s">
        <v>476</v>
      </c>
      <c r="V6" s="284" t="s">
        <v>477</v>
      </c>
      <c r="W6" s="608"/>
      <c r="X6" s="103"/>
      <c r="Y6" s="612"/>
      <c r="Z6" s="612"/>
      <c r="AA6" s="612"/>
      <c r="AB6" s="612"/>
      <c r="AC6" s="103"/>
      <c r="AD6" s="372"/>
      <c r="AE6" s="103"/>
      <c r="AF6" s="103"/>
      <c r="AG6" s="103"/>
      <c r="AH6" s="103"/>
      <c r="AI6" s="103"/>
      <c r="AJ6" s="103"/>
      <c r="AK6" s="103"/>
    </row>
    <row r="7" spans="1:37" ht="12.75" hidden="1" customHeight="1" x14ac:dyDescent="0.25">
      <c r="G7" s="187">
        <v>0</v>
      </c>
      <c r="H7" s="174">
        <f>'Warrant 2'!F14</f>
        <v>0</v>
      </c>
      <c r="I7" s="174">
        <f>'Warrant 2'!I14</f>
        <v>0</v>
      </c>
      <c r="J7" s="175">
        <f>SUM(H7:I7)</f>
        <v>0</v>
      </c>
      <c r="K7" s="175">
        <f>'Warrant 2'!B14+'Warrant 2'!C14+'Warrant 2'!D14+'Warrant 2'!E14</f>
        <v>0</v>
      </c>
      <c r="L7" s="187">
        <v>0</v>
      </c>
      <c r="M7" s="315">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981.89</v>
      </c>
      <c r="N7" s="314">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786.48</v>
      </c>
      <c r="O7" s="311">
        <f t="shared" ref="O7:O38" si="2">I7-M7</f>
        <v>-981.89</v>
      </c>
      <c r="P7" s="311">
        <f t="shared" ref="P7:P38" si="3">I7-N7</f>
        <v>-786.48</v>
      </c>
      <c r="Q7" s="311">
        <f t="shared" ref="Q7:Q38" si="4">IF(O7=MAX($O$7:$O$102),H7,0)</f>
        <v>0</v>
      </c>
      <c r="R7" s="311">
        <f t="shared" ref="R7:R38" si="5">IF(P7=MAX($P$7:$P$102),H7,0)</f>
        <v>0</v>
      </c>
      <c r="S7" s="311">
        <f>IF(Q7=MAX($Q$7:$Q$102),Q7,0)</f>
        <v>0</v>
      </c>
      <c r="T7" s="311">
        <f t="shared" ref="T7:T38" si="6">IF(Q7=MAX($Q$7:$Q$102),I7,0)</f>
        <v>0</v>
      </c>
      <c r="U7" s="311">
        <f>IF(R7=MAX($R$7:$R$102),R7,0)</f>
        <v>0</v>
      </c>
      <c r="V7" s="311">
        <f t="shared" ref="V7:V38" si="7">IF(R7=MAX($R$7:$R$102),I7,0)</f>
        <v>0</v>
      </c>
      <c r="W7" s="187">
        <v>0</v>
      </c>
      <c r="AC7" s="103"/>
      <c r="AD7" s="103"/>
      <c r="AE7" s="103"/>
      <c r="AF7" s="103"/>
      <c r="AG7" s="103"/>
      <c r="AH7" s="103"/>
      <c r="AI7" s="103"/>
      <c r="AJ7" s="103"/>
      <c r="AK7" s="103"/>
    </row>
    <row r="8" spans="1:37" ht="12.75" hidden="1" customHeight="1" x14ac:dyDescent="0.25">
      <c r="G8" s="188">
        <v>1.0416666666666666E-2</v>
      </c>
      <c r="H8" s="155">
        <f>'Warrant 2'!F15</f>
        <v>0</v>
      </c>
      <c r="I8" s="155">
        <f>'Warrant 2'!I15</f>
        <v>0</v>
      </c>
      <c r="J8" s="176">
        <f t="shared" ref="J8:J71" si="8">SUM(H8:I8)</f>
        <v>0</v>
      </c>
      <c r="K8" s="176">
        <f>'Warrant 2'!B15+'Warrant 2'!C15+'Warrant 2'!D15+'Warrant 2'!E15</f>
        <v>0</v>
      </c>
      <c r="L8" s="188">
        <v>1.0416666666666666E-2</v>
      </c>
      <c r="M8" s="315">
        <f t="shared" si="0"/>
        <v>981.89</v>
      </c>
      <c r="N8" s="314">
        <f t="shared" si="1"/>
        <v>786.48</v>
      </c>
      <c r="O8" s="311">
        <f t="shared" si="2"/>
        <v>-981.89</v>
      </c>
      <c r="P8" s="311">
        <f t="shared" si="3"/>
        <v>-786.48</v>
      </c>
      <c r="Q8" s="311">
        <f t="shared" si="4"/>
        <v>0</v>
      </c>
      <c r="R8" s="311">
        <f t="shared" si="5"/>
        <v>0</v>
      </c>
      <c r="S8" s="311">
        <f t="shared" ref="S8:S71" si="9">IF(Q8=MAX($Q$7:$Q$102),Q8,0)</f>
        <v>0</v>
      </c>
      <c r="T8" s="311">
        <f t="shared" si="6"/>
        <v>0</v>
      </c>
      <c r="U8" s="311">
        <f t="shared" ref="U8:U71" si="10">IF(R8=MAX($R$7:$R$102),R8,0)</f>
        <v>0</v>
      </c>
      <c r="V8" s="311">
        <f t="shared" si="7"/>
        <v>0</v>
      </c>
      <c r="W8" s="188">
        <v>1.0416666666666666E-2</v>
      </c>
      <c r="AC8" s="103"/>
      <c r="AD8" s="103"/>
      <c r="AE8" s="103"/>
      <c r="AF8" s="103"/>
      <c r="AG8" s="103"/>
      <c r="AH8" s="103"/>
      <c r="AI8" s="103"/>
      <c r="AJ8" s="103"/>
      <c r="AK8" s="103"/>
    </row>
    <row r="9" spans="1:37" ht="12.75" hidden="1" customHeight="1" x14ac:dyDescent="0.25">
      <c r="G9" s="188">
        <v>2.0833333333333301E-2</v>
      </c>
      <c r="H9" s="155">
        <f>'Warrant 2'!F16</f>
        <v>0</v>
      </c>
      <c r="I9" s="155">
        <f>'Warrant 2'!I16</f>
        <v>0</v>
      </c>
      <c r="J9" s="176">
        <f t="shared" si="8"/>
        <v>0</v>
      </c>
      <c r="K9" s="176">
        <f>'Warrant 2'!B16+'Warrant 2'!C16+'Warrant 2'!D16+'Warrant 2'!E16</f>
        <v>0</v>
      </c>
      <c r="L9" s="188">
        <v>2.0833333333333301E-2</v>
      </c>
      <c r="M9" s="315">
        <f t="shared" si="0"/>
        <v>981.89</v>
      </c>
      <c r="N9" s="314">
        <f t="shared" si="1"/>
        <v>786.48</v>
      </c>
      <c r="O9" s="311">
        <f t="shared" si="2"/>
        <v>-981.89</v>
      </c>
      <c r="P9" s="311">
        <f t="shared" si="3"/>
        <v>-786.48</v>
      </c>
      <c r="Q9" s="311">
        <f t="shared" si="4"/>
        <v>0</v>
      </c>
      <c r="R9" s="311">
        <f t="shared" si="5"/>
        <v>0</v>
      </c>
      <c r="S9" s="311">
        <f t="shared" si="9"/>
        <v>0</v>
      </c>
      <c r="T9" s="311">
        <f t="shared" si="6"/>
        <v>0</v>
      </c>
      <c r="U9" s="311">
        <f t="shared" si="10"/>
        <v>0</v>
      </c>
      <c r="V9" s="311">
        <f t="shared" si="7"/>
        <v>0</v>
      </c>
      <c r="W9" s="188">
        <v>2.0833333333333301E-2</v>
      </c>
      <c r="AC9" s="103"/>
      <c r="AD9" s="103"/>
      <c r="AE9" s="103"/>
      <c r="AF9" s="103"/>
      <c r="AG9" s="103"/>
      <c r="AH9" s="103"/>
      <c r="AI9" s="103"/>
      <c r="AJ9" s="103"/>
      <c r="AK9" s="103"/>
    </row>
    <row r="10" spans="1:37" hidden="1" x14ac:dyDescent="0.25">
      <c r="G10" s="188">
        <v>3.125E-2</v>
      </c>
      <c r="H10" s="155">
        <f>'Warrant 2'!F17</f>
        <v>0</v>
      </c>
      <c r="I10" s="155">
        <f>'Warrant 2'!I17</f>
        <v>0</v>
      </c>
      <c r="J10" s="176">
        <f t="shared" si="8"/>
        <v>0</v>
      </c>
      <c r="K10" s="176">
        <f>'Warrant 2'!B17+'Warrant 2'!C17+'Warrant 2'!D17+'Warrant 2'!E17</f>
        <v>0</v>
      </c>
      <c r="L10" s="188">
        <v>3.125E-2</v>
      </c>
      <c r="M10" s="315">
        <f t="shared" si="0"/>
        <v>981.89</v>
      </c>
      <c r="N10" s="314">
        <f t="shared" si="1"/>
        <v>786.48</v>
      </c>
      <c r="O10" s="311">
        <f t="shared" si="2"/>
        <v>-981.89</v>
      </c>
      <c r="P10" s="311">
        <f t="shared" si="3"/>
        <v>-786.48</v>
      </c>
      <c r="Q10" s="311">
        <f t="shared" si="4"/>
        <v>0</v>
      </c>
      <c r="R10" s="311">
        <f t="shared" si="5"/>
        <v>0</v>
      </c>
      <c r="S10" s="311">
        <f t="shared" si="9"/>
        <v>0</v>
      </c>
      <c r="T10" s="311">
        <f t="shared" si="6"/>
        <v>0</v>
      </c>
      <c r="U10" s="311">
        <f t="shared" si="10"/>
        <v>0</v>
      </c>
      <c r="V10" s="311">
        <f t="shared" si="7"/>
        <v>0</v>
      </c>
      <c r="W10" s="188">
        <v>3.125E-2</v>
      </c>
      <c r="AC10" s="103"/>
      <c r="AD10" s="103"/>
      <c r="AE10" s="103"/>
      <c r="AF10" s="103"/>
      <c r="AG10" s="103"/>
      <c r="AH10" s="103"/>
      <c r="AI10" s="103"/>
      <c r="AJ10" s="103"/>
      <c r="AK10" s="103"/>
    </row>
    <row r="11" spans="1:37" ht="12.75" hidden="1" customHeight="1" x14ac:dyDescent="0.25">
      <c r="G11" s="188">
        <v>4.1666666666666699E-2</v>
      </c>
      <c r="H11" s="155">
        <f>'Warrant 2'!F18</f>
        <v>0</v>
      </c>
      <c r="I11" s="155">
        <f>'Warrant 2'!I18</f>
        <v>0</v>
      </c>
      <c r="J11" s="176">
        <f t="shared" si="8"/>
        <v>0</v>
      </c>
      <c r="K11" s="176">
        <f>'Warrant 2'!B18+'Warrant 2'!C18+'Warrant 2'!D18+'Warrant 2'!E18</f>
        <v>0</v>
      </c>
      <c r="L11" s="188">
        <v>4.1666666666666699E-2</v>
      </c>
      <c r="M11" s="315">
        <f t="shared" si="0"/>
        <v>981.89</v>
      </c>
      <c r="N11" s="314">
        <f t="shared" si="1"/>
        <v>786.48</v>
      </c>
      <c r="O11" s="311">
        <f t="shared" si="2"/>
        <v>-981.89</v>
      </c>
      <c r="P11" s="311">
        <f t="shared" si="3"/>
        <v>-786.48</v>
      </c>
      <c r="Q11" s="311">
        <f t="shared" si="4"/>
        <v>0</v>
      </c>
      <c r="R11" s="311">
        <f t="shared" si="5"/>
        <v>0</v>
      </c>
      <c r="S11" s="311">
        <f t="shared" si="9"/>
        <v>0</v>
      </c>
      <c r="T11" s="311">
        <f t="shared" si="6"/>
        <v>0</v>
      </c>
      <c r="U11" s="311">
        <f t="shared" si="10"/>
        <v>0</v>
      </c>
      <c r="V11" s="311">
        <f t="shared" si="7"/>
        <v>0</v>
      </c>
      <c r="W11" s="188">
        <v>4.1666666666666699E-2</v>
      </c>
      <c r="AC11" s="103"/>
      <c r="AD11" s="372"/>
      <c r="AE11" s="103"/>
      <c r="AF11" s="103"/>
      <c r="AG11" s="103"/>
      <c r="AH11" s="103"/>
      <c r="AI11" s="103"/>
      <c r="AJ11" s="103"/>
      <c r="AK11" s="103"/>
    </row>
    <row r="12" spans="1:37" ht="12.75" hidden="1" customHeight="1" x14ac:dyDescent="0.25">
      <c r="G12" s="188">
        <v>5.2083333333333301E-2</v>
      </c>
      <c r="H12" s="155">
        <f>'Warrant 2'!F19</f>
        <v>0</v>
      </c>
      <c r="I12" s="155">
        <f>'Warrant 2'!I19</f>
        <v>0</v>
      </c>
      <c r="J12" s="176">
        <f t="shared" si="8"/>
        <v>0</v>
      </c>
      <c r="K12" s="176">
        <f>'Warrant 2'!B19+'Warrant 2'!C19+'Warrant 2'!D19+'Warrant 2'!E19</f>
        <v>0</v>
      </c>
      <c r="L12" s="188">
        <v>5.2083333333333301E-2</v>
      </c>
      <c r="M12" s="315">
        <f t="shared" si="0"/>
        <v>981.89</v>
      </c>
      <c r="N12" s="314">
        <f t="shared" si="1"/>
        <v>786.48</v>
      </c>
      <c r="O12" s="311">
        <f t="shared" si="2"/>
        <v>-981.89</v>
      </c>
      <c r="P12" s="311">
        <f t="shared" si="3"/>
        <v>-786.48</v>
      </c>
      <c r="Q12" s="311">
        <f t="shared" si="4"/>
        <v>0</v>
      </c>
      <c r="R12" s="311">
        <f t="shared" si="5"/>
        <v>0</v>
      </c>
      <c r="S12" s="311">
        <f t="shared" si="9"/>
        <v>0</v>
      </c>
      <c r="T12" s="311">
        <f t="shared" si="6"/>
        <v>0</v>
      </c>
      <c r="U12" s="311">
        <f t="shared" si="10"/>
        <v>0</v>
      </c>
      <c r="V12" s="311">
        <f t="shared" si="7"/>
        <v>0</v>
      </c>
      <c r="W12" s="188">
        <v>5.2083333333333301E-2</v>
      </c>
      <c r="AC12" s="103"/>
      <c r="AD12" s="372"/>
      <c r="AE12" s="103"/>
      <c r="AF12" s="103"/>
      <c r="AG12" s="103"/>
      <c r="AH12" s="103"/>
      <c r="AI12" s="103"/>
      <c r="AJ12" s="103"/>
      <c r="AK12" s="103"/>
    </row>
    <row r="13" spans="1:37" ht="12.75" hidden="1" customHeight="1" x14ac:dyDescent="0.25">
      <c r="G13" s="188">
        <v>6.25E-2</v>
      </c>
      <c r="H13" s="155">
        <f>'Warrant 2'!F20</f>
        <v>0</v>
      </c>
      <c r="I13" s="155">
        <f>'Warrant 2'!I20</f>
        <v>0</v>
      </c>
      <c r="J13" s="176">
        <f t="shared" si="8"/>
        <v>0</v>
      </c>
      <c r="K13" s="176">
        <f>'Warrant 2'!B20+'Warrant 2'!C20+'Warrant 2'!D20+'Warrant 2'!E20</f>
        <v>0</v>
      </c>
      <c r="L13" s="188">
        <v>6.25E-2</v>
      </c>
      <c r="M13" s="315">
        <f t="shared" si="0"/>
        <v>981.89</v>
      </c>
      <c r="N13" s="314">
        <f t="shared" si="1"/>
        <v>786.48</v>
      </c>
      <c r="O13" s="311">
        <f t="shared" si="2"/>
        <v>-981.89</v>
      </c>
      <c r="P13" s="311">
        <f t="shared" si="3"/>
        <v>-786.48</v>
      </c>
      <c r="Q13" s="311">
        <f t="shared" si="4"/>
        <v>0</v>
      </c>
      <c r="R13" s="311">
        <f t="shared" si="5"/>
        <v>0</v>
      </c>
      <c r="S13" s="311">
        <f t="shared" si="9"/>
        <v>0</v>
      </c>
      <c r="T13" s="311">
        <f t="shared" si="6"/>
        <v>0</v>
      </c>
      <c r="U13" s="311">
        <f t="shared" si="10"/>
        <v>0</v>
      </c>
      <c r="V13" s="311">
        <f t="shared" si="7"/>
        <v>0</v>
      </c>
      <c r="W13" s="188">
        <v>6.25E-2</v>
      </c>
      <c r="AA13" s="191"/>
      <c r="AB13" s="191"/>
      <c r="AC13" s="372"/>
      <c r="AD13" s="372"/>
      <c r="AE13" s="103"/>
      <c r="AF13" s="103"/>
      <c r="AG13" s="103"/>
      <c r="AH13" s="103"/>
      <c r="AI13" s="103"/>
      <c r="AJ13" s="103"/>
      <c r="AK13" s="103"/>
    </row>
    <row r="14" spans="1:37" ht="23.25" hidden="1" customHeight="1" x14ac:dyDescent="0.25">
      <c r="G14" s="188">
        <v>7.2916666666666699E-2</v>
      </c>
      <c r="H14" s="155">
        <f>'Warrant 2'!F21</f>
        <v>0</v>
      </c>
      <c r="I14" s="155">
        <f>'Warrant 2'!I21</f>
        <v>0</v>
      </c>
      <c r="J14" s="176">
        <f t="shared" si="8"/>
        <v>0</v>
      </c>
      <c r="K14" s="176">
        <f>'Warrant 2'!B21+'Warrant 2'!C21+'Warrant 2'!D21+'Warrant 2'!E21</f>
        <v>0</v>
      </c>
      <c r="L14" s="188">
        <v>7.2916666666666699E-2</v>
      </c>
      <c r="M14" s="315">
        <f t="shared" si="0"/>
        <v>981.89</v>
      </c>
      <c r="N14" s="314">
        <f t="shared" si="1"/>
        <v>786.48</v>
      </c>
      <c r="O14" s="311">
        <f t="shared" si="2"/>
        <v>-981.89</v>
      </c>
      <c r="P14" s="311">
        <f t="shared" si="3"/>
        <v>-786.48</v>
      </c>
      <c r="Q14" s="311">
        <f t="shared" si="4"/>
        <v>0</v>
      </c>
      <c r="R14" s="311">
        <f t="shared" si="5"/>
        <v>0</v>
      </c>
      <c r="S14" s="311">
        <f t="shared" si="9"/>
        <v>0</v>
      </c>
      <c r="T14" s="311">
        <f t="shared" si="6"/>
        <v>0</v>
      </c>
      <c r="U14" s="311">
        <f t="shared" si="10"/>
        <v>0</v>
      </c>
      <c r="V14" s="311">
        <f t="shared" si="7"/>
        <v>0</v>
      </c>
      <c r="W14" s="188">
        <v>7.2916666666666699E-2</v>
      </c>
      <c r="AC14" s="103"/>
      <c r="AD14" s="103"/>
      <c r="AE14" s="103"/>
      <c r="AF14" s="103"/>
      <c r="AG14" s="103"/>
      <c r="AH14" s="103"/>
      <c r="AI14" s="103"/>
      <c r="AJ14" s="103"/>
      <c r="AK14" s="103"/>
    </row>
    <row r="15" spans="1:37" ht="12.75" hidden="1" customHeight="1" x14ac:dyDescent="0.25">
      <c r="G15" s="188">
        <v>8.3333333333333301E-2</v>
      </c>
      <c r="H15" s="155">
        <f>'Warrant 2'!F22</f>
        <v>0</v>
      </c>
      <c r="I15" s="155">
        <f>'Warrant 2'!I22</f>
        <v>0</v>
      </c>
      <c r="J15" s="176">
        <f t="shared" si="8"/>
        <v>0</v>
      </c>
      <c r="K15" s="176">
        <f>'Warrant 2'!B22+'Warrant 2'!C22+'Warrant 2'!D22+'Warrant 2'!E22</f>
        <v>0</v>
      </c>
      <c r="L15" s="188">
        <v>8.3333333333333301E-2</v>
      </c>
      <c r="M15" s="315">
        <f t="shared" si="0"/>
        <v>981.89</v>
      </c>
      <c r="N15" s="314">
        <f t="shared" si="1"/>
        <v>786.48</v>
      </c>
      <c r="O15" s="311">
        <f t="shared" si="2"/>
        <v>-981.89</v>
      </c>
      <c r="P15" s="311">
        <f t="shared" si="3"/>
        <v>-786.48</v>
      </c>
      <c r="Q15" s="311">
        <f t="shared" si="4"/>
        <v>0</v>
      </c>
      <c r="R15" s="311">
        <f t="shared" si="5"/>
        <v>0</v>
      </c>
      <c r="S15" s="311">
        <f t="shared" si="9"/>
        <v>0</v>
      </c>
      <c r="T15" s="311">
        <f t="shared" si="6"/>
        <v>0</v>
      </c>
      <c r="U15" s="311">
        <f t="shared" si="10"/>
        <v>0</v>
      </c>
      <c r="V15" s="311">
        <f t="shared" si="7"/>
        <v>0</v>
      </c>
      <c r="W15" s="188">
        <v>8.3333333333333301E-2</v>
      </c>
      <c r="AC15" s="103"/>
      <c r="AD15" s="103"/>
      <c r="AE15" s="103"/>
      <c r="AF15" s="103"/>
      <c r="AG15" s="103"/>
      <c r="AH15" s="103"/>
      <c r="AI15" s="103"/>
      <c r="AJ15" s="103"/>
      <c r="AK15" s="103"/>
    </row>
    <row r="16" spans="1:37" ht="18" hidden="1" customHeight="1" x14ac:dyDescent="0.25">
      <c r="G16" s="188">
        <v>9.375E-2</v>
      </c>
      <c r="H16" s="155">
        <f>'Warrant 2'!F23</f>
        <v>0</v>
      </c>
      <c r="I16" s="155">
        <f>'Warrant 2'!I23</f>
        <v>0</v>
      </c>
      <c r="J16" s="176">
        <f t="shared" si="8"/>
        <v>0</v>
      </c>
      <c r="K16" s="176">
        <f>'Warrant 2'!B23+'Warrant 2'!C23+'Warrant 2'!D23+'Warrant 2'!E23</f>
        <v>0</v>
      </c>
      <c r="L16" s="188">
        <v>9.375E-2</v>
      </c>
      <c r="M16" s="315">
        <f t="shared" si="0"/>
        <v>981.89</v>
      </c>
      <c r="N16" s="314">
        <f t="shared" si="1"/>
        <v>786.48</v>
      </c>
      <c r="O16" s="311">
        <f t="shared" si="2"/>
        <v>-981.89</v>
      </c>
      <c r="P16" s="311">
        <f t="shared" si="3"/>
        <v>-786.48</v>
      </c>
      <c r="Q16" s="311">
        <f t="shared" si="4"/>
        <v>0</v>
      </c>
      <c r="R16" s="311">
        <f t="shared" si="5"/>
        <v>0</v>
      </c>
      <c r="S16" s="311">
        <f t="shared" si="9"/>
        <v>0</v>
      </c>
      <c r="T16" s="311">
        <f t="shared" si="6"/>
        <v>0</v>
      </c>
      <c r="U16" s="311">
        <f t="shared" si="10"/>
        <v>0</v>
      </c>
      <c r="V16" s="311">
        <f t="shared" si="7"/>
        <v>0</v>
      </c>
      <c r="W16" s="188">
        <v>9.375E-2</v>
      </c>
      <c r="AC16" s="103"/>
      <c r="AD16" s="103"/>
      <c r="AE16" s="103"/>
      <c r="AF16" s="103"/>
      <c r="AG16" s="103"/>
      <c r="AH16" s="103"/>
      <c r="AI16" s="103"/>
      <c r="AJ16" s="103"/>
      <c r="AK16" s="103"/>
    </row>
    <row r="17" spans="1:37" ht="18" hidden="1" customHeight="1" x14ac:dyDescent="0.25">
      <c r="G17" s="188">
        <v>0.104166666666667</v>
      </c>
      <c r="H17" s="155">
        <f>'Warrant 2'!F24</f>
        <v>0</v>
      </c>
      <c r="I17" s="155">
        <f>'Warrant 2'!I24</f>
        <v>0</v>
      </c>
      <c r="J17" s="176">
        <f t="shared" si="8"/>
        <v>0</v>
      </c>
      <c r="K17" s="176">
        <f>'Warrant 2'!B24+'Warrant 2'!C24+'Warrant 2'!D24+'Warrant 2'!E24</f>
        <v>0</v>
      </c>
      <c r="L17" s="188">
        <v>0.104166666666667</v>
      </c>
      <c r="M17" s="315">
        <f t="shared" si="0"/>
        <v>981.89</v>
      </c>
      <c r="N17" s="314">
        <f t="shared" si="1"/>
        <v>786.48</v>
      </c>
      <c r="O17" s="311">
        <f t="shared" si="2"/>
        <v>-981.89</v>
      </c>
      <c r="P17" s="311">
        <f t="shared" si="3"/>
        <v>-786.48</v>
      </c>
      <c r="Q17" s="311">
        <f t="shared" si="4"/>
        <v>0</v>
      </c>
      <c r="R17" s="311">
        <f t="shared" si="5"/>
        <v>0</v>
      </c>
      <c r="S17" s="311">
        <f t="shared" si="9"/>
        <v>0</v>
      </c>
      <c r="T17" s="311">
        <f t="shared" si="6"/>
        <v>0</v>
      </c>
      <c r="U17" s="311">
        <f t="shared" si="10"/>
        <v>0</v>
      </c>
      <c r="V17" s="311">
        <f t="shared" si="7"/>
        <v>0</v>
      </c>
      <c r="W17" s="188">
        <v>0.104166666666667</v>
      </c>
      <c r="AC17" s="103"/>
      <c r="AD17" s="103"/>
      <c r="AE17" s="103"/>
      <c r="AF17" s="103"/>
      <c r="AG17" s="103"/>
      <c r="AH17" s="103"/>
      <c r="AI17" s="103"/>
      <c r="AJ17" s="103"/>
      <c r="AK17" s="103"/>
    </row>
    <row r="18" spans="1:37" ht="18" hidden="1" customHeight="1" x14ac:dyDescent="0.25">
      <c r="G18" s="188">
        <v>0.114583333333333</v>
      </c>
      <c r="H18" s="155">
        <f>'Warrant 2'!F25</f>
        <v>0</v>
      </c>
      <c r="I18" s="155">
        <f>'Warrant 2'!I25</f>
        <v>0</v>
      </c>
      <c r="J18" s="176">
        <f t="shared" si="8"/>
        <v>0</v>
      </c>
      <c r="K18" s="176">
        <f>'Warrant 2'!B25+'Warrant 2'!C25+'Warrant 2'!D25+'Warrant 2'!E25</f>
        <v>0</v>
      </c>
      <c r="L18" s="188">
        <v>0.114583333333333</v>
      </c>
      <c r="M18" s="315">
        <f t="shared" si="0"/>
        <v>981.89</v>
      </c>
      <c r="N18" s="314">
        <f t="shared" si="1"/>
        <v>786.48</v>
      </c>
      <c r="O18" s="311">
        <f t="shared" si="2"/>
        <v>-981.89</v>
      </c>
      <c r="P18" s="311">
        <f t="shared" si="3"/>
        <v>-786.48</v>
      </c>
      <c r="Q18" s="311">
        <f t="shared" si="4"/>
        <v>0</v>
      </c>
      <c r="R18" s="311">
        <f t="shared" si="5"/>
        <v>0</v>
      </c>
      <c r="S18" s="311">
        <f t="shared" si="9"/>
        <v>0</v>
      </c>
      <c r="T18" s="311">
        <f t="shared" si="6"/>
        <v>0</v>
      </c>
      <c r="U18" s="311">
        <f t="shared" si="10"/>
        <v>0</v>
      </c>
      <c r="V18" s="311">
        <f t="shared" si="7"/>
        <v>0</v>
      </c>
      <c r="W18" s="188">
        <v>0.114583333333333</v>
      </c>
      <c r="AC18" s="103"/>
      <c r="AD18" s="103"/>
      <c r="AE18" s="103"/>
      <c r="AF18" s="103"/>
      <c r="AG18" s="103"/>
      <c r="AH18" s="103"/>
      <c r="AI18" s="103"/>
      <c r="AJ18" s="103"/>
      <c r="AK18" s="103"/>
    </row>
    <row r="19" spans="1:37" ht="12.75" hidden="1" customHeight="1" x14ac:dyDescent="0.25">
      <c r="G19" s="188">
        <v>0.125</v>
      </c>
      <c r="H19" s="155">
        <f>'Warrant 2'!F26</f>
        <v>0</v>
      </c>
      <c r="I19" s="155">
        <f>'Warrant 2'!I26</f>
        <v>0</v>
      </c>
      <c r="J19" s="176">
        <f t="shared" si="8"/>
        <v>0</v>
      </c>
      <c r="K19" s="176">
        <f>'Warrant 2'!B26+'Warrant 2'!C26+'Warrant 2'!D26+'Warrant 2'!E26</f>
        <v>0</v>
      </c>
      <c r="L19" s="188">
        <v>0.125</v>
      </c>
      <c r="M19" s="315">
        <f t="shared" si="0"/>
        <v>981.89</v>
      </c>
      <c r="N19" s="314">
        <f t="shared" si="1"/>
        <v>786.48</v>
      </c>
      <c r="O19" s="311">
        <f t="shared" si="2"/>
        <v>-981.89</v>
      </c>
      <c r="P19" s="311">
        <f t="shared" si="3"/>
        <v>-786.48</v>
      </c>
      <c r="Q19" s="311">
        <f t="shared" si="4"/>
        <v>0</v>
      </c>
      <c r="R19" s="311">
        <f t="shared" si="5"/>
        <v>0</v>
      </c>
      <c r="S19" s="311">
        <f t="shared" si="9"/>
        <v>0</v>
      </c>
      <c r="T19" s="311">
        <f t="shared" si="6"/>
        <v>0</v>
      </c>
      <c r="U19" s="311">
        <f t="shared" si="10"/>
        <v>0</v>
      </c>
      <c r="V19" s="311">
        <f t="shared" si="7"/>
        <v>0</v>
      </c>
      <c r="W19" s="188">
        <v>0.125</v>
      </c>
      <c r="AC19" s="103"/>
      <c r="AD19" s="103"/>
      <c r="AE19" s="103"/>
      <c r="AF19" s="103"/>
      <c r="AG19" s="103"/>
      <c r="AH19" s="103"/>
      <c r="AI19" s="103"/>
      <c r="AJ19" s="103"/>
      <c r="AK19" s="103"/>
    </row>
    <row r="20" spans="1:37" hidden="1" x14ac:dyDescent="0.25">
      <c r="G20" s="188">
        <v>0.13541666666666699</v>
      </c>
      <c r="H20" s="155">
        <f>'Warrant 2'!F27</f>
        <v>0</v>
      </c>
      <c r="I20" s="155">
        <f>'Warrant 2'!I27</f>
        <v>0</v>
      </c>
      <c r="J20" s="176">
        <f t="shared" si="8"/>
        <v>0</v>
      </c>
      <c r="K20" s="176">
        <f>'Warrant 2'!B27+'Warrant 2'!C27+'Warrant 2'!D27+'Warrant 2'!E27</f>
        <v>0</v>
      </c>
      <c r="L20" s="188">
        <v>0.13541666666666699</v>
      </c>
      <c r="M20" s="315">
        <f t="shared" si="0"/>
        <v>981.89</v>
      </c>
      <c r="N20" s="314">
        <f t="shared" si="1"/>
        <v>786.48</v>
      </c>
      <c r="O20" s="311">
        <f t="shared" si="2"/>
        <v>-981.89</v>
      </c>
      <c r="P20" s="311">
        <f t="shared" si="3"/>
        <v>-786.48</v>
      </c>
      <c r="Q20" s="311">
        <f t="shared" si="4"/>
        <v>0</v>
      </c>
      <c r="R20" s="311">
        <f t="shared" si="5"/>
        <v>0</v>
      </c>
      <c r="S20" s="311">
        <f t="shared" si="9"/>
        <v>0</v>
      </c>
      <c r="T20" s="311">
        <f t="shared" si="6"/>
        <v>0</v>
      </c>
      <c r="U20" s="311">
        <f t="shared" si="10"/>
        <v>0</v>
      </c>
      <c r="V20" s="311">
        <f t="shared" si="7"/>
        <v>0</v>
      </c>
      <c r="W20" s="188">
        <v>0.13541666666666699</v>
      </c>
      <c r="AC20" s="103"/>
      <c r="AD20" s="103"/>
      <c r="AE20" s="103"/>
      <c r="AF20" s="103"/>
      <c r="AG20" s="103"/>
      <c r="AH20" s="103"/>
      <c r="AI20" s="103"/>
      <c r="AJ20" s="103"/>
      <c r="AK20" s="103"/>
    </row>
    <row r="21" spans="1:37" ht="12.75" hidden="1" customHeight="1" x14ac:dyDescent="0.25">
      <c r="G21" s="188">
        <v>0.14583333333333301</v>
      </c>
      <c r="H21" s="155">
        <f>'Warrant 2'!F28</f>
        <v>0</v>
      </c>
      <c r="I21" s="155">
        <f>'Warrant 2'!I28</f>
        <v>0</v>
      </c>
      <c r="J21" s="176">
        <f t="shared" si="8"/>
        <v>0</v>
      </c>
      <c r="K21" s="176">
        <f>'Warrant 2'!B28+'Warrant 2'!C28+'Warrant 2'!D28+'Warrant 2'!E28</f>
        <v>0</v>
      </c>
      <c r="L21" s="188">
        <v>0.14583333333333301</v>
      </c>
      <c r="M21" s="315">
        <f t="shared" si="0"/>
        <v>981.89</v>
      </c>
      <c r="N21" s="314">
        <f t="shared" si="1"/>
        <v>786.48</v>
      </c>
      <c r="O21" s="311">
        <f t="shared" si="2"/>
        <v>-981.89</v>
      </c>
      <c r="P21" s="311">
        <f t="shared" si="3"/>
        <v>-786.48</v>
      </c>
      <c r="Q21" s="311">
        <f t="shared" si="4"/>
        <v>0</v>
      </c>
      <c r="R21" s="311">
        <f t="shared" si="5"/>
        <v>0</v>
      </c>
      <c r="S21" s="311">
        <f t="shared" si="9"/>
        <v>0</v>
      </c>
      <c r="T21" s="311">
        <f t="shared" si="6"/>
        <v>0</v>
      </c>
      <c r="U21" s="311">
        <f t="shared" si="10"/>
        <v>0</v>
      </c>
      <c r="V21" s="311">
        <f t="shared" si="7"/>
        <v>0</v>
      </c>
      <c r="W21" s="188">
        <v>0.14583333333333301</v>
      </c>
      <c r="AC21" s="103"/>
      <c r="AD21" s="103"/>
      <c r="AE21" s="103"/>
      <c r="AF21" s="103"/>
      <c r="AG21" s="103"/>
      <c r="AH21" s="103"/>
      <c r="AI21" s="103"/>
      <c r="AJ21" s="103"/>
      <c r="AK21" s="103"/>
    </row>
    <row r="22" spans="1:37" ht="12.75" hidden="1" customHeight="1" x14ac:dyDescent="0.25">
      <c r="G22" s="188">
        <v>0.15625</v>
      </c>
      <c r="H22" s="155">
        <f>'Warrant 2'!F29</f>
        <v>0</v>
      </c>
      <c r="I22" s="155">
        <f>'Warrant 2'!I29</f>
        <v>0</v>
      </c>
      <c r="J22" s="176">
        <f t="shared" si="8"/>
        <v>0</v>
      </c>
      <c r="K22" s="176">
        <f>'Warrant 2'!B29+'Warrant 2'!C29+'Warrant 2'!D29+'Warrant 2'!E29</f>
        <v>0</v>
      </c>
      <c r="L22" s="188">
        <v>0.15625</v>
      </c>
      <c r="M22" s="315">
        <f t="shared" si="0"/>
        <v>981.89</v>
      </c>
      <c r="N22" s="314">
        <f t="shared" si="1"/>
        <v>786.48</v>
      </c>
      <c r="O22" s="311">
        <f t="shared" si="2"/>
        <v>-981.89</v>
      </c>
      <c r="P22" s="311">
        <f t="shared" si="3"/>
        <v>-786.48</v>
      </c>
      <c r="Q22" s="311">
        <f t="shared" si="4"/>
        <v>0</v>
      </c>
      <c r="R22" s="311">
        <f t="shared" si="5"/>
        <v>0</v>
      </c>
      <c r="S22" s="311">
        <f t="shared" si="9"/>
        <v>0</v>
      </c>
      <c r="T22" s="311">
        <f t="shared" si="6"/>
        <v>0</v>
      </c>
      <c r="U22" s="311">
        <f t="shared" si="10"/>
        <v>0</v>
      </c>
      <c r="V22" s="311">
        <f t="shared" si="7"/>
        <v>0</v>
      </c>
      <c r="W22" s="188">
        <v>0.15625</v>
      </c>
      <c r="AC22" s="103"/>
      <c r="AD22" s="103"/>
      <c r="AE22" s="103"/>
      <c r="AF22" s="103"/>
      <c r="AG22" s="103"/>
      <c r="AH22" s="103"/>
      <c r="AI22" s="103"/>
      <c r="AJ22" s="103"/>
      <c r="AK22" s="103"/>
    </row>
    <row r="23" spans="1:37" ht="12.75" hidden="1" customHeight="1" x14ac:dyDescent="0.25">
      <c r="G23" s="188">
        <v>0.16666666666666699</v>
      </c>
      <c r="H23" s="155">
        <f>'Warrant 2'!F30</f>
        <v>0</v>
      </c>
      <c r="I23" s="155">
        <f>'Warrant 2'!I30</f>
        <v>0</v>
      </c>
      <c r="J23" s="176">
        <f t="shared" si="8"/>
        <v>0</v>
      </c>
      <c r="K23" s="176">
        <f>'Warrant 2'!B30+'Warrant 2'!C30+'Warrant 2'!D30+'Warrant 2'!E30</f>
        <v>0</v>
      </c>
      <c r="L23" s="188">
        <v>0.16666666666666699</v>
      </c>
      <c r="M23" s="315">
        <f t="shared" si="0"/>
        <v>981.89</v>
      </c>
      <c r="N23" s="314">
        <f t="shared" si="1"/>
        <v>786.48</v>
      </c>
      <c r="O23" s="311">
        <f t="shared" si="2"/>
        <v>-981.89</v>
      </c>
      <c r="P23" s="311">
        <f t="shared" si="3"/>
        <v>-786.48</v>
      </c>
      <c r="Q23" s="311">
        <f t="shared" si="4"/>
        <v>0</v>
      </c>
      <c r="R23" s="311">
        <f t="shared" si="5"/>
        <v>0</v>
      </c>
      <c r="S23" s="311">
        <f t="shared" si="9"/>
        <v>0</v>
      </c>
      <c r="T23" s="311">
        <f t="shared" si="6"/>
        <v>0</v>
      </c>
      <c r="U23" s="311">
        <f t="shared" si="10"/>
        <v>0</v>
      </c>
      <c r="V23" s="311">
        <f t="shared" si="7"/>
        <v>0</v>
      </c>
      <c r="W23" s="188">
        <v>0.16666666666666699</v>
      </c>
      <c r="AC23" s="103"/>
      <c r="AD23" s="103"/>
      <c r="AE23" s="103"/>
      <c r="AF23" s="103"/>
      <c r="AG23" s="103"/>
      <c r="AH23" s="103"/>
      <c r="AI23" s="103"/>
      <c r="AJ23" s="103"/>
      <c r="AK23" s="103"/>
    </row>
    <row r="24" spans="1:37" hidden="1" x14ac:dyDescent="0.25">
      <c r="G24" s="188">
        <v>0.17708333333333301</v>
      </c>
      <c r="H24" s="155">
        <f>'Warrant 2'!F31</f>
        <v>0</v>
      </c>
      <c r="I24" s="155">
        <f>'Warrant 2'!I31</f>
        <v>0</v>
      </c>
      <c r="J24" s="176">
        <f t="shared" si="8"/>
        <v>0</v>
      </c>
      <c r="K24" s="176">
        <f>'Warrant 2'!B31+'Warrant 2'!C31+'Warrant 2'!D31+'Warrant 2'!E31</f>
        <v>0</v>
      </c>
      <c r="L24" s="188">
        <v>0.17708333333333301</v>
      </c>
      <c r="M24" s="315">
        <f t="shared" si="0"/>
        <v>981.89</v>
      </c>
      <c r="N24" s="314">
        <f t="shared" si="1"/>
        <v>786.48</v>
      </c>
      <c r="O24" s="311">
        <f t="shared" si="2"/>
        <v>-981.89</v>
      </c>
      <c r="P24" s="311">
        <f t="shared" si="3"/>
        <v>-786.48</v>
      </c>
      <c r="Q24" s="311">
        <f t="shared" si="4"/>
        <v>0</v>
      </c>
      <c r="R24" s="311">
        <f t="shared" si="5"/>
        <v>0</v>
      </c>
      <c r="S24" s="311">
        <f t="shared" si="9"/>
        <v>0</v>
      </c>
      <c r="T24" s="311">
        <f t="shared" si="6"/>
        <v>0</v>
      </c>
      <c r="U24" s="311">
        <f t="shared" si="10"/>
        <v>0</v>
      </c>
      <c r="V24" s="311">
        <f t="shared" si="7"/>
        <v>0</v>
      </c>
      <c r="W24" s="188">
        <v>0.17708333333333301</v>
      </c>
      <c r="AC24" s="103"/>
      <c r="AD24" s="103"/>
      <c r="AE24" s="103"/>
      <c r="AF24" s="103"/>
      <c r="AG24" s="103"/>
      <c r="AH24" s="103"/>
      <c r="AI24" s="103"/>
      <c r="AJ24" s="103"/>
      <c r="AK24" s="103"/>
    </row>
    <row r="25" spans="1:37" ht="12.75" hidden="1" customHeight="1" x14ac:dyDescent="0.25">
      <c r="G25" s="188">
        <v>0.1875</v>
      </c>
      <c r="H25" s="155">
        <f>'Warrant 2'!F32</f>
        <v>0</v>
      </c>
      <c r="I25" s="155">
        <f>'Warrant 2'!I32</f>
        <v>0</v>
      </c>
      <c r="J25" s="176">
        <f t="shared" si="8"/>
        <v>0</v>
      </c>
      <c r="K25" s="176">
        <f>'Warrant 2'!B32+'Warrant 2'!C32+'Warrant 2'!D32+'Warrant 2'!E32</f>
        <v>0</v>
      </c>
      <c r="L25" s="188">
        <v>0.1875</v>
      </c>
      <c r="M25" s="315">
        <f t="shared" si="0"/>
        <v>981.89</v>
      </c>
      <c r="N25" s="314">
        <f t="shared" si="1"/>
        <v>786.48</v>
      </c>
      <c r="O25" s="311">
        <f t="shared" si="2"/>
        <v>-981.89</v>
      </c>
      <c r="P25" s="311">
        <f t="shared" si="3"/>
        <v>-786.48</v>
      </c>
      <c r="Q25" s="311">
        <f t="shared" si="4"/>
        <v>0</v>
      </c>
      <c r="R25" s="311">
        <f t="shared" si="5"/>
        <v>0</v>
      </c>
      <c r="S25" s="311">
        <f t="shared" si="9"/>
        <v>0</v>
      </c>
      <c r="T25" s="311">
        <f t="shared" si="6"/>
        <v>0</v>
      </c>
      <c r="U25" s="311">
        <f t="shared" si="10"/>
        <v>0</v>
      </c>
      <c r="V25" s="311">
        <f t="shared" si="7"/>
        <v>0</v>
      </c>
      <c r="W25" s="188">
        <v>0.1875</v>
      </c>
      <c r="AC25" s="103"/>
      <c r="AD25" s="103"/>
      <c r="AE25" s="103"/>
      <c r="AF25" s="103"/>
      <c r="AG25" s="103"/>
      <c r="AH25" s="103"/>
      <c r="AI25" s="103"/>
      <c r="AJ25" s="103"/>
      <c r="AK25" s="103"/>
    </row>
    <row r="26" spans="1:37" ht="12.75" hidden="1" customHeight="1" x14ac:dyDescent="0.25">
      <c r="G26" s="188">
        <v>0.19791666666666699</v>
      </c>
      <c r="H26" s="155">
        <f>'Warrant 2'!F33</f>
        <v>0</v>
      </c>
      <c r="I26" s="155">
        <f>'Warrant 2'!I33</f>
        <v>0</v>
      </c>
      <c r="J26" s="176">
        <f t="shared" si="8"/>
        <v>0</v>
      </c>
      <c r="K26" s="176">
        <f>'Warrant 2'!B33+'Warrant 2'!C33+'Warrant 2'!D33+'Warrant 2'!E33</f>
        <v>0</v>
      </c>
      <c r="L26" s="188">
        <v>0.19791666666666699</v>
      </c>
      <c r="M26" s="315">
        <f t="shared" si="0"/>
        <v>981.89</v>
      </c>
      <c r="N26" s="314">
        <f t="shared" si="1"/>
        <v>786.48</v>
      </c>
      <c r="O26" s="311">
        <f t="shared" si="2"/>
        <v>-981.89</v>
      </c>
      <c r="P26" s="311">
        <f t="shared" si="3"/>
        <v>-786.48</v>
      </c>
      <c r="Q26" s="311">
        <f t="shared" si="4"/>
        <v>0</v>
      </c>
      <c r="R26" s="311">
        <f t="shared" si="5"/>
        <v>0</v>
      </c>
      <c r="S26" s="311">
        <f t="shared" si="9"/>
        <v>0</v>
      </c>
      <c r="T26" s="311">
        <f t="shared" si="6"/>
        <v>0</v>
      </c>
      <c r="U26" s="311">
        <f t="shared" si="10"/>
        <v>0</v>
      </c>
      <c r="V26" s="311">
        <f t="shared" si="7"/>
        <v>0</v>
      </c>
      <c r="W26" s="188">
        <v>0.19791666666666699</v>
      </c>
      <c r="AC26" s="103"/>
      <c r="AD26" s="103"/>
      <c r="AE26" s="103"/>
      <c r="AF26" s="103"/>
      <c r="AG26" s="103"/>
      <c r="AH26" s="103"/>
      <c r="AI26" s="103"/>
      <c r="AJ26" s="103"/>
      <c r="AK26" s="103"/>
    </row>
    <row r="27" spans="1:37" hidden="1" x14ac:dyDescent="0.25">
      <c r="G27" s="188">
        <v>0.20833333333333301</v>
      </c>
      <c r="H27" s="155">
        <f>'Warrant 2'!F34</f>
        <v>0</v>
      </c>
      <c r="I27" s="155">
        <f>'Warrant 2'!I34</f>
        <v>0</v>
      </c>
      <c r="J27" s="176">
        <f t="shared" si="8"/>
        <v>0</v>
      </c>
      <c r="K27" s="176">
        <f>'Warrant 2'!B34+'Warrant 2'!C34+'Warrant 2'!D34+'Warrant 2'!E34</f>
        <v>0</v>
      </c>
      <c r="L27" s="188">
        <v>0.20833333333333301</v>
      </c>
      <c r="M27" s="315">
        <f t="shared" si="0"/>
        <v>981.89</v>
      </c>
      <c r="N27" s="314">
        <f t="shared" si="1"/>
        <v>786.48</v>
      </c>
      <c r="O27" s="311">
        <f t="shared" si="2"/>
        <v>-981.89</v>
      </c>
      <c r="P27" s="311">
        <f t="shared" si="3"/>
        <v>-786.48</v>
      </c>
      <c r="Q27" s="311">
        <f t="shared" si="4"/>
        <v>0</v>
      </c>
      <c r="R27" s="311">
        <f t="shared" si="5"/>
        <v>0</v>
      </c>
      <c r="S27" s="311">
        <f t="shared" si="9"/>
        <v>0</v>
      </c>
      <c r="T27" s="311">
        <f t="shared" si="6"/>
        <v>0</v>
      </c>
      <c r="U27" s="311">
        <f t="shared" si="10"/>
        <v>0</v>
      </c>
      <c r="V27" s="311">
        <f t="shared" si="7"/>
        <v>0</v>
      </c>
      <c r="W27" s="188">
        <v>0.20833333333333301</v>
      </c>
      <c r="AC27" s="103"/>
      <c r="AD27" s="103"/>
      <c r="AE27" s="103"/>
      <c r="AF27" s="103"/>
      <c r="AG27" s="103"/>
      <c r="AH27" s="103"/>
      <c r="AI27" s="103"/>
      <c r="AJ27" s="103"/>
      <c r="AK27" s="103"/>
    </row>
    <row r="28" spans="1:37" hidden="1" x14ac:dyDescent="0.25">
      <c r="G28" s="188">
        <v>0.21875</v>
      </c>
      <c r="H28" s="155">
        <f>'Warrant 2'!F35</f>
        <v>0</v>
      </c>
      <c r="I28" s="155">
        <f>'Warrant 2'!I35</f>
        <v>0</v>
      </c>
      <c r="J28" s="176">
        <f t="shared" si="8"/>
        <v>0</v>
      </c>
      <c r="K28" s="176">
        <f>'Warrant 2'!B35+'Warrant 2'!C35+'Warrant 2'!D35+'Warrant 2'!E35</f>
        <v>0</v>
      </c>
      <c r="L28" s="188">
        <v>0.21875</v>
      </c>
      <c r="M28" s="315">
        <f t="shared" si="0"/>
        <v>981.89</v>
      </c>
      <c r="N28" s="314">
        <f t="shared" si="1"/>
        <v>786.48</v>
      </c>
      <c r="O28" s="311">
        <f t="shared" si="2"/>
        <v>-981.89</v>
      </c>
      <c r="P28" s="311">
        <f t="shared" si="3"/>
        <v>-786.48</v>
      </c>
      <c r="Q28" s="311">
        <f t="shared" si="4"/>
        <v>0</v>
      </c>
      <c r="R28" s="311">
        <f t="shared" si="5"/>
        <v>0</v>
      </c>
      <c r="S28" s="311">
        <f t="shared" si="9"/>
        <v>0</v>
      </c>
      <c r="T28" s="311">
        <f t="shared" si="6"/>
        <v>0</v>
      </c>
      <c r="U28" s="311">
        <f t="shared" si="10"/>
        <v>0</v>
      </c>
      <c r="V28" s="311">
        <f t="shared" si="7"/>
        <v>0</v>
      </c>
      <c r="W28" s="188">
        <v>0.21875</v>
      </c>
      <c r="AC28" s="103"/>
      <c r="AD28" s="103"/>
      <c r="AE28" s="103"/>
      <c r="AF28" s="103"/>
      <c r="AG28" s="103"/>
      <c r="AH28" s="103"/>
      <c r="AI28" s="103"/>
      <c r="AJ28" s="103"/>
      <c r="AK28" s="103"/>
    </row>
    <row r="29" spans="1:37" hidden="1" x14ac:dyDescent="0.25">
      <c r="G29" s="188">
        <v>0.22916666666666699</v>
      </c>
      <c r="H29" s="155">
        <f>'Warrant 2'!F36</f>
        <v>0</v>
      </c>
      <c r="I29" s="155">
        <f>'Warrant 2'!I36</f>
        <v>0</v>
      </c>
      <c r="J29" s="176">
        <f t="shared" si="8"/>
        <v>0</v>
      </c>
      <c r="K29" s="176">
        <f>'Warrant 2'!B36+'Warrant 2'!C36+'Warrant 2'!D36+'Warrant 2'!E36</f>
        <v>0</v>
      </c>
      <c r="L29" s="188">
        <v>0.22916666666666699</v>
      </c>
      <c r="M29" s="315">
        <f t="shared" si="0"/>
        <v>981.89</v>
      </c>
      <c r="N29" s="314">
        <f t="shared" si="1"/>
        <v>786.48</v>
      </c>
      <c r="O29" s="311">
        <f t="shared" si="2"/>
        <v>-981.89</v>
      </c>
      <c r="P29" s="311">
        <f t="shared" si="3"/>
        <v>-786.48</v>
      </c>
      <c r="Q29" s="311">
        <f t="shared" si="4"/>
        <v>0</v>
      </c>
      <c r="R29" s="311">
        <f t="shared" si="5"/>
        <v>0</v>
      </c>
      <c r="S29" s="311">
        <f t="shared" si="9"/>
        <v>0</v>
      </c>
      <c r="T29" s="311">
        <f t="shared" si="6"/>
        <v>0</v>
      </c>
      <c r="U29" s="311">
        <f t="shared" si="10"/>
        <v>0</v>
      </c>
      <c r="V29" s="311">
        <f t="shared" si="7"/>
        <v>0</v>
      </c>
      <c r="W29" s="188">
        <v>0.22916666666666699</v>
      </c>
      <c r="AC29" s="103"/>
      <c r="AD29" s="103"/>
      <c r="AE29" s="103"/>
      <c r="AF29" s="103"/>
      <c r="AG29" s="103"/>
      <c r="AH29" s="103"/>
      <c r="AI29" s="103"/>
      <c r="AJ29" s="103"/>
      <c r="AK29" s="103"/>
    </row>
    <row r="30" spans="1:37" ht="12.75" hidden="1" customHeight="1" x14ac:dyDescent="0.25">
      <c r="G30" s="188">
        <v>0.23958333333333301</v>
      </c>
      <c r="H30" s="155">
        <f>'Warrant 2'!F37</f>
        <v>0</v>
      </c>
      <c r="I30" s="155">
        <f>'Warrant 2'!I37</f>
        <v>0</v>
      </c>
      <c r="J30" s="176">
        <f t="shared" si="8"/>
        <v>0</v>
      </c>
      <c r="K30" s="176">
        <f>'Warrant 2'!B37+'Warrant 2'!C37+'Warrant 2'!D37+'Warrant 2'!E37</f>
        <v>0</v>
      </c>
      <c r="L30" s="188">
        <v>0.23958333333333301</v>
      </c>
      <c r="M30" s="315">
        <f t="shared" si="0"/>
        <v>981.89</v>
      </c>
      <c r="N30" s="314">
        <f t="shared" si="1"/>
        <v>786.48</v>
      </c>
      <c r="O30" s="311">
        <f t="shared" si="2"/>
        <v>-981.89</v>
      </c>
      <c r="P30" s="311">
        <f t="shared" si="3"/>
        <v>-786.48</v>
      </c>
      <c r="Q30" s="311">
        <f t="shared" si="4"/>
        <v>0</v>
      </c>
      <c r="R30" s="311">
        <f t="shared" si="5"/>
        <v>0</v>
      </c>
      <c r="S30" s="311">
        <f t="shared" si="9"/>
        <v>0</v>
      </c>
      <c r="T30" s="311">
        <f t="shared" si="6"/>
        <v>0</v>
      </c>
      <c r="U30" s="311">
        <f t="shared" si="10"/>
        <v>0</v>
      </c>
      <c r="V30" s="311">
        <f t="shared" si="7"/>
        <v>0</v>
      </c>
      <c r="W30" s="188">
        <v>0.23958333333333301</v>
      </c>
      <c r="AC30" s="103"/>
      <c r="AD30" s="103"/>
      <c r="AE30" s="103"/>
      <c r="AF30" s="103"/>
      <c r="AG30" s="103"/>
      <c r="AH30" s="103"/>
      <c r="AI30" s="103"/>
      <c r="AJ30" s="103"/>
      <c r="AK30" s="103"/>
    </row>
    <row r="31" spans="1:37" ht="12.75" customHeight="1" x14ac:dyDescent="0.25">
      <c r="A31" s="103"/>
      <c r="B31" s="103"/>
      <c r="C31" s="103"/>
      <c r="D31" s="103"/>
      <c r="E31" s="103"/>
      <c r="F31" s="103"/>
      <c r="G31" s="188">
        <v>0.25</v>
      </c>
      <c r="H31" s="155">
        <f>'Warrant 2'!F38</f>
        <v>0</v>
      </c>
      <c r="I31" s="155">
        <f>'Warrant 2'!I38</f>
        <v>0</v>
      </c>
      <c r="J31" s="176">
        <f t="shared" si="8"/>
        <v>0</v>
      </c>
      <c r="K31" s="176">
        <f>'Warrant 2'!B38+'Warrant 2'!C38+'Warrant 2'!D38+'Warrant 2'!E38</f>
        <v>0</v>
      </c>
      <c r="L31" s="188">
        <v>0.25</v>
      </c>
      <c r="M31" s="315">
        <f t="shared" si="0"/>
        <v>981.89</v>
      </c>
      <c r="N31" s="314">
        <f t="shared" si="1"/>
        <v>786.48</v>
      </c>
      <c r="O31" s="311">
        <f t="shared" si="2"/>
        <v>-981.89</v>
      </c>
      <c r="P31" s="311">
        <f t="shared" si="3"/>
        <v>-786.48</v>
      </c>
      <c r="Q31" s="311">
        <f t="shared" si="4"/>
        <v>0</v>
      </c>
      <c r="R31" s="311">
        <f t="shared" si="5"/>
        <v>0</v>
      </c>
      <c r="S31" s="311">
        <f t="shared" si="9"/>
        <v>0</v>
      </c>
      <c r="T31" s="311">
        <f t="shared" si="6"/>
        <v>0</v>
      </c>
      <c r="U31" s="311">
        <f t="shared" si="10"/>
        <v>0</v>
      </c>
      <c r="V31" s="311">
        <f t="shared" si="7"/>
        <v>0</v>
      </c>
      <c r="W31" s="188">
        <v>0.25</v>
      </c>
      <c r="X31" s="103"/>
      <c r="Y31" s="312">
        <f>MAX(S7:S102)</f>
        <v>2127</v>
      </c>
      <c r="Z31" s="313">
        <f>MAX('Warrant 3'!V7:V102)</f>
        <v>210</v>
      </c>
      <c r="AA31" s="397">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150</v>
      </c>
      <c r="AB31" s="397">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100</v>
      </c>
      <c r="AC31" s="103"/>
      <c r="AD31" s="103"/>
      <c r="AE31" s="103"/>
      <c r="AF31" s="103"/>
      <c r="AG31" s="103"/>
      <c r="AH31" s="103"/>
      <c r="AI31" s="103"/>
      <c r="AJ31" s="103"/>
      <c r="AK31" s="103"/>
    </row>
    <row r="32" spans="1:37" ht="12.75" customHeight="1" x14ac:dyDescent="0.25">
      <c r="A32" s="103"/>
      <c r="B32" s="103"/>
      <c r="C32" s="623" t="s">
        <v>568</v>
      </c>
      <c r="D32" s="623"/>
      <c r="E32" s="623"/>
      <c r="F32" s="624"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88">
        <v>0.26041666666666702</v>
      </c>
      <c r="H32" s="155">
        <f>'Warrant 2'!F39</f>
        <v>455</v>
      </c>
      <c r="I32" s="155">
        <f>'Warrant 2'!I39</f>
        <v>31</v>
      </c>
      <c r="J32" s="176">
        <f t="shared" si="8"/>
        <v>486</v>
      </c>
      <c r="K32" s="176">
        <f>'Warrant 2'!B39+'Warrant 2'!C39+'Warrant 2'!D39+'Warrant 2'!E39</f>
        <v>486</v>
      </c>
      <c r="L32" s="188">
        <v>0.26041666666666702</v>
      </c>
      <c r="M32" s="315">
        <f t="shared" si="0"/>
        <v>682.32368750000001</v>
      </c>
      <c r="N32" s="314">
        <f t="shared" si="1"/>
        <v>404.72521750000004</v>
      </c>
      <c r="O32" s="311">
        <f t="shared" si="2"/>
        <v>-651.32368750000001</v>
      </c>
      <c r="P32" s="311">
        <f t="shared" si="3"/>
        <v>-373.72521750000004</v>
      </c>
      <c r="Q32" s="311">
        <f t="shared" si="4"/>
        <v>0</v>
      </c>
      <c r="R32" s="311">
        <f t="shared" si="5"/>
        <v>0</v>
      </c>
      <c r="S32" s="311">
        <f t="shared" si="9"/>
        <v>0</v>
      </c>
      <c r="T32" s="311">
        <f t="shared" si="6"/>
        <v>0</v>
      </c>
      <c r="U32" s="311">
        <f t="shared" si="10"/>
        <v>0</v>
      </c>
      <c r="V32" s="311">
        <f t="shared" si="7"/>
        <v>0</v>
      </c>
      <c r="W32" s="188">
        <v>0.26041666666666702</v>
      </c>
      <c r="X32" s="103"/>
      <c r="Y32" s="253"/>
      <c r="Z32" s="253"/>
      <c r="AA32" s="253"/>
      <c r="AB32" s="253"/>
      <c r="AC32" s="103"/>
      <c r="AD32" s="103"/>
      <c r="AE32" s="103"/>
      <c r="AF32" s="103"/>
      <c r="AG32" s="103"/>
      <c r="AH32" s="103"/>
      <c r="AI32" s="103"/>
      <c r="AJ32" s="103"/>
      <c r="AK32" s="103"/>
    </row>
    <row r="33" spans="1:37" ht="12.75" customHeight="1" x14ac:dyDescent="0.25">
      <c r="A33" s="103"/>
      <c r="B33" s="103"/>
      <c r="C33" s="623"/>
      <c r="D33" s="623"/>
      <c r="E33" s="623"/>
      <c r="F33" s="624"/>
      <c r="G33" s="188">
        <v>0.27083333333333298</v>
      </c>
      <c r="H33" s="155">
        <f>'Warrant 2'!F40</f>
        <v>1016</v>
      </c>
      <c r="I33" s="155">
        <f>'Warrant 2'!I40</f>
        <v>73</v>
      </c>
      <c r="J33" s="176">
        <f t="shared" si="8"/>
        <v>1089</v>
      </c>
      <c r="K33" s="176">
        <f>'Warrant 2'!B40+'Warrant 2'!C40+'Warrant 2'!D40+'Warrant 2'!E40</f>
        <v>1089</v>
      </c>
      <c r="L33" s="188">
        <v>0.27083333333333298</v>
      </c>
      <c r="M33" s="315">
        <f t="shared" si="0"/>
        <v>363.38837695999996</v>
      </c>
      <c r="N33" s="314">
        <f t="shared" si="1"/>
        <v>168.71607424000013</v>
      </c>
      <c r="O33" s="311">
        <f t="shared" si="2"/>
        <v>-290.38837695999996</v>
      </c>
      <c r="P33" s="311">
        <f t="shared" si="3"/>
        <v>-95.716074240000125</v>
      </c>
      <c r="Q33" s="311">
        <f t="shared" si="4"/>
        <v>0</v>
      </c>
      <c r="R33" s="311">
        <f t="shared" si="5"/>
        <v>0</v>
      </c>
      <c r="S33" s="311">
        <f t="shared" si="9"/>
        <v>0</v>
      </c>
      <c r="T33" s="311">
        <f t="shared" si="6"/>
        <v>0</v>
      </c>
      <c r="U33" s="311">
        <f t="shared" si="10"/>
        <v>0</v>
      </c>
      <c r="V33" s="311">
        <f t="shared" si="7"/>
        <v>0</v>
      </c>
      <c r="W33" s="188">
        <v>0.27083333333333298</v>
      </c>
      <c r="X33" s="103"/>
      <c r="Y33" s="253"/>
      <c r="Z33" s="253"/>
      <c r="AA33" s="253"/>
      <c r="AB33" s="253"/>
      <c r="AC33" s="103"/>
      <c r="AD33" s="103"/>
      <c r="AE33" s="103"/>
      <c r="AF33" s="103"/>
      <c r="AG33" s="103"/>
      <c r="AH33" s="103"/>
      <c r="AI33" s="103"/>
      <c r="AJ33" s="103"/>
      <c r="AK33" s="103"/>
    </row>
    <row r="34" spans="1:37" ht="12.3" customHeight="1" x14ac:dyDescent="0.25">
      <c r="A34" s="103"/>
      <c r="B34" s="103"/>
      <c r="C34" s="103"/>
      <c r="D34" s="103"/>
      <c r="E34" s="103"/>
      <c r="F34" s="103"/>
      <c r="G34" s="188">
        <v>0.28125</v>
      </c>
      <c r="H34" s="155">
        <f>'Warrant 2'!F41</f>
        <v>1574</v>
      </c>
      <c r="I34" s="155">
        <f>'Warrant 2'!I41</f>
        <v>138</v>
      </c>
      <c r="J34" s="176">
        <f t="shared" si="8"/>
        <v>1712</v>
      </c>
      <c r="K34" s="176">
        <f>'Warrant 2'!B41+'Warrant 2'!C41+'Warrant 2'!D41+'Warrant 2'!E41</f>
        <v>1712</v>
      </c>
      <c r="L34" s="188">
        <v>0.28125</v>
      </c>
      <c r="M34" s="315">
        <f t="shared" si="0"/>
        <v>160.3617286399998</v>
      </c>
      <c r="N34" s="314">
        <f t="shared" si="1"/>
        <v>100</v>
      </c>
      <c r="O34" s="311">
        <f t="shared" si="2"/>
        <v>-22.361728639999797</v>
      </c>
      <c r="P34" s="311">
        <f t="shared" si="3"/>
        <v>38</v>
      </c>
      <c r="Q34" s="311">
        <f t="shared" si="4"/>
        <v>0</v>
      </c>
      <c r="R34" s="311">
        <f t="shared" si="5"/>
        <v>0</v>
      </c>
      <c r="S34" s="311">
        <f t="shared" si="9"/>
        <v>0</v>
      </c>
      <c r="T34" s="311">
        <f t="shared" si="6"/>
        <v>0</v>
      </c>
      <c r="U34" s="311">
        <f t="shared" si="10"/>
        <v>0</v>
      </c>
      <c r="V34" s="311">
        <f t="shared" si="7"/>
        <v>0</v>
      </c>
      <c r="W34" s="188">
        <v>0.28125</v>
      </c>
      <c r="X34" s="103"/>
      <c r="Y34" s="253"/>
      <c r="Z34" s="253"/>
      <c r="AA34" s="253"/>
      <c r="AB34" s="253"/>
      <c r="AC34" s="103"/>
      <c r="AD34" s="103"/>
      <c r="AE34" s="103"/>
      <c r="AF34" s="103"/>
      <c r="AG34" s="103"/>
      <c r="AH34" s="103"/>
      <c r="AI34" s="103"/>
      <c r="AJ34" s="103"/>
      <c r="AK34" s="103"/>
    </row>
    <row r="35" spans="1:37" ht="12.3" customHeight="1" x14ac:dyDescent="0.25">
      <c r="A35" s="625" t="s">
        <v>351</v>
      </c>
      <c r="B35" s="625"/>
      <c r="C35" s="625"/>
      <c r="D35" s="625"/>
      <c r="E35" s="625"/>
      <c r="F35" s="519" t="s">
        <v>111</v>
      </c>
      <c r="G35" s="188">
        <v>0.29166666666666702</v>
      </c>
      <c r="H35" s="155">
        <f>'Warrant 2'!F42</f>
        <v>2127</v>
      </c>
      <c r="I35" s="155">
        <f>'Warrant 2'!I42</f>
        <v>210</v>
      </c>
      <c r="J35" s="176">
        <f t="shared" si="8"/>
        <v>2337</v>
      </c>
      <c r="K35" s="176">
        <f>'Warrant 2'!B42+'Warrant 2'!C42+'Warrant 2'!D42+'Warrant 2'!E42</f>
        <v>2337</v>
      </c>
      <c r="L35" s="188">
        <v>0.29166666666666702</v>
      </c>
      <c r="M35" s="315">
        <f t="shared" si="0"/>
        <v>150</v>
      </c>
      <c r="N35" s="314">
        <f t="shared" si="1"/>
        <v>100</v>
      </c>
      <c r="O35" s="311">
        <f t="shared" si="2"/>
        <v>60</v>
      </c>
      <c r="P35" s="311">
        <f t="shared" si="3"/>
        <v>110</v>
      </c>
      <c r="Q35" s="311">
        <f t="shared" si="4"/>
        <v>2127</v>
      </c>
      <c r="R35" s="311">
        <f t="shared" si="5"/>
        <v>2127</v>
      </c>
      <c r="S35" s="311">
        <f t="shared" si="9"/>
        <v>2127</v>
      </c>
      <c r="T35" s="311">
        <f t="shared" si="6"/>
        <v>210</v>
      </c>
      <c r="U35" s="311">
        <f t="shared" si="10"/>
        <v>2127</v>
      </c>
      <c r="V35" s="311">
        <f t="shared" si="7"/>
        <v>210</v>
      </c>
      <c r="W35" s="188">
        <v>0.29166666666666702</v>
      </c>
      <c r="X35" s="103"/>
      <c r="Y35" s="253"/>
      <c r="Z35" s="253"/>
      <c r="AA35" s="253"/>
      <c r="AB35" s="253"/>
      <c r="AC35" s="103"/>
      <c r="AD35" s="103"/>
      <c r="AE35" s="103"/>
      <c r="AF35" s="103"/>
      <c r="AG35" s="103"/>
      <c r="AH35" s="103"/>
      <c r="AI35" s="103"/>
      <c r="AJ35" s="103"/>
      <c r="AK35" s="103"/>
    </row>
    <row r="36" spans="1:37" ht="12.3" customHeight="1" x14ac:dyDescent="0.25">
      <c r="A36" s="625"/>
      <c r="B36" s="625"/>
      <c r="C36" s="625"/>
      <c r="D36" s="625"/>
      <c r="E36" s="625"/>
      <c r="F36" s="519"/>
      <c r="G36" s="188">
        <v>0.30208333333333298</v>
      </c>
      <c r="H36" s="155">
        <f>'Warrant 2'!F43</f>
        <v>2173</v>
      </c>
      <c r="I36" s="155">
        <f>'Warrant 2'!I43</f>
        <v>204</v>
      </c>
      <c r="J36" s="176">
        <f t="shared" si="8"/>
        <v>2377</v>
      </c>
      <c r="K36" s="176">
        <f>'Warrant 2'!B43+'Warrant 2'!C43+'Warrant 2'!D43+'Warrant 2'!E43</f>
        <v>2377</v>
      </c>
      <c r="L36" s="188">
        <v>0.30208333333333298</v>
      </c>
      <c r="M36" s="315">
        <f t="shared" si="0"/>
        <v>150</v>
      </c>
      <c r="N36" s="314">
        <f t="shared" si="1"/>
        <v>100</v>
      </c>
      <c r="O36" s="311">
        <f t="shared" si="2"/>
        <v>54</v>
      </c>
      <c r="P36" s="311">
        <f t="shared" si="3"/>
        <v>104</v>
      </c>
      <c r="Q36" s="311">
        <f t="shared" si="4"/>
        <v>0</v>
      </c>
      <c r="R36" s="311">
        <f t="shared" si="5"/>
        <v>0</v>
      </c>
      <c r="S36" s="311">
        <f t="shared" si="9"/>
        <v>0</v>
      </c>
      <c r="T36" s="311">
        <f t="shared" si="6"/>
        <v>0</v>
      </c>
      <c r="U36" s="311">
        <f t="shared" si="10"/>
        <v>0</v>
      </c>
      <c r="V36" s="311">
        <f t="shared" si="7"/>
        <v>0</v>
      </c>
      <c r="W36" s="188">
        <v>0.30208333333333298</v>
      </c>
      <c r="X36" s="103"/>
      <c r="Y36" s="253"/>
      <c r="Z36" s="253"/>
      <c r="AA36" s="253"/>
      <c r="AB36" s="253"/>
      <c r="AC36" s="103"/>
      <c r="AD36" s="103"/>
      <c r="AE36" s="103"/>
      <c r="AF36" s="103"/>
      <c r="AG36" s="103"/>
      <c r="AH36" s="103"/>
      <c r="AI36" s="103"/>
      <c r="AJ36" s="103"/>
      <c r="AK36" s="103"/>
    </row>
    <row r="37" spans="1:37" ht="10.5" customHeight="1" x14ac:dyDescent="0.25">
      <c r="A37" s="625"/>
      <c r="B37" s="625"/>
      <c r="C37" s="625"/>
      <c r="D37" s="625"/>
      <c r="E37" s="625"/>
      <c r="F37" s="519"/>
      <c r="G37" s="188">
        <v>0.3125</v>
      </c>
      <c r="H37" s="155">
        <f>'Warrant 2'!F44</f>
        <v>2146</v>
      </c>
      <c r="I37" s="155">
        <f>'Warrant 2'!I44</f>
        <v>188</v>
      </c>
      <c r="J37" s="176">
        <f t="shared" si="8"/>
        <v>2334</v>
      </c>
      <c r="K37" s="176">
        <f>'Warrant 2'!B44+'Warrant 2'!C44+'Warrant 2'!D44+'Warrant 2'!E44</f>
        <v>2334</v>
      </c>
      <c r="L37" s="188">
        <v>0.3125</v>
      </c>
      <c r="M37" s="315">
        <f t="shared" si="0"/>
        <v>150</v>
      </c>
      <c r="N37" s="314">
        <f t="shared" si="1"/>
        <v>100</v>
      </c>
      <c r="O37" s="311">
        <f t="shared" si="2"/>
        <v>38</v>
      </c>
      <c r="P37" s="311">
        <f t="shared" si="3"/>
        <v>88</v>
      </c>
      <c r="Q37" s="311">
        <f t="shared" si="4"/>
        <v>0</v>
      </c>
      <c r="R37" s="311">
        <f t="shared" si="5"/>
        <v>0</v>
      </c>
      <c r="S37" s="311">
        <f t="shared" si="9"/>
        <v>0</v>
      </c>
      <c r="T37" s="311">
        <f t="shared" si="6"/>
        <v>0</v>
      </c>
      <c r="U37" s="311">
        <f t="shared" si="10"/>
        <v>0</v>
      </c>
      <c r="V37" s="311">
        <f t="shared" si="7"/>
        <v>0</v>
      </c>
      <c r="W37" s="188">
        <v>0.3125</v>
      </c>
      <c r="X37" s="103"/>
      <c r="Y37" s="253"/>
      <c r="Z37" s="253"/>
      <c r="AA37" s="253"/>
      <c r="AB37" s="253"/>
      <c r="AC37" s="103"/>
      <c r="AD37" s="103"/>
      <c r="AE37" s="103"/>
      <c r="AF37" s="103"/>
      <c r="AG37" s="103"/>
      <c r="AH37" s="103"/>
      <c r="AI37" s="103"/>
      <c r="AJ37" s="103"/>
      <c r="AK37" s="103"/>
    </row>
    <row r="38" spans="1:37" ht="10.5" customHeight="1" x14ac:dyDescent="0.25">
      <c r="A38" s="103"/>
      <c r="B38" s="103"/>
      <c r="C38" s="103"/>
      <c r="D38" s="103"/>
      <c r="E38" s="103"/>
      <c r="F38" s="103"/>
      <c r="G38" s="188">
        <v>0.32291666666666702</v>
      </c>
      <c r="H38" s="155">
        <f>'Warrant 2'!F45</f>
        <v>2099</v>
      </c>
      <c r="I38" s="155">
        <f>'Warrant 2'!I45</f>
        <v>156</v>
      </c>
      <c r="J38" s="176">
        <f t="shared" si="8"/>
        <v>2255</v>
      </c>
      <c r="K38" s="176">
        <f>'Warrant 2'!B45+'Warrant 2'!C45+'Warrant 2'!D45+'Warrant 2'!E45</f>
        <v>2255</v>
      </c>
      <c r="L38" s="188">
        <v>0.32291666666666702</v>
      </c>
      <c r="M38" s="315">
        <f t="shared" si="0"/>
        <v>150</v>
      </c>
      <c r="N38" s="314">
        <f t="shared" si="1"/>
        <v>100</v>
      </c>
      <c r="O38" s="311">
        <f t="shared" si="2"/>
        <v>6</v>
      </c>
      <c r="P38" s="311">
        <f t="shared" si="3"/>
        <v>56</v>
      </c>
      <c r="Q38" s="311">
        <f t="shared" si="4"/>
        <v>0</v>
      </c>
      <c r="R38" s="311">
        <f t="shared" si="5"/>
        <v>0</v>
      </c>
      <c r="S38" s="311">
        <f t="shared" si="9"/>
        <v>0</v>
      </c>
      <c r="T38" s="311">
        <f t="shared" si="6"/>
        <v>0</v>
      </c>
      <c r="U38" s="311">
        <f t="shared" si="10"/>
        <v>0</v>
      </c>
      <c r="V38" s="311">
        <f t="shared" si="7"/>
        <v>0</v>
      </c>
      <c r="W38" s="188">
        <v>0.32291666666666702</v>
      </c>
      <c r="X38" s="103"/>
      <c r="Y38" s="103"/>
      <c r="Z38" s="103"/>
      <c r="AA38" s="103"/>
      <c r="AB38" s="103"/>
      <c r="AC38" s="103"/>
      <c r="AD38" s="103"/>
      <c r="AE38" s="103"/>
      <c r="AF38" s="103"/>
      <c r="AG38" s="103"/>
      <c r="AH38" s="103"/>
      <c r="AI38" s="103"/>
      <c r="AJ38" s="103"/>
      <c r="AK38" s="103"/>
    </row>
    <row r="39" spans="1:37" ht="10.5" customHeight="1" x14ac:dyDescent="0.25">
      <c r="A39" s="618" t="s">
        <v>340</v>
      </c>
      <c r="B39" s="618"/>
      <c r="C39" s="618"/>
      <c r="D39" s="618"/>
      <c r="E39" s="618"/>
      <c r="F39" s="618"/>
      <c r="G39" s="188">
        <v>0.33333333333333298</v>
      </c>
      <c r="H39" s="155">
        <f>'Warrant 2'!F46</f>
        <v>2083</v>
      </c>
      <c r="I39" s="155">
        <f>'Warrant 2'!I46</f>
        <v>169</v>
      </c>
      <c r="J39" s="176">
        <f t="shared" si="8"/>
        <v>2252</v>
      </c>
      <c r="K39" s="176">
        <f>'Warrant 2'!B46+'Warrant 2'!C46+'Warrant 2'!D46+'Warrant 2'!E46</f>
        <v>2252</v>
      </c>
      <c r="L39" s="188">
        <v>0.33333333333333298</v>
      </c>
      <c r="M39" s="315">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150</v>
      </c>
      <c r="N39" s="314">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100</v>
      </c>
      <c r="O39" s="311">
        <f t="shared" ref="O39:O70" si="13">I39-M39</f>
        <v>19</v>
      </c>
      <c r="P39" s="311">
        <f t="shared" ref="P39:P70" si="14">I39-N39</f>
        <v>69</v>
      </c>
      <c r="Q39" s="311">
        <f t="shared" ref="Q39:Q70" si="15">IF(O39=MAX($O$7:$O$102),H39,0)</f>
        <v>0</v>
      </c>
      <c r="R39" s="311">
        <f t="shared" ref="R39:R70" si="16">IF(P39=MAX($P$7:$P$102),H39,0)</f>
        <v>0</v>
      </c>
      <c r="S39" s="311">
        <f t="shared" si="9"/>
        <v>0</v>
      </c>
      <c r="T39" s="311">
        <f t="shared" ref="T39:T70" si="17">IF(Q39=MAX($Q$7:$Q$102),I39,0)</f>
        <v>0</v>
      </c>
      <c r="U39" s="311">
        <f t="shared" si="10"/>
        <v>0</v>
      </c>
      <c r="V39" s="311">
        <f t="shared" ref="V39:V70" si="18">IF(R39=MAX($R$7:$R$102),I39,0)</f>
        <v>0</v>
      </c>
      <c r="W39" s="188">
        <v>0.33333333333333298</v>
      </c>
      <c r="X39" s="103"/>
      <c r="Y39" s="103"/>
      <c r="Z39" s="103"/>
      <c r="AA39" s="103"/>
      <c r="AB39" s="103"/>
      <c r="AC39" s="103"/>
      <c r="AD39" s="103"/>
      <c r="AE39" s="103"/>
      <c r="AF39" s="103"/>
      <c r="AG39" s="103"/>
      <c r="AH39" s="103"/>
      <c r="AI39" s="103"/>
      <c r="AJ39" s="103"/>
      <c r="AK39" s="103"/>
    </row>
    <row r="40" spans="1:37" ht="10.5" customHeight="1" x14ac:dyDescent="0.25">
      <c r="A40" s="618"/>
      <c r="B40" s="618"/>
      <c r="C40" s="618"/>
      <c r="D40" s="618"/>
      <c r="E40" s="618"/>
      <c r="F40" s="618"/>
      <c r="G40" s="188">
        <v>0.34375</v>
      </c>
      <c r="H40" s="155">
        <f>'Warrant 2'!F47</f>
        <v>1955</v>
      </c>
      <c r="I40" s="155">
        <f>'Warrant 2'!I47</f>
        <v>156</v>
      </c>
      <c r="J40" s="176">
        <f t="shared" si="8"/>
        <v>2111</v>
      </c>
      <c r="K40" s="176">
        <f>'Warrant 2'!B47+'Warrant 2'!C47+'Warrant 2'!D47+'Warrant 2'!E47</f>
        <v>2111</v>
      </c>
      <c r="L40" s="188">
        <v>0.34375</v>
      </c>
      <c r="M40" s="315">
        <f t="shared" si="11"/>
        <v>150</v>
      </c>
      <c r="N40" s="314">
        <f t="shared" si="12"/>
        <v>100</v>
      </c>
      <c r="O40" s="311">
        <f t="shared" si="13"/>
        <v>6</v>
      </c>
      <c r="P40" s="311">
        <f t="shared" si="14"/>
        <v>56</v>
      </c>
      <c r="Q40" s="311">
        <f t="shared" si="15"/>
        <v>0</v>
      </c>
      <c r="R40" s="311">
        <f t="shared" si="16"/>
        <v>0</v>
      </c>
      <c r="S40" s="311">
        <f t="shared" si="9"/>
        <v>0</v>
      </c>
      <c r="T40" s="311">
        <f t="shared" si="17"/>
        <v>0</v>
      </c>
      <c r="U40" s="311">
        <f t="shared" si="10"/>
        <v>0</v>
      </c>
      <c r="V40" s="311">
        <f t="shared" si="18"/>
        <v>0</v>
      </c>
      <c r="W40" s="188">
        <v>0.34375</v>
      </c>
      <c r="X40" s="103"/>
      <c r="Y40" s="103"/>
      <c r="Z40" s="103"/>
      <c r="AA40" s="103"/>
      <c r="AB40" s="103"/>
      <c r="AC40" s="103"/>
      <c r="AD40" s="103"/>
      <c r="AE40" s="103"/>
      <c r="AF40" s="103"/>
      <c r="AG40" s="103"/>
      <c r="AH40" s="103"/>
      <c r="AI40" s="103"/>
      <c r="AJ40" s="103"/>
      <c r="AK40" s="103"/>
    </row>
    <row r="41" spans="1:37" ht="10.5" customHeight="1" x14ac:dyDescent="0.25">
      <c r="A41" s="618"/>
      <c r="B41" s="618"/>
      <c r="C41" s="618"/>
      <c r="D41" s="618"/>
      <c r="E41" s="618"/>
      <c r="F41" s="618"/>
      <c r="G41" s="188">
        <v>0.35416666666666702</v>
      </c>
      <c r="H41" s="155">
        <f>'Warrant 2'!F48</f>
        <v>1822</v>
      </c>
      <c r="I41" s="155">
        <f>'Warrant 2'!I48</f>
        <v>156</v>
      </c>
      <c r="J41" s="176">
        <f t="shared" si="8"/>
        <v>1978</v>
      </c>
      <c r="K41" s="176">
        <f>'Warrant 2'!B48+'Warrant 2'!C48+'Warrant 2'!D48+'Warrant 2'!E48</f>
        <v>1978</v>
      </c>
      <c r="L41" s="188">
        <v>0.35416666666666702</v>
      </c>
      <c r="M41" s="315">
        <f t="shared" si="11"/>
        <v>150</v>
      </c>
      <c r="N41" s="314">
        <f t="shared" si="12"/>
        <v>100</v>
      </c>
      <c r="O41" s="311">
        <f t="shared" si="13"/>
        <v>6</v>
      </c>
      <c r="P41" s="311">
        <f t="shared" si="14"/>
        <v>56</v>
      </c>
      <c r="Q41" s="311">
        <f t="shared" si="15"/>
        <v>0</v>
      </c>
      <c r="R41" s="311">
        <f t="shared" si="16"/>
        <v>0</v>
      </c>
      <c r="S41" s="311">
        <f t="shared" si="9"/>
        <v>0</v>
      </c>
      <c r="T41" s="311">
        <f t="shared" si="17"/>
        <v>0</v>
      </c>
      <c r="U41" s="311">
        <f t="shared" si="10"/>
        <v>0</v>
      </c>
      <c r="V41" s="311">
        <f t="shared" si="18"/>
        <v>0</v>
      </c>
      <c r="W41" s="188">
        <v>0.35416666666666702</v>
      </c>
      <c r="X41" s="103"/>
      <c r="Y41" s="103"/>
      <c r="Z41" s="103"/>
      <c r="AA41" s="103"/>
      <c r="AB41" s="103"/>
      <c r="AC41" s="103"/>
      <c r="AD41" s="103"/>
      <c r="AE41" s="103"/>
      <c r="AF41" s="103"/>
      <c r="AG41" s="103"/>
      <c r="AH41" s="103"/>
      <c r="AI41" s="103"/>
      <c r="AJ41" s="103"/>
      <c r="AK41" s="103"/>
    </row>
    <row r="42" spans="1:37" ht="10.5" customHeight="1" x14ac:dyDescent="0.25">
      <c r="A42" s="619" t="s">
        <v>341</v>
      </c>
      <c r="B42" s="619"/>
      <c r="C42" s="619"/>
      <c r="D42" s="619"/>
      <c r="E42" s="619"/>
      <c r="F42" s="519"/>
      <c r="G42" s="188">
        <v>0.36458333333333298</v>
      </c>
      <c r="H42" s="155">
        <f>'Warrant 2'!F49</f>
        <v>1724</v>
      </c>
      <c r="I42" s="155">
        <f>'Warrant 2'!I49</f>
        <v>160</v>
      </c>
      <c r="J42" s="176">
        <f t="shared" si="8"/>
        <v>1884</v>
      </c>
      <c r="K42" s="176">
        <f>'Warrant 2'!B49+'Warrant 2'!C49+'Warrant 2'!D49+'Warrant 2'!E49</f>
        <v>1884</v>
      </c>
      <c r="L42" s="188">
        <v>0.36458333333333298</v>
      </c>
      <c r="M42" s="315">
        <f t="shared" si="11"/>
        <v>150</v>
      </c>
      <c r="N42" s="314">
        <f t="shared" si="12"/>
        <v>100</v>
      </c>
      <c r="O42" s="311">
        <f t="shared" si="13"/>
        <v>10</v>
      </c>
      <c r="P42" s="311">
        <f t="shared" si="14"/>
        <v>60</v>
      </c>
      <c r="Q42" s="311">
        <f t="shared" si="15"/>
        <v>0</v>
      </c>
      <c r="R42" s="311">
        <f t="shared" si="16"/>
        <v>0</v>
      </c>
      <c r="S42" s="311">
        <f t="shared" si="9"/>
        <v>0</v>
      </c>
      <c r="T42" s="311">
        <f t="shared" si="17"/>
        <v>0</v>
      </c>
      <c r="U42" s="311">
        <f t="shared" si="10"/>
        <v>0</v>
      </c>
      <c r="V42" s="311">
        <f t="shared" si="18"/>
        <v>0</v>
      </c>
      <c r="W42" s="188">
        <v>0.36458333333333298</v>
      </c>
      <c r="X42" s="103"/>
      <c r="Y42" s="103"/>
      <c r="Z42" s="103"/>
      <c r="AA42" s="103"/>
      <c r="AB42" s="103"/>
      <c r="AC42" s="103"/>
      <c r="AD42" s="103"/>
      <c r="AE42" s="103"/>
      <c r="AF42" s="103"/>
      <c r="AG42" s="103"/>
      <c r="AH42" s="103"/>
      <c r="AI42" s="103"/>
      <c r="AJ42" s="103"/>
      <c r="AK42" s="103"/>
    </row>
    <row r="43" spans="1:37" ht="10.5" customHeight="1" x14ac:dyDescent="0.25">
      <c r="A43" s="619"/>
      <c r="B43" s="619"/>
      <c r="C43" s="619"/>
      <c r="D43" s="619"/>
      <c r="E43" s="619"/>
      <c r="F43" s="519"/>
      <c r="G43" s="188">
        <v>0.375</v>
      </c>
      <c r="H43" s="155">
        <f>'Warrant 2'!F50</f>
        <v>1575</v>
      </c>
      <c r="I43" s="155">
        <f>'Warrant 2'!I50</f>
        <v>140</v>
      </c>
      <c r="J43" s="176">
        <f t="shared" si="8"/>
        <v>1715</v>
      </c>
      <c r="K43" s="176">
        <f>'Warrant 2'!B50+'Warrant 2'!C50+'Warrant 2'!D50+'Warrant 2'!E50</f>
        <v>1715</v>
      </c>
      <c r="L43" s="188">
        <v>0.375</v>
      </c>
      <c r="M43" s="315">
        <f t="shared" si="11"/>
        <v>160.13768749999997</v>
      </c>
      <c r="N43" s="314">
        <f t="shared" si="12"/>
        <v>100</v>
      </c>
      <c r="O43" s="311">
        <f t="shared" si="13"/>
        <v>-20.13768749999997</v>
      </c>
      <c r="P43" s="311">
        <f t="shared" si="14"/>
        <v>40</v>
      </c>
      <c r="Q43" s="311">
        <f t="shared" si="15"/>
        <v>0</v>
      </c>
      <c r="R43" s="311">
        <f t="shared" si="16"/>
        <v>0</v>
      </c>
      <c r="S43" s="311">
        <f t="shared" si="9"/>
        <v>0</v>
      </c>
      <c r="T43" s="311">
        <f t="shared" si="17"/>
        <v>0</v>
      </c>
      <c r="U43" s="311">
        <f t="shared" si="10"/>
        <v>0</v>
      </c>
      <c r="V43" s="311">
        <f t="shared" si="18"/>
        <v>0</v>
      </c>
      <c r="W43" s="188">
        <v>0.375</v>
      </c>
      <c r="X43" s="103"/>
      <c r="Y43" s="103"/>
      <c r="Z43" s="103"/>
      <c r="AA43" s="103"/>
      <c r="AB43" s="103"/>
      <c r="AC43" s="103"/>
      <c r="AD43" s="103"/>
      <c r="AE43" s="103"/>
      <c r="AF43" s="103"/>
      <c r="AG43" s="103"/>
      <c r="AH43" s="103"/>
      <c r="AI43" s="103"/>
      <c r="AJ43" s="103"/>
      <c r="AK43" s="103"/>
    </row>
    <row r="44" spans="1:37" ht="10.5" customHeight="1" x14ac:dyDescent="0.25">
      <c r="A44" s="619"/>
      <c r="B44" s="619"/>
      <c r="C44" s="619"/>
      <c r="D44" s="619"/>
      <c r="E44" s="619"/>
      <c r="F44" s="519"/>
      <c r="G44" s="188">
        <v>0.38541666666666702</v>
      </c>
      <c r="H44" s="155">
        <f>'Warrant 2'!F51</f>
        <v>1603</v>
      </c>
      <c r="I44" s="155">
        <f>'Warrant 2'!I51</f>
        <v>140</v>
      </c>
      <c r="J44" s="176">
        <f t="shared" si="8"/>
        <v>1743</v>
      </c>
      <c r="K44" s="176">
        <f>'Warrant 2'!B51+'Warrant 2'!C51+'Warrant 2'!D51+'Warrant 2'!E51</f>
        <v>1743</v>
      </c>
      <c r="L44" s="188">
        <v>0.38541666666666702</v>
      </c>
      <c r="M44" s="315">
        <f t="shared" si="11"/>
        <v>154.09621542000002</v>
      </c>
      <c r="N44" s="314">
        <f t="shared" si="12"/>
        <v>100</v>
      </c>
      <c r="O44" s="311">
        <f t="shared" si="13"/>
        <v>-14.096215420000021</v>
      </c>
      <c r="P44" s="311">
        <f t="shared" si="14"/>
        <v>40</v>
      </c>
      <c r="Q44" s="311">
        <f t="shared" si="15"/>
        <v>0</v>
      </c>
      <c r="R44" s="311">
        <f t="shared" si="16"/>
        <v>0</v>
      </c>
      <c r="S44" s="311">
        <f t="shared" si="9"/>
        <v>0</v>
      </c>
      <c r="T44" s="311">
        <f t="shared" si="17"/>
        <v>0</v>
      </c>
      <c r="U44" s="311">
        <f t="shared" si="10"/>
        <v>0</v>
      </c>
      <c r="V44" s="311">
        <f t="shared" si="18"/>
        <v>0</v>
      </c>
      <c r="W44" s="188">
        <v>0.38541666666666702</v>
      </c>
      <c r="X44" s="103"/>
      <c r="Y44" s="103"/>
      <c r="Z44" s="103"/>
      <c r="AA44" s="103"/>
      <c r="AB44" s="103"/>
      <c r="AC44" s="103"/>
      <c r="AD44" s="103"/>
      <c r="AE44" s="103"/>
      <c r="AF44" s="103"/>
      <c r="AG44" s="103"/>
      <c r="AH44" s="103"/>
      <c r="AI44" s="103"/>
      <c r="AJ44" s="103"/>
      <c r="AK44" s="103"/>
    </row>
    <row r="45" spans="1:37" ht="10.5" customHeight="1" x14ac:dyDescent="0.25">
      <c r="A45" s="620" t="s">
        <v>342</v>
      </c>
      <c r="B45" s="620"/>
      <c r="C45" s="620"/>
      <c r="D45" s="620"/>
      <c r="E45" s="620"/>
      <c r="F45" s="622" t="str">
        <f>IF(OR(AND('Input &amp; Findings'!G47=1,(MAX('Warrant 3'!I7:I102))&gt;100),AND('Input &amp; Findings'!F22&gt;1,(MAX('Warrant 3'!I7:I102))&gt;150)),"Yes","No")</f>
        <v>Yes</v>
      </c>
      <c r="G45" s="188">
        <v>0.39583333333333298</v>
      </c>
      <c r="H45" s="155">
        <f>'Warrant 2'!F52</f>
        <v>1573</v>
      </c>
      <c r="I45" s="155">
        <f>'Warrant 2'!I52</f>
        <v>136</v>
      </c>
      <c r="J45" s="176">
        <f t="shared" si="8"/>
        <v>1709</v>
      </c>
      <c r="K45" s="176">
        <f>'Warrant 2'!B52+'Warrant 2'!C52+'Warrant 2'!D52+'Warrant 2'!E52</f>
        <v>1709</v>
      </c>
      <c r="L45" s="188">
        <v>0.39583333333333298</v>
      </c>
      <c r="M45" s="315">
        <f t="shared" si="11"/>
        <v>160.58633681999993</v>
      </c>
      <c r="N45" s="314">
        <f t="shared" si="12"/>
        <v>100</v>
      </c>
      <c r="O45" s="311">
        <f t="shared" si="13"/>
        <v>-24.586336819999929</v>
      </c>
      <c r="P45" s="311">
        <f t="shared" si="14"/>
        <v>36</v>
      </c>
      <c r="Q45" s="311">
        <f t="shared" si="15"/>
        <v>0</v>
      </c>
      <c r="R45" s="311">
        <f t="shared" si="16"/>
        <v>0</v>
      </c>
      <c r="S45" s="311">
        <f t="shared" si="9"/>
        <v>0</v>
      </c>
      <c r="T45" s="311">
        <f t="shared" si="17"/>
        <v>0</v>
      </c>
      <c r="U45" s="311">
        <f t="shared" si="10"/>
        <v>0</v>
      </c>
      <c r="V45" s="311">
        <f t="shared" si="18"/>
        <v>0</v>
      </c>
      <c r="W45" s="188">
        <v>0.39583333333333298</v>
      </c>
      <c r="X45" s="103"/>
      <c r="Y45" s="103"/>
      <c r="Z45" s="103"/>
      <c r="AA45" s="103"/>
      <c r="AB45" s="103"/>
      <c r="AC45" s="103"/>
      <c r="AD45" s="103"/>
      <c r="AE45" s="103"/>
      <c r="AF45" s="103"/>
      <c r="AG45" s="103"/>
      <c r="AH45" s="103"/>
      <c r="AI45" s="103"/>
      <c r="AJ45" s="103"/>
      <c r="AK45" s="103"/>
    </row>
    <row r="46" spans="1:37" ht="10.5" customHeight="1" x14ac:dyDescent="0.25">
      <c r="A46" s="620"/>
      <c r="B46" s="620"/>
      <c r="C46" s="620"/>
      <c r="D46" s="620"/>
      <c r="E46" s="620"/>
      <c r="F46" s="622"/>
      <c r="G46" s="188">
        <v>0.40625</v>
      </c>
      <c r="H46" s="155">
        <f>'Warrant 2'!F53</f>
        <v>1533</v>
      </c>
      <c r="I46" s="155">
        <f>'Warrant 2'!I53</f>
        <v>127</v>
      </c>
      <c r="J46" s="176">
        <f t="shared" si="8"/>
        <v>1660</v>
      </c>
      <c r="K46" s="176">
        <f>'Warrant 2'!B53+'Warrant 2'!C53+'Warrant 2'!D53+'Warrant 2'!E53</f>
        <v>1660</v>
      </c>
      <c r="L46" s="188">
        <v>0.40625</v>
      </c>
      <c r="M46" s="315">
        <f t="shared" si="11"/>
        <v>170.03150401999994</v>
      </c>
      <c r="N46" s="314">
        <f t="shared" si="12"/>
        <v>100</v>
      </c>
      <c r="O46" s="311">
        <f t="shared" si="13"/>
        <v>-43.031504019999943</v>
      </c>
      <c r="P46" s="311">
        <f t="shared" si="14"/>
        <v>27</v>
      </c>
      <c r="Q46" s="311">
        <f t="shared" si="15"/>
        <v>0</v>
      </c>
      <c r="R46" s="311">
        <f t="shared" si="16"/>
        <v>0</v>
      </c>
      <c r="S46" s="311">
        <f t="shared" si="9"/>
        <v>0</v>
      </c>
      <c r="T46" s="311">
        <f t="shared" si="17"/>
        <v>0</v>
      </c>
      <c r="U46" s="311">
        <f t="shared" si="10"/>
        <v>0</v>
      </c>
      <c r="V46" s="311">
        <f t="shared" si="18"/>
        <v>0</v>
      </c>
      <c r="W46" s="188">
        <v>0.40625</v>
      </c>
      <c r="X46" s="103"/>
      <c r="Y46" s="103"/>
      <c r="Z46" s="103"/>
      <c r="AA46" s="103"/>
      <c r="AB46" s="103"/>
      <c r="AC46" s="103"/>
      <c r="AD46" s="103"/>
      <c r="AE46" s="103"/>
      <c r="AF46" s="103"/>
      <c r="AG46" s="103"/>
      <c r="AH46" s="103"/>
      <c r="AI46" s="103"/>
      <c r="AJ46" s="103"/>
      <c r="AK46" s="103"/>
    </row>
    <row r="47" spans="1:37" ht="10.5" customHeight="1" x14ac:dyDescent="0.25">
      <c r="A47" s="620"/>
      <c r="B47" s="620"/>
      <c r="C47" s="620"/>
      <c r="D47" s="620"/>
      <c r="E47" s="620"/>
      <c r="F47" s="622"/>
      <c r="G47" s="188">
        <v>0.41666666666666702</v>
      </c>
      <c r="H47" s="155">
        <f>'Warrant 2'!F54</f>
        <v>1529</v>
      </c>
      <c r="I47" s="155">
        <f>'Warrant 2'!I54</f>
        <v>124</v>
      </c>
      <c r="J47" s="176">
        <f t="shared" si="8"/>
        <v>1653</v>
      </c>
      <c r="K47" s="176">
        <f>'Warrant 2'!B54+'Warrant 2'!C54+'Warrant 2'!D54+'Warrant 2'!E54</f>
        <v>1653</v>
      </c>
      <c r="L47" s="188">
        <v>0.41666666666666702</v>
      </c>
      <c r="M47" s="315">
        <f t="shared" si="11"/>
        <v>171.02500153999995</v>
      </c>
      <c r="N47" s="314">
        <f t="shared" si="12"/>
        <v>100</v>
      </c>
      <c r="O47" s="311">
        <f t="shared" si="13"/>
        <v>-47.025001539999948</v>
      </c>
      <c r="P47" s="311">
        <f t="shared" si="14"/>
        <v>24</v>
      </c>
      <c r="Q47" s="311">
        <f t="shared" si="15"/>
        <v>0</v>
      </c>
      <c r="R47" s="311">
        <f t="shared" si="16"/>
        <v>0</v>
      </c>
      <c r="S47" s="311">
        <f t="shared" si="9"/>
        <v>0</v>
      </c>
      <c r="T47" s="311">
        <f t="shared" si="17"/>
        <v>0</v>
      </c>
      <c r="U47" s="311">
        <f t="shared" si="10"/>
        <v>0</v>
      </c>
      <c r="V47" s="311">
        <f t="shared" si="18"/>
        <v>0</v>
      </c>
      <c r="W47" s="188">
        <v>0.41666666666666702</v>
      </c>
      <c r="X47" s="103"/>
      <c r="Y47" s="103"/>
      <c r="Z47" s="103"/>
      <c r="AA47" s="103"/>
      <c r="AB47" s="103"/>
      <c r="AC47" s="103"/>
      <c r="AD47" s="103"/>
      <c r="AE47" s="103"/>
      <c r="AF47" s="103"/>
      <c r="AG47" s="103"/>
      <c r="AH47" s="103"/>
      <c r="AI47" s="103"/>
      <c r="AJ47" s="103"/>
      <c r="AK47" s="103"/>
    </row>
    <row r="48" spans="1:37" ht="10.5" customHeight="1" x14ac:dyDescent="0.25">
      <c r="A48" s="619" t="s">
        <v>343</v>
      </c>
      <c r="B48" s="619"/>
      <c r="C48" s="619"/>
      <c r="D48" s="619"/>
      <c r="E48" s="619"/>
      <c r="F48" s="622" t="str">
        <f>IF(OR(AND('Input &amp; Findings'!F22=3,(MAX('Warrant 3'!K7:K102))&gt;650),AND('Input &amp; Findings'!F22&gt;3,(MAX('Warrant 3'!K7:K102))&gt;800)),"Yes","No")</f>
        <v>Yes</v>
      </c>
      <c r="G48" s="188">
        <v>0.42708333333333298</v>
      </c>
      <c r="H48" s="155">
        <f>'Warrant 2'!F55</f>
        <v>1509</v>
      </c>
      <c r="I48" s="155">
        <f>'Warrant 2'!I55</f>
        <v>125</v>
      </c>
      <c r="J48" s="176">
        <f t="shared" si="8"/>
        <v>1634</v>
      </c>
      <c r="K48" s="176">
        <f>'Warrant 2'!B55+'Warrant 2'!C55+'Warrant 2'!D55+'Warrant 2'!E55</f>
        <v>1634</v>
      </c>
      <c r="L48" s="188">
        <v>0.42708333333333298</v>
      </c>
      <c r="M48" s="315">
        <f t="shared" si="11"/>
        <v>176.12422993999996</v>
      </c>
      <c r="N48" s="314">
        <f t="shared" si="12"/>
        <v>100</v>
      </c>
      <c r="O48" s="311">
        <f t="shared" si="13"/>
        <v>-51.124229939999964</v>
      </c>
      <c r="P48" s="311">
        <f t="shared" si="14"/>
        <v>25</v>
      </c>
      <c r="Q48" s="311">
        <f t="shared" si="15"/>
        <v>0</v>
      </c>
      <c r="R48" s="311">
        <f t="shared" si="16"/>
        <v>0</v>
      </c>
      <c r="S48" s="311">
        <f t="shared" si="9"/>
        <v>0</v>
      </c>
      <c r="T48" s="311">
        <f t="shared" si="17"/>
        <v>0</v>
      </c>
      <c r="U48" s="311">
        <f t="shared" si="10"/>
        <v>0</v>
      </c>
      <c r="V48" s="311">
        <f t="shared" si="18"/>
        <v>0</v>
      </c>
      <c r="W48" s="188">
        <v>0.42708333333333298</v>
      </c>
      <c r="X48" s="103"/>
      <c r="Y48" s="103"/>
      <c r="Z48" s="103"/>
      <c r="AA48" s="103"/>
      <c r="AB48" s="103"/>
      <c r="AC48" s="103"/>
      <c r="AD48" s="103"/>
      <c r="AE48" s="103"/>
      <c r="AF48" s="103"/>
      <c r="AG48" s="103"/>
      <c r="AH48" s="103"/>
      <c r="AI48" s="103"/>
      <c r="AJ48" s="103"/>
      <c r="AK48" s="103"/>
    </row>
    <row r="49" spans="1:37" ht="10.5" customHeight="1" x14ac:dyDescent="0.25">
      <c r="A49" s="619"/>
      <c r="B49" s="619"/>
      <c r="C49" s="619"/>
      <c r="D49" s="619"/>
      <c r="E49" s="619"/>
      <c r="F49" s="622"/>
      <c r="G49" s="188">
        <v>0.4375</v>
      </c>
      <c r="H49" s="155">
        <f>'Warrant 2'!F56</f>
        <v>1532</v>
      </c>
      <c r="I49" s="155">
        <f>'Warrant 2'!I56</f>
        <v>133</v>
      </c>
      <c r="J49" s="176">
        <f t="shared" si="8"/>
        <v>1665</v>
      </c>
      <c r="K49" s="176">
        <f>'Warrant 2'!B56+'Warrant 2'!C56+'Warrant 2'!D56+'Warrant 2'!E56</f>
        <v>1665</v>
      </c>
      <c r="L49" s="188">
        <v>0.4375</v>
      </c>
      <c r="M49" s="315">
        <f t="shared" si="11"/>
        <v>170.27905088</v>
      </c>
      <c r="N49" s="314">
        <f t="shared" si="12"/>
        <v>100</v>
      </c>
      <c r="O49" s="311">
        <f t="shared" si="13"/>
        <v>-37.27905088</v>
      </c>
      <c r="P49" s="311">
        <f t="shared" si="14"/>
        <v>33</v>
      </c>
      <c r="Q49" s="311">
        <f t="shared" si="15"/>
        <v>0</v>
      </c>
      <c r="R49" s="311">
        <f t="shared" si="16"/>
        <v>0</v>
      </c>
      <c r="S49" s="311">
        <f t="shared" si="9"/>
        <v>0</v>
      </c>
      <c r="T49" s="311">
        <f t="shared" si="17"/>
        <v>0</v>
      </c>
      <c r="U49" s="311">
        <f t="shared" si="10"/>
        <v>0</v>
      </c>
      <c r="V49" s="311">
        <f t="shared" si="18"/>
        <v>0</v>
      </c>
      <c r="W49" s="188">
        <v>0.4375</v>
      </c>
      <c r="X49" s="103"/>
      <c r="Y49" s="103"/>
      <c r="Z49" s="103"/>
      <c r="AA49" s="103"/>
      <c r="AB49" s="103"/>
      <c r="AC49" s="103"/>
      <c r="AD49" s="103"/>
      <c r="AE49" s="103"/>
      <c r="AF49" s="103"/>
      <c r="AG49" s="103"/>
      <c r="AH49" s="103"/>
      <c r="AI49" s="103"/>
      <c r="AJ49" s="103"/>
      <c r="AK49" s="103"/>
    </row>
    <row r="50" spans="1:37" ht="10.5" customHeight="1" x14ac:dyDescent="0.25">
      <c r="A50" s="619"/>
      <c r="B50" s="619"/>
      <c r="C50" s="619"/>
      <c r="D50" s="619"/>
      <c r="E50" s="619"/>
      <c r="F50" s="622"/>
      <c r="G50" s="188">
        <v>0.44791666666666702</v>
      </c>
      <c r="H50" s="155">
        <f>'Warrant 2'!F57</f>
        <v>1602</v>
      </c>
      <c r="I50" s="155">
        <f>'Warrant 2'!I57</f>
        <v>136</v>
      </c>
      <c r="J50" s="176">
        <f t="shared" si="8"/>
        <v>1738</v>
      </c>
      <c r="K50" s="176">
        <f>'Warrant 2'!B57+'Warrant 2'!C57+'Warrant 2'!D57+'Warrant 2'!E57</f>
        <v>1738</v>
      </c>
      <c r="L50" s="188">
        <v>0.44791666666666702</v>
      </c>
      <c r="M50" s="315">
        <f t="shared" si="11"/>
        <v>154.30423328000006</v>
      </c>
      <c r="N50" s="314">
        <f t="shared" si="12"/>
        <v>100</v>
      </c>
      <c r="O50" s="311">
        <f t="shared" si="13"/>
        <v>-18.304233280000062</v>
      </c>
      <c r="P50" s="311">
        <f t="shared" si="14"/>
        <v>36</v>
      </c>
      <c r="Q50" s="311">
        <f t="shared" si="15"/>
        <v>0</v>
      </c>
      <c r="R50" s="311">
        <f t="shared" si="16"/>
        <v>0</v>
      </c>
      <c r="S50" s="311">
        <f t="shared" si="9"/>
        <v>0</v>
      </c>
      <c r="T50" s="311">
        <f t="shared" si="17"/>
        <v>0</v>
      </c>
      <c r="U50" s="311">
        <f t="shared" si="10"/>
        <v>0</v>
      </c>
      <c r="V50" s="311">
        <f t="shared" si="18"/>
        <v>0</v>
      </c>
      <c r="W50" s="188">
        <v>0.44791666666666702</v>
      </c>
      <c r="X50" s="103"/>
      <c r="Y50" s="103"/>
      <c r="Z50" s="103"/>
      <c r="AA50" s="103"/>
      <c r="AB50" s="103"/>
      <c r="AC50" s="103"/>
      <c r="AD50" s="103"/>
      <c r="AE50" s="103"/>
      <c r="AF50" s="103"/>
      <c r="AG50" s="103"/>
      <c r="AH50" s="103"/>
      <c r="AI50" s="103"/>
      <c r="AJ50" s="103"/>
      <c r="AK50" s="103"/>
    </row>
    <row r="51" spans="1:37" ht="10.5" customHeight="1" x14ac:dyDescent="0.25">
      <c r="A51" s="621" t="s">
        <v>344</v>
      </c>
      <c r="B51" s="621"/>
      <c r="C51" s="621"/>
      <c r="D51" s="621"/>
      <c r="E51" s="621"/>
      <c r="F51" s="621"/>
      <c r="G51" s="188">
        <v>0.45833333333333298</v>
      </c>
      <c r="H51" s="155">
        <f>'Warrant 2'!F58</f>
        <v>1673</v>
      </c>
      <c r="I51" s="155">
        <f>'Warrant 2'!I58</f>
        <v>141</v>
      </c>
      <c r="J51" s="176">
        <f t="shared" si="8"/>
        <v>1814</v>
      </c>
      <c r="K51" s="176">
        <f>'Warrant 2'!B58+'Warrant 2'!C58+'Warrant 2'!D58+'Warrant 2'!E58</f>
        <v>1814</v>
      </c>
      <c r="L51" s="188">
        <v>0.45833333333333298</v>
      </c>
      <c r="M51" s="315">
        <f t="shared" si="11"/>
        <v>150</v>
      </c>
      <c r="N51" s="314">
        <f t="shared" si="12"/>
        <v>100</v>
      </c>
      <c r="O51" s="311">
        <f t="shared" si="13"/>
        <v>-9</v>
      </c>
      <c r="P51" s="311">
        <f t="shared" si="14"/>
        <v>41</v>
      </c>
      <c r="Q51" s="311">
        <f t="shared" si="15"/>
        <v>0</v>
      </c>
      <c r="R51" s="311">
        <f t="shared" si="16"/>
        <v>0</v>
      </c>
      <c r="S51" s="311">
        <f t="shared" si="9"/>
        <v>0</v>
      </c>
      <c r="T51" s="311">
        <f t="shared" si="17"/>
        <v>0</v>
      </c>
      <c r="U51" s="311">
        <f t="shared" si="10"/>
        <v>0</v>
      </c>
      <c r="V51" s="311">
        <f t="shared" si="18"/>
        <v>0</v>
      </c>
      <c r="W51" s="188">
        <v>0.45833333333333298</v>
      </c>
      <c r="X51" s="103"/>
      <c r="Y51" s="103"/>
      <c r="Z51" s="103"/>
      <c r="AA51" s="103"/>
      <c r="AB51" s="103"/>
      <c r="AC51" s="103"/>
      <c r="AD51" s="103"/>
      <c r="AE51" s="103"/>
      <c r="AF51" s="103"/>
      <c r="AG51" s="103"/>
      <c r="AH51" s="103"/>
      <c r="AI51" s="103"/>
      <c r="AJ51" s="103"/>
      <c r="AK51" s="103"/>
    </row>
    <row r="52" spans="1:37" ht="10.5" customHeight="1" x14ac:dyDescent="0.25">
      <c r="A52" s="257"/>
      <c r="B52" s="257"/>
      <c r="C52" s="257"/>
      <c r="D52" s="257"/>
      <c r="E52" s="259"/>
      <c r="F52" s="258"/>
      <c r="G52" s="188">
        <v>0.46875</v>
      </c>
      <c r="H52" s="155">
        <f>'Warrant 2'!F59</f>
        <v>1710</v>
      </c>
      <c r="I52" s="155">
        <f>'Warrant 2'!I59</f>
        <v>140</v>
      </c>
      <c r="J52" s="176">
        <f t="shared" si="8"/>
        <v>1850</v>
      </c>
      <c r="K52" s="176">
        <f>'Warrant 2'!B59+'Warrant 2'!C59+'Warrant 2'!D59+'Warrant 2'!E59</f>
        <v>1850</v>
      </c>
      <c r="L52" s="188">
        <v>0.46875</v>
      </c>
      <c r="M52" s="315">
        <f t="shared" si="11"/>
        <v>150</v>
      </c>
      <c r="N52" s="314">
        <f t="shared" si="12"/>
        <v>100</v>
      </c>
      <c r="O52" s="311">
        <f t="shared" si="13"/>
        <v>-10</v>
      </c>
      <c r="P52" s="311">
        <f t="shared" si="14"/>
        <v>40</v>
      </c>
      <c r="Q52" s="311">
        <f t="shared" si="15"/>
        <v>0</v>
      </c>
      <c r="R52" s="311">
        <f t="shared" si="16"/>
        <v>0</v>
      </c>
      <c r="S52" s="311">
        <f t="shared" si="9"/>
        <v>0</v>
      </c>
      <c r="T52" s="311">
        <f t="shared" si="17"/>
        <v>0</v>
      </c>
      <c r="U52" s="311">
        <f t="shared" si="10"/>
        <v>0</v>
      </c>
      <c r="V52" s="311">
        <f t="shared" si="18"/>
        <v>0</v>
      </c>
      <c r="W52" s="188">
        <v>0.46875</v>
      </c>
      <c r="X52" s="103"/>
      <c r="Y52" s="103"/>
      <c r="Z52" s="103"/>
      <c r="AA52" s="103"/>
      <c r="AB52" s="103"/>
      <c r="AC52" s="103"/>
      <c r="AD52" s="103"/>
      <c r="AE52" s="103"/>
      <c r="AF52" s="103"/>
      <c r="AG52" s="103"/>
      <c r="AH52" s="103"/>
      <c r="AI52" s="103"/>
      <c r="AJ52" s="103"/>
      <c r="AK52" s="103"/>
    </row>
    <row r="53" spans="1:37" ht="10.5" customHeight="1" x14ac:dyDescent="0.25">
      <c r="A53" s="103"/>
      <c r="B53" s="103"/>
      <c r="C53" s="103"/>
      <c r="D53" s="103"/>
      <c r="E53" s="117" t="s">
        <v>438</v>
      </c>
      <c r="F53" s="292" t="str">
        <f>IF('Input &amp; Findings'!F20="No",IF(Z31&gt;AA31,"Yes","No"),IF(AND(F32="No",Z31&gt;AA31),"Yes",IF(AND(F32="Yes",Z31&gt;AB31),"Yes","No")))</f>
        <v>Yes</v>
      </c>
      <c r="G53" s="188">
        <v>0.47916666666666702</v>
      </c>
      <c r="H53" s="155">
        <f>'Warrant 2'!F60</f>
        <v>1740</v>
      </c>
      <c r="I53" s="155">
        <f>'Warrant 2'!I60</f>
        <v>128</v>
      </c>
      <c r="J53" s="176">
        <f t="shared" si="8"/>
        <v>1868</v>
      </c>
      <c r="K53" s="176">
        <f>'Warrant 2'!B60+'Warrant 2'!C60+'Warrant 2'!D60+'Warrant 2'!E60</f>
        <v>1868</v>
      </c>
      <c r="L53" s="188">
        <v>0.47916666666666702</v>
      </c>
      <c r="M53" s="315">
        <f t="shared" si="11"/>
        <v>150</v>
      </c>
      <c r="N53" s="314">
        <f t="shared" si="12"/>
        <v>100</v>
      </c>
      <c r="O53" s="311">
        <f t="shared" si="13"/>
        <v>-22</v>
      </c>
      <c r="P53" s="311">
        <f t="shared" si="14"/>
        <v>28</v>
      </c>
      <c r="Q53" s="311">
        <f t="shared" si="15"/>
        <v>0</v>
      </c>
      <c r="R53" s="311">
        <f t="shared" si="16"/>
        <v>0</v>
      </c>
      <c r="S53" s="311">
        <f t="shared" si="9"/>
        <v>0</v>
      </c>
      <c r="T53" s="311">
        <f t="shared" si="17"/>
        <v>0</v>
      </c>
      <c r="U53" s="311">
        <f t="shared" si="10"/>
        <v>0</v>
      </c>
      <c r="V53" s="311">
        <f t="shared" si="18"/>
        <v>0</v>
      </c>
      <c r="W53" s="188">
        <v>0.47916666666666702</v>
      </c>
      <c r="X53" s="103"/>
      <c r="Y53" s="103"/>
      <c r="Z53" s="103"/>
      <c r="AA53" s="103"/>
      <c r="AB53" s="103"/>
      <c r="AC53" s="103"/>
      <c r="AD53" s="103"/>
      <c r="AE53" s="103"/>
      <c r="AF53" s="103"/>
      <c r="AG53" s="103"/>
      <c r="AH53" s="103"/>
      <c r="AI53" s="103"/>
      <c r="AJ53" s="103"/>
      <c r="AK53" s="103"/>
    </row>
    <row r="54" spans="1:37" ht="10.5" customHeight="1" x14ac:dyDescent="0.25">
      <c r="A54" s="103"/>
      <c r="B54" s="103"/>
      <c r="C54" s="103"/>
      <c r="D54" s="103"/>
      <c r="E54" s="103"/>
      <c r="F54" s="103"/>
      <c r="G54" s="188">
        <v>0.48958333333333298</v>
      </c>
      <c r="H54" s="155">
        <f>'Warrant 2'!F61</f>
        <v>1752</v>
      </c>
      <c r="I54" s="155">
        <f>'Warrant 2'!I61</f>
        <v>124</v>
      </c>
      <c r="J54" s="176">
        <f t="shared" si="8"/>
        <v>1876</v>
      </c>
      <c r="K54" s="176">
        <f>'Warrant 2'!B61+'Warrant 2'!C61+'Warrant 2'!D61+'Warrant 2'!E61</f>
        <v>1876</v>
      </c>
      <c r="L54" s="188">
        <v>0.48958333333333298</v>
      </c>
      <c r="M54" s="315">
        <f t="shared" si="11"/>
        <v>150</v>
      </c>
      <c r="N54" s="314">
        <f t="shared" si="12"/>
        <v>100</v>
      </c>
      <c r="O54" s="311">
        <f t="shared" si="13"/>
        <v>-26</v>
      </c>
      <c r="P54" s="311">
        <f t="shared" si="14"/>
        <v>24</v>
      </c>
      <c r="Q54" s="311">
        <f t="shared" si="15"/>
        <v>0</v>
      </c>
      <c r="R54" s="311">
        <f t="shared" si="16"/>
        <v>0</v>
      </c>
      <c r="S54" s="311">
        <f t="shared" si="9"/>
        <v>0</v>
      </c>
      <c r="T54" s="311">
        <f t="shared" si="17"/>
        <v>0</v>
      </c>
      <c r="U54" s="311">
        <f t="shared" si="10"/>
        <v>0</v>
      </c>
      <c r="V54" s="311">
        <f t="shared" si="18"/>
        <v>0</v>
      </c>
      <c r="W54" s="188">
        <v>0.48958333333333298</v>
      </c>
      <c r="X54" s="103"/>
      <c r="Y54" s="103"/>
      <c r="Z54" s="103"/>
      <c r="AA54" s="103"/>
      <c r="AB54" s="103"/>
      <c r="AC54" s="103"/>
      <c r="AD54" s="103"/>
      <c r="AE54" s="103"/>
      <c r="AF54" s="103"/>
      <c r="AG54" s="103"/>
      <c r="AH54" s="103"/>
      <c r="AI54" s="103"/>
      <c r="AJ54" s="103"/>
      <c r="AK54" s="103"/>
    </row>
    <row r="55" spans="1:37" ht="10.5" customHeight="1" x14ac:dyDescent="0.25">
      <c r="A55" s="103"/>
      <c r="B55" s="103"/>
      <c r="C55" s="103"/>
      <c r="D55" s="103"/>
      <c r="E55" s="103"/>
      <c r="F55" s="103"/>
      <c r="G55" s="188">
        <v>0.5</v>
      </c>
      <c r="H55" s="155">
        <f>'Warrant 2'!F62</f>
        <v>1752</v>
      </c>
      <c r="I55" s="155">
        <f>'Warrant 2'!I62</f>
        <v>120</v>
      </c>
      <c r="J55" s="176">
        <f t="shared" si="8"/>
        <v>1872</v>
      </c>
      <c r="K55" s="176">
        <f>'Warrant 2'!B62+'Warrant 2'!C62+'Warrant 2'!D62+'Warrant 2'!E62</f>
        <v>1872</v>
      </c>
      <c r="L55" s="188">
        <v>0.5</v>
      </c>
      <c r="M55" s="315">
        <f t="shared" si="11"/>
        <v>150</v>
      </c>
      <c r="N55" s="314">
        <f t="shared" si="12"/>
        <v>100</v>
      </c>
      <c r="O55" s="311">
        <f t="shared" si="13"/>
        <v>-30</v>
      </c>
      <c r="P55" s="311">
        <f t="shared" si="14"/>
        <v>20</v>
      </c>
      <c r="Q55" s="311">
        <f t="shared" si="15"/>
        <v>0</v>
      </c>
      <c r="R55" s="311">
        <f t="shared" si="16"/>
        <v>0</v>
      </c>
      <c r="S55" s="311">
        <f t="shared" si="9"/>
        <v>0</v>
      </c>
      <c r="T55" s="311">
        <f t="shared" si="17"/>
        <v>0</v>
      </c>
      <c r="U55" s="311">
        <f t="shared" si="10"/>
        <v>0</v>
      </c>
      <c r="V55" s="311">
        <f t="shared" si="18"/>
        <v>0</v>
      </c>
      <c r="W55" s="188">
        <v>0.5</v>
      </c>
      <c r="X55" s="103"/>
      <c r="Y55" s="103"/>
      <c r="Z55" s="103"/>
      <c r="AA55" s="103"/>
      <c r="AB55" s="103"/>
      <c r="AC55" s="103"/>
      <c r="AD55" s="103"/>
      <c r="AE55" s="103"/>
      <c r="AF55" s="103"/>
      <c r="AG55" s="103"/>
      <c r="AH55" s="103"/>
      <c r="AI55" s="103"/>
      <c r="AJ55" s="103"/>
      <c r="AK55" s="103"/>
    </row>
    <row r="56" spans="1:37" ht="10.5" customHeight="1" x14ac:dyDescent="0.25">
      <c r="A56" s="103"/>
      <c r="B56" s="103"/>
      <c r="C56" s="103"/>
      <c r="D56" s="103"/>
      <c r="E56" s="103"/>
      <c r="F56" s="103"/>
      <c r="G56" s="188">
        <v>0.51041666666666696</v>
      </c>
      <c r="H56" s="155">
        <f>'Warrant 2'!F63</f>
        <v>1758</v>
      </c>
      <c r="I56" s="155">
        <f>'Warrant 2'!I63</f>
        <v>119</v>
      </c>
      <c r="J56" s="176">
        <f t="shared" si="8"/>
        <v>1877</v>
      </c>
      <c r="K56" s="176">
        <f>'Warrant 2'!B63+'Warrant 2'!C63+'Warrant 2'!D63+'Warrant 2'!E63</f>
        <v>1877</v>
      </c>
      <c r="L56" s="188">
        <v>0.51041666666666696</v>
      </c>
      <c r="M56" s="315">
        <f t="shared" si="11"/>
        <v>150</v>
      </c>
      <c r="N56" s="314">
        <f t="shared" si="12"/>
        <v>100</v>
      </c>
      <c r="O56" s="311">
        <f t="shared" si="13"/>
        <v>-31</v>
      </c>
      <c r="P56" s="311">
        <f t="shared" si="14"/>
        <v>19</v>
      </c>
      <c r="Q56" s="311">
        <f t="shared" si="15"/>
        <v>0</v>
      </c>
      <c r="R56" s="311">
        <f t="shared" si="16"/>
        <v>0</v>
      </c>
      <c r="S56" s="311">
        <f t="shared" si="9"/>
        <v>0</v>
      </c>
      <c r="T56" s="311">
        <f t="shared" si="17"/>
        <v>0</v>
      </c>
      <c r="U56" s="311">
        <f t="shared" si="10"/>
        <v>0</v>
      </c>
      <c r="V56" s="311">
        <f t="shared" si="18"/>
        <v>0</v>
      </c>
      <c r="W56" s="188">
        <v>0.51041666666666696</v>
      </c>
      <c r="X56" s="103"/>
      <c r="Y56" s="103"/>
      <c r="Z56" s="103"/>
      <c r="AA56" s="103"/>
      <c r="AB56" s="103"/>
      <c r="AC56" s="103"/>
      <c r="AD56" s="103"/>
      <c r="AE56" s="103"/>
      <c r="AF56" s="103"/>
      <c r="AG56" s="103"/>
      <c r="AH56" s="103"/>
      <c r="AI56" s="103"/>
      <c r="AJ56" s="103"/>
      <c r="AK56" s="103"/>
    </row>
    <row r="57" spans="1:37" ht="10.5" customHeight="1" x14ac:dyDescent="0.25">
      <c r="A57" s="103"/>
      <c r="B57" s="103"/>
      <c r="C57" s="103"/>
      <c r="D57" s="103"/>
      <c r="E57" s="103"/>
      <c r="F57" s="103"/>
      <c r="G57" s="188">
        <v>0.52083333333333304</v>
      </c>
      <c r="H57" s="155">
        <f>'Warrant 2'!F64</f>
        <v>1709</v>
      </c>
      <c r="I57" s="155">
        <f>'Warrant 2'!I64</f>
        <v>132</v>
      </c>
      <c r="J57" s="176">
        <f t="shared" si="8"/>
        <v>1841</v>
      </c>
      <c r="K57" s="176">
        <f>'Warrant 2'!B64+'Warrant 2'!C64+'Warrant 2'!D64+'Warrant 2'!E64</f>
        <v>1841</v>
      </c>
      <c r="L57" s="188">
        <v>0.52083333333333304</v>
      </c>
      <c r="M57" s="315">
        <f t="shared" si="11"/>
        <v>150</v>
      </c>
      <c r="N57" s="314">
        <f t="shared" si="12"/>
        <v>100</v>
      </c>
      <c r="O57" s="311">
        <f t="shared" si="13"/>
        <v>-18</v>
      </c>
      <c r="P57" s="311">
        <f t="shared" si="14"/>
        <v>32</v>
      </c>
      <c r="Q57" s="311">
        <f t="shared" si="15"/>
        <v>0</v>
      </c>
      <c r="R57" s="311">
        <f t="shared" si="16"/>
        <v>0</v>
      </c>
      <c r="S57" s="311">
        <f t="shared" si="9"/>
        <v>0</v>
      </c>
      <c r="T57" s="311">
        <f t="shared" si="17"/>
        <v>0</v>
      </c>
      <c r="U57" s="311">
        <f t="shared" si="10"/>
        <v>0</v>
      </c>
      <c r="V57" s="311">
        <f t="shared" si="18"/>
        <v>0</v>
      </c>
      <c r="W57" s="188">
        <v>0.52083333333333304</v>
      </c>
      <c r="X57" s="103"/>
      <c r="Y57" s="103"/>
      <c r="Z57" s="103"/>
      <c r="AA57" s="103"/>
      <c r="AB57" s="103"/>
      <c r="AC57" s="103"/>
      <c r="AD57" s="103"/>
      <c r="AE57" s="103"/>
      <c r="AF57" s="103"/>
      <c r="AG57" s="103"/>
      <c r="AH57" s="103"/>
      <c r="AI57" s="103"/>
      <c r="AJ57" s="103"/>
      <c r="AK57" s="103"/>
    </row>
    <row r="58" spans="1:37" ht="10.5" customHeight="1" x14ac:dyDescent="0.25">
      <c r="A58" s="103"/>
      <c r="B58" s="103"/>
      <c r="C58" s="103"/>
      <c r="D58" s="103"/>
      <c r="E58" s="103"/>
      <c r="F58" s="103"/>
      <c r="G58" s="188">
        <v>0.53125</v>
      </c>
      <c r="H58" s="155">
        <f>'Warrant 2'!F65</f>
        <v>1665</v>
      </c>
      <c r="I58" s="155">
        <f>'Warrant 2'!I65</f>
        <v>136</v>
      </c>
      <c r="J58" s="176">
        <f t="shared" si="8"/>
        <v>1801</v>
      </c>
      <c r="K58" s="176">
        <f>'Warrant 2'!B65+'Warrant 2'!C65+'Warrant 2'!D65+'Warrant 2'!E65</f>
        <v>1801</v>
      </c>
      <c r="L58" s="188">
        <v>0.53125</v>
      </c>
      <c r="M58" s="315">
        <f t="shared" si="11"/>
        <v>150</v>
      </c>
      <c r="N58" s="314">
        <f t="shared" si="12"/>
        <v>100</v>
      </c>
      <c r="O58" s="311">
        <f t="shared" si="13"/>
        <v>-14</v>
      </c>
      <c r="P58" s="311">
        <f t="shared" si="14"/>
        <v>36</v>
      </c>
      <c r="Q58" s="311">
        <f t="shared" si="15"/>
        <v>0</v>
      </c>
      <c r="R58" s="311">
        <f t="shared" si="16"/>
        <v>0</v>
      </c>
      <c r="S58" s="311">
        <f t="shared" si="9"/>
        <v>0</v>
      </c>
      <c r="T58" s="311">
        <f t="shared" si="17"/>
        <v>0</v>
      </c>
      <c r="U58" s="311">
        <f t="shared" si="10"/>
        <v>0</v>
      </c>
      <c r="V58" s="311">
        <f t="shared" si="18"/>
        <v>0</v>
      </c>
      <c r="W58" s="188">
        <v>0.53125</v>
      </c>
      <c r="X58" s="103"/>
      <c r="Y58" s="103"/>
      <c r="Z58" s="103"/>
      <c r="AA58" s="103"/>
      <c r="AB58" s="103"/>
      <c r="AC58" s="103"/>
      <c r="AD58" s="103"/>
      <c r="AE58" s="103"/>
      <c r="AF58" s="103"/>
      <c r="AG58" s="103"/>
      <c r="AH58" s="103"/>
      <c r="AI58" s="103"/>
      <c r="AJ58" s="103"/>
      <c r="AK58" s="103"/>
    </row>
    <row r="59" spans="1:37" ht="10.5" customHeight="1" x14ac:dyDescent="0.25">
      <c r="A59" s="103"/>
      <c r="B59" s="103"/>
      <c r="C59" s="103"/>
      <c r="D59" s="103"/>
      <c r="E59" s="103"/>
      <c r="F59" s="103"/>
      <c r="G59" s="188">
        <v>0.54166666666666696</v>
      </c>
      <c r="H59" s="155">
        <f>'Warrant 2'!F66</f>
        <v>1651</v>
      </c>
      <c r="I59" s="155">
        <f>'Warrant 2'!I66</f>
        <v>134</v>
      </c>
      <c r="J59" s="176">
        <f t="shared" si="8"/>
        <v>1785</v>
      </c>
      <c r="K59" s="176">
        <f>'Warrant 2'!B66+'Warrant 2'!C66+'Warrant 2'!D66+'Warrant 2'!E66</f>
        <v>1785</v>
      </c>
      <c r="L59" s="188">
        <v>0.54166666666666696</v>
      </c>
      <c r="M59" s="315">
        <f t="shared" si="11"/>
        <v>150</v>
      </c>
      <c r="N59" s="314">
        <f t="shared" si="12"/>
        <v>100</v>
      </c>
      <c r="O59" s="311">
        <f t="shared" si="13"/>
        <v>-16</v>
      </c>
      <c r="P59" s="311">
        <f t="shared" si="14"/>
        <v>34</v>
      </c>
      <c r="Q59" s="311">
        <f t="shared" si="15"/>
        <v>0</v>
      </c>
      <c r="R59" s="311">
        <f t="shared" si="16"/>
        <v>0</v>
      </c>
      <c r="S59" s="311">
        <f t="shared" si="9"/>
        <v>0</v>
      </c>
      <c r="T59" s="311">
        <f t="shared" si="17"/>
        <v>0</v>
      </c>
      <c r="U59" s="311">
        <f t="shared" si="10"/>
        <v>0</v>
      </c>
      <c r="V59" s="311">
        <f t="shared" si="18"/>
        <v>0</v>
      </c>
      <c r="W59" s="188">
        <v>0.54166666666666696</v>
      </c>
      <c r="X59" s="103"/>
      <c r="Y59" s="103"/>
      <c r="Z59" s="103"/>
      <c r="AA59" s="103"/>
      <c r="AB59" s="103"/>
      <c r="AC59" s="103"/>
      <c r="AD59" s="103"/>
      <c r="AE59" s="103"/>
      <c r="AF59" s="103"/>
      <c r="AG59" s="103"/>
      <c r="AH59" s="103"/>
      <c r="AI59" s="103"/>
      <c r="AJ59" s="103"/>
      <c r="AK59" s="103"/>
    </row>
    <row r="60" spans="1:37" ht="10.5" customHeight="1" x14ac:dyDescent="0.25">
      <c r="A60" s="103"/>
      <c r="B60" s="103"/>
      <c r="C60" s="103"/>
      <c r="D60" s="103"/>
      <c r="E60" s="103"/>
      <c r="F60" s="103"/>
      <c r="G60" s="188">
        <v>0.55208333333333304</v>
      </c>
      <c r="H60" s="155">
        <f>'Warrant 2'!F67</f>
        <v>1656</v>
      </c>
      <c r="I60" s="155">
        <f>'Warrant 2'!I67</f>
        <v>128</v>
      </c>
      <c r="J60" s="176">
        <f t="shared" si="8"/>
        <v>1784</v>
      </c>
      <c r="K60" s="176">
        <f>'Warrant 2'!B67+'Warrant 2'!C67+'Warrant 2'!D67+'Warrant 2'!E67</f>
        <v>1784</v>
      </c>
      <c r="L60" s="188">
        <v>0.55208333333333304</v>
      </c>
      <c r="M60" s="315">
        <f t="shared" si="11"/>
        <v>150</v>
      </c>
      <c r="N60" s="314">
        <f t="shared" si="12"/>
        <v>100</v>
      </c>
      <c r="O60" s="311">
        <f t="shared" si="13"/>
        <v>-22</v>
      </c>
      <c r="P60" s="311">
        <f t="shared" si="14"/>
        <v>28</v>
      </c>
      <c r="Q60" s="311">
        <f t="shared" si="15"/>
        <v>0</v>
      </c>
      <c r="R60" s="311">
        <f t="shared" si="16"/>
        <v>0</v>
      </c>
      <c r="S60" s="311">
        <f t="shared" si="9"/>
        <v>0</v>
      </c>
      <c r="T60" s="311">
        <f t="shared" si="17"/>
        <v>0</v>
      </c>
      <c r="U60" s="311">
        <f t="shared" si="10"/>
        <v>0</v>
      </c>
      <c r="V60" s="311">
        <f t="shared" si="18"/>
        <v>0</v>
      </c>
      <c r="W60" s="188">
        <v>0.55208333333333304</v>
      </c>
      <c r="X60" s="103"/>
      <c r="Y60" s="103"/>
      <c r="Z60" s="103"/>
      <c r="AA60" s="103"/>
      <c r="AB60" s="103"/>
      <c r="AC60" s="103"/>
      <c r="AD60" s="103"/>
      <c r="AE60" s="103"/>
      <c r="AF60" s="103"/>
      <c r="AG60" s="103"/>
      <c r="AH60" s="103"/>
      <c r="AI60" s="103"/>
      <c r="AJ60" s="103"/>
      <c r="AK60" s="103"/>
    </row>
    <row r="61" spans="1:37" ht="10.5" customHeight="1" x14ac:dyDescent="0.25">
      <c r="A61" s="103"/>
      <c r="B61" s="103"/>
      <c r="C61" s="103"/>
      <c r="D61" s="103"/>
      <c r="E61" s="103"/>
      <c r="F61" s="103"/>
      <c r="G61" s="188">
        <v>0.5625</v>
      </c>
      <c r="H61" s="155">
        <f>'Warrant 2'!F68</f>
        <v>1678</v>
      </c>
      <c r="I61" s="155">
        <f>'Warrant 2'!I68</f>
        <v>133</v>
      </c>
      <c r="J61" s="176">
        <f t="shared" si="8"/>
        <v>1811</v>
      </c>
      <c r="K61" s="176">
        <f>'Warrant 2'!B68+'Warrant 2'!C68+'Warrant 2'!D68+'Warrant 2'!E68</f>
        <v>1811</v>
      </c>
      <c r="L61" s="188">
        <v>0.5625</v>
      </c>
      <c r="M61" s="315">
        <f t="shared" si="11"/>
        <v>150</v>
      </c>
      <c r="N61" s="314">
        <f t="shared" si="12"/>
        <v>100</v>
      </c>
      <c r="O61" s="311">
        <f t="shared" si="13"/>
        <v>-17</v>
      </c>
      <c r="P61" s="311">
        <f t="shared" si="14"/>
        <v>33</v>
      </c>
      <c r="Q61" s="311">
        <f t="shared" si="15"/>
        <v>0</v>
      </c>
      <c r="R61" s="311">
        <f t="shared" si="16"/>
        <v>0</v>
      </c>
      <c r="S61" s="311">
        <f t="shared" si="9"/>
        <v>0</v>
      </c>
      <c r="T61" s="311">
        <f t="shared" si="17"/>
        <v>0</v>
      </c>
      <c r="U61" s="311">
        <f t="shared" si="10"/>
        <v>0</v>
      </c>
      <c r="V61" s="311">
        <f t="shared" si="18"/>
        <v>0</v>
      </c>
      <c r="W61" s="188">
        <v>0.5625</v>
      </c>
      <c r="X61" s="103"/>
      <c r="Y61" s="103"/>
      <c r="Z61" s="103"/>
      <c r="AA61" s="103"/>
      <c r="AB61" s="103"/>
      <c r="AC61" s="103"/>
      <c r="AD61" s="103"/>
      <c r="AE61" s="103"/>
      <c r="AF61" s="103"/>
      <c r="AG61" s="103"/>
      <c r="AH61" s="103"/>
      <c r="AI61" s="103"/>
      <c r="AJ61" s="103"/>
      <c r="AK61" s="103"/>
    </row>
    <row r="62" spans="1:37" ht="10.5" customHeight="1" x14ac:dyDescent="0.25">
      <c r="A62" s="103"/>
      <c r="B62" s="103"/>
      <c r="C62" s="103"/>
      <c r="D62" s="103"/>
      <c r="E62" s="103"/>
      <c r="F62" s="103"/>
      <c r="G62" s="188">
        <v>0.57291666666666696</v>
      </c>
      <c r="H62" s="155">
        <f>'Warrant 2'!F69</f>
        <v>1723</v>
      </c>
      <c r="I62" s="155">
        <f>'Warrant 2'!I69</f>
        <v>127</v>
      </c>
      <c r="J62" s="176">
        <f t="shared" si="8"/>
        <v>1850</v>
      </c>
      <c r="K62" s="176">
        <f>'Warrant 2'!B69+'Warrant 2'!C69+'Warrant 2'!D69+'Warrant 2'!E69</f>
        <v>1850</v>
      </c>
      <c r="L62" s="188">
        <v>0.57291666666666696</v>
      </c>
      <c r="M62" s="315">
        <f t="shared" si="11"/>
        <v>150</v>
      </c>
      <c r="N62" s="314">
        <f t="shared" si="12"/>
        <v>100</v>
      </c>
      <c r="O62" s="311">
        <f t="shared" si="13"/>
        <v>-23</v>
      </c>
      <c r="P62" s="311">
        <f t="shared" si="14"/>
        <v>27</v>
      </c>
      <c r="Q62" s="311">
        <f t="shared" si="15"/>
        <v>0</v>
      </c>
      <c r="R62" s="311">
        <f t="shared" si="16"/>
        <v>0</v>
      </c>
      <c r="S62" s="311">
        <f t="shared" si="9"/>
        <v>0</v>
      </c>
      <c r="T62" s="311">
        <f t="shared" si="17"/>
        <v>0</v>
      </c>
      <c r="U62" s="311">
        <f t="shared" si="10"/>
        <v>0</v>
      </c>
      <c r="V62" s="311">
        <f t="shared" si="18"/>
        <v>0</v>
      </c>
      <c r="W62" s="188">
        <v>0.57291666666666696</v>
      </c>
      <c r="X62" s="103"/>
      <c r="Y62" s="103"/>
      <c r="Z62" s="103"/>
      <c r="AA62" s="103"/>
      <c r="AB62" s="103"/>
      <c r="AC62" s="103"/>
      <c r="AD62" s="103"/>
      <c r="AE62" s="103"/>
      <c r="AF62" s="103"/>
      <c r="AG62" s="103"/>
      <c r="AH62" s="103"/>
      <c r="AI62" s="103"/>
      <c r="AJ62" s="103"/>
      <c r="AK62" s="103"/>
    </row>
    <row r="63" spans="1:37" ht="10.050000000000001" customHeight="1" x14ac:dyDescent="0.25">
      <c r="A63" s="103"/>
      <c r="B63" s="103"/>
      <c r="C63" s="103"/>
      <c r="D63" s="103"/>
      <c r="E63" s="103"/>
      <c r="F63" s="103"/>
      <c r="G63" s="188">
        <v>0.58333333333333304</v>
      </c>
      <c r="H63" s="155">
        <f>'Warrant 2'!F70</f>
        <v>1792</v>
      </c>
      <c r="I63" s="155">
        <f>'Warrant 2'!I70</f>
        <v>119</v>
      </c>
      <c r="J63" s="176">
        <f t="shared" si="8"/>
        <v>1911</v>
      </c>
      <c r="K63" s="176">
        <f>'Warrant 2'!B70+'Warrant 2'!C70+'Warrant 2'!D70+'Warrant 2'!E70</f>
        <v>1911</v>
      </c>
      <c r="L63" s="188">
        <v>0.58333333333333304</v>
      </c>
      <c r="M63" s="315">
        <f t="shared" si="11"/>
        <v>150</v>
      </c>
      <c r="N63" s="314">
        <f t="shared" si="12"/>
        <v>100</v>
      </c>
      <c r="O63" s="311">
        <f t="shared" si="13"/>
        <v>-31</v>
      </c>
      <c r="P63" s="311">
        <f t="shared" si="14"/>
        <v>19</v>
      </c>
      <c r="Q63" s="311">
        <f t="shared" si="15"/>
        <v>0</v>
      </c>
      <c r="R63" s="311">
        <f t="shared" si="16"/>
        <v>0</v>
      </c>
      <c r="S63" s="311">
        <f t="shared" si="9"/>
        <v>0</v>
      </c>
      <c r="T63" s="311">
        <f t="shared" si="17"/>
        <v>0</v>
      </c>
      <c r="U63" s="311">
        <f t="shared" si="10"/>
        <v>0</v>
      </c>
      <c r="V63" s="311">
        <f t="shared" si="18"/>
        <v>0</v>
      </c>
      <c r="W63" s="188">
        <v>0.58333333333333304</v>
      </c>
      <c r="X63" s="103"/>
      <c r="Y63" s="103"/>
      <c r="Z63" s="103"/>
      <c r="AA63" s="103"/>
      <c r="AB63" s="103"/>
      <c r="AC63" s="103"/>
      <c r="AD63" s="103"/>
      <c r="AE63" s="103"/>
      <c r="AF63" s="103"/>
      <c r="AG63" s="103"/>
      <c r="AH63" s="103"/>
      <c r="AI63" s="103"/>
      <c r="AJ63" s="103"/>
      <c r="AK63" s="103"/>
    </row>
    <row r="64" spans="1:37" ht="10.050000000000001" customHeight="1" x14ac:dyDescent="0.25">
      <c r="A64" s="103"/>
      <c r="B64" s="103"/>
      <c r="C64" s="103"/>
      <c r="D64" s="103"/>
      <c r="E64" s="103"/>
      <c r="F64" s="103"/>
      <c r="G64" s="188">
        <v>0.59375</v>
      </c>
      <c r="H64" s="155">
        <f>'Warrant 2'!F71</f>
        <v>1854</v>
      </c>
      <c r="I64" s="155">
        <f>'Warrant 2'!I71</f>
        <v>132</v>
      </c>
      <c r="J64" s="176">
        <f t="shared" si="8"/>
        <v>1986</v>
      </c>
      <c r="K64" s="176">
        <f>'Warrant 2'!B71+'Warrant 2'!C71+'Warrant 2'!D71+'Warrant 2'!E71</f>
        <v>1986</v>
      </c>
      <c r="L64" s="188">
        <v>0.59375</v>
      </c>
      <c r="M64" s="315">
        <f t="shared" si="11"/>
        <v>150</v>
      </c>
      <c r="N64" s="314">
        <f t="shared" si="12"/>
        <v>100</v>
      </c>
      <c r="O64" s="311">
        <f t="shared" si="13"/>
        <v>-18</v>
      </c>
      <c r="P64" s="311">
        <f t="shared" si="14"/>
        <v>32</v>
      </c>
      <c r="Q64" s="311">
        <f t="shared" si="15"/>
        <v>0</v>
      </c>
      <c r="R64" s="311">
        <f t="shared" si="16"/>
        <v>0</v>
      </c>
      <c r="S64" s="311">
        <f t="shared" si="9"/>
        <v>0</v>
      </c>
      <c r="T64" s="311">
        <f t="shared" si="17"/>
        <v>0</v>
      </c>
      <c r="U64" s="311">
        <f t="shared" si="10"/>
        <v>0</v>
      </c>
      <c r="V64" s="311">
        <f t="shared" si="18"/>
        <v>0</v>
      </c>
      <c r="W64" s="188">
        <v>0.59375</v>
      </c>
      <c r="X64" s="103"/>
      <c r="Y64" s="103"/>
      <c r="Z64" s="103"/>
      <c r="AA64" s="103"/>
      <c r="AB64" s="103"/>
      <c r="AC64" s="103"/>
      <c r="AD64" s="103"/>
      <c r="AE64" s="103"/>
      <c r="AF64" s="103"/>
      <c r="AG64" s="103"/>
      <c r="AH64" s="103"/>
      <c r="AI64" s="103"/>
      <c r="AJ64" s="103"/>
      <c r="AK64" s="103"/>
    </row>
    <row r="65" spans="1:37" ht="10.050000000000001" customHeight="1" x14ac:dyDescent="0.25">
      <c r="A65" s="103"/>
      <c r="B65" s="103"/>
      <c r="C65" s="103"/>
      <c r="D65" s="103"/>
      <c r="E65" s="103"/>
      <c r="F65" s="103"/>
      <c r="G65" s="188">
        <v>0.60416666666666696</v>
      </c>
      <c r="H65" s="155">
        <f>'Warrant 2'!F72</f>
        <v>1955</v>
      </c>
      <c r="I65" s="155">
        <f>'Warrant 2'!I72</f>
        <v>122</v>
      </c>
      <c r="J65" s="176">
        <f t="shared" si="8"/>
        <v>2077</v>
      </c>
      <c r="K65" s="176">
        <f>'Warrant 2'!B72+'Warrant 2'!C72+'Warrant 2'!D72+'Warrant 2'!E72</f>
        <v>2077</v>
      </c>
      <c r="L65" s="188">
        <v>0.60416666666666696</v>
      </c>
      <c r="M65" s="315">
        <f t="shared" si="11"/>
        <v>150</v>
      </c>
      <c r="N65" s="314">
        <f t="shared" si="12"/>
        <v>100</v>
      </c>
      <c r="O65" s="311">
        <f t="shared" si="13"/>
        <v>-28</v>
      </c>
      <c r="P65" s="311">
        <f t="shared" si="14"/>
        <v>22</v>
      </c>
      <c r="Q65" s="311">
        <f t="shared" si="15"/>
        <v>0</v>
      </c>
      <c r="R65" s="311">
        <f t="shared" si="16"/>
        <v>0</v>
      </c>
      <c r="S65" s="311">
        <f t="shared" si="9"/>
        <v>0</v>
      </c>
      <c r="T65" s="311">
        <f t="shared" si="17"/>
        <v>0</v>
      </c>
      <c r="U65" s="311">
        <f t="shared" si="10"/>
        <v>0</v>
      </c>
      <c r="V65" s="311">
        <f t="shared" si="18"/>
        <v>0</v>
      </c>
      <c r="W65" s="188">
        <v>0.60416666666666696</v>
      </c>
      <c r="X65" s="103"/>
      <c r="Y65" s="103"/>
      <c r="Z65" s="103"/>
      <c r="AA65" s="103"/>
      <c r="AB65" s="103"/>
      <c r="AC65" s="103"/>
      <c r="AD65" s="103"/>
      <c r="AE65" s="103"/>
      <c r="AF65" s="103"/>
      <c r="AG65" s="103"/>
      <c r="AH65" s="103"/>
      <c r="AI65" s="103"/>
      <c r="AJ65" s="103"/>
      <c r="AK65" s="103"/>
    </row>
    <row r="66" spans="1:37" ht="10.050000000000001" customHeight="1" x14ac:dyDescent="0.25">
      <c r="A66" s="103"/>
      <c r="B66" s="103"/>
      <c r="C66" s="103"/>
      <c r="D66" s="103"/>
      <c r="E66" s="103"/>
      <c r="F66" s="103"/>
      <c r="G66" s="188">
        <v>0.61458333333333304</v>
      </c>
      <c r="H66" s="155">
        <f>'Warrant 2'!F73</f>
        <v>2024</v>
      </c>
      <c r="I66" s="155">
        <f>'Warrant 2'!I73</f>
        <v>130</v>
      </c>
      <c r="J66" s="176">
        <f t="shared" si="8"/>
        <v>2154</v>
      </c>
      <c r="K66" s="176">
        <f>'Warrant 2'!B73+'Warrant 2'!C73+'Warrant 2'!D73+'Warrant 2'!E73</f>
        <v>2154</v>
      </c>
      <c r="L66" s="188">
        <v>0.61458333333333304</v>
      </c>
      <c r="M66" s="315">
        <f t="shared" si="11"/>
        <v>150</v>
      </c>
      <c r="N66" s="314">
        <f t="shared" si="12"/>
        <v>100</v>
      </c>
      <c r="O66" s="311">
        <f t="shared" si="13"/>
        <v>-20</v>
      </c>
      <c r="P66" s="311">
        <f t="shared" si="14"/>
        <v>30</v>
      </c>
      <c r="Q66" s="311">
        <f t="shared" si="15"/>
        <v>0</v>
      </c>
      <c r="R66" s="311">
        <f t="shared" si="16"/>
        <v>0</v>
      </c>
      <c r="S66" s="311">
        <f t="shared" si="9"/>
        <v>0</v>
      </c>
      <c r="T66" s="311">
        <f t="shared" si="17"/>
        <v>0</v>
      </c>
      <c r="U66" s="311">
        <f t="shared" si="10"/>
        <v>0</v>
      </c>
      <c r="V66" s="311">
        <f t="shared" si="18"/>
        <v>0</v>
      </c>
      <c r="W66" s="188">
        <v>0.61458333333333304</v>
      </c>
      <c r="X66" s="103"/>
      <c r="Y66" s="103"/>
      <c r="Z66" s="103"/>
      <c r="AA66" s="103"/>
      <c r="AB66" s="103"/>
      <c r="AC66" s="103"/>
      <c r="AD66" s="103"/>
      <c r="AE66" s="103"/>
      <c r="AF66" s="103"/>
      <c r="AG66" s="103"/>
      <c r="AH66" s="103"/>
      <c r="AI66" s="103"/>
      <c r="AJ66" s="103"/>
      <c r="AK66" s="103"/>
    </row>
    <row r="67" spans="1:37" ht="10.050000000000001" customHeight="1" x14ac:dyDescent="0.25">
      <c r="A67" s="103"/>
      <c r="B67" s="103"/>
      <c r="C67" s="103"/>
      <c r="D67" s="103"/>
      <c r="E67" s="103"/>
      <c r="F67" s="103"/>
      <c r="G67" s="188">
        <v>0.625</v>
      </c>
      <c r="H67" s="155">
        <f>'Warrant 2'!F74</f>
        <v>2035</v>
      </c>
      <c r="I67" s="155">
        <f>'Warrant 2'!I74</f>
        <v>141</v>
      </c>
      <c r="J67" s="176">
        <f t="shared" si="8"/>
        <v>2176</v>
      </c>
      <c r="K67" s="176">
        <f>'Warrant 2'!B74+'Warrant 2'!C74+'Warrant 2'!D74+'Warrant 2'!E74</f>
        <v>2176</v>
      </c>
      <c r="L67" s="188">
        <v>0.625</v>
      </c>
      <c r="M67" s="315">
        <f t="shared" si="11"/>
        <v>150</v>
      </c>
      <c r="N67" s="314">
        <f t="shared" si="12"/>
        <v>100</v>
      </c>
      <c r="O67" s="311">
        <f t="shared" si="13"/>
        <v>-9</v>
      </c>
      <c r="P67" s="311">
        <f t="shared" si="14"/>
        <v>41</v>
      </c>
      <c r="Q67" s="311">
        <f t="shared" si="15"/>
        <v>0</v>
      </c>
      <c r="R67" s="311">
        <f t="shared" si="16"/>
        <v>0</v>
      </c>
      <c r="S67" s="311">
        <f t="shared" si="9"/>
        <v>0</v>
      </c>
      <c r="T67" s="311">
        <f t="shared" si="17"/>
        <v>0</v>
      </c>
      <c r="U67" s="311">
        <f t="shared" si="10"/>
        <v>0</v>
      </c>
      <c r="V67" s="311">
        <f t="shared" si="18"/>
        <v>0</v>
      </c>
      <c r="W67" s="188">
        <v>0.625</v>
      </c>
      <c r="X67" s="103"/>
      <c r="Y67" s="103"/>
      <c r="Z67" s="103"/>
      <c r="AA67" s="103"/>
      <c r="AB67" s="103"/>
      <c r="AC67" s="103"/>
      <c r="AD67" s="103"/>
      <c r="AE67" s="103"/>
      <c r="AF67" s="103"/>
      <c r="AG67" s="103"/>
      <c r="AH67" s="103"/>
      <c r="AI67" s="103"/>
      <c r="AJ67" s="103"/>
      <c r="AK67" s="103"/>
    </row>
    <row r="68" spans="1:37" ht="10.050000000000001" customHeight="1" x14ac:dyDescent="0.25">
      <c r="A68" s="103"/>
      <c r="B68" s="103"/>
      <c r="C68" s="103"/>
      <c r="D68" s="103"/>
      <c r="E68" s="103"/>
      <c r="F68" s="103"/>
      <c r="G68" s="188">
        <v>0.63541666666666696</v>
      </c>
      <c r="H68" s="155">
        <f>'Warrant 2'!F75</f>
        <v>2048</v>
      </c>
      <c r="I68" s="155">
        <f>'Warrant 2'!I75</f>
        <v>154</v>
      </c>
      <c r="J68" s="176">
        <f t="shared" si="8"/>
        <v>2202</v>
      </c>
      <c r="K68" s="176">
        <f>'Warrant 2'!B75+'Warrant 2'!C75+'Warrant 2'!D75+'Warrant 2'!E75</f>
        <v>2202</v>
      </c>
      <c r="L68" s="188">
        <v>0.63541666666666696</v>
      </c>
      <c r="M68" s="315">
        <f t="shared" si="11"/>
        <v>150</v>
      </c>
      <c r="N68" s="314">
        <f t="shared" si="12"/>
        <v>100</v>
      </c>
      <c r="O68" s="311">
        <f t="shared" si="13"/>
        <v>4</v>
      </c>
      <c r="P68" s="311">
        <f t="shared" si="14"/>
        <v>54</v>
      </c>
      <c r="Q68" s="311">
        <f t="shared" si="15"/>
        <v>0</v>
      </c>
      <c r="R68" s="311">
        <f t="shared" si="16"/>
        <v>0</v>
      </c>
      <c r="S68" s="311">
        <f t="shared" si="9"/>
        <v>0</v>
      </c>
      <c r="T68" s="311">
        <f t="shared" si="17"/>
        <v>0</v>
      </c>
      <c r="U68" s="311">
        <f t="shared" si="10"/>
        <v>0</v>
      </c>
      <c r="V68" s="311">
        <f t="shared" si="18"/>
        <v>0</v>
      </c>
      <c r="W68" s="188">
        <v>0.63541666666666696</v>
      </c>
      <c r="X68" s="103"/>
      <c r="Y68" s="103"/>
      <c r="Z68" s="103"/>
      <c r="AA68" s="103"/>
      <c r="AB68" s="103"/>
      <c r="AC68" s="103"/>
      <c r="AD68" s="103"/>
      <c r="AE68" s="103"/>
      <c r="AF68" s="103"/>
      <c r="AG68" s="103"/>
      <c r="AH68" s="103"/>
      <c r="AI68" s="103"/>
      <c r="AJ68" s="103"/>
      <c r="AK68" s="103"/>
    </row>
    <row r="69" spans="1:37" ht="10.050000000000001" customHeight="1" x14ac:dyDescent="0.25">
      <c r="A69" s="103"/>
      <c r="B69" s="103"/>
      <c r="C69" s="103"/>
      <c r="D69" s="103"/>
      <c r="E69" s="103"/>
      <c r="F69" s="103"/>
      <c r="G69" s="188">
        <v>0.64583333333333304</v>
      </c>
      <c r="H69" s="155">
        <f>'Warrant 2'!F76</f>
        <v>2160</v>
      </c>
      <c r="I69" s="155">
        <f>'Warrant 2'!I76</f>
        <v>163</v>
      </c>
      <c r="J69" s="176">
        <f t="shared" si="8"/>
        <v>2323</v>
      </c>
      <c r="K69" s="176">
        <f>'Warrant 2'!B76+'Warrant 2'!C76+'Warrant 2'!D76+'Warrant 2'!E76</f>
        <v>2323</v>
      </c>
      <c r="L69" s="188">
        <v>0.64583333333333304</v>
      </c>
      <c r="M69" s="315">
        <f t="shared" si="11"/>
        <v>150</v>
      </c>
      <c r="N69" s="314">
        <f t="shared" si="12"/>
        <v>100</v>
      </c>
      <c r="O69" s="311">
        <f t="shared" si="13"/>
        <v>13</v>
      </c>
      <c r="P69" s="311">
        <f t="shared" si="14"/>
        <v>63</v>
      </c>
      <c r="Q69" s="311">
        <f t="shared" si="15"/>
        <v>0</v>
      </c>
      <c r="R69" s="311">
        <f t="shared" si="16"/>
        <v>0</v>
      </c>
      <c r="S69" s="311">
        <f t="shared" si="9"/>
        <v>0</v>
      </c>
      <c r="T69" s="311">
        <f t="shared" si="17"/>
        <v>0</v>
      </c>
      <c r="U69" s="311">
        <f t="shared" si="10"/>
        <v>0</v>
      </c>
      <c r="V69" s="311">
        <f t="shared" si="18"/>
        <v>0</v>
      </c>
      <c r="W69" s="188">
        <v>0.64583333333333304</v>
      </c>
      <c r="X69" s="103"/>
      <c r="Y69" s="103"/>
      <c r="Z69" s="103"/>
      <c r="AA69" s="103"/>
      <c r="AB69" s="103"/>
      <c r="AC69" s="103"/>
      <c r="AD69" s="103"/>
      <c r="AE69" s="103"/>
      <c r="AF69" s="103"/>
      <c r="AG69" s="103"/>
      <c r="AH69" s="103"/>
      <c r="AI69" s="103"/>
      <c r="AJ69" s="103"/>
      <c r="AK69" s="103"/>
    </row>
    <row r="70" spans="1:37" ht="10.050000000000001" customHeight="1" x14ac:dyDescent="0.25">
      <c r="A70" s="103"/>
      <c r="B70" s="103"/>
      <c r="C70" s="103"/>
      <c r="D70" s="103"/>
      <c r="E70" s="103"/>
      <c r="F70" s="103"/>
      <c r="G70" s="188">
        <v>0.65625</v>
      </c>
      <c r="H70" s="155">
        <f>'Warrant 2'!F77</f>
        <v>2260</v>
      </c>
      <c r="I70" s="155">
        <f>'Warrant 2'!I77</f>
        <v>176</v>
      </c>
      <c r="J70" s="176">
        <f t="shared" si="8"/>
        <v>2436</v>
      </c>
      <c r="K70" s="176">
        <f>'Warrant 2'!B77+'Warrant 2'!C77+'Warrant 2'!D77+'Warrant 2'!E77</f>
        <v>2436</v>
      </c>
      <c r="L70" s="188">
        <v>0.65625</v>
      </c>
      <c r="M70" s="315">
        <f t="shared" si="11"/>
        <v>150</v>
      </c>
      <c r="N70" s="314">
        <f t="shared" si="12"/>
        <v>100</v>
      </c>
      <c r="O70" s="311">
        <f t="shared" si="13"/>
        <v>26</v>
      </c>
      <c r="P70" s="311">
        <f t="shared" si="14"/>
        <v>76</v>
      </c>
      <c r="Q70" s="311">
        <f t="shared" si="15"/>
        <v>0</v>
      </c>
      <c r="R70" s="311">
        <f t="shared" si="16"/>
        <v>0</v>
      </c>
      <c r="S70" s="311">
        <f t="shared" si="9"/>
        <v>0</v>
      </c>
      <c r="T70" s="311">
        <f t="shared" si="17"/>
        <v>0</v>
      </c>
      <c r="U70" s="311">
        <f t="shared" si="10"/>
        <v>0</v>
      </c>
      <c r="V70" s="311">
        <f t="shared" si="18"/>
        <v>0</v>
      </c>
      <c r="W70" s="188">
        <v>0.65625</v>
      </c>
      <c r="X70" s="103"/>
      <c r="Y70" s="103"/>
      <c r="Z70" s="103"/>
      <c r="AA70" s="103"/>
      <c r="AB70" s="103"/>
      <c r="AC70" s="103"/>
      <c r="AD70" s="103"/>
      <c r="AE70" s="103"/>
      <c r="AF70" s="103"/>
      <c r="AG70" s="103"/>
      <c r="AH70" s="103"/>
      <c r="AI70" s="103"/>
      <c r="AJ70" s="103"/>
      <c r="AK70" s="103"/>
    </row>
    <row r="71" spans="1:37" ht="10.050000000000001" customHeight="1" x14ac:dyDescent="0.25">
      <c r="A71" s="103"/>
      <c r="B71" s="103"/>
      <c r="C71" s="103"/>
      <c r="D71" s="103"/>
      <c r="E71" s="103"/>
      <c r="F71" s="103"/>
      <c r="G71" s="188">
        <v>0.66666666666666696</v>
      </c>
      <c r="H71" s="155">
        <f>'Warrant 2'!F78</f>
        <v>2311</v>
      </c>
      <c r="I71" s="155">
        <f>'Warrant 2'!I78</f>
        <v>179</v>
      </c>
      <c r="J71" s="176">
        <f t="shared" si="8"/>
        <v>2490</v>
      </c>
      <c r="K71" s="176">
        <f>'Warrant 2'!B78+'Warrant 2'!C78+'Warrant 2'!D78+'Warrant 2'!E78</f>
        <v>2490</v>
      </c>
      <c r="L71" s="188">
        <v>0.66666666666666696</v>
      </c>
      <c r="M71" s="315">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150</v>
      </c>
      <c r="N71" s="314">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100</v>
      </c>
      <c r="O71" s="311">
        <f t="shared" ref="O71:O102" si="21">I71-M71</f>
        <v>29</v>
      </c>
      <c r="P71" s="311">
        <f t="shared" ref="P71:P102" si="22">I71-N71</f>
        <v>79</v>
      </c>
      <c r="Q71" s="311">
        <f t="shared" ref="Q71:Q103" si="23">IF(O71=MAX($O$7:$O$102),H71,0)</f>
        <v>0</v>
      </c>
      <c r="R71" s="311">
        <f t="shared" ref="R71:R103" si="24">IF(P71=MAX($P$7:$P$102),H71,0)</f>
        <v>0</v>
      </c>
      <c r="S71" s="311">
        <f t="shared" si="9"/>
        <v>0</v>
      </c>
      <c r="T71" s="311">
        <f t="shared" ref="T71:T102" si="25">IF(Q71=MAX($Q$7:$Q$102),I71,0)</f>
        <v>0</v>
      </c>
      <c r="U71" s="311">
        <f t="shared" si="10"/>
        <v>0</v>
      </c>
      <c r="V71" s="311">
        <f t="shared" ref="V71:V103" si="26">IF(R71=MAX($R$7:$R$102),I71,0)</f>
        <v>0</v>
      </c>
      <c r="W71" s="188">
        <v>0.66666666666666696</v>
      </c>
      <c r="X71" s="103"/>
      <c r="Y71" s="103"/>
      <c r="Z71" s="103"/>
      <c r="AA71" s="103"/>
      <c r="AB71" s="103"/>
      <c r="AC71" s="103"/>
      <c r="AD71" s="103"/>
      <c r="AE71" s="103"/>
      <c r="AF71" s="103"/>
      <c r="AG71" s="103"/>
      <c r="AH71" s="103"/>
      <c r="AI71" s="103"/>
      <c r="AJ71" s="103"/>
      <c r="AK71" s="103"/>
    </row>
    <row r="72" spans="1:37" ht="10.050000000000001" customHeight="1" x14ac:dyDescent="0.25">
      <c r="A72" s="103"/>
      <c r="B72" s="103"/>
      <c r="C72" s="103"/>
      <c r="D72" s="103"/>
      <c r="E72" s="103"/>
      <c r="F72" s="103"/>
      <c r="G72" s="188">
        <v>0.67708333333333304</v>
      </c>
      <c r="H72" s="155">
        <f>'Warrant 2'!F79</f>
        <v>2425</v>
      </c>
      <c r="I72" s="155">
        <f>'Warrant 2'!I79</f>
        <v>176</v>
      </c>
      <c r="J72" s="176">
        <f t="shared" ref="J72:J102" si="27">SUM(H72:I72)</f>
        <v>2601</v>
      </c>
      <c r="K72" s="176">
        <f>'Warrant 2'!B79+'Warrant 2'!C79+'Warrant 2'!D79+'Warrant 2'!E79</f>
        <v>2601</v>
      </c>
      <c r="L72" s="188">
        <v>0.67708333333333304</v>
      </c>
      <c r="M72" s="315">
        <f t="shared" si="19"/>
        <v>150</v>
      </c>
      <c r="N72" s="314">
        <f t="shared" si="20"/>
        <v>100</v>
      </c>
      <c r="O72" s="311">
        <f t="shared" si="21"/>
        <v>26</v>
      </c>
      <c r="P72" s="311">
        <f t="shared" si="22"/>
        <v>76</v>
      </c>
      <c r="Q72" s="311">
        <f t="shared" si="23"/>
        <v>0</v>
      </c>
      <c r="R72" s="311">
        <f t="shared" si="24"/>
        <v>0</v>
      </c>
      <c r="S72" s="311">
        <f t="shared" ref="S72:S102" si="28">IF(Q72=MAX($Q$7:$Q$102),Q72,0)</f>
        <v>0</v>
      </c>
      <c r="T72" s="311">
        <f t="shared" si="25"/>
        <v>0</v>
      </c>
      <c r="U72" s="311">
        <f t="shared" ref="U72:U102" si="29">IF(R72=MAX($R$7:$R$102),R72,0)</f>
        <v>0</v>
      </c>
      <c r="V72" s="311">
        <f t="shared" si="26"/>
        <v>0</v>
      </c>
      <c r="W72" s="188">
        <v>0.67708333333333304</v>
      </c>
      <c r="X72" s="103"/>
      <c r="Y72" s="103"/>
      <c r="Z72" s="103"/>
      <c r="AA72" s="103"/>
      <c r="AB72" s="103"/>
      <c r="AC72" s="103"/>
      <c r="AD72" s="103"/>
      <c r="AE72" s="103"/>
      <c r="AF72" s="103"/>
      <c r="AG72" s="103"/>
      <c r="AH72" s="103"/>
      <c r="AI72" s="103"/>
      <c r="AJ72" s="103"/>
      <c r="AK72" s="103"/>
    </row>
    <row r="73" spans="1:37" ht="10.050000000000001" customHeight="1" x14ac:dyDescent="0.25">
      <c r="A73" s="103"/>
      <c r="B73" s="103"/>
      <c r="C73" s="103"/>
      <c r="D73" s="103"/>
      <c r="E73" s="103"/>
      <c r="F73" s="103"/>
      <c r="G73" s="188">
        <v>0.6875</v>
      </c>
      <c r="H73" s="155">
        <f>'Warrant 2'!F80</f>
        <v>2434</v>
      </c>
      <c r="I73" s="155">
        <f>'Warrant 2'!I80</f>
        <v>171</v>
      </c>
      <c r="J73" s="176">
        <f t="shared" si="27"/>
        <v>2605</v>
      </c>
      <c r="K73" s="176">
        <f>'Warrant 2'!B80+'Warrant 2'!C80+'Warrant 2'!D80+'Warrant 2'!E80</f>
        <v>2605</v>
      </c>
      <c r="L73" s="188">
        <v>0.6875</v>
      </c>
      <c r="M73" s="315">
        <f t="shared" si="19"/>
        <v>150</v>
      </c>
      <c r="N73" s="314">
        <f t="shared" si="20"/>
        <v>100</v>
      </c>
      <c r="O73" s="311">
        <f t="shared" si="21"/>
        <v>21</v>
      </c>
      <c r="P73" s="311">
        <f t="shared" si="22"/>
        <v>71</v>
      </c>
      <c r="Q73" s="311">
        <f t="shared" si="23"/>
        <v>0</v>
      </c>
      <c r="R73" s="311">
        <f t="shared" si="24"/>
        <v>0</v>
      </c>
      <c r="S73" s="311">
        <f t="shared" si="28"/>
        <v>0</v>
      </c>
      <c r="T73" s="311">
        <f t="shared" si="25"/>
        <v>0</v>
      </c>
      <c r="U73" s="311">
        <f t="shared" si="29"/>
        <v>0</v>
      </c>
      <c r="V73" s="311">
        <f t="shared" si="26"/>
        <v>0</v>
      </c>
      <c r="W73" s="188">
        <v>0.6875</v>
      </c>
      <c r="X73" s="103"/>
      <c r="Y73" s="103"/>
      <c r="Z73" s="103"/>
      <c r="AA73" s="103"/>
      <c r="AB73" s="103"/>
      <c r="AC73" s="103"/>
      <c r="AD73" s="103"/>
      <c r="AE73" s="103"/>
      <c r="AF73" s="103"/>
      <c r="AG73" s="103"/>
      <c r="AH73" s="103"/>
      <c r="AI73" s="103"/>
      <c r="AJ73" s="103"/>
      <c r="AK73" s="103"/>
    </row>
    <row r="74" spans="1:37" ht="10.050000000000001" customHeight="1" x14ac:dyDescent="0.25">
      <c r="A74" s="103"/>
      <c r="B74" s="103"/>
      <c r="C74" s="103"/>
      <c r="D74" s="103"/>
      <c r="E74" s="103"/>
      <c r="F74" s="103"/>
      <c r="G74" s="188">
        <v>0.69791666666666696</v>
      </c>
      <c r="H74" s="155">
        <f>'Warrant 2'!F81</f>
        <v>2440</v>
      </c>
      <c r="I74" s="155">
        <f>'Warrant 2'!I81</f>
        <v>167</v>
      </c>
      <c r="J74" s="176">
        <f t="shared" si="27"/>
        <v>2607</v>
      </c>
      <c r="K74" s="176">
        <f>'Warrant 2'!B81+'Warrant 2'!C81+'Warrant 2'!D81+'Warrant 2'!E81</f>
        <v>2607</v>
      </c>
      <c r="L74" s="188">
        <v>0.69791666666666696</v>
      </c>
      <c r="M74" s="315">
        <f t="shared" si="19"/>
        <v>150</v>
      </c>
      <c r="N74" s="314">
        <f t="shared" si="20"/>
        <v>100</v>
      </c>
      <c r="O74" s="311">
        <f t="shared" si="21"/>
        <v>17</v>
      </c>
      <c r="P74" s="311">
        <f t="shared" si="22"/>
        <v>67</v>
      </c>
      <c r="Q74" s="311">
        <f t="shared" si="23"/>
        <v>0</v>
      </c>
      <c r="R74" s="311">
        <f t="shared" si="24"/>
        <v>0</v>
      </c>
      <c r="S74" s="311">
        <f t="shared" si="28"/>
        <v>0</v>
      </c>
      <c r="T74" s="311">
        <f t="shared" si="25"/>
        <v>0</v>
      </c>
      <c r="U74" s="311">
        <f t="shared" si="29"/>
        <v>0</v>
      </c>
      <c r="V74" s="311">
        <f t="shared" si="26"/>
        <v>0</v>
      </c>
      <c r="W74" s="188">
        <v>0.69791666666666696</v>
      </c>
      <c r="X74" s="103"/>
      <c r="Y74" s="103"/>
      <c r="Z74" s="103"/>
      <c r="AA74" s="103"/>
      <c r="AB74" s="103"/>
      <c r="AC74" s="103"/>
      <c r="AD74" s="103"/>
      <c r="AE74" s="103"/>
      <c r="AF74" s="103"/>
      <c r="AG74" s="103"/>
      <c r="AH74" s="103"/>
      <c r="AI74" s="103"/>
      <c r="AJ74" s="103"/>
      <c r="AK74" s="103"/>
    </row>
    <row r="75" spans="1:37" ht="10.050000000000001" customHeight="1" x14ac:dyDescent="0.25">
      <c r="A75" s="103"/>
      <c r="B75" s="103"/>
      <c r="C75" s="103"/>
      <c r="D75" s="103"/>
      <c r="E75" s="103"/>
      <c r="F75" s="103"/>
      <c r="G75" s="188">
        <v>0.70833333333333304</v>
      </c>
      <c r="H75" s="155">
        <f>'Warrant 2'!F82</f>
        <v>2458</v>
      </c>
      <c r="I75" s="155">
        <f>'Warrant 2'!I82</f>
        <v>153</v>
      </c>
      <c r="J75" s="176">
        <f t="shared" si="27"/>
        <v>2611</v>
      </c>
      <c r="K75" s="176">
        <f>'Warrant 2'!B82+'Warrant 2'!C82+'Warrant 2'!D82+'Warrant 2'!E82</f>
        <v>2611</v>
      </c>
      <c r="L75" s="188">
        <v>0.70833333333333304</v>
      </c>
      <c r="M75" s="315">
        <f t="shared" si="19"/>
        <v>150</v>
      </c>
      <c r="N75" s="314">
        <f t="shared" si="20"/>
        <v>100</v>
      </c>
      <c r="O75" s="311">
        <f t="shared" si="21"/>
        <v>3</v>
      </c>
      <c r="P75" s="311">
        <f t="shared" si="22"/>
        <v>53</v>
      </c>
      <c r="Q75" s="311">
        <f t="shared" si="23"/>
        <v>0</v>
      </c>
      <c r="R75" s="311">
        <f t="shared" si="24"/>
        <v>0</v>
      </c>
      <c r="S75" s="311">
        <f t="shared" si="28"/>
        <v>0</v>
      </c>
      <c r="T75" s="311">
        <f t="shared" si="25"/>
        <v>0</v>
      </c>
      <c r="U75" s="311">
        <f t="shared" si="29"/>
        <v>0</v>
      </c>
      <c r="V75" s="311">
        <f t="shared" si="26"/>
        <v>0</v>
      </c>
      <c r="W75" s="188">
        <v>0.70833333333333304</v>
      </c>
      <c r="X75" s="103"/>
      <c r="Y75" s="103"/>
      <c r="Z75" s="103"/>
      <c r="AA75" s="103"/>
      <c r="AB75" s="103"/>
      <c r="AC75" s="103"/>
      <c r="AD75" s="103"/>
      <c r="AE75" s="103"/>
      <c r="AF75" s="103"/>
      <c r="AG75" s="103"/>
      <c r="AH75" s="103"/>
      <c r="AI75" s="103"/>
      <c r="AJ75" s="103"/>
      <c r="AK75" s="103"/>
    </row>
    <row r="76" spans="1:37" ht="10.050000000000001" customHeight="1" x14ac:dyDescent="0.25">
      <c r="A76" s="103"/>
      <c r="B76" s="103"/>
      <c r="C76" s="103"/>
      <c r="D76" s="103"/>
      <c r="E76" s="103"/>
      <c r="F76" s="103"/>
      <c r="G76" s="188">
        <v>0.71875</v>
      </c>
      <c r="H76" s="155">
        <f>'Warrant 2'!F83</f>
        <v>2332</v>
      </c>
      <c r="I76" s="155">
        <f>'Warrant 2'!I83</f>
        <v>158</v>
      </c>
      <c r="J76" s="176">
        <f t="shared" si="27"/>
        <v>2490</v>
      </c>
      <c r="K76" s="176">
        <f>'Warrant 2'!B83+'Warrant 2'!C83+'Warrant 2'!D83+'Warrant 2'!E83</f>
        <v>2490</v>
      </c>
      <c r="L76" s="188">
        <v>0.71875</v>
      </c>
      <c r="M76" s="315">
        <f t="shared" si="19"/>
        <v>150</v>
      </c>
      <c r="N76" s="314">
        <f t="shared" si="20"/>
        <v>100</v>
      </c>
      <c r="O76" s="311">
        <f t="shared" si="21"/>
        <v>8</v>
      </c>
      <c r="P76" s="311">
        <f t="shared" si="22"/>
        <v>58</v>
      </c>
      <c r="Q76" s="311">
        <f t="shared" si="23"/>
        <v>0</v>
      </c>
      <c r="R76" s="311">
        <f t="shared" si="24"/>
        <v>0</v>
      </c>
      <c r="S76" s="311">
        <f t="shared" si="28"/>
        <v>0</v>
      </c>
      <c r="T76" s="311">
        <f t="shared" si="25"/>
        <v>0</v>
      </c>
      <c r="U76" s="311">
        <f t="shared" si="29"/>
        <v>0</v>
      </c>
      <c r="V76" s="311">
        <f t="shared" si="26"/>
        <v>0</v>
      </c>
      <c r="W76" s="188">
        <v>0.71875</v>
      </c>
      <c r="X76" s="103"/>
      <c r="Y76" s="103"/>
      <c r="Z76" s="103"/>
      <c r="AA76" s="103"/>
      <c r="AB76" s="103"/>
      <c r="AC76" s="103"/>
      <c r="AD76" s="103"/>
      <c r="AE76" s="103"/>
      <c r="AF76" s="103"/>
      <c r="AG76" s="103"/>
      <c r="AH76" s="103"/>
      <c r="AI76" s="103"/>
      <c r="AJ76" s="103"/>
      <c r="AK76" s="103"/>
    </row>
    <row r="77" spans="1:37" ht="10.050000000000001" customHeight="1" x14ac:dyDescent="0.25">
      <c r="A77" s="103"/>
      <c r="B77" s="103"/>
      <c r="C77" s="103"/>
      <c r="D77" s="103"/>
      <c r="E77" s="103"/>
      <c r="F77" s="103"/>
      <c r="G77" s="188">
        <v>0.72916666666666696</v>
      </c>
      <c r="H77" s="155">
        <f>'Warrant 2'!F84</f>
        <v>2162</v>
      </c>
      <c r="I77" s="155">
        <f>'Warrant 2'!I84</f>
        <v>145</v>
      </c>
      <c r="J77" s="176">
        <f t="shared" si="27"/>
        <v>2307</v>
      </c>
      <c r="K77" s="176">
        <f>'Warrant 2'!B84+'Warrant 2'!C84+'Warrant 2'!D84+'Warrant 2'!E84</f>
        <v>2307</v>
      </c>
      <c r="L77" s="188">
        <v>0.72916666666666663</v>
      </c>
      <c r="M77" s="315">
        <f t="shared" si="19"/>
        <v>150</v>
      </c>
      <c r="N77" s="314">
        <f t="shared" si="20"/>
        <v>100</v>
      </c>
      <c r="O77" s="311">
        <f t="shared" si="21"/>
        <v>-5</v>
      </c>
      <c r="P77" s="311">
        <f t="shared" si="22"/>
        <v>45</v>
      </c>
      <c r="Q77" s="311">
        <f t="shared" si="23"/>
        <v>0</v>
      </c>
      <c r="R77" s="311">
        <f t="shared" si="24"/>
        <v>0</v>
      </c>
      <c r="S77" s="311">
        <f t="shared" si="28"/>
        <v>0</v>
      </c>
      <c r="T77" s="311">
        <f t="shared" si="25"/>
        <v>0</v>
      </c>
      <c r="U77" s="311">
        <f t="shared" si="29"/>
        <v>0</v>
      </c>
      <c r="V77" s="311">
        <f t="shared" si="26"/>
        <v>0</v>
      </c>
      <c r="W77" s="188">
        <v>0.72916666666666663</v>
      </c>
      <c r="X77" s="103"/>
      <c r="Y77" s="103"/>
      <c r="Z77" s="103"/>
      <c r="AA77" s="103"/>
      <c r="AB77" s="103"/>
      <c r="AC77" s="103"/>
      <c r="AD77" s="103"/>
      <c r="AE77" s="103"/>
      <c r="AF77" s="103"/>
      <c r="AG77" s="103"/>
      <c r="AH77" s="103"/>
      <c r="AI77" s="103"/>
      <c r="AJ77" s="103"/>
      <c r="AK77" s="103"/>
    </row>
    <row r="78" spans="1:37" ht="10.050000000000001" customHeight="1" x14ac:dyDescent="0.25">
      <c r="A78" s="103"/>
      <c r="B78" s="103"/>
      <c r="C78" s="103"/>
      <c r="D78" s="103"/>
      <c r="E78" s="103"/>
      <c r="F78" s="103"/>
      <c r="G78" s="188">
        <v>0.73958333333333304</v>
      </c>
      <c r="H78" s="155">
        <f>'Warrant 2'!F85</f>
        <v>1974</v>
      </c>
      <c r="I78" s="155">
        <f>'Warrant 2'!I85</f>
        <v>132</v>
      </c>
      <c r="J78" s="176">
        <f t="shared" si="27"/>
        <v>2106</v>
      </c>
      <c r="K78" s="176">
        <f>'Warrant 2'!B85+'Warrant 2'!C85+'Warrant 2'!D85+'Warrant 2'!E85</f>
        <v>2106</v>
      </c>
      <c r="L78" s="188">
        <v>0.73958333333333304</v>
      </c>
      <c r="M78" s="315">
        <f t="shared" si="19"/>
        <v>150</v>
      </c>
      <c r="N78" s="314">
        <f t="shared" si="20"/>
        <v>100</v>
      </c>
      <c r="O78" s="311">
        <f t="shared" si="21"/>
        <v>-18</v>
      </c>
      <c r="P78" s="311">
        <f t="shared" si="22"/>
        <v>32</v>
      </c>
      <c r="Q78" s="311">
        <f t="shared" si="23"/>
        <v>0</v>
      </c>
      <c r="R78" s="311">
        <f t="shared" si="24"/>
        <v>0</v>
      </c>
      <c r="S78" s="311">
        <f t="shared" si="28"/>
        <v>0</v>
      </c>
      <c r="T78" s="311">
        <f t="shared" si="25"/>
        <v>0</v>
      </c>
      <c r="U78" s="311">
        <f t="shared" si="29"/>
        <v>0</v>
      </c>
      <c r="V78" s="311">
        <f t="shared" si="26"/>
        <v>0</v>
      </c>
      <c r="W78" s="188">
        <v>0.73958333333333304</v>
      </c>
      <c r="X78" s="103"/>
      <c r="Y78" s="103"/>
      <c r="Z78" s="103"/>
      <c r="AA78" s="103"/>
      <c r="AB78" s="103"/>
      <c r="AC78" s="103"/>
      <c r="AD78" s="103"/>
      <c r="AE78" s="103"/>
      <c r="AF78" s="103"/>
      <c r="AG78" s="103"/>
      <c r="AH78" s="103"/>
      <c r="AI78" s="103"/>
      <c r="AJ78" s="103"/>
      <c r="AK78" s="103"/>
    </row>
    <row r="79" spans="1:37" ht="10.050000000000001" customHeight="1" x14ac:dyDescent="0.25">
      <c r="A79" s="103"/>
      <c r="B79" s="103"/>
      <c r="C79" s="103"/>
      <c r="D79" s="103"/>
      <c r="E79" s="103"/>
      <c r="F79" s="103"/>
      <c r="G79" s="188">
        <v>0.75</v>
      </c>
      <c r="H79" s="155">
        <f>'Warrant 2'!F86</f>
        <v>1812</v>
      </c>
      <c r="I79" s="155">
        <f>'Warrant 2'!I86</f>
        <v>111</v>
      </c>
      <c r="J79" s="176">
        <f t="shared" si="27"/>
        <v>1923</v>
      </c>
      <c r="K79" s="176">
        <f>'Warrant 2'!B86+'Warrant 2'!C86+'Warrant 2'!D86+'Warrant 2'!E86</f>
        <v>1923</v>
      </c>
      <c r="L79" s="188">
        <v>0.75</v>
      </c>
      <c r="M79" s="315">
        <f t="shared" si="19"/>
        <v>150</v>
      </c>
      <c r="N79" s="314">
        <f t="shared" si="20"/>
        <v>100</v>
      </c>
      <c r="O79" s="311">
        <f t="shared" si="21"/>
        <v>-39</v>
      </c>
      <c r="P79" s="311">
        <f t="shared" si="22"/>
        <v>11</v>
      </c>
      <c r="Q79" s="311">
        <f t="shared" si="23"/>
        <v>0</v>
      </c>
      <c r="R79" s="311">
        <f t="shared" si="24"/>
        <v>0</v>
      </c>
      <c r="S79" s="311">
        <f t="shared" si="28"/>
        <v>0</v>
      </c>
      <c r="T79" s="311">
        <f t="shared" si="25"/>
        <v>0</v>
      </c>
      <c r="U79" s="311">
        <f t="shared" si="29"/>
        <v>0</v>
      </c>
      <c r="V79" s="311">
        <f t="shared" si="26"/>
        <v>0</v>
      </c>
      <c r="W79" s="188">
        <v>0.75</v>
      </c>
      <c r="X79" s="103"/>
      <c r="Y79" s="103"/>
      <c r="Z79" s="103"/>
      <c r="AA79" s="103"/>
      <c r="AB79" s="103"/>
      <c r="AC79" s="103"/>
      <c r="AD79" s="103"/>
      <c r="AE79" s="103"/>
      <c r="AF79" s="103"/>
      <c r="AG79" s="103"/>
      <c r="AH79" s="103"/>
      <c r="AI79" s="103"/>
      <c r="AJ79" s="103"/>
      <c r="AK79" s="103"/>
    </row>
    <row r="80" spans="1:37" ht="10.050000000000001" customHeight="1" x14ac:dyDescent="0.25">
      <c r="A80" s="103"/>
      <c r="B80" s="103"/>
      <c r="C80" s="103"/>
      <c r="D80" s="103"/>
      <c r="E80" s="103"/>
      <c r="F80" s="103"/>
      <c r="G80" s="188">
        <v>0.76041666666666696</v>
      </c>
      <c r="H80" s="155">
        <f>'Warrant 2'!F87</f>
        <v>1320</v>
      </c>
      <c r="I80" s="155">
        <f>'Warrant 2'!I87</f>
        <v>69</v>
      </c>
      <c r="J80" s="176">
        <f t="shared" si="27"/>
        <v>1389</v>
      </c>
      <c r="K80" s="176">
        <f>'Warrant 2'!B87+'Warrant 2'!C87+'Warrant 2'!D87+'Warrant 2'!E87</f>
        <v>1389</v>
      </c>
      <c r="L80" s="188">
        <v>0.76041666666666696</v>
      </c>
      <c r="M80" s="315">
        <f t="shared" si="19"/>
        <v>234.64855999999997</v>
      </c>
      <c r="N80" s="314">
        <f t="shared" si="20"/>
        <v>100</v>
      </c>
      <c r="O80" s="311">
        <f t="shared" si="21"/>
        <v>-165.64855999999997</v>
      </c>
      <c r="P80" s="311">
        <f t="shared" si="22"/>
        <v>-31</v>
      </c>
      <c r="Q80" s="311">
        <f t="shared" si="23"/>
        <v>0</v>
      </c>
      <c r="R80" s="311">
        <f t="shared" si="24"/>
        <v>0</v>
      </c>
      <c r="S80" s="311">
        <f t="shared" si="28"/>
        <v>0</v>
      </c>
      <c r="T80" s="311">
        <f t="shared" si="25"/>
        <v>0</v>
      </c>
      <c r="U80" s="311">
        <f t="shared" si="29"/>
        <v>0</v>
      </c>
      <c r="V80" s="311">
        <f t="shared" si="26"/>
        <v>0</v>
      </c>
      <c r="W80" s="188">
        <v>0.76041666666666696</v>
      </c>
      <c r="X80" s="103"/>
      <c r="Y80" s="103"/>
      <c r="Z80" s="103"/>
      <c r="AA80" s="103"/>
      <c r="AB80" s="103"/>
      <c r="AC80" s="103"/>
      <c r="AD80" s="103"/>
      <c r="AE80" s="103"/>
      <c r="AF80" s="103"/>
      <c r="AG80" s="103"/>
      <c r="AH80" s="103"/>
      <c r="AI80" s="103"/>
      <c r="AJ80" s="103"/>
      <c r="AK80" s="103"/>
    </row>
    <row r="81" spans="1:37" ht="10.050000000000001" customHeight="1" x14ac:dyDescent="0.25">
      <c r="A81" s="103"/>
      <c r="B81" s="103"/>
      <c r="C81" s="103"/>
      <c r="D81" s="103"/>
      <c r="E81" s="103"/>
      <c r="F81" s="103"/>
      <c r="G81" s="188">
        <v>0.77083333333333304</v>
      </c>
      <c r="H81" s="155">
        <f>'Warrant 2'!F88</f>
        <v>871</v>
      </c>
      <c r="I81" s="155">
        <f>'Warrant 2'!I88</f>
        <v>36</v>
      </c>
      <c r="J81" s="176">
        <f t="shared" si="27"/>
        <v>907</v>
      </c>
      <c r="K81" s="176">
        <f>'Warrant 2'!B88+'Warrant 2'!C88+'Warrant 2'!D88+'Warrant 2'!E88</f>
        <v>907</v>
      </c>
      <c r="L81" s="188">
        <v>0.77083333333333304</v>
      </c>
      <c r="M81" s="315">
        <f t="shared" si="19"/>
        <v>437.33440685999994</v>
      </c>
      <c r="N81" s="314">
        <f t="shared" si="20"/>
        <v>208.03282133999994</v>
      </c>
      <c r="O81" s="311">
        <f t="shared" si="21"/>
        <v>-401.33440685999994</v>
      </c>
      <c r="P81" s="311">
        <f t="shared" si="22"/>
        <v>-172.03282133999994</v>
      </c>
      <c r="Q81" s="311">
        <f t="shared" si="23"/>
        <v>0</v>
      </c>
      <c r="R81" s="311">
        <f t="shared" si="24"/>
        <v>0</v>
      </c>
      <c r="S81" s="311">
        <f t="shared" si="28"/>
        <v>0</v>
      </c>
      <c r="T81" s="311">
        <f t="shared" si="25"/>
        <v>0</v>
      </c>
      <c r="U81" s="311">
        <f t="shared" si="29"/>
        <v>0</v>
      </c>
      <c r="V81" s="311">
        <f t="shared" si="26"/>
        <v>0</v>
      </c>
      <c r="W81" s="188">
        <v>0.77083333333333304</v>
      </c>
      <c r="X81" s="103"/>
      <c r="Y81" s="103"/>
      <c r="Z81" s="103"/>
      <c r="AA81" s="103"/>
      <c r="AB81" s="103"/>
      <c r="AC81" s="103"/>
      <c r="AD81" s="103"/>
      <c r="AE81" s="103"/>
      <c r="AF81" s="103"/>
      <c r="AG81" s="103"/>
      <c r="AH81" s="103"/>
      <c r="AI81" s="103"/>
      <c r="AJ81" s="103"/>
      <c r="AK81" s="103"/>
    </row>
    <row r="82" spans="1:37" ht="10.050000000000001" customHeight="1" x14ac:dyDescent="0.25">
      <c r="A82" s="103"/>
      <c r="B82" s="103"/>
      <c r="C82" s="103"/>
      <c r="D82" s="103"/>
      <c r="E82" s="103"/>
      <c r="F82" s="103"/>
      <c r="G82" s="188">
        <v>0.78125</v>
      </c>
      <c r="H82" s="155">
        <f>'Warrant 2'!F89</f>
        <v>428</v>
      </c>
      <c r="I82" s="155">
        <f>'Warrant 2'!I89</f>
        <v>15</v>
      </c>
      <c r="J82" s="176">
        <f t="shared" si="27"/>
        <v>443</v>
      </c>
      <c r="K82" s="176">
        <f>'Warrant 2'!B89+'Warrant 2'!C89+'Warrant 2'!D89+'Warrant 2'!E89</f>
        <v>443</v>
      </c>
      <c r="L82" s="188">
        <v>0.78125</v>
      </c>
      <c r="M82" s="315">
        <f t="shared" si="19"/>
        <v>699.48560191999991</v>
      </c>
      <c r="N82" s="314">
        <f t="shared" si="20"/>
        <v>422.21303488000001</v>
      </c>
      <c r="O82" s="311">
        <f t="shared" si="21"/>
        <v>-684.48560191999991</v>
      </c>
      <c r="P82" s="311">
        <f t="shared" si="22"/>
        <v>-407.21303488000001</v>
      </c>
      <c r="Q82" s="311">
        <f t="shared" si="23"/>
        <v>0</v>
      </c>
      <c r="R82" s="311">
        <f t="shared" si="24"/>
        <v>0</v>
      </c>
      <c r="S82" s="311">
        <f t="shared" si="28"/>
        <v>0</v>
      </c>
      <c r="T82" s="311">
        <f t="shared" si="25"/>
        <v>0</v>
      </c>
      <c r="U82" s="311">
        <f t="shared" si="29"/>
        <v>0</v>
      </c>
      <c r="V82" s="311">
        <f t="shared" si="26"/>
        <v>0</v>
      </c>
      <c r="W82" s="188">
        <v>0.78125</v>
      </c>
      <c r="X82" s="103"/>
      <c r="Y82" s="103"/>
      <c r="Z82" s="103"/>
      <c r="AA82" s="103"/>
      <c r="AB82" s="103"/>
      <c r="AC82" s="103"/>
      <c r="AD82" s="103"/>
      <c r="AE82" s="103"/>
      <c r="AF82" s="103"/>
      <c r="AG82" s="103"/>
      <c r="AH82" s="103"/>
      <c r="AI82" s="103"/>
      <c r="AJ82" s="103"/>
      <c r="AK82" s="103"/>
    </row>
    <row r="83" spans="1:37" ht="10.050000000000001" customHeight="1" x14ac:dyDescent="0.25">
      <c r="A83" s="103"/>
      <c r="B83" s="103"/>
      <c r="C83" s="103"/>
      <c r="D83" s="103"/>
      <c r="E83" s="103"/>
      <c r="F83" s="103"/>
      <c r="G83" s="188">
        <v>0.79166666666666696</v>
      </c>
      <c r="H83" s="155">
        <f>'Warrant 2'!F90</f>
        <v>0</v>
      </c>
      <c r="I83" s="155">
        <f>'Warrant 2'!I90</f>
        <v>0</v>
      </c>
      <c r="J83" s="176">
        <f t="shared" si="27"/>
        <v>0</v>
      </c>
      <c r="K83" s="176">
        <f>'Warrant 2'!B90+'Warrant 2'!C90+'Warrant 2'!D90+'Warrant 2'!E90</f>
        <v>0</v>
      </c>
      <c r="L83" s="188">
        <v>0.79166666666666696</v>
      </c>
      <c r="M83" s="315">
        <f t="shared" si="19"/>
        <v>981.89</v>
      </c>
      <c r="N83" s="314">
        <f t="shared" si="20"/>
        <v>786.48</v>
      </c>
      <c r="O83" s="311">
        <f t="shared" si="21"/>
        <v>-981.89</v>
      </c>
      <c r="P83" s="311">
        <f t="shared" si="22"/>
        <v>-786.48</v>
      </c>
      <c r="Q83" s="311">
        <f t="shared" si="23"/>
        <v>0</v>
      </c>
      <c r="R83" s="311">
        <f t="shared" si="24"/>
        <v>0</v>
      </c>
      <c r="S83" s="311">
        <f t="shared" si="28"/>
        <v>0</v>
      </c>
      <c r="T83" s="311">
        <f t="shared" si="25"/>
        <v>0</v>
      </c>
      <c r="U83" s="311">
        <f t="shared" si="29"/>
        <v>0</v>
      </c>
      <c r="V83" s="311">
        <f t="shared" si="26"/>
        <v>0</v>
      </c>
      <c r="W83" s="188">
        <v>0.79166666666666696</v>
      </c>
      <c r="X83" s="103"/>
      <c r="Y83" s="103"/>
      <c r="Z83" s="103"/>
      <c r="AA83" s="103"/>
      <c r="AB83" s="103"/>
      <c r="AC83" s="103"/>
      <c r="AD83" s="103"/>
      <c r="AE83" s="103"/>
      <c r="AF83" s="103"/>
      <c r="AG83" s="103"/>
      <c r="AH83" s="103"/>
      <c r="AI83" s="103"/>
      <c r="AJ83" s="103"/>
      <c r="AK83" s="103"/>
    </row>
    <row r="84" spans="1:37" ht="10.050000000000001" customHeight="1" x14ac:dyDescent="0.25">
      <c r="A84" s="103"/>
      <c r="B84" s="103"/>
      <c r="C84" s="103"/>
      <c r="D84" s="103"/>
      <c r="E84" s="103"/>
      <c r="F84" s="103"/>
      <c r="G84" s="188">
        <v>0.80208333333333304</v>
      </c>
      <c r="H84" s="155">
        <f>'Warrant 2'!F91</f>
        <v>0</v>
      </c>
      <c r="I84" s="155">
        <f>'Warrant 2'!I91</f>
        <v>0</v>
      </c>
      <c r="J84" s="176">
        <f t="shared" si="27"/>
        <v>0</v>
      </c>
      <c r="K84" s="176">
        <f>'Warrant 2'!B91+'Warrant 2'!C91+'Warrant 2'!D91+'Warrant 2'!E91</f>
        <v>0</v>
      </c>
      <c r="L84" s="188">
        <v>0.80208333333333304</v>
      </c>
      <c r="M84" s="315">
        <f t="shared" si="19"/>
        <v>981.89</v>
      </c>
      <c r="N84" s="314">
        <f t="shared" si="20"/>
        <v>786.48</v>
      </c>
      <c r="O84" s="311">
        <f t="shared" si="21"/>
        <v>-981.89</v>
      </c>
      <c r="P84" s="311">
        <f t="shared" si="22"/>
        <v>-786.48</v>
      </c>
      <c r="Q84" s="311">
        <f t="shared" si="23"/>
        <v>0</v>
      </c>
      <c r="R84" s="311">
        <f t="shared" si="24"/>
        <v>0</v>
      </c>
      <c r="S84" s="311">
        <f t="shared" si="28"/>
        <v>0</v>
      </c>
      <c r="T84" s="311">
        <f t="shared" si="25"/>
        <v>0</v>
      </c>
      <c r="U84" s="311">
        <f t="shared" si="29"/>
        <v>0</v>
      </c>
      <c r="V84" s="311">
        <f t="shared" si="26"/>
        <v>0</v>
      </c>
      <c r="W84" s="188">
        <v>0.80208333333333304</v>
      </c>
      <c r="X84" s="103"/>
      <c r="Y84" s="103"/>
      <c r="Z84" s="103"/>
      <c r="AA84" s="103"/>
      <c r="AB84" s="103"/>
      <c r="AC84" s="103"/>
      <c r="AD84" s="103"/>
      <c r="AE84" s="103"/>
      <c r="AF84" s="103"/>
      <c r="AG84" s="103"/>
      <c r="AH84" s="103"/>
      <c r="AI84" s="103"/>
      <c r="AJ84" s="103"/>
      <c r="AK84" s="103"/>
    </row>
    <row r="85" spans="1:37" ht="10.050000000000001" customHeight="1" x14ac:dyDescent="0.25">
      <c r="A85" s="103"/>
      <c r="B85" s="103"/>
      <c r="C85" s="103"/>
      <c r="D85" s="103"/>
      <c r="E85" s="103"/>
      <c r="F85" s="103"/>
      <c r="G85" s="188">
        <v>0.8125</v>
      </c>
      <c r="H85" s="155">
        <f>'Warrant 2'!F92</f>
        <v>0</v>
      </c>
      <c r="I85" s="155">
        <f>'Warrant 2'!I92</f>
        <v>0</v>
      </c>
      <c r="J85" s="176">
        <f t="shared" si="27"/>
        <v>0</v>
      </c>
      <c r="K85" s="176">
        <f>'Warrant 2'!B92+'Warrant 2'!C92+'Warrant 2'!D92+'Warrant 2'!E92</f>
        <v>0</v>
      </c>
      <c r="L85" s="188">
        <v>0.8125</v>
      </c>
      <c r="M85" s="315">
        <f t="shared" si="19"/>
        <v>981.89</v>
      </c>
      <c r="N85" s="314">
        <f t="shared" si="20"/>
        <v>786.48</v>
      </c>
      <c r="O85" s="311">
        <f t="shared" si="21"/>
        <v>-981.89</v>
      </c>
      <c r="P85" s="311">
        <f t="shared" si="22"/>
        <v>-786.48</v>
      </c>
      <c r="Q85" s="311">
        <f t="shared" si="23"/>
        <v>0</v>
      </c>
      <c r="R85" s="311">
        <f t="shared" si="24"/>
        <v>0</v>
      </c>
      <c r="S85" s="311">
        <f t="shared" si="28"/>
        <v>0</v>
      </c>
      <c r="T85" s="311">
        <f t="shared" si="25"/>
        <v>0</v>
      </c>
      <c r="U85" s="311">
        <f t="shared" si="29"/>
        <v>0</v>
      </c>
      <c r="V85" s="311">
        <f t="shared" si="26"/>
        <v>0</v>
      </c>
      <c r="W85" s="188">
        <v>0.8125</v>
      </c>
      <c r="X85" s="103"/>
      <c r="Y85" s="103"/>
      <c r="Z85" s="103"/>
      <c r="AA85" s="103"/>
      <c r="AB85" s="103"/>
      <c r="AC85" s="103"/>
      <c r="AD85" s="103"/>
      <c r="AE85" s="103"/>
      <c r="AF85" s="103"/>
      <c r="AG85" s="103"/>
      <c r="AH85" s="103"/>
      <c r="AI85" s="103"/>
      <c r="AJ85" s="103"/>
      <c r="AK85" s="103"/>
    </row>
    <row r="86" spans="1:37" ht="10.050000000000001" customHeight="1" x14ac:dyDescent="0.25">
      <c r="A86" s="103"/>
      <c r="B86" s="103"/>
      <c r="C86" s="103"/>
      <c r="D86" s="103"/>
      <c r="E86" s="103"/>
      <c r="F86" s="103"/>
      <c r="G86" s="188">
        <v>0.82291666666666696</v>
      </c>
      <c r="H86" s="155">
        <f>'Warrant 2'!F93</f>
        <v>0</v>
      </c>
      <c r="I86" s="155">
        <f>'Warrant 2'!I93</f>
        <v>0</v>
      </c>
      <c r="J86" s="176">
        <f t="shared" si="27"/>
        <v>0</v>
      </c>
      <c r="K86" s="176">
        <f>'Warrant 2'!B93+'Warrant 2'!C93+'Warrant 2'!D93+'Warrant 2'!E93</f>
        <v>0</v>
      </c>
      <c r="L86" s="188">
        <v>0.82291666666666696</v>
      </c>
      <c r="M86" s="315">
        <f t="shared" si="19"/>
        <v>981.89</v>
      </c>
      <c r="N86" s="314">
        <f t="shared" si="20"/>
        <v>786.48</v>
      </c>
      <c r="O86" s="311">
        <f t="shared" si="21"/>
        <v>-981.89</v>
      </c>
      <c r="P86" s="311">
        <f t="shared" si="22"/>
        <v>-786.48</v>
      </c>
      <c r="Q86" s="311">
        <f t="shared" si="23"/>
        <v>0</v>
      </c>
      <c r="R86" s="311">
        <f t="shared" si="24"/>
        <v>0</v>
      </c>
      <c r="S86" s="311">
        <f t="shared" si="28"/>
        <v>0</v>
      </c>
      <c r="T86" s="311">
        <f t="shared" si="25"/>
        <v>0</v>
      </c>
      <c r="U86" s="311">
        <f t="shared" si="29"/>
        <v>0</v>
      </c>
      <c r="V86" s="311">
        <f t="shared" si="26"/>
        <v>0</v>
      </c>
      <c r="W86" s="188">
        <v>0.82291666666666696</v>
      </c>
      <c r="X86" s="103"/>
      <c r="Y86" s="103"/>
      <c r="Z86" s="103"/>
      <c r="AA86" s="103"/>
      <c r="AB86" s="103"/>
      <c r="AC86" s="103"/>
      <c r="AD86" s="103"/>
      <c r="AE86" s="103"/>
      <c r="AF86" s="103"/>
      <c r="AG86" s="103"/>
      <c r="AH86" s="103"/>
      <c r="AI86" s="103"/>
      <c r="AJ86" s="103"/>
      <c r="AK86" s="103"/>
    </row>
    <row r="87" spans="1:37" ht="10.050000000000001" customHeight="1" x14ac:dyDescent="0.25">
      <c r="A87" s="103"/>
      <c r="B87" s="103"/>
      <c r="C87" s="103"/>
      <c r="D87" s="103"/>
      <c r="E87" s="103"/>
      <c r="F87" s="103"/>
      <c r="G87" s="188">
        <v>0.83333333333333304</v>
      </c>
      <c r="H87" s="155">
        <f>'Warrant 2'!F94</f>
        <v>0</v>
      </c>
      <c r="I87" s="155">
        <f>'Warrant 2'!I94</f>
        <v>0</v>
      </c>
      <c r="J87" s="176">
        <f t="shared" si="27"/>
        <v>0</v>
      </c>
      <c r="K87" s="176">
        <f>'Warrant 2'!B94+'Warrant 2'!C94+'Warrant 2'!D94+'Warrant 2'!E94</f>
        <v>0</v>
      </c>
      <c r="L87" s="188">
        <v>0.83333333333333304</v>
      </c>
      <c r="M87" s="315">
        <f t="shared" si="19"/>
        <v>981.89</v>
      </c>
      <c r="N87" s="314">
        <f t="shared" si="20"/>
        <v>786.48</v>
      </c>
      <c r="O87" s="311">
        <f t="shared" si="21"/>
        <v>-981.89</v>
      </c>
      <c r="P87" s="311">
        <f t="shared" si="22"/>
        <v>-786.48</v>
      </c>
      <c r="Q87" s="311">
        <f t="shared" si="23"/>
        <v>0</v>
      </c>
      <c r="R87" s="311">
        <f t="shared" si="24"/>
        <v>0</v>
      </c>
      <c r="S87" s="311">
        <f t="shared" si="28"/>
        <v>0</v>
      </c>
      <c r="T87" s="311">
        <f t="shared" si="25"/>
        <v>0</v>
      </c>
      <c r="U87" s="311">
        <f t="shared" si="29"/>
        <v>0</v>
      </c>
      <c r="V87" s="311">
        <f t="shared" si="26"/>
        <v>0</v>
      </c>
      <c r="W87" s="188">
        <v>0.83333333333333304</v>
      </c>
      <c r="X87" s="103"/>
      <c r="Y87" s="103"/>
      <c r="Z87" s="103"/>
      <c r="AA87" s="103"/>
      <c r="AB87" s="103"/>
      <c r="AC87" s="103"/>
      <c r="AD87" s="103"/>
      <c r="AE87" s="103"/>
      <c r="AF87" s="103"/>
      <c r="AG87" s="103"/>
      <c r="AH87" s="103"/>
      <c r="AI87" s="103"/>
      <c r="AJ87" s="103"/>
      <c r="AK87" s="103"/>
    </row>
    <row r="88" spans="1:37" ht="10.050000000000001" hidden="1" customHeight="1" x14ac:dyDescent="0.25">
      <c r="A88" s="103"/>
      <c r="B88" s="103"/>
      <c r="C88" s="103"/>
      <c r="D88" s="103"/>
      <c r="E88" s="103"/>
      <c r="F88" s="103"/>
      <c r="G88" s="188">
        <v>0.84375</v>
      </c>
      <c r="H88" s="155">
        <f>'Warrant 2'!F95</f>
        <v>0</v>
      </c>
      <c r="I88" s="155">
        <f>'Warrant 2'!I95</f>
        <v>0</v>
      </c>
      <c r="J88" s="176">
        <f t="shared" si="27"/>
        <v>0</v>
      </c>
      <c r="K88" s="176">
        <f>'Warrant 2'!B95+'Warrant 2'!C95+'Warrant 2'!D95+'Warrant 2'!E95</f>
        <v>0</v>
      </c>
      <c r="L88" s="188">
        <v>0.84375</v>
      </c>
      <c r="M88" s="315">
        <f t="shared" si="19"/>
        <v>981.89</v>
      </c>
      <c r="N88" s="317">
        <f t="shared" si="20"/>
        <v>786.48</v>
      </c>
      <c r="O88" s="311">
        <f t="shared" si="21"/>
        <v>-981.89</v>
      </c>
      <c r="P88" s="311">
        <f t="shared" si="22"/>
        <v>-786.48</v>
      </c>
      <c r="Q88" s="311">
        <f t="shared" si="23"/>
        <v>0</v>
      </c>
      <c r="R88" s="311">
        <f t="shared" si="24"/>
        <v>0</v>
      </c>
      <c r="S88" s="311">
        <f t="shared" si="28"/>
        <v>0</v>
      </c>
      <c r="T88" s="311">
        <f t="shared" si="25"/>
        <v>0</v>
      </c>
      <c r="U88" s="311">
        <f t="shared" si="29"/>
        <v>0</v>
      </c>
      <c r="V88" s="311">
        <f t="shared" si="26"/>
        <v>0</v>
      </c>
      <c r="W88" s="188">
        <v>0.84375</v>
      </c>
      <c r="X88" s="103"/>
      <c r="Y88" s="103"/>
      <c r="Z88" s="103"/>
      <c r="AA88" s="103"/>
      <c r="AB88" s="103"/>
      <c r="AC88" s="103"/>
      <c r="AD88" s="103"/>
      <c r="AE88" s="103"/>
      <c r="AF88" s="103"/>
      <c r="AG88" s="103"/>
      <c r="AH88" s="103"/>
      <c r="AI88" s="103"/>
      <c r="AJ88" s="103"/>
      <c r="AK88" s="103"/>
    </row>
    <row r="89" spans="1:37" ht="10.050000000000001" hidden="1" customHeight="1" x14ac:dyDescent="0.25">
      <c r="A89" s="103"/>
      <c r="B89" s="103"/>
      <c r="C89" s="103"/>
      <c r="D89" s="103"/>
      <c r="E89" s="103"/>
      <c r="F89" s="103"/>
      <c r="G89" s="188">
        <v>0.85416666666666696</v>
      </c>
      <c r="H89" s="155">
        <f>'Warrant 2'!F96</f>
        <v>0</v>
      </c>
      <c r="I89" s="155">
        <f>'Warrant 2'!I96</f>
        <v>0</v>
      </c>
      <c r="J89" s="176">
        <f t="shared" si="27"/>
        <v>0</v>
      </c>
      <c r="K89" s="176">
        <f>'Warrant 2'!B96+'Warrant 2'!C96+'Warrant 2'!D96+'Warrant 2'!E96</f>
        <v>0</v>
      </c>
      <c r="L89" s="188">
        <v>0.85416666666666696</v>
      </c>
      <c r="M89" s="315">
        <f t="shared" si="19"/>
        <v>981.89</v>
      </c>
      <c r="N89" s="317">
        <f t="shared" si="20"/>
        <v>786.48</v>
      </c>
      <c r="O89" s="311">
        <f t="shared" si="21"/>
        <v>-981.89</v>
      </c>
      <c r="P89" s="311">
        <f t="shared" si="22"/>
        <v>-786.48</v>
      </c>
      <c r="Q89" s="311">
        <f t="shared" si="23"/>
        <v>0</v>
      </c>
      <c r="R89" s="311">
        <f t="shared" si="24"/>
        <v>0</v>
      </c>
      <c r="S89" s="311">
        <f t="shared" si="28"/>
        <v>0</v>
      </c>
      <c r="T89" s="311">
        <f t="shared" si="25"/>
        <v>0</v>
      </c>
      <c r="U89" s="311">
        <f t="shared" si="29"/>
        <v>0</v>
      </c>
      <c r="V89" s="311">
        <f t="shared" si="26"/>
        <v>0</v>
      </c>
      <c r="W89" s="188">
        <v>0.85416666666666696</v>
      </c>
      <c r="X89" s="103"/>
      <c r="Y89" s="103"/>
      <c r="Z89" s="103"/>
      <c r="AA89" s="103"/>
      <c r="AB89" s="103"/>
      <c r="AC89" s="103"/>
      <c r="AD89" s="103"/>
      <c r="AE89" s="103"/>
      <c r="AF89" s="103"/>
      <c r="AG89" s="103"/>
      <c r="AH89" s="103"/>
      <c r="AI89" s="103"/>
      <c r="AJ89" s="103"/>
      <c r="AK89" s="103"/>
    </row>
    <row r="90" spans="1:37" ht="10.050000000000001" hidden="1" customHeight="1" x14ac:dyDescent="0.25">
      <c r="A90" s="103"/>
      <c r="B90" s="103"/>
      <c r="C90" s="103"/>
      <c r="D90" s="103"/>
      <c r="E90" s="103"/>
      <c r="F90" s="103"/>
      <c r="G90" s="188">
        <v>0.86458333333333304</v>
      </c>
      <c r="H90" s="155">
        <f>'Warrant 2'!F97</f>
        <v>0</v>
      </c>
      <c r="I90" s="155">
        <f>'Warrant 2'!I97</f>
        <v>0</v>
      </c>
      <c r="J90" s="176">
        <f t="shared" si="27"/>
        <v>0</v>
      </c>
      <c r="K90" s="176">
        <f>'Warrant 2'!B97+'Warrant 2'!C97+'Warrant 2'!D97+'Warrant 2'!E97</f>
        <v>0</v>
      </c>
      <c r="L90" s="188">
        <v>0.86458333333333304</v>
      </c>
      <c r="M90" s="315">
        <f t="shared" si="19"/>
        <v>981.89</v>
      </c>
      <c r="N90" s="317">
        <f t="shared" si="20"/>
        <v>786.48</v>
      </c>
      <c r="O90" s="311">
        <f t="shared" si="21"/>
        <v>-981.89</v>
      </c>
      <c r="P90" s="311">
        <f t="shared" si="22"/>
        <v>-786.48</v>
      </c>
      <c r="Q90" s="311">
        <f t="shared" si="23"/>
        <v>0</v>
      </c>
      <c r="R90" s="311">
        <f t="shared" si="24"/>
        <v>0</v>
      </c>
      <c r="S90" s="311">
        <f t="shared" si="28"/>
        <v>0</v>
      </c>
      <c r="T90" s="311">
        <f t="shared" si="25"/>
        <v>0</v>
      </c>
      <c r="U90" s="311">
        <f t="shared" si="29"/>
        <v>0</v>
      </c>
      <c r="V90" s="311">
        <f t="shared" si="26"/>
        <v>0</v>
      </c>
      <c r="W90" s="188">
        <v>0.86458333333333304</v>
      </c>
      <c r="X90" s="103"/>
      <c r="Y90" s="103"/>
      <c r="Z90" s="103"/>
      <c r="AA90" s="103"/>
      <c r="AB90" s="103"/>
      <c r="AC90" s="103"/>
      <c r="AD90" s="103"/>
      <c r="AE90" s="103"/>
      <c r="AF90" s="103"/>
      <c r="AG90" s="103"/>
      <c r="AH90" s="103"/>
      <c r="AI90" s="103"/>
      <c r="AJ90" s="103"/>
      <c r="AK90" s="103"/>
    </row>
    <row r="91" spans="1:37" ht="10.050000000000001" hidden="1" customHeight="1" x14ac:dyDescent="0.25">
      <c r="A91" s="103"/>
      <c r="B91" s="103"/>
      <c r="C91" s="103"/>
      <c r="D91" s="103"/>
      <c r="E91" s="103"/>
      <c r="F91" s="103"/>
      <c r="G91" s="188">
        <v>0.875</v>
      </c>
      <c r="H91" s="155">
        <f>'Warrant 2'!F98</f>
        <v>0</v>
      </c>
      <c r="I91" s="155">
        <f>'Warrant 2'!I98</f>
        <v>0</v>
      </c>
      <c r="J91" s="176">
        <f t="shared" si="27"/>
        <v>0</v>
      </c>
      <c r="K91" s="176">
        <f>'Warrant 2'!B98+'Warrant 2'!C98+'Warrant 2'!D98+'Warrant 2'!E98</f>
        <v>0</v>
      </c>
      <c r="L91" s="188">
        <v>0.875</v>
      </c>
      <c r="M91" s="315">
        <f t="shared" si="19"/>
        <v>981.89</v>
      </c>
      <c r="N91" s="317">
        <f t="shared" si="20"/>
        <v>786.48</v>
      </c>
      <c r="O91" s="311">
        <f t="shared" si="21"/>
        <v>-981.89</v>
      </c>
      <c r="P91" s="311">
        <f t="shared" si="22"/>
        <v>-786.48</v>
      </c>
      <c r="Q91" s="311">
        <f t="shared" si="23"/>
        <v>0</v>
      </c>
      <c r="R91" s="311">
        <f t="shared" si="24"/>
        <v>0</v>
      </c>
      <c r="S91" s="311">
        <f t="shared" si="28"/>
        <v>0</v>
      </c>
      <c r="T91" s="311">
        <f t="shared" si="25"/>
        <v>0</v>
      </c>
      <c r="U91" s="311">
        <f t="shared" si="29"/>
        <v>0</v>
      </c>
      <c r="V91" s="311">
        <f t="shared" si="26"/>
        <v>0</v>
      </c>
      <c r="W91" s="188">
        <v>0.875</v>
      </c>
      <c r="X91" s="103"/>
      <c r="Y91" s="103"/>
      <c r="Z91" s="103"/>
      <c r="AA91" s="103"/>
      <c r="AB91" s="103"/>
      <c r="AC91" s="103"/>
      <c r="AD91" s="103"/>
      <c r="AE91" s="103"/>
      <c r="AF91" s="103"/>
      <c r="AG91" s="103"/>
      <c r="AH91" s="103"/>
      <c r="AI91" s="103"/>
      <c r="AJ91" s="103"/>
      <c r="AK91" s="103"/>
    </row>
    <row r="92" spans="1:37" ht="10.050000000000001" hidden="1" customHeight="1" x14ac:dyDescent="0.25">
      <c r="A92" s="103"/>
      <c r="B92" s="103"/>
      <c r="C92" s="103"/>
      <c r="D92" s="103"/>
      <c r="E92" s="103"/>
      <c r="F92" s="103"/>
      <c r="G92" s="188">
        <v>0.88541666666666696</v>
      </c>
      <c r="H92" s="155">
        <f>'Warrant 2'!F99</f>
        <v>0</v>
      </c>
      <c r="I92" s="155">
        <f>'Warrant 2'!I99</f>
        <v>0</v>
      </c>
      <c r="J92" s="176">
        <f t="shared" si="27"/>
        <v>0</v>
      </c>
      <c r="K92" s="176">
        <f>'Warrant 2'!B99+'Warrant 2'!C99+'Warrant 2'!D99+'Warrant 2'!E99</f>
        <v>0</v>
      </c>
      <c r="L92" s="188">
        <v>0.88541666666666696</v>
      </c>
      <c r="M92" s="315">
        <f t="shared" si="19"/>
        <v>981.89</v>
      </c>
      <c r="N92" s="317">
        <f t="shared" si="20"/>
        <v>786.48</v>
      </c>
      <c r="O92" s="311">
        <f t="shared" si="21"/>
        <v>-981.89</v>
      </c>
      <c r="P92" s="311">
        <f t="shared" si="22"/>
        <v>-786.48</v>
      </c>
      <c r="Q92" s="311">
        <f t="shared" si="23"/>
        <v>0</v>
      </c>
      <c r="R92" s="311">
        <f t="shared" si="24"/>
        <v>0</v>
      </c>
      <c r="S92" s="311">
        <f t="shared" si="28"/>
        <v>0</v>
      </c>
      <c r="T92" s="311">
        <f t="shared" si="25"/>
        <v>0</v>
      </c>
      <c r="U92" s="311">
        <f t="shared" si="29"/>
        <v>0</v>
      </c>
      <c r="V92" s="311">
        <f t="shared" si="26"/>
        <v>0</v>
      </c>
      <c r="W92" s="188">
        <v>0.88541666666666696</v>
      </c>
      <c r="X92" s="103"/>
      <c r="Y92" s="103"/>
      <c r="Z92" s="103"/>
      <c r="AA92" s="103"/>
      <c r="AB92" s="103"/>
      <c r="AC92" s="103"/>
      <c r="AD92" s="103"/>
      <c r="AE92" s="103"/>
      <c r="AF92" s="103"/>
      <c r="AG92" s="103"/>
      <c r="AH92" s="103"/>
      <c r="AI92" s="103"/>
      <c r="AJ92" s="103"/>
      <c r="AK92" s="103"/>
    </row>
    <row r="93" spans="1:37" ht="10.050000000000001" hidden="1" customHeight="1" x14ac:dyDescent="0.25">
      <c r="A93" s="103"/>
      <c r="B93" s="103"/>
      <c r="C93" s="103"/>
      <c r="D93" s="103"/>
      <c r="E93" s="103"/>
      <c r="F93" s="103"/>
      <c r="G93" s="188">
        <v>0.89583333333333304</v>
      </c>
      <c r="H93" s="155">
        <f>'Warrant 2'!F100</f>
        <v>0</v>
      </c>
      <c r="I93" s="155">
        <f>'Warrant 2'!I100</f>
        <v>0</v>
      </c>
      <c r="J93" s="176">
        <f t="shared" si="27"/>
        <v>0</v>
      </c>
      <c r="K93" s="176">
        <f>'Warrant 2'!B100+'Warrant 2'!C100+'Warrant 2'!D100+'Warrant 2'!E100</f>
        <v>0</v>
      </c>
      <c r="L93" s="188">
        <v>0.89583333333333304</v>
      </c>
      <c r="M93" s="315">
        <f t="shared" si="19"/>
        <v>981.89</v>
      </c>
      <c r="N93" s="317">
        <f t="shared" si="20"/>
        <v>786.48</v>
      </c>
      <c r="O93" s="311">
        <f t="shared" si="21"/>
        <v>-981.89</v>
      </c>
      <c r="P93" s="311">
        <f t="shared" si="22"/>
        <v>-786.48</v>
      </c>
      <c r="Q93" s="311">
        <f t="shared" si="23"/>
        <v>0</v>
      </c>
      <c r="R93" s="311">
        <f t="shared" si="24"/>
        <v>0</v>
      </c>
      <c r="S93" s="311">
        <f t="shared" si="28"/>
        <v>0</v>
      </c>
      <c r="T93" s="311">
        <f t="shared" si="25"/>
        <v>0</v>
      </c>
      <c r="U93" s="311">
        <f t="shared" si="29"/>
        <v>0</v>
      </c>
      <c r="V93" s="311">
        <f t="shared" si="26"/>
        <v>0</v>
      </c>
      <c r="W93" s="188">
        <v>0.89583333333333304</v>
      </c>
      <c r="X93" s="103"/>
      <c r="Y93" s="103"/>
      <c r="Z93" s="103"/>
      <c r="AA93" s="103"/>
      <c r="AB93" s="103"/>
      <c r="AC93" s="103"/>
      <c r="AD93" s="103"/>
      <c r="AE93" s="103"/>
      <c r="AF93" s="103"/>
      <c r="AG93" s="103"/>
      <c r="AH93" s="103"/>
      <c r="AI93" s="103"/>
      <c r="AJ93" s="103"/>
      <c r="AK93" s="103"/>
    </row>
    <row r="94" spans="1:37" ht="10.050000000000001" hidden="1" customHeight="1" x14ac:dyDescent="0.25">
      <c r="A94" s="103"/>
      <c r="B94" s="103"/>
      <c r="C94" s="103"/>
      <c r="D94" s="103"/>
      <c r="E94" s="103"/>
      <c r="F94" s="103"/>
      <c r="G94" s="188">
        <v>0.90625</v>
      </c>
      <c r="H94" s="155">
        <f>'Warrant 2'!F101</f>
        <v>0</v>
      </c>
      <c r="I94" s="155">
        <f>'Warrant 2'!I101</f>
        <v>0</v>
      </c>
      <c r="J94" s="176">
        <f t="shared" si="27"/>
        <v>0</v>
      </c>
      <c r="K94" s="176">
        <f>'Warrant 2'!B101+'Warrant 2'!C101+'Warrant 2'!D101+'Warrant 2'!E101</f>
        <v>0</v>
      </c>
      <c r="L94" s="188">
        <v>0.90625</v>
      </c>
      <c r="M94" s="315">
        <f t="shared" si="19"/>
        <v>981.89</v>
      </c>
      <c r="N94" s="317">
        <f t="shared" si="20"/>
        <v>786.48</v>
      </c>
      <c r="O94" s="311">
        <f t="shared" si="21"/>
        <v>-981.89</v>
      </c>
      <c r="P94" s="311">
        <f t="shared" si="22"/>
        <v>-786.48</v>
      </c>
      <c r="Q94" s="311">
        <f t="shared" si="23"/>
        <v>0</v>
      </c>
      <c r="R94" s="311">
        <f t="shared" si="24"/>
        <v>0</v>
      </c>
      <c r="S94" s="311">
        <f t="shared" si="28"/>
        <v>0</v>
      </c>
      <c r="T94" s="311">
        <f t="shared" si="25"/>
        <v>0</v>
      </c>
      <c r="U94" s="311">
        <f t="shared" si="29"/>
        <v>0</v>
      </c>
      <c r="V94" s="311">
        <f t="shared" si="26"/>
        <v>0</v>
      </c>
      <c r="W94" s="188">
        <v>0.90625</v>
      </c>
      <c r="X94" s="103"/>
      <c r="Y94" s="103"/>
      <c r="Z94" s="103"/>
      <c r="AA94" s="103"/>
      <c r="AB94" s="103"/>
      <c r="AC94" s="103"/>
      <c r="AD94" s="103"/>
      <c r="AE94" s="103"/>
      <c r="AF94" s="103"/>
      <c r="AG94" s="103"/>
      <c r="AH94" s="103"/>
      <c r="AI94" s="103"/>
      <c r="AJ94" s="103"/>
      <c r="AK94" s="103"/>
    </row>
    <row r="95" spans="1:37" ht="10.050000000000001" hidden="1" customHeight="1" x14ac:dyDescent="0.25">
      <c r="A95" s="103"/>
      <c r="B95" s="103"/>
      <c r="C95" s="103"/>
      <c r="D95" s="103"/>
      <c r="E95" s="103"/>
      <c r="F95" s="103"/>
      <c r="G95" s="188">
        <v>0.91666666666666696</v>
      </c>
      <c r="H95" s="155">
        <f>'Warrant 2'!F102</f>
        <v>0</v>
      </c>
      <c r="I95" s="155">
        <f>'Warrant 2'!I102</f>
        <v>0</v>
      </c>
      <c r="J95" s="176">
        <f t="shared" si="27"/>
        <v>0</v>
      </c>
      <c r="K95" s="176">
        <f>'Warrant 2'!B102+'Warrant 2'!C102+'Warrant 2'!D102+'Warrant 2'!E102</f>
        <v>0</v>
      </c>
      <c r="L95" s="188">
        <v>0.91666666666666696</v>
      </c>
      <c r="M95" s="315">
        <f t="shared" si="19"/>
        <v>981.89</v>
      </c>
      <c r="N95" s="317">
        <f t="shared" si="20"/>
        <v>786.48</v>
      </c>
      <c r="O95" s="311">
        <f t="shared" si="21"/>
        <v>-981.89</v>
      </c>
      <c r="P95" s="311">
        <f t="shared" si="22"/>
        <v>-786.48</v>
      </c>
      <c r="Q95" s="311">
        <f t="shared" si="23"/>
        <v>0</v>
      </c>
      <c r="R95" s="311">
        <f t="shared" si="24"/>
        <v>0</v>
      </c>
      <c r="S95" s="311">
        <f t="shared" si="28"/>
        <v>0</v>
      </c>
      <c r="T95" s="311">
        <f t="shared" si="25"/>
        <v>0</v>
      </c>
      <c r="U95" s="311">
        <f t="shared" si="29"/>
        <v>0</v>
      </c>
      <c r="V95" s="311">
        <f t="shared" si="26"/>
        <v>0</v>
      </c>
      <c r="W95" s="188">
        <v>0.91666666666666696</v>
      </c>
      <c r="X95" s="103"/>
      <c r="Y95" s="103"/>
      <c r="Z95" s="103"/>
      <c r="AA95" s="103"/>
      <c r="AB95" s="103"/>
      <c r="AC95" s="103"/>
      <c r="AD95" s="103"/>
      <c r="AE95" s="103"/>
      <c r="AF95" s="103"/>
      <c r="AG95" s="103"/>
      <c r="AH95" s="103"/>
      <c r="AI95" s="103"/>
      <c r="AJ95" s="103"/>
      <c r="AK95" s="103"/>
    </row>
    <row r="96" spans="1:37" ht="10.050000000000001" hidden="1" customHeight="1" x14ac:dyDescent="0.25">
      <c r="A96" s="103"/>
      <c r="B96" s="103"/>
      <c r="C96" s="103"/>
      <c r="D96" s="103"/>
      <c r="E96" s="103"/>
      <c r="F96" s="103"/>
      <c r="G96" s="188">
        <v>0.92708333333333304</v>
      </c>
      <c r="H96" s="155">
        <f>'Warrant 2'!F103</f>
        <v>0</v>
      </c>
      <c r="I96" s="155">
        <f>'Warrant 2'!I103</f>
        <v>0</v>
      </c>
      <c r="J96" s="176">
        <f t="shared" si="27"/>
        <v>0</v>
      </c>
      <c r="K96" s="176">
        <f>'Warrant 2'!B103+'Warrant 2'!C103+'Warrant 2'!D103+'Warrant 2'!E103</f>
        <v>0</v>
      </c>
      <c r="L96" s="188">
        <v>0.92708333333333304</v>
      </c>
      <c r="M96" s="315">
        <f t="shared" si="19"/>
        <v>981.89</v>
      </c>
      <c r="N96" s="317">
        <f t="shared" si="20"/>
        <v>786.48</v>
      </c>
      <c r="O96" s="311">
        <f t="shared" si="21"/>
        <v>-981.89</v>
      </c>
      <c r="P96" s="311">
        <f t="shared" si="22"/>
        <v>-786.48</v>
      </c>
      <c r="Q96" s="311">
        <f t="shared" si="23"/>
        <v>0</v>
      </c>
      <c r="R96" s="311">
        <f t="shared" si="24"/>
        <v>0</v>
      </c>
      <c r="S96" s="311">
        <f t="shared" si="28"/>
        <v>0</v>
      </c>
      <c r="T96" s="311">
        <f t="shared" si="25"/>
        <v>0</v>
      </c>
      <c r="U96" s="311">
        <f t="shared" si="29"/>
        <v>0</v>
      </c>
      <c r="V96" s="311">
        <f t="shared" si="26"/>
        <v>0</v>
      </c>
      <c r="W96" s="188">
        <v>0.92708333333333304</v>
      </c>
      <c r="X96" s="103"/>
      <c r="Y96" s="103"/>
      <c r="Z96" s="103"/>
      <c r="AA96" s="103"/>
      <c r="AB96" s="103"/>
      <c r="AC96" s="103"/>
      <c r="AD96" s="103"/>
      <c r="AE96" s="103"/>
      <c r="AF96" s="103"/>
      <c r="AG96" s="103"/>
      <c r="AH96" s="103"/>
      <c r="AI96" s="103"/>
      <c r="AJ96" s="103"/>
      <c r="AK96" s="103"/>
    </row>
    <row r="97" spans="1:37" ht="10.050000000000001" hidden="1" customHeight="1" x14ac:dyDescent="0.25">
      <c r="A97" s="103"/>
      <c r="B97" s="103"/>
      <c r="C97" s="103"/>
      <c r="D97" s="103"/>
      <c r="E97" s="103"/>
      <c r="F97" s="103"/>
      <c r="G97" s="188">
        <v>0.9375</v>
      </c>
      <c r="H97" s="155">
        <f>'Warrant 2'!F104</f>
        <v>0</v>
      </c>
      <c r="I97" s="155">
        <f>'Warrant 2'!I104</f>
        <v>0</v>
      </c>
      <c r="J97" s="176">
        <f t="shared" si="27"/>
        <v>0</v>
      </c>
      <c r="K97" s="176">
        <f>'Warrant 2'!B104+'Warrant 2'!C104+'Warrant 2'!D104+'Warrant 2'!E104</f>
        <v>0</v>
      </c>
      <c r="L97" s="188">
        <v>0.9375</v>
      </c>
      <c r="M97" s="315">
        <f t="shared" si="19"/>
        <v>981.89</v>
      </c>
      <c r="N97" s="317">
        <f t="shared" si="20"/>
        <v>786.48</v>
      </c>
      <c r="O97" s="311">
        <f t="shared" si="21"/>
        <v>-981.89</v>
      </c>
      <c r="P97" s="311">
        <f t="shared" si="22"/>
        <v>-786.48</v>
      </c>
      <c r="Q97" s="311">
        <f t="shared" si="23"/>
        <v>0</v>
      </c>
      <c r="R97" s="311">
        <f t="shared" si="24"/>
        <v>0</v>
      </c>
      <c r="S97" s="311">
        <f t="shared" si="28"/>
        <v>0</v>
      </c>
      <c r="T97" s="311">
        <f t="shared" si="25"/>
        <v>0</v>
      </c>
      <c r="U97" s="311">
        <f t="shared" si="29"/>
        <v>0</v>
      </c>
      <c r="V97" s="311">
        <f t="shared" si="26"/>
        <v>0</v>
      </c>
      <c r="W97" s="188">
        <v>0.9375</v>
      </c>
      <c r="X97" s="103"/>
      <c r="Y97" s="103"/>
      <c r="Z97" s="103"/>
      <c r="AA97" s="103"/>
      <c r="AB97" s="103"/>
      <c r="AC97" s="103"/>
      <c r="AD97" s="103"/>
      <c r="AE97" s="103"/>
      <c r="AF97" s="103"/>
      <c r="AG97" s="103"/>
      <c r="AH97" s="103"/>
      <c r="AI97" s="103"/>
      <c r="AJ97" s="103"/>
      <c r="AK97" s="103"/>
    </row>
    <row r="98" spans="1:37" ht="10.050000000000001" hidden="1" customHeight="1" x14ac:dyDescent="0.25">
      <c r="A98" s="103"/>
      <c r="B98" s="103"/>
      <c r="C98" s="103"/>
      <c r="D98" s="103"/>
      <c r="E98" s="103"/>
      <c r="F98" s="103"/>
      <c r="G98" s="188">
        <v>0.94791666666666696</v>
      </c>
      <c r="H98" s="155">
        <f>'Warrant 2'!F105</f>
        <v>0</v>
      </c>
      <c r="I98" s="155">
        <f>'Warrant 2'!I105</f>
        <v>0</v>
      </c>
      <c r="J98" s="176">
        <f t="shared" si="27"/>
        <v>0</v>
      </c>
      <c r="K98" s="176">
        <f>'Warrant 2'!B105+'Warrant 2'!C105+'Warrant 2'!D105+'Warrant 2'!E105</f>
        <v>0</v>
      </c>
      <c r="L98" s="188">
        <v>0.94791666666666696</v>
      </c>
      <c r="M98" s="315">
        <f t="shared" si="19"/>
        <v>981.89</v>
      </c>
      <c r="N98" s="317">
        <f t="shared" si="20"/>
        <v>786.48</v>
      </c>
      <c r="O98" s="311">
        <f t="shared" si="21"/>
        <v>-981.89</v>
      </c>
      <c r="P98" s="311">
        <f t="shared" si="22"/>
        <v>-786.48</v>
      </c>
      <c r="Q98" s="311">
        <f t="shared" si="23"/>
        <v>0</v>
      </c>
      <c r="R98" s="311">
        <f t="shared" si="24"/>
        <v>0</v>
      </c>
      <c r="S98" s="311">
        <f t="shared" si="28"/>
        <v>0</v>
      </c>
      <c r="T98" s="311">
        <f t="shared" si="25"/>
        <v>0</v>
      </c>
      <c r="U98" s="311">
        <f t="shared" si="29"/>
        <v>0</v>
      </c>
      <c r="V98" s="311">
        <f t="shared" si="26"/>
        <v>0</v>
      </c>
      <c r="W98" s="188">
        <v>0.94791666666666696</v>
      </c>
      <c r="X98" s="103"/>
      <c r="Y98" s="103"/>
      <c r="Z98" s="103"/>
      <c r="AA98" s="103"/>
      <c r="AB98" s="103"/>
      <c r="AC98" s="103"/>
      <c r="AD98" s="103"/>
      <c r="AE98" s="103"/>
      <c r="AF98" s="103"/>
      <c r="AG98" s="103"/>
      <c r="AH98" s="103"/>
      <c r="AI98" s="103"/>
      <c r="AJ98" s="103"/>
      <c r="AK98" s="103"/>
    </row>
    <row r="99" spans="1:37" ht="10.050000000000001" hidden="1" customHeight="1" x14ac:dyDescent="0.25">
      <c r="A99" s="103"/>
      <c r="B99" s="103"/>
      <c r="C99" s="103"/>
      <c r="D99" s="103"/>
      <c r="E99" s="103"/>
      <c r="F99" s="103"/>
      <c r="G99" s="188">
        <v>0.95833333333333304</v>
      </c>
      <c r="H99" s="155">
        <f>'Warrant 2'!F106</f>
        <v>0</v>
      </c>
      <c r="I99" s="155">
        <f>'Warrant 2'!I106</f>
        <v>0</v>
      </c>
      <c r="J99" s="176">
        <f t="shared" si="27"/>
        <v>0</v>
      </c>
      <c r="K99" s="176">
        <f>'Warrant 2'!B106+'Warrant 2'!C106+'Warrant 2'!D106+'Warrant 2'!E106</f>
        <v>0</v>
      </c>
      <c r="L99" s="188">
        <v>0.95833333333333304</v>
      </c>
      <c r="M99" s="315">
        <f t="shared" si="19"/>
        <v>981.89</v>
      </c>
      <c r="N99" s="317">
        <f t="shared" si="20"/>
        <v>786.48</v>
      </c>
      <c r="O99" s="311">
        <f t="shared" si="21"/>
        <v>-981.89</v>
      </c>
      <c r="P99" s="311">
        <f t="shared" si="22"/>
        <v>-786.48</v>
      </c>
      <c r="Q99" s="311">
        <f t="shared" si="23"/>
        <v>0</v>
      </c>
      <c r="R99" s="311">
        <f t="shared" si="24"/>
        <v>0</v>
      </c>
      <c r="S99" s="311">
        <f t="shared" si="28"/>
        <v>0</v>
      </c>
      <c r="T99" s="311">
        <f t="shared" si="25"/>
        <v>0</v>
      </c>
      <c r="U99" s="311">
        <f t="shared" si="29"/>
        <v>0</v>
      </c>
      <c r="V99" s="311">
        <f t="shared" si="26"/>
        <v>0</v>
      </c>
      <c r="W99" s="188">
        <v>0.95833333333333304</v>
      </c>
      <c r="X99" s="103"/>
      <c r="Y99" s="103"/>
      <c r="Z99" s="103"/>
      <c r="AA99" s="103"/>
      <c r="AB99" s="103"/>
      <c r="AC99" s="103"/>
      <c r="AD99" s="103"/>
      <c r="AE99" s="103"/>
      <c r="AF99" s="103"/>
      <c r="AG99" s="103"/>
      <c r="AH99" s="103"/>
      <c r="AI99" s="103"/>
      <c r="AJ99" s="103"/>
      <c r="AK99" s="103"/>
    </row>
    <row r="100" spans="1:37" ht="10.050000000000001" hidden="1" customHeight="1" x14ac:dyDescent="0.25">
      <c r="A100" s="103"/>
      <c r="B100" s="103"/>
      <c r="C100" s="103"/>
      <c r="D100" s="103"/>
      <c r="E100" s="103"/>
      <c r="F100" s="103"/>
      <c r="G100" s="188">
        <v>0.96875</v>
      </c>
      <c r="H100" s="155">
        <f>'Warrant 2'!F107</f>
        <v>0</v>
      </c>
      <c r="I100" s="155">
        <f>'Warrant 2'!I107</f>
        <v>0</v>
      </c>
      <c r="J100" s="176">
        <f t="shared" si="27"/>
        <v>0</v>
      </c>
      <c r="K100" s="176">
        <f>'Warrant 2'!B107+'Warrant 2'!C107+'Warrant 2'!D107+'Warrant 2'!E107</f>
        <v>0</v>
      </c>
      <c r="L100" s="188">
        <v>0.96875</v>
      </c>
      <c r="M100" s="315">
        <f t="shared" si="19"/>
        <v>981.89</v>
      </c>
      <c r="N100" s="317">
        <f t="shared" si="20"/>
        <v>786.48</v>
      </c>
      <c r="O100" s="311">
        <f t="shared" si="21"/>
        <v>-981.89</v>
      </c>
      <c r="P100" s="311">
        <f t="shared" si="22"/>
        <v>-786.48</v>
      </c>
      <c r="Q100" s="311">
        <f t="shared" si="23"/>
        <v>0</v>
      </c>
      <c r="R100" s="311">
        <f t="shared" si="24"/>
        <v>0</v>
      </c>
      <c r="S100" s="311">
        <f t="shared" si="28"/>
        <v>0</v>
      </c>
      <c r="T100" s="311">
        <f t="shared" si="25"/>
        <v>0</v>
      </c>
      <c r="U100" s="311">
        <f t="shared" si="29"/>
        <v>0</v>
      </c>
      <c r="V100" s="311">
        <f t="shared" si="26"/>
        <v>0</v>
      </c>
      <c r="W100" s="188">
        <v>0.96875</v>
      </c>
      <c r="X100" s="103"/>
      <c r="Y100" s="103"/>
      <c r="Z100" s="103"/>
      <c r="AA100" s="103"/>
      <c r="AB100" s="103"/>
      <c r="AC100" s="103"/>
      <c r="AD100" s="103"/>
      <c r="AE100" s="103"/>
      <c r="AF100" s="103"/>
      <c r="AG100" s="103"/>
      <c r="AH100" s="103"/>
      <c r="AI100" s="103"/>
      <c r="AJ100" s="103"/>
      <c r="AK100" s="103"/>
    </row>
    <row r="101" spans="1:37" ht="10.050000000000001" hidden="1" customHeight="1" x14ac:dyDescent="0.25">
      <c r="A101" s="103"/>
      <c r="B101" s="103"/>
      <c r="C101" s="103"/>
      <c r="D101" s="103"/>
      <c r="E101" s="103"/>
      <c r="F101" s="103"/>
      <c r="G101" s="188">
        <v>0.97916666666666696</v>
      </c>
      <c r="H101" s="155">
        <f>'Warrant 2'!F108</f>
        <v>0</v>
      </c>
      <c r="I101" s="155">
        <f>'Warrant 2'!I108</f>
        <v>0</v>
      </c>
      <c r="J101" s="176">
        <f t="shared" si="27"/>
        <v>0</v>
      </c>
      <c r="K101" s="176">
        <f>'Warrant 2'!B108+'Warrant 2'!C108+'Warrant 2'!D108+'Warrant 2'!E108</f>
        <v>0</v>
      </c>
      <c r="L101" s="188">
        <v>0.97916666666666696</v>
      </c>
      <c r="M101" s="315">
        <f t="shared" si="19"/>
        <v>981.89</v>
      </c>
      <c r="N101" s="317">
        <f t="shared" si="20"/>
        <v>786.48</v>
      </c>
      <c r="O101" s="311">
        <f t="shared" si="21"/>
        <v>-981.89</v>
      </c>
      <c r="P101" s="311">
        <f t="shared" si="22"/>
        <v>-786.48</v>
      </c>
      <c r="Q101" s="311">
        <f t="shared" si="23"/>
        <v>0</v>
      </c>
      <c r="R101" s="311">
        <f t="shared" si="24"/>
        <v>0</v>
      </c>
      <c r="S101" s="311">
        <f t="shared" si="28"/>
        <v>0</v>
      </c>
      <c r="T101" s="311">
        <f t="shared" si="25"/>
        <v>0</v>
      </c>
      <c r="U101" s="311">
        <f t="shared" si="29"/>
        <v>0</v>
      </c>
      <c r="V101" s="311">
        <f t="shared" si="26"/>
        <v>0</v>
      </c>
      <c r="W101" s="188">
        <v>0.97916666666666696</v>
      </c>
      <c r="X101" s="103"/>
      <c r="Y101" s="103"/>
      <c r="Z101" s="103"/>
      <c r="AA101" s="103"/>
      <c r="AB101" s="103"/>
      <c r="AC101" s="103"/>
      <c r="AD101" s="103"/>
      <c r="AE101" s="103"/>
      <c r="AF101" s="103"/>
      <c r="AG101" s="103"/>
      <c r="AH101" s="103"/>
      <c r="AI101" s="103"/>
      <c r="AJ101" s="103"/>
      <c r="AK101" s="103"/>
    </row>
    <row r="102" spans="1:37" ht="10.050000000000001" hidden="1" customHeight="1" x14ac:dyDescent="0.25">
      <c r="A102" s="103"/>
      <c r="B102" s="103"/>
      <c r="C102" s="103"/>
      <c r="D102" s="103"/>
      <c r="E102" s="103"/>
      <c r="F102" s="103"/>
      <c r="G102" s="188">
        <v>0.98958333333333304</v>
      </c>
      <c r="H102" s="155">
        <f>'Warrant 2'!F109</f>
        <v>0</v>
      </c>
      <c r="I102" s="155">
        <f>'Warrant 2'!I109</f>
        <v>0</v>
      </c>
      <c r="J102" s="176">
        <f t="shared" si="27"/>
        <v>0</v>
      </c>
      <c r="K102" s="176">
        <f>'Warrant 2'!B109+'Warrant 2'!C109+'Warrant 2'!D109+'Warrant 2'!E109</f>
        <v>0</v>
      </c>
      <c r="L102" s="188">
        <v>0.98958333333333304</v>
      </c>
      <c r="M102" s="315">
        <f t="shared" si="19"/>
        <v>981.89</v>
      </c>
      <c r="N102" s="317">
        <f t="shared" si="20"/>
        <v>786.48</v>
      </c>
      <c r="O102" s="311">
        <f t="shared" si="21"/>
        <v>-981.89</v>
      </c>
      <c r="P102" s="311">
        <f t="shared" si="22"/>
        <v>-786.48</v>
      </c>
      <c r="Q102" s="311">
        <f t="shared" si="23"/>
        <v>0</v>
      </c>
      <c r="R102" s="311">
        <f t="shared" si="24"/>
        <v>0</v>
      </c>
      <c r="S102" s="311">
        <f t="shared" si="28"/>
        <v>0</v>
      </c>
      <c r="T102" s="311">
        <f t="shared" si="25"/>
        <v>0</v>
      </c>
      <c r="U102" s="311">
        <f t="shared" si="29"/>
        <v>0</v>
      </c>
      <c r="V102" s="311">
        <f t="shared" si="26"/>
        <v>0</v>
      </c>
      <c r="W102" s="188">
        <v>0.98958333333333304</v>
      </c>
      <c r="X102" s="103"/>
      <c r="Y102" s="103"/>
      <c r="Z102" s="103"/>
      <c r="AA102" s="103"/>
      <c r="AB102" s="103"/>
      <c r="AC102" s="103"/>
      <c r="AD102" s="103"/>
      <c r="AE102" s="103"/>
      <c r="AF102" s="103"/>
      <c r="AG102" s="103"/>
      <c r="AH102" s="103"/>
      <c r="AI102" s="103"/>
      <c r="AJ102" s="103"/>
      <c r="AK102" s="103"/>
    </row>
    <row r="103" spans="1:37" ht="10.050000000000001" customHeight="1" x14ac:dyDescent="0.25">
      <c r="A103" s="103"/>
      <c r="B103" s="103"/>
      <c r="C103" s="103"/>
      <c r="D103" s="103"/>
      <c r="E103" s="103"/>
      <c r="F103" s="103"/>
      <c r="G103" s="103"/>
      <c r="H103" s="103"/>
      <c r="I103" s="103"/>
      <c r="J103" s="103"/>
      <c r="K103" s="103"/>
      <c r="L103" s="219"/>
      <c r="M103" s="316"/>
      <c r="N103" s="318"/>
      <c r="O103" s="311"/>
      <c r="P103" s="311"/>
      <c r="Q103" s="311">
        <f t="shared" si="23"/>
        <v>0</v>
      </c>
      <c r="R103" s="311">
        <f t="shared" si="24"/>
        <v>0</v>
      </c>
      <c r="S103" s="311"/>
      <c r="T103" s="311"/>
      <c r="U103" s="311"/>
      <c r="V103" s="311">
        <f t="shared" si="26"/>
        <v>0</v>
      </c>
      <c r="W103" s="311"/>
      <c r="X103" s="103"/>
      <c r="Y103" s="103"/>
      <c r="Z103" s="103"/>
      <c r="AA103" s="103"/>
      <c r="AB103" s="103"/>
      <c r="AC103" s="103"/>
      <c r="AD103" s="103"/>
      <c r="AE103" s="103"/>
      <c r="AF103" s="103"/>
      <c r="AG103" s="103"/>
      <c r="AH103" s="103"/>
      <c r="AI103" s="103"/>
      <c r="AJ103" s="103"/>
      <c r="AK103" s="103"/>
    </row>
    <row r="104" spans="1:37" ht="10.050000000000001" customHeight="1" x14ac:dyDescent="0.25">
      <c r="A104" s="103"/>
      <c r="B104" s="103"/>
      <c r="C104" s="103"/>
      <c r="D104" s="103"/>
      <c r="E104" s="103"/>
      <c r="F104" s="103"/>
      <c r="G104" s="103"/>
      <c r="H104" s="103"/>
      <c r="I104" s="103"/>
      <c r="J104" s="103"/>
      <c r="K104" s="103"/>
      <c r="L104" s="28"/>
      <c r="M104" s="28"/>
      <c r="N104" s="28"/>
      <c r="O104" s="28"/>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row>
  </sheetData>
  <sheetProtection algorithmName="SHA-512" hashValue="PMxNh0OAeNSgS8Q+EwVJS6rbAlzhZzggoMdJ7FRomuRqTcJ+6jyT+7igrqj3e/XFOB3etJCOeB3DVwaxyAWLfA==" saltValue="BJS0k1D53yMec1xAaokNQw=="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F35:F37"/>
    <mergeCell ref="C32:E33"/>
    <mergeCell ref="F32:F33"/>
    <mergeCell ref="A1:F2"/>
    <mergeCell ref="A35:E37"/>
    <mergeCell ref="D3:E4"/>
    <mergeCell ref="D5:E6"/>
    <mergeCell ref="F3:F4"/>
    <mergeCell ref="F5:F6"/>
    <mergeCell ref="A39:F41"/>
    <mergeCell ref="A42:E44"/>
    <mergeCell ref="A45:E47"/>
    <mergeCell ref="A48:E50"/>
    <mergeCell ref="A51:F51"/>
    <mergeCell ref="F45:F47"/>
    <mergeCell ref="F42:F44"/>
    <mergeCell ref="F48:F50"/>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W3:W6"/>
    <mergeCell ref="R1:R6"/>
    <mergeCell ref="S3:S4"/>
    <mergeCell ref="T3:T4"/>
    <mergeCell ref="N1:N6"/>
    <mergeCell ref="O1:O6"/>
    <mergeCell ref="P1:P6"/>
  </mergeCells>
  <conditionalFormatting sqref="G7:G102">
    <cfRule type="cellIs" dxfId="639"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selection activeCell="BL31" sqref="BL31"/>
    </sheetView>
  </sheetViews>
  <sheetFormatPr defaultColWidth="9.21875" defaultRowHeight="13.2" x14ac:dyDescent="0.25"/>
  <cols>
    <col min="1" max="1" width="9.21875" style="21"/>
    <col min="2" max="2" width="10.21875" style="21" customWidth="1"/>
    <col min="3" max="3" width="12.44140625" style="21" customWidth="1"/>
    <col min="4" max="55" width="13" style="21" hidden="1" customWidth="1"/>
    <col min="56" max="59" width="12" style="21" hidden="1" customWidth="1"/>
    <col min="60" max="60" width="18.21875" style="21" customWidth="1"/>
    <col min="61" max="61" width="10.5546875" style="21" customWidth="1"/>
    <col min="62" max="62" width="10" style="21" customWidth="1"/>
    <col min="63" max="63" width="11.21875" style="21" customWidth="1"/>
    <col min="64" max="64" width="10.77734375" style="21" customWidth="1"/>
    <col min="65" max="67" width="9.21875" style="21"/>
    <col min="68" max="199" width="9.21875" style="103"/>
    <col min="200" max="16384" width="9.21875" style="21"/>
  </cols>
  <sheetData>
    <row r="1" spans="1:204" ht="12.75" customHeight="1" x14ac:dyDescent="0.25">
      <c r="A1" s="557" t="s">
        <v>313</v>
      </c>
      <c r="B1" s="557"/>
      <c r="C1" s="557"/>
      <c r="D1" s="557"/>
      <c r="E1" s="557"/>
      <c r="F1" s="557"/>
      <c r="G1" s="557"/>
      <c r="H1" s="557"/>
      <c r="I1" s="557"/>
      <c r="J1" s="557"/>
      <c r="K1" s="557"/>
      <c r="L1" s="557"/>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7"/>
      <c r="BA1" s="557"/>
      <c r="BB1" s="557"/>
      <c r="BC1" s="557"/>
      <c r="BD1" s="557"/>
      <c r="BE1" s="557"/>
      <c r="BF1" s="557"/>
      <c r="BG1" s="557"/>
      <c r="BH1" s="557"/>
      <c r="BI1" s="557"/>
      <c r="BJ1" s="557"/>
      <c r="BK1" s="557"/>
      <c r="BL1" s="557"/>
      <c r="BM1" s="343"/>
      <c r="BN1" s="344"/>
      <c r="BO1" s="344"/>
      <c r="BP1" s="330"/>
      <c r="GR1" s="103"/>
      <c r="GS1" s="103"/>
      <c r="GT1" s="103"/>
      <c r="GU1" s="103"/>
      <c r="GV1" s="103"/>
    </row>
    <row r="2" spans="1:204" ht="12.75" customHeight="1" x14ac:dyDescent="0.25">
      <c r="A2" s="557"/>
      <c r="B2" s="557"/>
      <c r="C2" s="557"/>
      <c r="D2" s="557"/>
      <c r="E2" s="557"/>
      <c r="F2" s="557"/>
      <c r="G2" s="557"/>
      <c r="H2" s="557"/>
      <c r="I2" s="557"/>
      <c r="J2" s="557"/>
      <c r="K2" s="557"/>
      <c r="L2" s="557"/>
      <c r="M2" s="557"/>
      <c r="N2" s="557"/>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343"/>
      <c r="BN2" s="344"/>
      <c r="BO2" s="344"/>
      <c r="BP2" s="330"/>
      <c r="GR2" s="103"/>
      <c r="GS2" s="103"/>
      <c r="GT2" s="103"/>
      <c r="GU2" s="103"/>
      <c r="GV2" s="103"/>
    </row>
    <row r="3" spans="1:204" ht="21.75" customHeight="1" x14ac:dyDescent="0.25">
      <c r="A3" s="642" t="s">
        <v>345</v>
      </c>
      <c r="B3" s="642" t="s">
        <v>346</v>
      </c>
      <c r="C3" s="642" t="s">
        <v>352</v>
      </c>
      <c r="D3" s="632" t="s">
        <v>495</v>
      </c>
      <c r="E3" s="632" t="s">
        <v>499</v>
      </c>
      <c r="F3" s="632" t="s">
        <v>500</v>
      </c>
      <c r="G3" s="632" t="s">
        <v>501</v>
      </c>
      <c r="H3" s="632" t="s">
        <v>496</v>
      </c>
      <c r="I3" s="584" t="s">
        <v>502</v>
      </c>
      <c r="J3" s="584" t="s">
        <v>497</v>
      </c>
      <c r="K3" s="584" t="s">
        <v>482</v>
      </c>
      <c r="L3" s="584" t="s">
        <v>482</v>
      </c>
      <c r="M3" s="584" t="s">
        <v>479</v>
      </c>
      <c r="N3" s="584" t="s">
        <v>480</v>
      </c>
      <c r="O3" s="584" t="s">
        <v>478</v>
      </c>
      <c r="P3" s="584" t="s">
        <v>484</v>
      </c>
      <c r="Q3" s="584" t="s">
        <v>483</v>
      </c>
      <c r="R3" s="584" t="s">
        <v>483</v>
      </c>
      <c r="S3" s="584" t="s">
        <v>485</v>
      </c>
      <c r="T3" s="584" t="s">
        <v>486</v>
      </c>
      <c r="U3" s="584" t="s">
        <v>487</v>
      </c>
      <c r="V3" s="584" t="s">
        <v>488</v>
      </c>
      <c r="W3" s="584" t="s">
        <v>489</v>
      </c>
      <c r="X3" s="584" t="s">
        <v>489</v>
      </c>
      <c r="Y3" s="584" t="s">
        <v>490</v>
      </c>
      <c r="Z3" s="584" t="s">
        <v>491</v>
      </c>
      <c r="AA3" s="584" t="s">
        <v>492</v>
      </c>
      <c r="AB3" s="584" t="s">
        <v>493</v>
      </c>
      <c r="AC3" s="584" t="s">
        <v>494</v>
      </c>
      <c r="AD3" s="584" t="s">
        <v>494</v>
      </c>
      <c r="AE3" s="632" t="s">
        <v>498</v>
      </c>
      <c r="AF3" s="584" t="s">
        <v>502</v>
      </c>
      <c r="AG3" s="584" t="s">
        <v>497</v>
      </c>
      <c r="AH3" s="584" t="s">
        <v>482</v>
      </c>
      <c r="AI3" s="584" t="s">
        <v>482</v>
      </c>
      <c r="AJ3" s="584" t="s">
        <v>479</v>
      </c>
      <c r="AK3" s="584" t="s">
        <v>480</v>
      </c>
      <c r="AL3" s="584" t="s">
        <v>478</v>
      </c>
      <c r="AM3" s="584" t="s">
        <v>484</v>
      </c>
      <c r="AN3" s="584" t="s">
        <v>483</v>
      </c>
      <c r="AO3" s="584" t="s">
        <v>483</v>
      </c>
      <c r="AP3" s="584" t="s">
        <v>485</v>
      </c>
      <c r="AQ3" s="584" t="s">
        <v>486</v>
      </c>
      <c r="AR3" s="584" t="s">
        <v>487</v>
      </c>
      <c r="AS3" s="584" t="s">
        <v>488</v>
      </c>
      <c r="AT3" s="584" t="s">
        <v>489</v>
      </c>
      <c r="AU3" s="584" t="s">
        <v>489</v>
      </c>
      <c r="AV3" s="584" t="s">
        <v>490</v>
      </c>
      <c r="AW3" s="584" t="s">
        <v>491</v>
      </c>
      <c r="AX3" s="584" t="s">
        <v>492</v>
      </c>
      <c r="AY3" s="584" t="s">
        <v>493</v>
      </c>
      <c r="AZ3" s="584" t="s">
        <v>494</v>
      </c>
      <c r="BA3" s="584" t="s">
        <v>494</v>
      </c>
      <c r="BB3" s="632" t="s">
        <v>503</v>
      </c>
      <c r="BC3" s="584" t="s">
        <v>504</v>
      </c>
      <c r="BD3" s="584" t="s">
        <v>505</v>
      </c>
      <c r="BE3" s="584" t="s">
        <v>506</v>
      </c>
      <c r="BF3" s="584" t="s">
        <v>507</v>
      </c>
      <c r="BG3" s="628" t="s">
        <v>345</v>
      </c>
      <c r="BH3" s="630" t="s">
        <v>315</v>
      </c>
      <c r="BI3" s="630"/>
      <c r="BJ3" s="630"/>
      <c r="BK3" s="630"/>
      <c r="BL3" s="330"/>
      <c r="BM3" s="330"/>
      <c r="BN3" s="330"/>
      <c r="BO3" s="330"/>
      <c r="BP3" s="330"/>
      <c r="GR3" s="103"/>
      <c r="GS3" s="103"/>
      <c r="GT3" s="103"/>
      <c r="GU3" s="103"/>
      <c r="GV3" s="103"/>
    </row>
    <row r="4" spans="1:204" ht="15.75" customHeight="1" x14ac:dyDescent="0.25">
      <c r="A4" s="642"/>
      <c r="B4" s="642"/>
      <c r="C4" s="642"/>
      <c r="D4" s="632"/>
      <c r="E4" s="632"/>
      <c r="F4" s="632"/>
      <c r="G4" s="632"/>
      <c r="H4" s="632"/>
      <c r="I4" s="584"/>
      <c r="J4" s="584"/>
      <c r="K4" s="585"/>
      <c r="L4" s="585"/>
      <c r="M4" s="584"/>
      <c r="N4" s="584"/>
      <c r="O4" s="584"/>
      <c r="P4" s="584"/>
      <c r="Q4" s="585"/>
      <c r="R4" s="585"/>
      <c r="S4" s="584"/>
      <c r="T4" s="584"/>
      <c r="U4" s="584"/>
      <c r="V4" s="584"/>
      <c r="W4" s="585"/>
      <c r="X4" s="585"/>
      <c r="Y4" s="584"/>
      <c r="Z4" s="584"/>
      <c r="AA4" s="584"/>
      <c r="AB4" s="584"/>
      <c r="AC4" s="585"/>
      <c r="AD4" s="585"/>
      <c r="AE4" s="632"/>
      <c r="AF4" s="584"/>
      <c r="AG4" s="584"/>
      <c r="AH4" s="585"/>
      <c r="AI4" s="585"/>
      <c r="AJ4" s="584"/>
      <c r="AK4" s="584"/>
      <c r="AL4" s="584"/>
      <c r="AM4" s="584"/>
      <c r="AN4" s="585"/>
      <c r="AO4" s="585"/>
      <c r="AP4" s="584"/>
      <c r="AQ4" s="584"/>
      <c r="AR4" s="584"/>
      <c r="AS4" s="584"/>
      <c r="AT4" s="585"/>
      <c r="AU4" s="585"/>
      <c r="AV4" s="584"/>
      <c r="AW4" s="584"/>
      <c r="AX4" s="584"/>
      <c r="AY4" s="584"/>
      <c r="AZ4" s="585"/>
      <c r="BA4" s="585"/>
      <c r="BB4" s="632"/>
      <c r="BC4" s="584"/>
      <c r="BD4" s="584"/>
      <c r="BE4" s="584"/>
      <c r="BF4" s="584"/>
      <c r="BG4" s="629"/>
      <c r="BH4" s="630"/>
      <c r="BI4" s="630"/>
      <c r="BJ4" s="630"/>
      <c r="BK4" s="630"/>
      <c r="BL4" s="285"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341"/>
      <c r="BN4" s="341"/>
      <c r="BO4" s="330"/>
      <c r="BP4" s="330"/>
      <c r="GR4" s="103"/>
      <c r="GS4" s="103"/>
      <c r="GT4" s="103"/>
      <c r="GU4" s="103"/>
      <c r="GV4" s="103"/>
    </row>
    <row r="5" spans="1:204" ht="15.75" customHeight="1" x14ac:dyDescent="0.25">
      <c r="A5" s="642"/>
      <c r="B5" s="642"/>
      <c r="C5" s="642"/>
      <c r="D5" s="632"/>
      <c r="E5" s="632"/>
      <c r="F5" s="632"/>
      <c r="G5" s="632"/>
      <c r="H5" s="632"/>
      <c r="I5" s="584"/>
      <c r="J5" s="584"/>
      <c r="K5" s="283" t="s">
        <v>481</v>
      </c>
      <c r="L5" s="283" t="s">
        <v>481</v>
      </c>
      <c r="M5" s="584"/>
      <c r="N5" s="584"/>
      <c r="O5" s="584"/>
      <c r="P5" s="584"/>
      <c r="Q5" s="283" t="s">
        <v>481</v>
      </c>
      <c r="R5" s="283" t="s">
        <v>481</v>
      </c>
      <c r="S5" s="584"/>
      <c r="T5" s="584"/>
      <c r="U5" s="584"/>
      <c r="V5" s="584"/>
      <c r="W5" s="287" t="s">
        <v>481</v>
      </c>
      <c r="X5" s="283" t="s">
        <v>481</v>
      </c>
      <c r="Y5" s="584"/>
      <c r="Z5" s="584"/>
      <c r="AA5" s="584"/>
      <c r="AB5" s="584"/>
      <c r="AC5" s="287" t="s">
        <v>481</v>
      </c>
      <c r="AD5" s="283" t="s">
        <v>481</v>
      </c>
      <c r="AE5" s="632"/>
      <c r="AF5" s="584"/>
      <c r="AG5" s="584"/>
      <c r="AH5" s="283" t="s">
        <v>481</v>
      </c>
      <c r="AI5" s="283" t="s">
        <v>481</v>
      </c>
      <c r="AJ5" s="584"/>
      <c r="AK5" s="584"/>
      <c r="AL5" s="584"/>
      <c r="AM5" s="584"/>
      <c r="AN5" s="283" t="s">
        <v>481</v>
      </c>
      <c r="AO5" s="283" t="s">
        <v>481</v>
      </c>
      <c r="AP5" s="584"/>
      <c r="AQ5" s="584"/>
      <c r="AR5" s="584"/>
      <c r="AS5" s="584"/>
      <c r="AT5" s="287" t="s">
        <v>481</v>
      </c>
      <c r="AU5" s="283" t="s">
        <v>481</v>
      </c>
      <c r="AV5" s="584"/>
      <c r="AW5" s="584"/>
      <c r="AX5" s="584"/>
      <c r="AY5" s="584"/>
      <c r="AZ5" s="287" t="s">
        <v>481</v>
      </c>
      <c r="BA5" s="283" t="s">
        <v>481</v>
      </c>
      <c r="BB5" s="632"/>
      <c r="BC5" s="584"/>
      <c r="BD5" s="584"/>
      <c r="BE5" s="584"/>
      <c r="BF5" s="584"/>
      <c r="BG5" s="629"/>
      <c r="BH5" s="141"/>
      <c r="BI5" s="141"/>
      <c r="BJ5" s="141"/>
      <c r="BK5" s="331"/>
      <c r="BL5" s="340"/>
      <c r="BM5" s="341"/>
      <c r="BN5" s="341"/>
      <c r="BO5" s="330"/>
      <c r="BP5" s="330"/>
      <c r="GR5" s="103"/>
      <c r="GS5" s="103"/>
      <c r="GT5" s="103"/>
      <c r="GU5" s="103"/>
      <c r="GV5" s="103"/>
    </row>
    <row r="6" spans="1:204" ht="15.75" customHeight="1" x14ac:dyDescent="0.25">
      <c r="A6" s="643"/>
      <c r="B6" s="643"/>
      <c r="C6" s="643"/>
      <c r="D6" s="628"/>
      <c r="E6" s="628"/>
      <c r="F6" s="628"/>
      <c r="G6" s="628"/>
      <c r="H6" s="628"/>
      <c r="I6" s="585"/>
      <c r="J6" s="585"/>
      <c r="K6" s="284" t="s">
        <v>476</v>
      </c>
      <c r="L6" s="284" t="s">
        <v>477</v>
      </c>
      <c r="M6" s="585"/>
      <c r="N6" s="585"/>
      <c r="O6" s="585"/>
      <c r="P6" s="585"/>
      <c r="Q6" s="284" t="s">
        <v>476</v>
      </c>
      <c r="R6" s="284" t="s">
        <v>477</v>
      </c>
      <c r="S6" s="585"/>
      <c r="T6" s="585"/>
      <c r="U6" s="585"/>
      <c r="V6" s="585"/>
      <c r="W6" s="288" t="s">
        <v>476</v>
      </c>
      <c r="X6" s="284" t="s">
        <v>477</v>
      </c>
      <c r="Y6" s="585"/>
      <c r="Z6" s="585"/>
      <c r="AA6" s="585"/>
      <c r="AB6" s="585"/>
      <c r="AC6" s="288" t="s">
        <v>476</v>
      </c>
      <c r="AD6" s="284" t="s">
        <v>477</v>
      </c>
      <c r="AE6" s="628"/>
      <c r="AF6" s="585"/>
      <c r="AG6" s="585"/>
      <c r="AH6" s="284" t="s">
        <v>476</v>
      </c>
      <c r="AI6" s="284" t="s">
        <v>477</v>
      </c>
      <c r="AJ6" s="585"/>
      <c r="AK6" s="585"/>
      <c r="AL6" s="585"/>
      <c r="AM6" s="585"/>
      <c r="AN6" s="284" t="s">
        <v>476</v>
      </c>
      <c r="AO6" s="284" t="s">
        <v>477</v>
      </c>
      <c r="AP6" s="585"/>
      <c r="AQ6" s="585"/>
      <c r="AR6" s="585"/>
      <c r="AS6" s="585"/>
      <c r="AT6" s="288" t="s">
        <v>476</v>
      </c>
      <c r="AU6" s="284" t="s">
        <v>477</v>
      </c>
      <c r="AV6" s="585"/>
      <c r="AW6" s="585"/>
      <c r="AX6" s="585"/>
      <c r="AY6" s="585"/>
      <c r="AZ6" s="288" t="s">
        <v>476</v>
      </c>
      <c r="BA6" s="284" t="s">
        <v>477</v>
      </c>
      <c r="BB6" s="628"/>
      <c r="BC6" s="585"/>
      <c r="BD6" s="585"/>
      <c r="BE6" s="585"/>
      <c r="BF6" s="585"/>
      <c r="BG6" s="629"/>
      <c r="BH6" s="141"/>
      <c r="BI6" s="141"/>
      <c r="BJ6" s="141"/>
      <c r="BK6" s="330"/>
      <c r="BL6" s="341"/>
      <c r="BM6" s="340"/>
      <c r="BN6" s="341"/>
      <c r="BO6" s="330"/>
      <c r="BP6" s="330"/>
      <c r="GR6" s="103"/>
      <c r="GS6" s="103"/>
      <c r="GT6" s="103"/>
      <c r="GU6" s="103"/>
      <c r="GV6" s="103"/>
    </row>
    <row r="7" spans="1:204" ht="10.050000000000001" hidden="1" customHeight="1" x14ac:dyDescent="0.25">
      <c r="A7" s="161">
        <v>0</v>
      </c>
      <c r="B7" s="155">
        <f>'Warrant 2'!F14</f>
        <v>0</v>
      </c>
      <c r="C7" s="155">
        <f>IF(OR('Input &amp; Findings'!$G$28='Drop Down Lists'!$E$2,'Input &amp; Findings'!$G$28='Drop Down Lists'!$E$4),SUM('Data with RTF'!F4,'Data with RTF'!T4),SUM('Data with RTF'!M4,'Data with RTF'!AA4))</f>
        <v>0</v>
      </c>
      <c r="D7" s="176" t="str">
        <f>IF($BL$31="No",IF($C7&gt;(MAX((0.0003875)*($B7^2)-(1.02098 *$B7)+760.62,107)),"Met",""),IF($C7&gt;(MAX((0.0003875)*($B7^2)-(1.02098*$B7)+760.62,107)*$BL$37),"Met",""))</f>
        <v/>
      </c>
      <c r="E7" s="176" t="str">
        <f>IF($C7&gt;(MAX((0.0004214)*($B7^2)-(0.86656*$B7)+491.334,75)),"Met","")</f>
        <v/>
      </c>
      <c r="F7" s="176" t="str">
        <f>IF($BL$31="No",IF($C7&gt;(MAX((0.0002889)*($B7^2)-(1.0188*$B7)+1005.61,133)),"Met",""),IF($C7&gt;(MAX((0.0002889)*($B7^2)-(1.0188*$B7)+1005.61,133)*$BL$37),"Met",""))</f>
        <v/>
      </c>
      <c r="G7" s="176" t="str">
        <f>IF($C7&gt;(MAX((0.0003915)*($B7^2)-(0.96162*$B7)+669.187,93)),"Met","")</f>
        <v/>
      </c>
      <c r="H7" s="176">
        <f>IF($BL$31="No",IF(B7&lt;1100,MAX((0.0003875)*($B7^2)-(1.02098*$B7)+760.62,107),107),(IF(B7&lt;1100,MAX((0.0003875)*($B7^2)-(1.02098*$B7)+760.62,107)))*$BL$37)</f>
        <v>760.62</v>
      </c>
      <c r="I7" s="176">
        <f>IF(D7="Met",C7-H7,C7-H7-10000)</f>
        <v>-10760.62</v>
      </c>
      <c r="J7" s="176">
        <f t="shared" ref="J7:J38" si="0">IF(I7=MAX($I$7:$I$102),B7,0)</f>
        <v>0</v>
      </c>
      <c r="K7" s="176">
        <f t="shared" ref="K7:K38" si="1">IF(J7=MAX($J$7:$J$102),J7,0)</f>
        <v>0</v>
      </c>
      <c r="L7" s="176">
        <f t="shared" ref="L7:L38" si="2">IF(K7=MAX($K$7:$K$102),C7,0)</f>
        <v>0</v>
      </c>
      <c r="M7" s="176">
        <f>IF(AND(K7=0,K8=0,K9=0,K10=0),B7,"")</f>
        <v>0</v>
      </c>
      <c r="N7" s="176">
        <f>IF(AND(K7=0,K8=0,K9=0,K10=0),C7,"")</f>
        <v>0</v>
      </c>
      <c r="O7" s="176">
        <f>IF(N7="",I7-10000,I7)</f>
        <v>-10760.62</v>
      </c>
      <c r="P7" s="176">
        <f t="shared" ref="P7:P38" si="3">IF(O7=MAX($O$7:$O$102),B7,0)</f>
        <v>0</v>
      </c>
      <c r="Q7" s="176">
        <f t="shared" ref="Q7:Q38" si="4">IF(P7=MAX($P$7:$P$102),P7,0)</f>
        <v>0</v>
      </c>
      <c r="R7" s="176">
        <f t="shared" ref="R7:R38" si="5">IF(P7=MAX($P$7:$P$102),C7,0)</f>
        <v>0</v>
      </c>
      <c r="S7" s="176">
        <f>IF(AND(Q7=0,Q8=0,Q9=0,Q10=0),M7,"")</f>
        <v>0</v>
      </c>
      <c r="T7" s="176">
        <f>IF(AND(Q7=0,Q8=0,Q9=0,Q10=0),N7,"")</f>
        <v>0</v>
      </c>
      <c r="U7" s="176">
        <f>IF(T7="",O7-10000,O7)</f>
        <v>-10760.62</v>
      </c>
      <c r="V7" s="176">
        <f t="shared" ref="V7:V38" si="6">IF(U7=MAX($U$7:$U$102),S7,0)</f>
        <v>0</v>
      </c>
      <c r="W7" s="176">
        <f t="shared" ref="W7:W38" si="7">IF(V7=MAX($V$7:$V$102),V7,0)</f>
        <v>0</v>
      </c>
      <c r="X7" s="176">
        <f t="shared" ref="X7:X38" si="8">IF(V7=MAX($V$7:$V$102),T7,0)</f>
        <v>0</v>
      </c>
      <c r="Y7" s="176">
        <f>IF(AND(W7=0,W8=0,W9=0,W10=0),S7,"")</f>
        <v>0</v>
      </c>
      <c r="Z7" s="176">
        <f>IF(AND(W7=0,W8=0,W9=0,W10=0),T7,"")</f>
        <v>0</v>
      </c>
      <c r="AA7" s="176">
        <f>IF(Z7="",U7-10000,U7)</f>
        <v>-10760.62</v>
      </c>
      <c r="AB7" s="176">
        <f t="shared" ref="AB7:AB38" si="9">IF(AA7=MAX($AA$7:$AA$102),Y7,0)</f>
        <v>0</v>
      </c>
      <c r="AC7" s="176">
        <f t="shared" ref="AC7:AC38" si="10">IF(AB7=MAX($AB$7:$AB$102),AB7,0)</f>
        <v>0</v>
      </c>
      <c r="AD7" s="176">
        <f t="shared" ref="AD7:AD38" si="11">IF(AB7=MAX($AB$7:$AB$102),Z7,0)</f>
        <v>0</v>
      </c>
      <c r="AE7" s="176">
        <f>IF($BL$31="No",IF(B7&lt;780,MAX((0.0004214)*($B7^2)-(0.86656*$B7)+491.334,75),75),(IF(B7&lt;780,MAX((0.0004214)*($B7^2)-(0.86656*$B7)+491.334,75),75))*$BL$37)</f>
        <v>491.334</v>
      </c>
      <c r="AF7" s="176">
        <f>IF(E7="Met",C7-AE7,C7-AE7-10000)</f>
        <v>-10491.334000000001</v>
      </c>
      <c r="AG7" s="176">
        <f t="shared" ref="AG7:AG38" si="12">IF(AF7=MAX($AF$7:$AF$102),B7,0)</f>
        <v>0</v>
      </c>
      <c r="AH7" s="176">
        <f t="shared" ref="AH7:AH38" si="13">IF(AG7=MAX($AG$7:$AG$102),AG7,0)</f>
        <v>0</v>
      </c>
      <c r="AI7" s="176">
        <f t="shared" ref="AI7:AI38" si="14">IF(AH7=MAX($AH$7:$AH$102),C7,0)</f>
        <v>0</v>
      </c>
      <c r="AJ7" s="176">
        <f>IF(AND(AH7=0,AH8=0,AH9=0,AH10=0),B7,"")</f>
        <v>0</v>
      </c>
      <c r="AK7" s="176">
        <f>IF(AND(AH7=0,AH8=0,AH9=0,AH10=0),C7,"")</f>
        <v>0</v>
      </c>
      <c r="AL7" s="176">
        <f>IF(AK7="",AF7-10000,AF7)</f>
        <v>-10491.334000000001</v>
      </c>
      <c r="AM7" s="176">
        <f t="shared" ref="AM7:AM38" si="15">IF(AL7=MAX($AL$7:$AL$102),AJ7,0)</f>
        <v>0</v>
      </c>
      <c r="AN7" s="176">
        <f t="shared" ref="AN7:AN38" si="16">IF(AM7=MAX($AM$7:$AM$102),AM7,0)</f>
        <v>0</v>
      </c>
      <c r="AO7" s="176">
        <f t="shared" ref="AO7:AO38" si="17">IF(AM7=MAX($AM$7:$AM$102),AK7,0)</f>
        <v>0</v>
      </c>
      <c r="AP7" s="176">
        <f>IF(AND(AN7=0,AN8=0,AN9=0,AN10=0),AJ7,"")</f>
        <v>0</v>
      </c>
      <c r="AQ7" s="176">
        <f>IF(AND(AN7=0,AN8=0,AN9=0,AN10=0),AK7,"")</f>
        <v>0</v>
      </c>
      <c r="AR7" s="176">
        <f>IF(AQ7="",AL7-10000,AL7)</f>
        <v>-10491.334000000001</v>
      </c>
      <c r="AS7" s="176">
        <f t="shared" ref="AS7:AS38" si="18">IF(AR7=MAX($AR$7:$AR$102),AP7,0)</f>
        <v>0</v>
      </c>
      <c r="AT7" s="176">
        <f t="shared" ref="AT7:AT38" si="19">IF(AS7=MAX($AS$7:$AS$102),AS7,0)</f>
        <v>0</v>
      </c>
      <c r="AU7" s="176">
        <f t="shared" ref="AU7:AU38" si="20">IF(AS7=MAX($AS$7:$AS$102),AQ7,0)</f>
        <v>0</v>
      </c>
      <c r="AV7" s="176">
        <f>IF(AND(AT7=0,AT8=0,AT9=0,AT10=0),AP7,"")</f>
        <v>0</v>
      </c>
      <c r="AW7" s="176">
        <f>IF(AND(AT7=0,AT8=0,AT9=0,AT10=0),AQ7,"")</f>
        <v>0</v>
      </c>
      <c r="AX7" s="176">
        <f>IF(AW7="",AR7-10000,AR7)</f>
        <v>-10491.334000000001</v>
      </c>
      <c r="AY7" s="176">
        <f t="shared" ref="AY7:AY38" si="21">IF(AX7=MAX($AX$7:$AX$102),AV7,0)</f>
        <v>0</v>
      </c>
      <c r="AZ7" s="176">
        <f t="shared" ref="AZ7:AZ38" si="22">IF(AY7=MAX($AY$7:$AY$102),AY7,0)</f>
        <v>0</v>
      </c>
      <c r="BA7" s="176">
        <f t="shared" ref="BA7:BA38" si="23">IF(AY7=MAX($AY$7:$AY$102),AW7,0)</f>
        <v>0</v>
      </c>
      <c r="BB7" s="176">
        <f>MAX((0.0002889)*($B7^2)-(1.0188*$B7)+1005.61,133)</f>
        <v>1005.61</v>
      </c>
      <c r="BC7" s="176">
        <f t="shared" ref="BC7:BC38" si="24">C7-BB7</f>
        <v>-1005.61</v>
      </c>
      <c r="BD7" s="176">
        <f t="shared" ref="BD7:BD38" si="25">IF(BC7=MAX($BC$7:$BC$102),B7,0)</f>
        <v>0</v>
      </c>
      <c r="BE7" s="176">
        <f t="shared" ref="BE7:BE38" si="26">IF(BD7=MAX($BD$7:$BD$102),BD7,0)</f>
        <v>0</v>
      </c>
      <c r="BF7" s="176">
        <f t="shared" ref="BF7:BF38" si="27">IF(BD7=MAX($BD$7:$BD$102),C7,0)</f>
        <v>0</v>
      </c>
      <c r="BG7" s="161">
        <v>0</v>
      </c>
      <c r="BH7" s="103"/>
      <c r="BI7" s="103"/>
      <c r="BJ7" s="103"/>
      <c r="BL7" s="342"/>
      <c r="BM7" s="341"/>
      <c r="BN7" s="341"/>
      <c r="BO7" s="330"/>
      <c r="BP7" s="330"/>
      <c r="GR7" s="103"/>
      <c r="GS7" s="103"/>
      <c r="GT7" s="103"/>
      <c r="GU7" s="103"/>
      <c r="GV7" s="103"/>
    </row>
    <row r="8" spans="1:204" ht="10.050000000000001" hidden="1" customHeight="1" x14ac:dyDescent="0.25">
      <c r="A8" s="161">
        <v>1.0416666666666666E-2</v>
      </c>
      <c r="B8" s="155">
        <f>'Warrant 2'!F15</f>
        <v>0</v>
      </c>
      <c r="C8" s="155">
        <f>IF(OR('Input &amp; Findings'!$G$28='Drop Down Lists'!$E$2,'Input &amp; Findings'!$G$28='Drop Down Lists'!$E$4),SUM('Data with RTF'!F5,'Data with RTF'!T5),SUM('Data with RTF'!M5,'Data with RTF'!AA5))</f>
        <v>0</v>
      </c>
      <c r="D8" s="176" t="str">
        <f t="shared" ref="D8:D71" si="28">IF($BL$31="No",IF($C8&gt;(MAX((0.0003875)*($B8^2)-(1.02098 *$B8)+760.62,107)),"Met",""),IF($C8&gt;(MAX((0.0003875)*($B8^2)-(1.02098*$B8)+760.62,107)*$BL$37),"Met",""))</f>
        <v/>
      </c>
      <c r="E8" s="176" t="str">
        <f t="shared" ref="E8:E71" si="29">IF($C8&gt;(MAX((0.0004214)*($B8^2)-(0.86656*$B8)+491.334,75)),"Met","")</f>
        <v/>
      </c>
      <c r="F8" s="176" t="str">
        <f t="shared" ref="F8:F71" si="30">IF($BL$31="No",IF($C8&gt;(MAX((0.0002889)*($B8^2)-(1.0188*$B8)+1005.61,133)),"Met",""),IF($C8&gt;(MAX((0.0002889)*($B8^2)-(1.0188*$B8)+1005.61,133)*$BL$37),"Met",""))</f>
        <v/>
      </c>
      <c r="G8" s="176" t="str">
        <f t="shared" ref="G8:G71" si="31">IF($C8&gt;(MAX((0.0003915)*($B8^2)-(0.96162*$B8)+669.187,93)),"Met","")</f>
        <v/>
      </c>
      <c r="H8" s="176">
        <f t="shared" ref="H8:H71" si="32">IF($BL$31="No",IF(B8&lt;1100,MAX((0.0003875)*($B8^2)-(1.02098*$B8)+760.62,107),107),(IF(B8&lt;1100,MAX((0.0003875)*($B8^2)-(1.02098*$B8)+760.62,107)))*$BL$37)</f>
        <v>760.62</v>
      </c>
      <c r="I8" s="176">
        <f t="shared" ref="I8:I71" si="33">IF(D8="Met",C8-H8,C8-H8-10000)</f>
        <v>-10760.62</v>
      </c>
      <c r="J8" s="176">
        <f t="shared" si="0"/>
        <v>0</v>
      </c>
      <c r="K8" s="176">
        <f t="shared" si="1"/>
        <v>0</v>
      </c>
      <c r="L8" s="176">
        <f t="shared" si="2"/>
        <v>0</v>
      </c>
      <c r="M8" s="176">
        <f>IF(AND(K8=0,K9=0,K10=0,K11=0,K7=0),B8,"")</f>
        <v>0</v>
      </c>
      <c r="N8" s="176">
        <f>IF(AND(K8=0,K9=0,K10=0,K11=0,K7=0),C8,"")</f>
        <v>0</v>
      </c>
      <c r="O8" s="176">
        <f t="shared" ref="O8:O71" si="34">IF(N8="",I8-10000,I8)</f>
        <v>-10760.62</v>
      </c>
      <c r="P8" s="176">
        <f t="shared" si="3"/>
        <v>0</v>
      </c>
      <c r="Q8" s="176">
        <f t="shared" si="4"/>
        <v>0</v>
      </c>
      <c r="R8" s="176">
        <f t="shared" si="5"/>
        <v>0</v>
      </c>
      <c r="S8" s="176">
        <f>IF(AND(Q8=0,Q9=0,Q10=0,Q11=0,Q7=0),M8,"")</f>
        <v>0</v>
      </c>
      <c r="T8" s="176">
        <f>IF(AND(Q8=0,Q9=0,Q10=0,Q11=0,Q7=0),N8,"")</f>
        <v>0</v>
      </c>
      <c r="U8" s="176">
        <f t="shared" ref="U8:U71" si="35">IF(T8="",O8-10000,O8)</f>
        <v>-10760.62</v>
      </c>
      <c r="V8" s="176">
        <f t="shared" si="6"/>
        <v>0</v>
      </c>
      <c r="W8" s="176">
        <f t="shared" si="7"/>
        <v>0</v>
      </c>
      <c r="X8" s="176">
        <f t="shared" si="8"/>
        <v>0</v>
      </c>
      <c r="Y8" s="176">
        <f>IF(AND(W8=0,W9=0,W10=0,W11=0,W7=0),S8,"")</f>
        <v>0</v>
      </c>
      <c r="Z8" s="176">
        <f>IF(AND(W8=0,W9=0,W10=0,W11=0,W7=0),T8,"")</f>
        <v>0</v>
      </c>
      <c r="AA8" s="176">
        <f t="shared" ref="AA8:AA71" si="36">IF(Z8="",U8-10000,U8)</f>
        <v>-10760.62</v>
      </c>
      <c r="AB8" s="176">
        <f t="shared" si="9"/>
        <v>0</v>
      </c>
      <c r="AC8" s="176">
        <f t="shared" si="10"/>
        <v>0</v>
      </c>
      <c r="AD8" s="176">
        <f t="shared" si="11"/>
        <v>0</v>
      </c>
      <c r="AE8" s="176">
        <f t="shared" ref="AE8:AE71" si="37">IF($BL$31="No",IF(B8&lt;780,MAX((0.0004214)*($B8^2)-(0.86656*$B8)+491.334,75),75),(IF(B8&lt;780,MAX((0.0004214)*($B8^2)-(0.86656*$B8)+491.334,75),75))*$BL$37)</f>
        <v>491.334</v>
      </c>
      <c r="AF8" s="176">
        <f t="shared" ref="AF8:AF71" si="38">IF(E8="Met",C8-AE8,C8-AE8-10000)</f>
        <v>-10491.334000000001</v>
      </c>
      <c r="AG8" s="176">
        <f t="shared" si="12"/>
        <v>0</v>
      </c>
      <c r="AH8" s="176">
        <f t="shared" si="13"/>
        <v>0</v>
      </c>
      <c r="AI8" s="176">
        <f t="shared" si="14"/>
        <v>0</v>
      </c>
      <c r="AJ8" s="176">
        <f>IF(AND(AH8=0,AH9=0,AH10=0,AH11=0,AH7=0),B8,"")</f>
        <v>0</v>
      </c>
      <c r="AK8" s="176">
        <f>IF(AND(AH8=0,AH9=0,AH10=0,AH11=0,AH7=0),C8,"")</f>
        <v>0</v>
      </c>
      <c r="AL8" s="176">
        <f t="shared" ref="AL8:AL71" si="39">IF(AK8="",AF8-10000,AF8)</f>
        <v>-10491.334000000001</v>
      </c>
      <c r="AM8" s="176">
        <f t="shared" si="15"/>
        <v>0</v>
      </c>
      <c r="AN8" s="176">
        <f t="shared" si="16"/>
        <v>0</v>
      </c>
      <c r="AO8" s="176">
        <f t="shared" si="17"/>
        <v>0</v>
      </c>
      <c r="AP8" s="176">
        <f>IF(AND(AN8=0,AN9=0,AN10=0,AN11=0,AN7=0),AJ8,"")</f>
        <v>0</v>
      </c>
      <c r="AQ8" s="176">
        <f>IF(AND(AN8=0,AN9=0,AN10=0,AN11=0,AN7=0),AK8,"")</f>
        <v>0</v>
      </c>
      <c r="AR8" s="176">
        <f t="shared" ref="AR8:AR71" si="40">IF(AQ8="",AL8-10000,AL8)</f>
        <v>-10491.334000000001</v>
      </c>
      <c r="AS8" s="176">
        <f t="shared" si="18"/>
        <v>0</v>
      </c>
      <c r="AT8" s="176">
        <f t="shared" si="19"/>
        <v>0</v>
      </c>
      <c r="AU8" s="176">
        <f t="shared" si="20"/>
        <v>0</v>
      </c>
      <c r="AV8" s="176">
        <f>IF(AND(AT8=0,AT9=0,AT10=0,AT11=0,AT7=0),AP8,"")</f>
        <v>0</v>
      </c>
      <c r="AW8" s="176">
        <f>IF(AND(AT8=0,AT9=0,AT10=0,AT11=0,AT7=0),AQ8,"")</f>
        <v>0</v>
      </c>
      <c r="AX8" s="176">
        <f t="shared" ref="AX8:AX71" si="41">IF(AW8="",AR8-10000,AR8)</f>
        <v>-10491.334000000001</v>
      </c>
      <c r="AY8" s="176">
        <f t="shared" si="21"/>
        <v>0</v>
      </c>
      <c r="AZ8" s="176">
        <f t="shared" si="22"/>
        <v>0</v>
      </c>
      <c r="BA8" s="176">
        <f t="shared" si="23"/>
        <v>0</v>
      </c>
      <c r="BB8" s="176">
        <f t="shared" ref="BB8:BB71" si="42">MAX((0.0002889)*($B8^2)-(1.0188*$B8)+1005.61,133)</f>
        <v>1005.61</v>
      </c>
      <c r="BC8" s="176">
        <f t="shared" si="24"/>
        <v>-1005.61</v>
      </c>
      <c r="BD8" s="176">
        <f t="shared" si="25"/>
        <v>0</v>
      </c>
      <c r="BE8" s="176">
        <f t="shared" si="26"/>
        <v>0</v>
      </c>
      <c r="BF8" s="176">
        <f t="shared" si="27"/>
        <v>0</v>
      </c>
      <c r="BG8" s="161">
        <v>1.0416666666666666E-2</v>
      </c>
      <c r="BH8" s="103"/>
      <c r="BI8" s="103"/>
      <c r="BJ8" s="103"/>
      <c r="BL8" s="342"/>
      <c r="BM8" s="345"/>
      <c r="BN8" s="341"/>
      <c r="BO8" s="330"/>
      <c r="BP8" s="330"/>
      <c r="GR8" s="103"/>
      <c r="GS8" s="103"/>
      <c r="GT8" s="103"/>
      <c r="GU8" s="103"/>
      <c r="GV8" s="103"/>
    </row>
    <row r="9" spans="1:204" ht="10.050000000000001" hidden="1" customHeight="1" x14ac:dyDescent="0.25">
      <c r="A9" s="161">
        <v>2.0833333333333301E-2</v>
      </c>
      <c r="B9" s="155">
        <f>'Warrant 2'!F16</f>
        <v>0</v>
      </c>
      <c r="C9" s="155">
        <f>IF(OR('Input &amp; Findings'!$G$28='Drop Down Lists'!$E$2,'Input &amp; Findings'!$G$28='Drop Down Lists'!$E$4),SUM('Data with RTF'!F6,'Data with RTF'!T6),SUM('Data with RTF'!M6,'Data with RTF'!AA6))</f>
        <v>0</v>
      </c>
      <c r="D9" s="176" t="str">
        <f t="shared" si="28"/>
        <v/>
      </c>
      <c r="E9" s="176" t="str">
        <f t="shared" si="29"/>
        <v/>
      </c>
      <c r="F9" s="176" t="str">
        <f t="shared" si="30"/>
        <v/>
      </c>
      <c r="G9" s="176" t="str">
        <f t="shared" si="31"/>
        <v/>
      </c>
      <c r="H9" s="176">
        <f t="shared" si="32"/>
        <v>760.62</v>
      </c>
      <c r="I9" s="176">
        <f t="shared" si="33"/>
        <v>-10760.62</v>
      </c>
      <c r="J9" s="176">
        <f t="shared" si="0"/>
        <v>0</v>
      </c>
      <c r="K9" s="176">
        <f t="shared" si="1"/>
        <v>0</v>
      </c>
      <c r="L9" s="176">
        <f t="shared" si="2"/>
        <v>0</v>
      </c>
      <c r="M9" s="176">
        <f>IF(AND(K9=0,K10=0,K11=0,K12=0,K8=0,K7=0),B9,"")</f>
        <v>0</v>
      </c>
      <c r="N9" s="176">
        <f>IF(AND(K9=0,K10=0,K11=0,K12=0,K8=0,K7=0),C9,"")</f>
        <v>0</v>
      </c>
      <c r="O9" s="176">
        <f t="shared" si="34"/>
        <v>-10760.62</v>
      </c>
      <c r="P9" s="176">
        <f t="shared" si="3"/>
        <v>0</v>
      </c>
      <c r="Q9" s="176">
        <f t="shared" si="4"/>
        <v>0</v>
      </c>
      <c r="R9" s="176">
        <f t="shared" si="5"/>
        <v>0</v>
      </c>
      <c r="S9" s="176">
        <f>IF(AND(Q9=0,Q10=0,Q11=0,Q12=0,Q8=0,Q7=0),M9,"")</f>
        <v>0</v>
      </c>
      <c r="T9" s="176">
        <f>IF(AND(Q9=0,Q10=0,Q11=0,Q12=0,Q8=0,Q7=0),N9,"")</f>
        <v>0</v>
      </c>
      <c r="U9" s="176">
        <f t="shared" si="35"/>
        <v>-10760.62</v>
      </c>
      <c r="V9" s="176">
        <f t="shared" si="6"/>
        <v>0</v>
      </c>
      <c r="W9" s="176">
        <f t="shared" si="7"/>
        <v>0</v>
      </c>
      <c r="X9" s="176">
        <f t="shared" si="8"/>
        <v>0</v>
      </c>
      <c r="Y9" s="176">
        <f>IF(AND(X9=0,X10=0,X11=0,X12=0,X8=0,X7=0),S9,"")</f>
        <v>0</v>
      </c>
      <c r="Z9" s="176">
        <f>IF(AND(W9=0,W10=0,W11=0,W12=0,W8=0,W7=0),T9,"")</f>
        <v>0</v>
      </c>
      <c r="AA9" s="176">
        <f t="shared" si="36"/>
        <v>-10760.62</v>
      </c>
      <c r="AB9" s="176">
        <f t="shared" si="9"/>
        <v>0</v>
      </c>
      <c r="AC9" s="176">
        <f t="shared" si="10"/>
        <v>0</v>
      </c>
      <c r="AD9" s="176">
        <f t="shared" si="11"/>
        <v>0</v>
      </c>
      <c r="AE9" s="176">
        <f t="shared" si="37"/>
        <v>491.334</v>
      </c>
      <c r="AF9" s="176">
        <f t="shared" si="38"/>
        <v>-10491.334000000001</v>
      </c>
      <c r="AG9" s="176">
        <f t="shared" si="12"/>
        <v>0</v>
      </c>
      <c r="AH9" s="176">
        <f t="shared" si="13"/>
        <v>0</v>
      </c>
      <c r="AI9" s="176">
        <f t="shared" si="14"/>
        <v>0</v>
      </c>
      <c r="AJ9" s="176">
        <f>IF(AND(AH9=0,AH10=0,AH11=0,AH12=0,AH8=0,AH7=0),B9,"")</f>
        <v>0</v>
      </c>
      <c r="AK9" s="176">
        <f>IF(AND(AH9=0,AH10=0,AH11=0,AH12=0,AH8=0,AH7=0),C9,"")</f>
        <v>0</v>
      </c>
      <c r="AL9" s="176">
        <f t="shared" si="39"/>
        <v>-10491.334000000001</v>
      </c>
      <c r="AM9" s="176">
        <f t="shared" si="15"/>
        <v>0</v>
      </c>
      <c r="AN9" s="176">
        <f t="shared" si="16"/>
        <v>0</v>
      </c>
      <c r="AO9" s="176">
        <f t="shared" si="17"/>
        <v>0</v>
      </c>
      <c r="AP9" s="176">
        <f>IF(AND(AN9=0,AN10=0,AN11=0,AN12=0,AN8=0,AN7=0),AJ9,"")</f>
        <v>0</v>
      </c>
      <c r="AQ9" s="176">
        <f>IF(AND(AN9=0,AN10=0,AN11=0,AN12=0,AN8=0,AN7=0),AK9,"")</f>
        <v>0</v>
      </c>
      <c r="AR9" s="176">
        <f t="shared" si="40"/>
        <v>-10491.334000000001</v>
      </c>
      <c r="AS9" s="176">
        <f t="shared" si="18"/>
        <v>0</v>
      </c>
      <c r="AT9" s="176">
        <f t="shared" si="19"/>
        <v>0</v>
      </c>
      <c r="AU9" s="176">
        <f t="shared" si="20"/>
        <v>0</v>
      </c>
      <c r="AV9" s="176">
        <f>IF(AND(AU9=0,AU10=0,AU11=0,AU12=0,AU8=0,AU7=0),AP9,"")</f>
        <v>0</v>
      </c>
      <c r="AW9" s="176">
        <f>IF(AND(AT9=0,AT10=0,AT11=0,AT12=0,AT8=0,AT7=0),AQ9,"")</f>
        <v>0</v>
      </c>
      <c r="AX9" s="176">
        <f t="shared" si="41"/>
        <v>-10491.334000000001</v>
      </c>
      <c r="AY9" s="176">
        <f t="shared" si="21"/>
        <v>0</v>
      </c>
      <c r="AZ9" s="176">
        <f t="shared" si="22"/>
        <v>0</v>
      </c>
      <c r="BA9" s="176">
        <f t="shared" si="23"/>
        <v>0</v>
      </c>
      <c r="BB9" s="176">
        <f t="shared" si="42"/>
        <v>1005.61</v>
      </c>
      <c r="BC9" s="176">
        <f t="shared" si="24"/>
        <v>-1005.61</v>
      </c>
      <c r="BD9" s="176">
        <f t="shared" si="25"/>
        <v>0</v>
      </c>
      <c r="BE9" s="176">
        <f t="shared" si="26"/>
        <v>0</v>
      </c>
      <c r="BF9" s="176">
        <f t="shared" si="27"/>
        <v>0</v>
      </c>
      <c r="BG9" s="161">
        <v>2.0833333333333301E-2</v>
      </c>
      <c r="BH9" s="103"/>
      <c r="BI9" s="103"/>
      <c r="BJ9" s="103"/>
      <c r="BL9" s="342"/>
      <c r="BM9" s="341"/>
      <c r="BN9" s="341"/>
      <c r="BO9" s="330"/>
      <c r="BP9" s="330"/>
      <c r="GR9" s="103"/>
      <c r="GS9" s="103"/>
      <c r="GT9" s="103"/>
      <c r="GU9" s="103"/>
      <c r="GV9" s="103"/>
    </row>
    <row r="10" spans="1:204" ht="10.050000000000001" hidden="1" customHeight="1" x14ac:dyDescent="0.25">
      <c r="A10" s="161">
        <v>3.125E-2</v>
      </c>
      <c r="B10" s="155">
        <f>'Warrant 2'!F17</f>
        <v>0</v>
      </c>
      <c r="C10" s="155">
        <f>IF(OR('Input &amp; Findings'!$G$28='Drop Down Lists'!$E$2,'Input &amp; Findings'!$G$28='Drop Down Lists'!$E$4),SUM('Data with RTF'!F7,'Data with RTF'!T7),SUM('Data with RTF'!M7,'Data with RTF'!AA7))</f>
        <v>0</v>
      </c>
      <c r="D10" s="176" t="str">
        <f t="shared" si="28"/>
        <v/>
      </c>
      <c r="E10" s="176" t="str">
        <f t="shared" si="29"/>
        <v/>
      </c>
      <c r="F10" s="176" t="str">
        <f t="shared" si="30"/>
        <v/>
      </c>
      <c r="G10" s="176" t="str">
        <f t="shared" si="31"/>
        <v/>
      </c>
      <c r="H10" s="176">
        <f t="shared" si="32"/>
        <v>760.62</v>
      </c>
      <c r="I10" s="176">
        <f t="shared" si="33"/>
        <v>-10760.62</v>
      </c>
      <c r="J10" s="176">
        <f t="shared" si="0"/>
        <v>0</v>
      </c>
      <c r="K10" s="176">
        <f t="shared" si="1"/>
        <v>0</v>
      </c>
      <c r="L10" s="176">
        <f t="shared" si="2"/>
        <v>0</v>
      </c>
      <c r="M10" s="176">
        <f t="shared" ref="M10:M41" si="43">IF(AND(K10=0,K11=0,K12=0,K13=0,K9=0,K8=0,K7=0),B10,"")</f>
        <v>0</v>
      </c>
      <c r="N10" s="176">
        <f t="shared" ref="N10:N41" si="44">IF(AND(K10=0,K11=0,K12=0,K13=0,K9=0,K8=0,K7=0),C10,"")</f>
        <v>0</v>
      </c>
      <c r="O10" s="176">
        <f t="shared" si="34"/>
        <v>-10760.62</v>
      </c>
      <c r="P10" s="176">
        <f t="shared" si="3"/>
        <v>0</v>
      </c>
      <c r="Q10" s="176">
        <f t="shared" si="4"/>
        <v>0</v>
      </c>
      <c r="R10" s="176">
        <f t="shared" si="5"/>
        <v>0</v>
      </c>
      <c r="S10" s="176">
        <f>IF(AND(Q10=0,Q11=0,Q12=0,Q13=0,Q9=0,Q8=0,Q7=0),M10,"")</f>
        <v>0</v>
      </c>
      <c r="T10" s="176">
        <f t="shared" ref="T10:T41" si="45">IF(AND(Q10=0,Q11=0,Q12=0,Q13=0,Q9=0,Q8=0,Q7=0),N10,"")</f>
        <v>0</v>
      </c>
      <c r="U10" s="176">
        <f t="shared" si="35"/>
        <v>-10760.62</v>
      </c>
      <c r="V10" s="176">
        <f t="shared" si="6"/>
        <v>0</v>
      </c>
      <c r="W10" s="176">
        <f t="shared" si="7"/>
        <v>0</v>
      </c>
      <c r="X10" s="176">
        <f t="shared" si="8"/>
        <v>0</v>
      </c>
      <c r="Y10" s="176">
        <f t="shared" ref="Y10:Y41" si="46">IF(AND(W10=0,W11=0,W12=0,W13=0,W9=0,W8=0,W7=0),S10,"")</f>
        <v>0</v>
      </c>
      <c r="Z10" s="176">
        <f t="shared" ref="Z10:Z41" si="47">IF(AND(W10=0,W11=0,W12=0,W13=0,W9=0,W8=0,W7=0),T10,"")</f>
        <v>0</v>
      </c>
      <c r="AA10" s="176">
        <f t="shared" si="36"/>
        <v>-10760.62</v>
      </c>
      <c r="AB10" s="176">
        <f t="shared" si="9"/>
        <v>0</v>
      </c>
      <c r="AC10" s="176">
        <f t="shared" si="10"/>
        <v>0</v>
      </c>
      <c r="AD10" s="176">
        <f t="shared" si="11"/>
        <v>0</v>
      </c>
      <c r="AE10" s="176">
        <f t="shared" si="37"/>
        <v>491.334</v>
      </c>
      <c r="AF10" s="176">
        <f t="shared" si="38"/>
        <v>-10491.334000000001</v>
      </c>
      <c r="AG10" s="176">
        <f t="shared" si="12"/>
        <v>0</v>
      </c>
      <c r="AH10" s="176">
        <f t="shared" si="13"/>
        <v>0</v>
      </c>
      <c r="AI10" s="176">
        <f t="shared" si="14"/>
        <v>0</v>
      </c>
      <c r="AJ10" s="176">
        <f t="shared" ref="AJ10:AJ41" si="48">IF(AND(AH10=0,AH11=0,AH12=0,AH13=0,AH9=0,AH8=0,AH7=0),B10,"")</f>
        <v>0</v>
      </c>
      <c r="AK10" s="176">
        <f t="shared" ref="AK10:AK41" si="49">IF(AND(AH10=0,AH11=0,AH12=0,AH13=0,AH9=0,AH8=0,AH7=0),C10,"")</f>
        <v>0</v>
      </c>
      <c r="AL10" s="176">
        <f t="shared" si="39"/>
        <v>-10491.334000000001</v>
      </c>
      <c r="AM10" s="176">
        <f t="shared" si="15"/>
        <v>0</v>
      </c>
      <c r="AN10" s="176">
        <f t="shared" si="16"/>
        <v>0</v>
      </c>
      <c r="AO10" s="176">
        <f t="shared" si="17"/>
        <v>0</v>
      </c>
      <c r="AP10" s="176">
        <f>IF(AND(AN10=0,AN11=0,AN12=0,AN13=0,AN9=0,AN8=0,AN7=0),AJ10,"")</f>
        <v>0</v>
      </c>
      <c r="AQ10" s="176">
        <f t="shared" ref="AQ10:AQ41" si="50">IF(AND(AN10=0,AN11=0,AN12=0,AN13=0,AN9=0,AN8=0,AN7=0),AK10,"")</f>
        <v>0</v>
      </c>
      <c r="AR10" s="176">
        <f t="shared" si="40"/>
        <v>-10491.334000000001</v>
      </c>
      <c r="AS10" s="176">
        <f t="shared" si="18"/>
        <v>0</v>
      </c>
      <c r="AT10" s="176">
        <f t="shared" si="19"/>
        <v>0</v>
      </c>
      <c r="AU10" s="176">
        <f t="shared" si="20"/>
        <v>0</v>
      </c>
      <c r="AV10" s="176">
        <f t="shared" ref="AV10:AV41" si="51">IF(AND(AT10=0,AT11=0,AT12=0,AT13=0,AT9=0,AT8=0,AT7=0),AP10,"")</f>
        <v>0</v>
      </c>
      <c r="AW10" s="176">
        <f t="shared" ref="AW10:AW41" si="52">IF(AND(AT10=0,AT11=0,AT12=0,AT13=0,AT9=0,AT8=0,AT7=0),AQ10,"")</f>
        <v>0</v>
      </c>
      <c r="AX10" s="176">
        <f t="shared" si="41"/>
        <v>-10491.334000000001</v>
      </c>
      <c r="AY10" s="176">
        <f t="shared" si="21"/>
        <v>0</v>
      </c>
      <c r="AZ10" s="176">
        <f t="shared" si="22"/>
        <v>0</v>
      </c>
      <c r="BA10" s="176">
        <f t="shared" si="23"/>
        <v>0</v>
      </c>
      <c r="BB10" s="176">
        <f t="shared" si="42"/>
        <v>1005.61</v>
      </c>
      <c r="BC10" s="176">
        <f t="shared" si="24"/>
        <v>-1005.61</v>
      </c>
      <c r="BD10" s="176">
        <f t="shared" si="25"/>
        <v>0</v>
      </c>
      <c r="BE10" s="176">
        <f t="shared" si="26"/>
        <v>0</v>
      </c>
      <c r="BF10" s="176">
        <f t="shared" si="27"/>
        <v>0</v>
      </c>
      <c r="BG10" s="161">
        <v>3.125E-2</v>
      </c>
      <c r="BH10" s="103"/>
      <c r="BI10" s="103"/>
      <c r="BJ10" s="103"/>
      <c r="BL10" s="342"/>
      <c r="BM10" s="346"/>
      <c r="BN10" s="341"/>
      <c r="BO10" s="330"/>
      <c r="BP10" s="330"/>
      <c r="GR10" s="103"/>
      <c r="GS10" s="103"/>
      <c r="GT10" s="103"/>
      <c r="GU10" s="103"/>
      <c r="GV10" s="103"/>
    </row>
    <row r="11" spans="1:204" ht="10.050000000000001" hidden="1" customHeight="1" x14ac:dyDescent="0.25">
      <c r="A11" s="161">
        <v>4.1666666666666699E-2</v>
      </c>
      <c r="B11" s="155">
        <f>'Warrant 2'!F18</f>
        <v>0</v>
      </c>
      <c r="C11" s="155">
        <f>IF(OR('Input &amp; Findings'!$G$28='Drop Down Lists'!$E$2,'Input &amp; Findings'!$G$28='Drop Down Lists'!$E$4),SUM('Data with RTF'!F8,'Data with RTF'!T8),SUM('Data with RTF'!M8,'Data with RTF'!AA8))</f>
        <v>0</v>
      </c>
      <c r="D11" s="176" t="str">
        <f t="shared" si="28"/>
        <v/>
      </c>
      <c r="E11" s="176" t="str">
        <f t="shared" si="29"/>
        <v/>
      </c>
      <c r="F11" s="176" t="str">
        <f t="shared" si="30"/>
        <v/>
      </c>
      <c r="G11" s="176" t="str">
        <f t="shared" si="31"/>
        <v/>
      </c>
      <c r="H11" s="176">
        <f t="shared" si="32"/>
        <v>760.62</v>
      </c>
      <c r="I11" s="176">
        <f t="shared" si="33"/>
        <v>-10760.62</v>
      </c>
      <c r="J11" s="176">
        <f t="shared" si="0"/>
        <v>0</v>
      </c>
      <c r="K11" s="176">
        <f t="shared" si="1"/>
        <v>0</v>
      </c>
      <c r="L11" s="176">
        <f t="shared" si="2"/>
        <v>0</v>
      </c>
      <c r="M11" s="176">
        <f t="shared" si="43"/>
        <v>0</v>
      </c>
      <c r="N11" s="176">
        <f t="shared" si="44"/>
        <v>0</v>
      </c>
      <c r="O11" s="176">
        <f t="shared" si="34"/>
        <v>-10760.62</v>
      </c>
      <c r="P11" s="176">
        <f t="shared" si="3"/>
        <v>0</v>
      </c>
      <c r="Q11" s="176">
        <f t="shared" si="4"/>
        <v>0</v>
      </c>
      <c r="R11" s="176">
        <f t="shared" si="5"/>
        <v>0</v>
      </c>
      <c r="S11" s="176">
        <f>IF(AND(Q11=0,Q12=0,Q13=0,Q14=0,Q10=0,Q9=0,Q8=0),M11,"")</f>
        <v>0</v>
      </c>
      <c r="T11" s="176">
        <f t="shared" si="45"/>
        <v>0</v>
      </c>
      <c r="U11" s="176">
        <f t="shared" si="35"/>
        <v>-10760.62</v>
      </c>
      <c r="V11" s="176">
        <f t="shared" si="6"/>
        <v>0</v>
      </c>
      <c r="W11" s="176">
        <f t="shared" si="7"/>
        <v>0</v>
      </c>
      <c r="X11" s="176">
        <f t="shared" si="8"/>
        <v>0</v>
      </c>
      <c r="Y11" s="176">
        <f t="shared" si="46"/>
        <v>0</v>
      </c>
      <c r="Z11" s="176">
        <f t="shared" si="47"/>
        <v>0</v>
      </c>
      <c r="AA11" s="176">
        <f t="shared" si="36"/>
        <v>-10760.62</v>
      </c>
      <c r="AB11" s="176">
        <f t="shared" si="9"/>
        <v>0</v>
      </c>
      <c r="AC11" s="176">
        <f t="shared" si="10"/>
        <v>0</v>
      </c>
      <c r="AD11" s="176">
        <f t="shared" si="11"/>
        <v>0</v>
      </c>
      <c r="AE11" s="176">
        <f t="shared" si="37"/>
        <v>491.334</v>
      </c>
      <c r="AF11" s="176">
        <f t="shared" si="38"/>
        <v>-10491.334000000001</v>
      </c>
      <c r="AG11" s="176">
        <f t="shared" si="12"/>
        <v>0</v>
      </c>
      <c r="AH11" s="176">
        <f t="shared" si="13"/>
        <v>0</v>
      </c>
      <c r="AI11" s="176">
        <f t="shared" si="14"/>
        <v>0</v>
      </c>
      <c r="AJ11" s="176">
        <f t="shared" si="48"/>
        <v>0</v>
      </c>
      <c r="AK11" s="176">
        <f t="shared" si="49"/>
        <v>0</v>
      </c>
      <c r="AL11" s="176">
        <f t="shared" si="39"/>
        <v>-10491.334000000001</v>
      </c>
      <c r="AM11" s="176">
        <f t="shared" si="15"/>
        <v>0</v>
      </c>
      <c r="AN11" s="176">
        <f t="shared" si="16"/>
        <v>0</v>
      </c>
      <c r="AO11" s="176">
        <f t="shared" si="17"/>
        <v>0</v>
      </c>
      <c r="AP11" s="176">
        <f>IF(AND(AN11=0,AN12=0,AN13=0,AN14=0,AN10=0,AN9=0,AN8=0),AJ11,"")</f>
        <v>0</v>
      </c>
      <c r="AQ11" s="176">
        <f t="shared" si="50"/>
        <v>0</v>
      </c>
      <c r="AR11" s="176">
        <f t="shared" si="40"/>
        <v>-10491.334000000001</v>
      </c>
      <c r="AS11" s="176">
        <f t="shared" si="18"/>
        <v>0</v>
      </c>
      <c r="AT11" s="176">
        <f t="shared" si="19"/>
        <v>0</v>
      </c>
      <c r="AU11" s="176">
        <f t="shared" si="20"/>
        <v>0</v>
      </c>
      <c r="AV11" s="176">
        <f t="shared" si="51"/>
        <v>0</v>
      </c>
      <c r="AW11" s="176">
        <f t="shared" si="52"/>
        <v>0</v>
      </c>
      <c r="AX11" s="176">
        <f t="shared" si="41"/>
        <v>-10491.334000000001</v>
      </c>
      <c r="AY11" s="176">
        <f t="shared" si="21"/>
        <v>0</v>
      </c>
      <c r="AZ11" s="176">
        <f t="shared" si="22"/>
        <v>0</v>
      </c>
      <c r="BA11" s="176">
        <f t="shared" si="23"/>
        <v>0</v>
      </c>
      <c r="BB11" s="176">
        <f t="shared" si="42"/>
        <v>1005.61</v>
      </c>
      <c r="BC11" s="176">
        <f t="shared" si="24"/>
        <v>-1005.61</v>
      </c>
      <c r="BD11" s="176">
        <f t="shared" si="25"/>
        <v>0</v>
      </c>
      <c r="BE11" s="176">
        <f t="shared" si="26"/>
        <v>0</v>
      </c>
      <c r="BF11" s="176">
        <f t="shared" si="27"/>
        <v>0</v>
      </c>
      <c r="BG11" s="161">
        <v>4.1666666666666699E-2</v>
      </c>
      <c r="BH11" s="103"/>
      <c r="BI11" s="103"/>
      <c r="BJ11" s="221"/>
      <c r="BL11" s="342"/>
      <c r="BM11" s="341"/>
      <c r="BN11" s="341"/>
      <c r="BO11" s="330"/>
      <c r="BP11" s="330"/>
      <c r="GR11" s="103"/>
      <c r="GS11" s="103"/>
      <c r="GT11" s="103"/>
      <c r="GU11" s="103"/>
      <c r="GV11" s="103"/>
    </row>
    <row r="12" spans="1:204" ht="10.050000000000001" hidden="1" customHeight="1" x14ac:dyDescent="0.25">
      <c r="A12" s="161">
        <v>5.2083333333333301E-2</v>
      </c>
      <c r="B12" s="155">
        <f>'Warrant 2'!F19</f>
        <v>0</v>
      </c>
      <c r="C12" s="155">
        <f>IF(OR('Input &amp; Findings'!$G$28='Drop Down Lists'!$E$2,'Input &amp; Findings'!$G$28='Drop Down Lists'!$E$4),SUM('Data with RTF'!F9,'Data with RTF'!T9),SUM('Data with RTF'!M9,'Data with RTF'!AA9))</f>
        <v>0</v>
      </c>
      <c r="D12" s="176" t="str">
        <f t="shared" si="28"/>
        <v/>
      </c>
      <c r="E12" s="176" t="str">
        <f t="shared" si="29"/>
        <v/>
      </c>
      <c r="F12" s="176" t="str">
        <f t="shared" si="30"/>
        <v/>
      </c>
      <c r="G12" s="176" t="str">
        <f t="shared" si="31"/>
        <v/>
      </c>
      <c r="H12" s="176">
        <f t="shared" si="32"/>
        <v>760.62</v>
      </c>
      <c r="I12" s="176">
        <f t="shared" si="33"/>
        <v>-10760.62</v>
      </c>
      <c r="J12" s="176">
        <f t="shared" si="0"/>
        <v>0</v>
      </c>
      <c r="K12" s="176">
        <f t="shared" si="1"/>
        <v>0</v>
      </c>
      <c r="L12" s="176">
        <f t="shared" si="2"/>
        <v>0</v>
      </c>
      <c r="M12" s="176">
        <f t="shared" si="43"/>
        <v>0</v>
      </c>
      <c r="N12" s="176">
        <f t="shared" si="44"/>
        <v>0</v>
      </c>
      <c r="O12" s="176">
        <f t="shared" si="34"/>
        <v>-10760.62</v>
      </c>
      <c r="P12" s="176">
        <f t="shared" si="3"/>
        <v>0</v>
      </c>
      <c r="Q12" s="176">
        <f t="shared" si="4"/>
        <v>0</v>
      </c>
      <c r="R12" s="176">
        <f t="shared" si="5"/>
        <v>0</v>
      </c>
      <c r="S12" s="176">
        <f t="shared" ref="S12:S75" si="53">IF(AND(Q12=0,Q13=0,Q14=0,Q15=0,Q11=0,Q10=0,Q9=0),M12,"")</f>
        <v>0</v>
      </c>
      <c r="T12" s="176">
        <f t="shared" si="45"/>
        <v>0</v>
      </c>
      <c r="U12" s="176">
        <f t="shared" si="35"/>
        <v>-10760.62</v>
      </c>
      <c r="V12" s="176">
        <f t="shared" si="6"/>
        <v>0</v>
      </c>
      <c r="W12" s="176">
        <f t="shared" si="7"/>
        <v>0</v>
      </c>
      <c r="X12" s="176">
        <f t="shared" si="8"/>
        <v>0</v>
      </c>
      <c r="Y12" s="176">
        <f t="shared" si="46"/>
        <v>0</v>
      </c>
      <c r="Z12" s="176">
        <f t="shared" si="47"/>
        <v>0</v>
      </c>
      <c r="AA12" s="176">
        <f t="shared" si="36"/>
        <v>-10760.62</v>
      </c>
      <c r="AB12" s="176">
        <f t="shared" si="9"/>
        <v>0</v>
      </c>
      <c r="AC12" s="176">
        <f t="shared" si="10"/>
        <v>0</v>
      </c>
      <c r="AD12" s="176">
        <f t="shared" si="11"/>
        <v>0</v>
      </c>
      <c r="AE12" s="176">
        <f t="shared" si="37"/>
        <v>491.334</v>
      </c>
      <c r="AF12" s="176">
        <f t="shared" si="38"/>
        <v>-10491.334000000001</v>
      </c>
      <c r="AG12" s="176">
        <f t="shared" si="12"/>
        <v>0</v>
      </c>
      <c r="AH12" s="176">
        <f t="shared" si="13"/>
        <v>0</v>
      </c>
      <c r="AI12" s="176">
        <f t="shared" si="14"/>
        <v>0</v>
      </c>
      <c r="AJ12" s="176">
        <f t="shared" si="48"/>
        <v>0</v>
      </c>
      <c r="AK12" s="176">
        <f t="shared" si="49"/>
        <v>0</v>
      </c>
      <c r="AL12" s="176">
        <f t="shared" si="39"/>
        <v>-10491.334000000001</v>
      </c>
      <c r="AM12" s="176">
        <f t="shared" si="15"/>
        <v>0</v>
      </c>
      <c r="AN12" s="176">
        <f t="shared" si="16"/>
        <v>0</v>
      </c>
      <c r="AO12" s="176">
        <f t="shared" si="17"/>
        <v>0</v>
      </c>
      <c r="AP12" s="176">
        <f t="shared" ref="AP12:AP75" si="54">IF(AND(AN12=0,AN13=0,AN14=0,AN15=0,AN11=0,AN10=0,AN9=0),AJ12,"")</f>
        <v>0</v>
      </c>
      <c r="AQ12" s="176">
        <f t="shared" si="50"/>
        <v>0</v>
      </c>
      <c r="AR12" s="176">
        <f t="shared" si="40"/>
        <v>-10491.334000000001</v>
      </c>
      <c r="AS12" s="176">
        <f t="shared" si="18"/>
        <v>0</v>
      </c>
      <c r="AT12" s="176">
        <f t="shared" si="19"/>
        <v>0</v>
      </c>
      <c r="AU12" s="176">
        <f t="shared" si="20"/>
        <v>0</v>
      </c>
      <c r="AV12" s="176">
        <f t="shared" si="51"/>
        <v>0</v>
      </c>
      <c r="AW12" s="176">
        <f t="shared" si="52"/>
        <v>0</v>
      </c>
      <c r="AX12" s="176">
        <f t="shared" si="41"/>
        <v>-10491.334000000001</v>
      </c>
      <c r="AY12" s="176">
        <f t="shared" si="21"/>
        <v>0</v>
      </c>
      <c r="AZ12" s="176">
        <f t="shared" si="22"/>
        <v>0</v>
      </c>
      <c r="BA12" s="176">
        <f t="shared" si="23"/>
        <v>0</v>
      </c>
      <c r="BB12" s="176">
        <f t="shared" si="42"/>
        <v>1005.61</v>
      </c>
      <c r="BC12" s="176">
        <f t="shared" si="24"/>
        <v>-1005.61</v>
      </c>
      <c r="BD12" s="176">
        <f t="shared" si="25"/>
        <v>0</v>
      </c>
      <c r="BE12" s="176">
        <f t="shared" si="26"/>
        <v>0</v>
      </c>
      <c r="BF12" s="176">
        <f t="shared" si="27"/>
        <v>0</v>
      </c>
      <c r="BG12" s="161">
        <v>5.2083333333333301E-2</v>
      </c>
      <c r="BH12" s="141"/>
      <c r="BI12" s="141"/>
      <c r="BJ12" s="141"/>
      <c r="BL12" s="342"/>
      <c r="BM12" s="341"/>
      <c r="BN12" s="341"/>
      <c r="BO12" s="330"/>
      <c r="BP12" s="330"/>
      <c r="GR12" s="103"/>
      <c r="GS12" s="103"/>
      <c r="GT12" s="103"/>
      <c r="GU12" s="103"/>
      <c r="GV12" s="103"/>
    </row>
    <row r="13" spans="1:204" ht="10.050000000000001" hidden="1" customHeight="1" x14ac:dyDescent="0.25">
      <c r="A13" s="161">
        <v>6.25E-2</v>
      </c>
      <c r="B13" s="155">
        <f>'Warrant 2'!F20</f>
        <v>0</v>
      </c>
      <c r="C13" s="155">
        <f>IF(OR('Input &amp; Findings'!$G$28='Drop Down Lists'!$E$2,'Input &amp; Findings'!$G$28='Drop Down Lists'!$E$4),SUM('Data with RTF'!F10,'Data with RTF'!T10),SUM('Data with RTF'!M10,'Data with RTF'!AA10))</f>
        <v>0</v>
      </c>
      <c r="D13" s="176" t="str">
        <f t="shared" si="28"/>
        <v/>
      </c>
      <c r="E13" s="176" t="str">
        <f t="shared" si="29"/>
        <v/>
      </c>
      <c r="F13" s="176" t="str">
        <f t="shared" si="30"/>
        <v/>
      </c>
      <c r="G13" s="176" t="str">
        <f t="shared" si="31"/>
        <v/>
      </c>
      <c r="H13" s="176">
        <f t="shared" si="32"/>
        <v>760.62</v>
      </c>
      <c r="I13" s="176">
        <f t="shared" si="33"/>
        <v>-10760.62</v>
      </c>
      <c r="J13" s="176">
        <f t="shared" si="0"/>
        <v>0</v>
      </c>
      <c r="K13" s="176">
        <f t="shared" si="1"/>
        <v>0</v>
      </c>
      <c r="L13" s="176">
        <f t="shared" si="2"/>
        <v>0</v>
      </c>
      <c r="M13" s="176">
        <f t="shared" si="43"/>
        <v>0</v>
      </c>
      <c r="N13" s="176">
        <f t="shared" si="44"/>
        <v>0</v>
      </c>
      <c r="O13" s="176">
        <f t="shared" si="34"/>
        <v>-10760.62</v>
      </c>
      <c r="P13" s="176">
        <f t="shared" si="3"/>
        <v>0</v>
      </c>
      <c r="Q13" s="176">
        <f t="shared" si="4"/>
        <v>0</v>
      </c>
      <c r="R13" s="176">
        <f t="shared" si="5"/>
        <v>0</v>
      </c>
      <c r="S13" s="176">
        <f t="shared" si="53"/>
        <v>0</v>
      </c>
      <c r="T13" s="176">
        <f t="shared" si="45"/>
        <v>0</v>
      </c>
      <c r="U13" s="176">
        <f t="shared" si="35"/>
        <v>-10760.62</v>
      </c>
      <c r="V13" s="176">
        <f t="shared" si="6"/>
        <v>0</v>
      </c>
      <c r="W13" s="176">
        <f t="shared" si="7"/>
        <v>0</v>
      </c>
      <c r="X13" s="176">
        <f t="shared" si="8"/>
        <v>0</v>
      </c>
      <c r="Y13" s="176">
        <f t="shared" si="46"/>
        <v>0</v>
      </c>
      <c r="Z13" s="176">
        <f t="shared" si="47"/>
        <v>0</v>
      </c>
      <c r="AA13" s="176">
        <f t="shared" si="36"/>
        <v>-10760.62</v>
      </c>
      <c r="AB13" s="176">
        <f t="shared" si="9"/>
        <v>0</v>
      </c>
      <c r="AC13" s="176">
        <f t="shared" si="10"/>
        <v>0</v>
      </c>
      <c r="AD13" s="176">
        <f t="shared" si="11"/>
        <v>0</v>
      </c>
      <c r="AE13" s="176">
        <f t="shared" si="37"/>
        <v>491.334</v>
      </c>
      <c r="AF13" s="176">
        <f t="shared" si="38"/>
        <v>-10491.334000000001</v>
      </c>
      <c r="AG13" s="176">
        <f t="shared" si="12"/>
        <v>0</v>
      </c>
      <c r="AH13" s="176">
        <f t="shared" si="13"/>
        <v>0</v>
      </c>
      <c r="AI13" s="176">
        <f t="shared" si="14"/>
        <v>0</v>
      </c>
      <c r="AJ13" s="176">
        <f t="shared" si="48"/>
        <v>0</v>
      </c>
      <c r="AK13" s="176">
        <f t="shared" si="49"/>
        <v>0</v>
      </c>
      <c r="AL13" s="176">
        <f t="shared" si="39"/>
        <v>-10491.334000000001</v>
      </c>
      <c r="AM13" s="176">
        <f t="shared" si="15"/>
        <v>0</v>
      </c>
      <c r="AN13" s="176">
        <f t="shared" si="16"/>
        <v>0</v>
      </c>
      <c r="AO13" s="176">
        <f t="shared" si="17"/>
        <v>0</v>
      </c>
      <c r="AP13" s="176">
        <f t="shared" si="54"/>
        <v>0</v>
      </c>
      <c r="AQ13" s="176">
        <f t="shared" si="50"/>
        <v>0</v>
      </c>
      <c r="AR13" s="176">
        <f t="shared" si="40"/>
        <v>-10491.334000000001</v>
      </c>
      <c r="AS13" s="176">
        <f t="shared" si="18"/>
        <v>0</v>
      </c>
      <c r="AT13" s="176">
        <f t="shared" si="19"/>
        <v>0</v>
      </c>
      <c r="AU13" s="176">
        <f t="shared" si="20"/>
        <v>0</v>
      </c>
      <c r="AV13" s="176">
        <f t="shared" si="51"/>
        <v>0</v>
      </c>
      <c r="AW13" s="176">
        <f t="shared" si="52"/>
        <v>0</v>
      </c>
      <c r="AX13" s="176">
        <f t="shared" si="41"/>
        <v>-10491.334000000001</v>
      </c>
      <c r="AY13" s="176">
        <f t="shared" si="21"/>
        <v>0</v>
      </c>
      <c r="AZ13" s="176">
        <f t="shared" si="22"/>
        <v>0</v>
      </c>
      <c r="BA13" s="176">
        <f t="shared" si="23"/>
        <v>0</v>
      </c>
      <c r="BB13" s="176">
        <f t="shared" si="42"/>
        <v>1005.61</v>
      </c>
      <c r="BC13" s="176">
        <f t="shared" si="24"/>
        <v>-1005.61</v>
      </c>
      <c r="BD13" s="176">
        <f t="shared" si="25"/>
        <v>0</v>
      </c>
      <c r="BE13" s="176">
        <f t="shared" si="26"/>
        <v>0</v>
      </c>
      <c r="BF13" s="176">
        <f t="shared" si="27"/>
        <v>0</v>
      </c>
      <c r="BG13" s="161">
        <v>6.25E-2</v>
      </c>
      <c r="BH13" s="141"/>
      <c r="BI13" s="141"/>
      <c r="BJ13" s="141"/>
      <c r="BL13" s="342"/>
      <c r="BM13" s="345"/>
      <c r="BN13" s="341"/>
      <c r="BO13" s="330"/>
      <c r="BP13" s="330"/>
      <c r="GR13" s="103"/>
      <c r="GS13" s="103"/>
      <c r="GT13" s="103"/>
      <c r="GU13" s="103"/>
      <c r="GV13" s="103"/>
    </row>
    <row r="14" spans="1:204" ht="10.050000000000001" hidden="1" customHeight="1" x14ac:dyDescent="0.25">
      <c r="A14" s="161">
        <v>7.2916666666666699E-2</v>
      </c>
      <c r="B14" s="155">
        <f>'Warrant 2'!F21</f>
        <v>0</v>
      </c>
      <c r="C14" s="155">
        <f>IF(OR('Input &amp; Findings'!$G$28='Drop Down Lists'!$E$2,'Input &amp; Findings'!$G$28='Drop Down Lists'!$E$4),SUM('Data with RTF'!F11,'Data with RTF'!T11),SUM('Data with RTF'!M11,'Data with RTF'!AA11))</f>
        <v>0</v>
      </c>
      <c r="D14" s="176" t="str">
        <f t="shared" si="28"/>
        <v/>
      </c>
      <c r="E14" s="176" t="str">
        <f t="shared" si="29"/>
        <v/>
      </c>
      <c r="F14" s="176" t="str">
        <f t="shared" si="30"/>
        <v/>
      </c>
      <c r="G14" s="176" t="str">
        <f t="shared" si="31"/>
        <v/>
      </c>
      <c r="H14" s="176">
        <f t="shared" si="32"/>
        <v>760.62</v>
      </c>
      <c r="I14" s="176">
        <f t="shared" si="33"/>
        <v>-10760.62</v>
      </c>
      <c r="J14" s="176">
        <f t="shared" si="0"/>
        <v>0</v>
      </c>
      <c r="K14" s="176">
        <f t="shared" si="1"/>
        <v>0</v>
      </c>
      <c r="L14" s="176">
        <f t="shared" si="2"/>
        <v>0</v>
      </c>
      <c r="M14" s="176">
        <f t="shared" si="43"/>
        <v>0</v>
      </c>
      <c r="N14" s="176">
        <f t="shared" si="44"/>
        <v>0</v>
      </c>
      <c r="O14" s="176">
        <f t="shared" si="34"/>
        <v>-10760.62</v>
      </c>
      <c r="P14" s="176">
        <f t="shared" si="3"/>
        <v>0</v>
      </c>
      <c r="Q14" s="176">
        <f t="shared" si="4"/>
        <v>0</v>
      </c>
      <c r="R14" s="176">
        <f t="shared" si="5"/>
        <v>0</v>
      </c>
      <c r="S14" s="176">
        <f t="shared" si="53"/>
        <v>0</v>
      </c>
      <c r="T14" s="176">
        <f t="shared" si="45"/>
        <v>0</v>
      </c>
      <c r="U14" s="176">
        <f t="shared" si="35"/>
        <v>-10760.62</v>
      </c>
      <c r="V14" s="176">
        <f t="shared" si="6"/>
        <v>0</v>
      </c>
      <c r="W14" s="176">
        <f t="shared" si="7"/>
        <v>0</v>
      </c>
      <c r="X14" s="176">
        <f t="shared" si="8"/>
        <v>0</v>
      </c>
      <c r="Y14" s="176">
        <f t="shared" si="46"/>
        <v>0</v>
      </c>
      <c r="Z14" s="176">
        <f t="shared" si="47"/>
        <v>0</v>
      </c>
      <c r="AA14" s="176">
        <f t="shared" si="36"/>
        <v>-10760.62</v>
      </c>
      <c r="AB14" s="176">
        <f t="shared" si="9"/>
        <v>0</v>
      </c>
      <c r="AC14" s="176">
        <f t="shared" si="10"/>
        <v>0</v>
      </c>
      <c r="AD14" s="176">
        <f t="shared" si="11"/>
        <v>0</v>
      </c>
      <c r="AE14" s="176">
        <f t="shared" si="37"/>
        <v>491.334</v>
      </c>
      <c r="AF14" s="176">
        <f t="shared" si="38"/>
        <v>-10491.334000000001</v>
      </c>
      <c r="AG14" s="176">
        <f t="shared" si="12"/>
        <v>0</v>
      </c>
      <c r="AH14" s="176">
        <f t="shared" si="13"/>
        <v>0</v>
      </c>
      <c r="AI14" s="176">
        <f t="shared" si="14"/>
        <v>0</v>
      </c>
      <c r="AJ14" s="176">
        <f t="shared" si="48"/>
        <v>0</v>
      </c>
      <c r="AK14" s="176">
        <f t="shared" si="49"/>
        <v>0</v>
      </c>
      <c r="AL14" s="176">
        <f t="shared" si="39"/>
        <v>-10491.334000000001</v>
      </c>
      <c r="AM14" s="176">
        <f t="shared" si="15"/>
        <v>0</v>
      </c>
      <c r="AN14" s="176">
        <f t="shared" si="16"/>
        <v>0</v>
      </c>
      <c r="AO14" s="176">
        <f t="shared" si="17"/>
        <v>0</v>
      </c>
      <c r="AP14" s="176">
        <f t="shared" si="54"/>
        <v>0</v>
      </c>
      <c r="AQ14" s="176">
        <f t="shared" si="50"/>
        <v>0</v>
      </c>
      <c r="AR14" s="176">
        <f t="shared" si="40"/>
        <v>-10491.334000000001</v>
      </c>
      <c r="AS14" s="176">
        <f t="shared" si="18"/>
        <v>0</v>
      </c>
      <c r="AT14" s="176">
        <f t="shared" si="19"/>
        <v>0</v>
      </c>
      <c r="AU14" s="176">
        <f t="shared" si="20"/>
        <v>0</v>
      </c>
      <c r="AV14" s="176">
        <f t="shared" si="51"/>
        <v>0</v>
      </c>
      <c r="AW14" s="176">
        <f t="shared" si="52"/>
        <v>0</v>
      </c>
      <c r="AX14" s="176">
        <f t="shared" si="41"/>
        <v>-10491.334000000001</v>
      </c>
      <c r="AY14" s="176">
        <f t="shared" si="21"/>
        <v>0</v>
      </c>
      <c r="AZ14" s="176">
        <f t="shared" si="22"/>
        <v>0</v>
      </c>
      <c r="BA14" s="176">
        <f t="shared" si="23"/>
        <v>0</v>
      </c>
      <c r="BB14" s="176">
        <f t="shared" si="42"/>
        <v>1005.61</v>
      </c>
      <c r="BC14" s="176">
        <f t="shared" si="24"/>
        <v>-1005.61</v>
      </c>
      <c r="BD14" s="176">
        <f t="shared" si="25"/>
        <v>0</v>
      </c>
      <c r="BE14" s="176">
        <f t="shared" si="26"/>
        <v>0</v>
      </c>
      <c r="BF14" s="176">
        <f t="shared" si="27"/>
        <v>0</v>
      </c>
      <c r="BG14" s="161">
        <v>7.2916666666666699E-2</v>
      </c>
      <c r="BH14" s="103"/>
      <c r="BI14" s="103"/>
      <c r="BJ14" s="103"/>
      <c r="BL14" s="342"/>
      <c r="BM14" s="341"/>
      <c r="BN14" s="341"/>
      <c r="BO14" s="330"/>
      <c r="BP14" s="330"/>
      <c r="GR14" s="103"/>
      <c r="GS14" s="103"/>
      <c r="GT14" s="103"/>
      <c r="GU14" s="103"/>
      <c r="GV14" s="103"/>
    </row>
    <row r="15" spans="1:204" ht="10.050000000000001" hidden="1" customHeight="1" x14ac:dyDescent="0.25">
      <c r="A15" s="161">
        <v>8.3333333333333301E-2</v>
      </c>
      <c r="B15" s="155">
        <f>'Warrant 2'!F22</f>
        <v>0</v>
      </c>
      <c r="C15" s="155">
        <f>IF(OR('Input &amp; Findings'!$G$28='Drop Down Lists'!$E$2,'Input &amp; Findings'!$G$28='Drop Down Lists'!$E$4),SUM('Data with RTF'!F12,'Data with RTF'!T12),SUM('Data with RTF'!M12,'Data with RTF'!AA12))</f>
        <v>0</v>
      </c>
      <c r="D15" s="176" t="str">
        <f t="shared" si="28"/>
        <v/>
      </c>
      <c r="E15" s="176" t="str">
        <f t="shared" si="29"/>
        <v/>
      </c>
      <c r="F15" s="176" t="str">
        <f t="shared" si="30"/>
        <v/>
      </c>
      <c r="G15" s="176" t="str">
        <f t="shared" si="31"/>
        <v/>
      </c>
      <c r="H15" s="176">
        <f t="shared" si="32"/>
        <v>760.62</v>
      </c>
      <c r="I15" s="176">
        <f t="shared" si="33"/>
        <v>-10760.62</v>
      </c>
      <c r="J15" s="176">
        <f t="shared" si="0"/>
        <v>0</v>
      </c>
      <c r="K15" s="176">
        <f t="shared" si="1"/>
        <v>0</v>
      </c>
      <c r="L15" s="176">
        <f t="shared" si="2"/>
        <v>0</v>
      </c>
      <c r="M15" s="176">
        <f t="shared" si="43"/>
        <v>0</v>
      </c>
      <c r="N15" s="176">
        <f t="shared" si="44"/>
        <v>0</v>
      </c>
      <c r="O15" s="176">
        <f t="shared" si="34"/>
        <v>-10760.62</v>
      </c>
      <c r="P15" s="176">
        <f t="shared" si="3"/>
        <v>0</v>
      </c>
      <c r="Q15" s="176">
        <f t="shared" si="4"/>
        <v>0</v>
      </c>
      <c r="R15" s="176">
        <f t="shared" si="5"/>
        <v>0</v>
      </c>
      <c r="S15" s="176">
        <f t="shared" si="53"/>
        <v>0</v>
      </c>
      <c r="T15" s="176">
        <f t="shared" si="45"/>
        <v>0</v>
      </c>
      <c r="U15" s="176">
        <f t="shared" si="35"/>
        <v>-10760.62</v>
      </c>
      <c r="V15" s="176">
        <f t="shared" si="6"/>
        <v>0</v>
      </c>
      <c r="W15" s="176">
        <f t="shared" si="7"/>
        <v>0</v>
      </c>
      <c r="X15" s="176">
        <f t="shared" si="8"/>
        <v>0</v>
      </c>
      <c r="Y15" s="176">
        <f t="shared" si="46"/>
        <v>0</v>
      </c>
      <c r="Z15" s="176">
        <f t="shared" si="47"/>
        <v>0</v>
      </c>
      <c r="AA15" s="176">
        <f t="shared" si="36"/>
        <v>-10760.62</v>
      </c>
      <c r="AB15" s="176">
        <f t="shared" si="9"/>
        <v>0</v>
      </c>
      <c r="AC15" s="176">
        <f t="shared" si="10"/>
        <v>0</v>
      </c>
      <c r="AD15" s="176">
        <f t="shared" si="11"/>
        <v>0</v>
      </c>
      <c r="AE15" s="176">
        <f t="shared" si="37"/>
        <v>491.334</v>
      </c>
      <c r="AF15" s="176">
        <f t="shared" si="38"/>
        <v>-10491.334000000001</v>
      </c>
      <c r="AG15" s="176">
        <f t="shared" si="12"/>
        <v>0</v>
      </c>
      <c r="AH15" s="176">
        <f t="shared" si="13"/>
        <v>0</v>
      </c>
      <c r="AI15" s="176">
        <f t="shared" si="14"/>
        <v>0</v>
      </c>
      <c r="AJ15" s="176">
        <f t="shared" si="48"/>
        <v>0</v>
      </c>
      <c r="AK15" s="176">
        <f t="shared" si="49"/>
        <v>0</v>
      </c>
      <c r="AL15" s="176">
        <f t="shared" si="39"/>
        <v>-10491.334000000001</v>
      </c>
      <c r="AM15" s="176">
        <f t="shared" si="15"/>
        <v>0</v>
      </c>
      <c r="AN15" s="176">
        <f t="shared" si="16"/>
        <v>0</v>
      </c>
      <c r="AO15" s="176">
        <f t="shared" si="17"/>
        <v>0</v>
      </c>
      <c r="AP15" s="176">
        <f t="shared" si="54"/>
        <v>0</v>
      </c>
      <c r="AQ15" s="176">
        <f t="shared" si="50"/>
        <v>0</v>
      </c>
      <c r="AR15" s="176">
        <f t="shared" si="40"/>
        <v>-10491.334000000001</v>
      </c>
      <c r="AS15" s="176">
        <f t="shared" si="18"/>
        <v>0</v>
      </c>
      <c r="AT15" s="176">
        <f t="shared" si="19"/>
        <v>0</v>
      </c>
      <c r="AU15" s="176">
        <f t="shared" si="20"/>
        <v>0</v>
      </c>
      <c r="AV15" s="176">
        <f t="shared" si="51"/>
        <v>0</v>
      </c>
      <c r="AW15" s="176">
        <f t="shared" si="52"/>
        <v>0</v>
      </c>
      <c r="AX15" s="176">
        <f t="shared" si="41"/>
        <v>-10491.334000000001</v>
      </c>
      <c r="AY15" s="176">
        <f t="shared" si="21"/>
        <v>0</v>
      </c>
      <c r="AZ15" s="176">
        <f t="shared" si="22"/>
        <v>0</v>
      </c>
      <c r="BA15" s="176">
        <f t="shared" si="23"/>
        <v>0</v>
      </c>
      <c r="BB15" s="176">
        <f t="shared" si="42"/>
        <v>1005.61</v>
      </c>
      <c r="BC15" s="176">
        <f t="shared" si="24"/>
        <v>-1005.61</v>
      </c>
      <c r="BD15" s="176">
        <f t="shared" si="25"/>
        <v>0</v>
      </c>
      <c r="BE15" s="176">
        <f t="shared" si="26"/>
        <v>0</v>
      </c>
      <c r="BF15" s="176">
        <f t="shared" si="27"/>
        <v>0</v>
      </c>
      <c r="BG15" s="161">
        <v>8.3333333333333301E-2</v>
      </c>
      <c r="BH15" s="235"/>
      <c r="BI15" s="235"/>
      <c r="BJ15" s="235"/>
      <c r="BL15" s="342"/>
      <c r="BM15" s="347"/>
      <c r="BN15" s="348"/>
      <c r="BO15" s="330"/>
      <c r="BP15" s="330"/>
      <c r="GR15" s="103"/>
      <c r="GS15" s="103"/>
      <c r="GT15" s="103"/>
      <c r="GU15" s="103"/>
      <c r="GV15" s="103"/>
    </row>
    <row r="16" spans="1:204" ht="10.050000000000001" hidden="1" customHeight="1" x14ac:dyDescent="0.25">
      <c r="A16" s="161">
        <v>9.375E-2</v>
      </c>
      <c r="B16" s="155">
        <f>'Warrant 2'!F23</f>
        <v>0</v>
      </c>
      <c r="C16" s="155">
        <f>IF(OR('Input &amp; Findings'!$G$28='Drop Down Lists'!$E$2,'Input &amp; Findings'!$G$28='Drop Down Lists'!$E$4),SUM('Data with RTF'!F13,'Data with RTF'!T13),SUM('Data with RTF'!M13,'Data with RTF'!AA13))</f>
        <v>0</v>
      </c>
      <c r="D16" s="176" t="str">
        <f t="shared" si="28"/>
        <v/>
      </c>
      <c r="E16" s="176" t="str">
        <f t="shared" si="29"/>
        <v/>
      </c>
      <c r="F16" s="176" t="str">
        <f t="shared" si="30"/>
        <v/>
      </c>
      <c r="G16" s="176" t="str">
        <f t="shared" si="31"/>
        <v/>
      </c>
      <c r="H16" s="176">
        <f t="shared" si="32"/>
        <v>760.62</v>
      </c>
      <c r="I16" s="176">
        <f t="shared" si="33"/>
        <v>-10760.62</v>
      </c>
      <c r="J16" s="176">
        <f t="shared" si="0"/>
        <v>0</v>
      </c>
      <c r="K16" s="176">
        <f t="shared" si="1"/>
        <v>0</v>
      </c>
      <c r="L16" s="176">
        <f t="shared" si="2"/>
        <v>0</v>
      </c>
      <c r="M16" s="176">
        <f t="shared" si="43"/>
        <v>0</v>
      </c>
      <c r="N16" s="176">
        <f t="shared" si="44"/>
        <v>0</v>
      </c>
      <c r="O16" s="176">
        <f t="shared" si="34"/>
        <v>-10760.62</v>
      </c>
      <c r="P16" s="176">
        <f t="shared" si="3"/>
        <v>0</v>
      </c>
      <c r="Q16" s="176">
        <f t="shared" si="4"/>
        <v>0</v>
      </c>
      <c r="R16" s="176">
        <f t="shared" si="5"/>
        <v>0</v>
      </c>
      <c r="S16" s="176">
        <f t="shared" si="53"/>
        <v>0</v>
      </c>
      <c r="T16" s="176">
        <f t="shared" si="45"/>
        <v>0</v>
      </c>
      <c r="U16" s="176">
        <f t="shared" si="35"/>
        <v>-10760.62</v>
      </c>
      <c r="V16" s="176">
        <f t="shared" si="6"/>
        <v>0</v>
      </c>
      <c r="W16" s="176">
        <f t="shared" si="7"/>
        <v>0</v>
      </c>
      <c r="X16" s="176">
        <f t="shared" si="8"/>
        <v>0</v>
      </c>
      <c r="Y16" s="176">
        <f t="shared" si="46"/>
        <v>0</v>
      </c>
      <c r="Z16" s="176">
        <f t="shared" si="47"/>
        <v>0</v>
      </c>
      <c r="AA16" s="176">
        <f t="shared" si="36"/>
        <v>-10760.62</v>
      </c>
      <c r="AB16" s="176">
        <f t="shared" si="9"/>
        <v>0</v>
      </c>
      <c r="AC16" s="176">
        <f t="shared" si="10"/>
        <v>0</v>
      </c>
      <c r="AD16" s="176">
        <f t="shared" si="11"/>
        <v>0</v>
      </c>
      <c r="AE16" s="176">
        <f t="shared" si="37"/>
        <v>491.334</v>
      </c>
      <c r="AF16" s="176">
        <f t="shared" si="38"/>
        <v>-10491.334000000001</v>
      </c>
      <c r="AG16" s="176">
        <f t="shared" si="12"/>
        <v>0</v>
      </c>
      <c r="AH16" s="176">
        <f t="shared" si="13"/>
        <v>0</v>
      </c>
      <c r="AI16" s="176">
        <f t="shared" si="14"/>
        <v>0</v>
      </c>
      <c r="AJ16" s="176">
        <f t="shared" si="48"/>
        <v>0</v>
      </c>
      <c r="AK16" s="176">
        <f t="shared" si="49"/>
        <v>0</v>
      </c>
      <c r="AL16" s="176">
        <f t="shared" si="39"/>
        <v>-10491.334000000001</v>
      </c>
      <c r="AM16" s="176">
        <f t="shared" si="15"/>
        <v>0</v>
      </c>
      <c r="AN16" s="176">
        <f t="shared" si="16"/>
        <v>0</v>
      </c>
      <c r="AO16" s="176">
        <f t="shared" si="17"/>
        <v>0</v>
      </c>
      <c r="AP16" s="176">
        <f t="shared" si="54"/>
        <v>0</v>
      </c>
      <c r="AQ16" s="176">
        <f t="shared" si="50"/>
        <v>0</v>
      </c>
      <c r="AR16" s="176">
        <f t="shared" si="40"/>
        <v>-10491.334000000001</v>
      </c>
      <c r="AS16" s="176">
        <f t="shared" si="18"/>
        <v>0</v>
      </c>
      <c r="AT16" s="176">
        <f t="shared" si="19"/>
        <v>0</v>
      </c>
      <c r="AU16" s="176">
        <f t="shared" si="20"/>
        <v>0</v>
      </c>
      <c r="AV16" s="176">
        <f t="shared" si="51"/>
        <v>0</v>
      </c>
      <c r="AW16" s="176">
        <f t="shared" si="52"/>
        <v>0</v>
      </c>
      <c r="AX16" s="176">
        <f t="shared" si="41"/>
        <v>-10491.334000000001</v>
      </c>
      <c r="AY16" s="176">
        <f t="shared" si="21"/>
        <v>0</v>
      </c>
      <c r="AZ16" s="176">
        <f t="shared" si="22"/>
        <v>0</v>
      </c>
      <c r="BA16" s="176">
        <f t="shared" si="23"/>
        <v>0</v>
      </c>
      <c r="BB16" s="176">
        <f t="shared" si="42"/>
        <v>1005.61</v>
      </c>
      <c r="BC16" s="176">
        <f t="shared" si="24"/>
        <v>-1005.61</v>
      </c>
      <c r="BD16" s="176">
        <f t="shared" si="25"/>
        <v>0</v>
      </c>
      <c r="BE16" s="176">
        <f t="shared" si="26"/>
        <v>0</v>
      </c>
      <c r="BF16" s="176">
        <f t="shared" si="27"/>
        <v>0</v>
      </c>
      <c r="BG16" s="161">
        <v>9.375E-2</v>
      </c>
      <c r="BH16" s="235"/>
      <c r="BI16" s="235"/>
      <c r="BJ16" s="235"/>
      <c r="BL16" s="342"/>
      <c r="BM16" s="347"/>
      <c r="BN16" s="348"/>
      <c r="BO16" s="330"/>
      <c r="BP16" s="330"/>
      <c r="GR16" s="103"/>
      <c r="GS16" s="103"/>
      <c r="GT16" s="103"/>
      <c r="GU16" s="103"/>
      <c r="GV16" s="103"/>
    </row>
    <row r="17" spans="1:204" ht="10.050000000000001" hidden="1" customHeight="1" x14ac:dyDescent="0.25">
      <c r="A17" s="161">
        <v>0.104166666666667</v>
      </c>
      <c r="B17" s="155">
        <f>'Warrant 2'!F24</f>
        <v>0</v>
      </c>
      <c r="C17" s="155">
        <f>IF(OR('Input &amp; Findings'!$G$28='Drop Down Lists'!$E$2,'Input &amp; Findings'!$G$28='Drop Down Lists'!$E$4),SUM('Data with RTF'!F14,'Data with RTF'!T14),SUM('Data with RTF'!M14,'Data with RTF'!AA14))</f>
        <v>0</v>
      </c>
      <c r="D17" s="176" t="str">
        <f t="shared" si="28"/>
        <v/>
      </c>
      <c r="E17" s="176" t="str">
        <f t="shared" si="29"/>
        <v/>
      </c>
      <c r="F17" s="176" t="str">
        <f t="shared" si="30"/>
        <v/>
      </c>
      <c r="G17" s="176" t="str">
        <f t="shared" si="31"/>
        <v/>
      </c>
      <c r="H17" s="176">
        <f t="shared" si="32"/>
        <v>760.62</v>
      </c>
      <c r="I17" s="176">
        <f t="shared" si="33"/>
        <v>-10760.62</v>
      </c>
      <c r="J17" s="176">
        <f t="shared" si="0"/>
        <v>0</v>
      </c>
      <c r="K17" s="176">
        <f t="shared" si="1"/>
        <v>0</v>
      </c>
      <c r="L17" s="176">
        <f t="shared" si="2"/>
        <v>0</v>
      </c>
      <c r="M17" s="176">
        <f t="shared" si="43"/>
        <v>0</v>
      </c>
      <c r="N17" s="176">
        <f t="shared" si="44"/>
        <v>0</v>
      </c>
      <c r="O17" s="176">
        <f t="shared" si="34"/>
        <v>-10760.62</v>
      </c>
      <c r="P17" s="176">
        <f t="shared" si="3"/>
        <v>0</v>
      </c>
      <c r="Q17" s="176">
        <f t="shared" si="4"/>
        <v>0</v>
      </c>
      <c r="R17" s="176">
        <f t="shared" si="5"/>
        <v>0</v>
      </c>
      <c r="S17" s="176">
        <f t="shared" si="53"/>
        <v>0</v>
      </c>
      <c r="T17" s="176">
        <f t="shared" si="45"/>
        <v>0</v>
      </c>
      <c r="U17" s="176">
        <f t="shared" si="35"/>
        <v>-10760.62</v>
      </c>
      <c r="V17" s="176">
        <f t="shared" si="6"/>
        <v>0</v>
      </c>
      <c r="W17" s="176">
        <f t="shared" si="7"/>
        <v>0</v>
      </c>
      <c r="X17" s="176">
        <f t="shared" si="8"/>
        <v>0</v>
      </c>
      <c r="Y17" s="176">
        <f t="shared" si="46"/>
        <v>0</v>
      </c>
      <c r="Z17" s="176">
        <f t="shared" si="47"/>
        <v>0</v>
      </c>
      <c r="AA17" s="176">
        <f t="shared" si="36"/>
        <v>-10760.62</v>
      </c>
      <c r="AB17" s="176">
        <f t="shared" si="9"/>
        <v>0</v>
      </c>
      <c r="AC17" s="176">
        <f t="shared" si="10"/>
        <v>0</v>
      </c>
      <c r="AD17" s="176">
        <f t="shared" si="11"/>
        <v>0</v>
      </c>
      <c r="AE17" s="176">
        <f t="shared" si="37"/>
        <v>491.334</v>
      </c>
      <c r="AF17" s="176">
        <f t="shared" si="38"/>
        <v>-10491.334000000001</v>
      </c>
      <c r="AG17" s="176">
        <f t="shared" si="12"/>
        <v>0</v>
      </c>
      <c r="AH17" s="176">
        <f t="shared" si="13"/>
        <v>0</v>
      </c>
      <c r="AI17" s="176">
        <f t="shared" si="14"/>
        <v>0</v>
      </c>
      <c r="AJ17" s="176">
        <f t="shared" si="48"/>
        <v>0</v>
      </c>
      <c r="AK17" s="176">
        <f t="shared" si="49"/>
        <v>0</v>
      </c>
      <c r="AL17" s="176">
        <f t="shared" si="39"/>
        <v>-10491.334000000001</v>
      </c>
      <c r="AM17" s="176">
        <f t="shared" si="15"/>
        <v>0</v>
      </c>
      <c r="AN17" s="176">
        <f t="shared" si="16"/>
        <v>0</v>
      </c>
      <c r="AO17" s="176">
        <f t="shared" si="17"/>
        <v>0</v>
      </c>
      <c r="AP17" s="176">
        <f t="shared" si="54"/>
        <v>0</v>
      </c>
      <c r="AQ17" s="176">
        <f t="shared" si="50"/>
        <v>0</v>
      </c>
      <c r="AR17" s="176">
        <f t="shared" si="40"/>
        <v>-10491.334000000001</v>
      </c>
      <c r="AS17" s="176">
        <f t="shared" si="18"/>
        <v>0</v>
      </c>
      <c r="AT17" s="176">
        <f t="shared" si="19"/>
        <v>0</v>
      </c>
      <c r="AU17" s="176">
        <f t="shared" si="20"/>
        <v>0</v>
      </c>
      <c r="AV17" s="176">
        <f t="shared" si="51"/>
        <v>0</v>
      </c>
      <c r="AW17" s="176">
        <f t="shared" si="52"/>
        <v>0</v>
      </c>
      <c r="AX17" s="176">
        <f t="shared" si="41"/>
        <v>-10491.334000000001</v>
      </c>
      <c r="AY17" s="176">
        <f t="shared" si="21"/>
        <v>0</v>
      </c>
      <c r="AZ17" s="176">
        <f t="shared" si="22"/>
        <v>0</v>
      </c>
      <c r="BA17" s="176">
        <f t="shared" si="23"/>
        <v>0</v>
      </c>
      <c r="BB17" s="176">
        <f t="shared" si="42"/>
        <v>1005.61</v>
      </c>
      <c r="BC17" s="176">
        <f t="shared" si="24"/>
        <v>-1005.61</v>
      </c>
      <c r="BD17" s="176">
        <f t="shared" si="25"/>
        <v>0</v>
      </c>
      <c r="BE17" s="176">
        <f t="shared" si="26"/>
        <v>0</v>
      </c>
      <c r="BF17" s="176">
        <f t="shared" si="27"/>
        <v>0</v>
      </c>
      <c r="BG17" s="161">
        <v>0.104166666666667</v>
      </c>
      <c r="BH17" s="235"/>
      <c r="BI17" s="235"/>
      <c r="BJ17" s="235"/>
      <c r="BL17" s="342"/>
      <c r="BM17" s="345"/>
      <c r="BN17" s="348"/>
      <c r="BO17" s="330"/>
      <c r="BP17" s="330"/>
      <c r="GR17" s="103"/>
      <c r="GS17" s="103"/>
      <c r="GT17" s="103"/>
      <c r="GU17" s="103"/>
      <c r="GV17" s="103"/>
    </row>
    <row r="18" spans="1:204" ht="10.050000000000001" hidden="1" customHeight="1" x14ac:dyDescent="0.25">
      <c r="A18" s="161">
        <v>0.114583333333333</v>
      </c>
      <c r="B18" s="155">
        <f>'Warrant 2'!F25</f>
        <v>0</v>
      </c>
      <c r="C18" s="155">
        <f>IF(OR('Input &amp; Findings'!$G$28='Drop Down Lists'!$E$2,'Input &amp; Findings'!$G$28='Drop Down Lists'!$E$4),SUM('Data with RTF'!F15,'Data with RTF'!T15),SUM('Data with RTF'!M15,'Data with RTF'!AA15))</f>
        <v>0</v>
      </c>
      <c r="D18" s="176" t="str">
        <f t="shared" si="28"/>
        <v/>
      </c>
      <c r="E18" s="176" t="str">
        <f t="shared" si="29"/>
        <v/>
      </c>
      <c r="F18" s="176" t="str">
        <f t="shared" si="30"/>
        <v/>
      </c>
      <c r="G18" s="176" t="str">
        <f t="shared" si="31"/>
        <v/>
      </c>
      <c r="H18" s="176">
        <f t="shared" si="32"/>
        <v>760.62</v>
      </c>
      <c r="I18" s="176">
        <f t="shared" si="33"/>
        <v>-10760.62</v>
      </c>
      <c r="J18" s="176">
        <f t="shared" si="0"/>
        <v>0</v>
      </c>
      <c r="K18" s="176">
        <f t="shared" si="1"/>
        <v>0</v>
      </c>
      <c r="L18" s="176">
        <f t="shared" si="2"/>
        <v>0</v>
      </c>
      <c r="M18" s="176">
        <f t="shared" si="43"/>
        <v>0</v>
      </c>
      <c r="N18" s="176">
        <f t="shared" si="44"/>
        <v>0</v>
      </c>
      <c r="O18" s="176">
        <f t="shared" si="34"/>
        <v>-10760.62</v>
      </c>
      <c r="P18" s="176">
        <f t="shared" si="3"/>
        <v>0</v>
      </c>
      <c r="Q18" s="176">
        <f t="shared" si="4"/>
        <v>0</v>
      </c>
      <c r="R18" s="176">
        <f t="shared" si="5"/>
        <v>0</v>
      </c>
      <c r="S18" s="176">
        <f t="shared" si="53"/>
        <v>0</v>
      </c>
      <c r="T18" s="176">
        <f t="shared" si="45"/>
        <v>0</v>
      </c>
      <c r="U18" s="176">
        <f t="shared" si="35"/>
        <v>-10760.62</v>
      </c>
      <c r="V18" s="176">
        <f t="shared" si="6"/>
        <v>0</v>
      </c>
      <c r="W18" s="176">
        <f t="shared" si="7"/>
        <v>0</v>
      </c>
      <c r="X18" s="176">
        <f t="shared" si="8"/>
        <v>0</v>
      </c>
      <c r="Y18" s="176">
        <f t="shared" si="46"/>
        <v>0</v>
      </c>
      <c r="Z18" s="176">
        <f t="shared" si="47"/>
        <v>0</v>
      </c>
      <c r="AA18" s="176">
        <f t="shared" si="36"/>
        <v>-10760.62</v>
      </c>
      <c r="AB18" s="176">
        <f t="shared" si="9"/>
        <v>0</v>
      </c>
      <c r="AC18" s="176">
        <f t="shared" si="10"/>
        <v>0</v>
      </c>
      <c r="AD18" s="176">
        <f t="shared" si="11"/>
        <v>0</v>
      </c>
      <c r="AE18" s="176">
        <f t="shared" si="37"/>
        <v>491.334</v>
      </c>
      <c r="AF18" s="176">
        <f t="shared" si="38"/>
        <v>-10491.334000000001</v>
      </c>
      <c r="AG18" s="176">
        <f t="shared" si="12"/>
        <v>0</v>
      </c>
      <c r="AH18" s="176">
        <f t="shared" si="13"/>
        <v>0</v>
      </c>
      <c r="AI18" s="176">
        <f t="shared" si="14"/>
        <v>0</v>
      </c>
      <c r="AJ18" s="176">
        <f t="shared" si="48"/>
        <v>0</v>
      </c>
      <c r="AK18" s="176">
        <f t="shared" si="49"/>
        <v>0</v>
      </c>
      <c r="AL18" s="176">
        <f t="shared" si="39"/>
        <v>-10491.334000000001</v>
      </c>
      <c r="AM18" s="176">
        <f t="shared" si="15"/>
        <v>0</v>
      </c>
      <c r="AN18" s="176">
        <f t="shared" si="16"/>
        <v>0</v>
      </c>
      <c r="AO18" s="176">
        <f t="shared" si="17"/>
        <v>0</v>
      </c>
      <c r="AP18" s="176">
        <f t="shared" si="54"/>
        <v>0</v>
      </c>
      <c r="AQ18" s="176">
        <f t="shared" si="50"/>
        <v>0</v>
      </c>
      <c r="AR18" s="176">
        <f t="shared" si="40"/>
        <v>-10491.334000000001</v>
      </c>
      <c r="AS18" s="176">
        <f t="shared" si="18"/>
        <v>0</v>
      </c>
      <c r="AT18" s="176">
        <f t="shared" si="19"/>
        <v>0</v>
      </c>
      <c r="AU18" s="176">
        <f t="shared" si="20"/>
        <v>0</v>
      </c>
      <c r="AV18" s="176">
        <f t="shared" si="51"/>
        <v>0</v>
      </c>
      <c r="AW18" s="176">
        <f t="shared" si="52"/>
        <v>0</v>
      </c>
      <c r="AX18" s="176">
        <f t="shared" si="41"/>
        <v>-10491.334000000001</v>
      </c>
      <c r="AY18" s="176">
        <f t="shared" si="21"/>
        <v>0</v>
      </c>
      <c r="AZ18" s="176">
        <f t="shared" si="22"/>
        <v>0</v>
      </c>
      <c r="BA18" s="176">
        <f t="shared" si="23"/>
        <v>0</v>
      </c>
      <c r="BB18" s="176">
        <f t="shared" si="42"/>
        <v>1005.61</v>
      </c>
      <c r="BC18" s="176">
        <f t="shared" si="24"/>
        <v>-1005.61</v>
      </c>
      <c r="BD18" s="176">
        <f t="shared" si="25"/>
        <v>0</v>
      </c>
      <c r="BE18" s="176">
        <f t="shared" si="26"/>
        <v>0</v>
      </c>
      <c r="BF18" s="176">
        <f t="shared" si="27"/>
        <v>0</v>
      </c>
      <c r="BG18" s="161">
        <v>0.114583333333333</v>
      </c>
      <c r="BH18" s="28"/>
      <c r="BI18" s="28"/>
      <c r="BJ18" s="103"/>
      <c r="BL18" s="342"/>
      <c r="BM18" s="341"/>
      <c r="BN18" s="341"/>
      <c r="BO18" s="330"/>
      <c r="BP18" s="330"/>
      <c r="BZ18" s="190"/>
      <c r="CA18" s="190"/>
      <c r="CB18" s="190"/>
      <c r="CC18" s="190"/>
      <c r="GR18" s="103"/>
      <c r="GS18" s="103"/>
      <c r="GT18" s="103"/>
      <c r="GU18" s="103"/>
      <c r="GV18" s="103"/>
    </row>
    <row r="19" spans="1:204" ht="10.050000000000001" hidden="1" customHeight="1" x14ac:dyDescent="0.25">
      <c r="A19" s="161">
        <v>0.125</v>
      </c>
      <c r="B19" s="155">
        <f>'Warrant 2'!F26</f>
        <v>0</v>
      </c>
      <c r="C19" s="155">
        <f>IF(OR('Input &amp; Findings'!$G$28='Drop Down Lists'!$E$2,'Input &amp; Findings'!$G$28='Drop Down Lists'!$E$4),SUM('Data with RTF'!F16,'Data with RTF'!T16),SUM('Data with RTF'!M16,'Data with RTF'!AA16))</f>
        <v>0</v>
      </c>
      <c r="D19" s="176" t="str">
        <f t="shared" si="28"/>
        <v/>
      </c>
      <c r="E19" s="176" t="str">
        <f t="shared" si="29"/>
        <v/>
      </c>
      <c r="F19" s="176" t="str">
        <f t="shared" si="30"/>
        <v/>
      </c>
      <c r="G19" s="176" t="str">
        <f t="shared" si="31"/>
        <v/>
      </c>
      <c r="H19" s="176">
        <f t="shared" si="32"/>
        <v>760.62</v>
      </c>
      <c r="I19" s="176">
        <f t="shared" si="33"/>
        <v>-10760.62</v>
      </c>
      <c r="J19" s="176">
        <f t="shared" si="0"/>
        <v>0</v>
      </c>
      <c r="K19" s="176">
        <f t="shared" si="1"/>
        <v>0</v>
      </c>
      <c r="L19" s="176">
        <f t="shared" si="2"/>
        <v>0</v>
      </c>
      <c r="M19" s="176">
        <f t="shared" si="43"/>
        <v>0</v>
      </c>
      <c r="N19" s="176">
        <f t="shared" si="44"/>
        <v>0</v>
      </c>
      <c r="O19" s="176">
        <f t="shared" si="34"/>
        <v>-10760.62</v>
      </c>
      <c r="P19" s="176">
        <f t="shared" si="3"/>
        <v>0</v>
      </c>
      <c r="Q19" s="176">
        <f t="shared" si="4"/>
        <v>0</v>
      </c>
      <c r="R19" s="176">
        <f t="shared" si="5"/>
        <v>0</v>
      </c>
      <c r="S19" s="176">
        <f t="shared" si="53"/>
        <v>0</v>
      </c>
      <c r="T19" s="176">
        <f t="shared" si="45"/>
        <v>0</v>
      </c>
      <c r="U19" s="176">
        <f t="shared" si="35"/>
        <v>-10760.62</v>
      </c>
      <c r="V19" s="176">
        <f t="shared" si="6"/>
        <v>0</v>
      </c>
      <c r="W19" s="176">
        <f t="shared" si="7"/>
        <v>0</v>
      </c>
      <c r="X19" s="176">
        <f t="shared" si="8"/>
        <v>0</v>
      </c>
      <c r="Y19" s="176">
        <f t="shared" si="46"/>
        <v>0</v>
      </c>
      <c r="Z19" s="176">
        <f t="shared" si="47"/>
        <v>0</v>
      </c>
      <c r="AA19" s="176">
        <f t="shared" si="36"/>
        <v>-10760.62</v>
      </c>
      <c r="AB19" s="176">
        <f t="shared" si="9"/>
        <v>0</v>
      </c>
      <c r="AC19" s="176">
        <f t="shared" si="10"/>
        <v>0</v>
      </c>
      <c r="AD19" s="176">
        <f t="shared" si="11"/>
        <v>0</v>
      </c>
      <c r="AE19" s="176">
        <f t="shared" si="37"/>
        <v>491.334</v>
      </c>
      <c r="AF19" s="176">
        <f t="shared" si="38"/>
        <v>-10491.334000000001</v>
      </c>
      <c r="AG19" s="176">
        <f t="shared" si="12"/>
        <v>0</v>
      </c>
      <c r="AH19" s="176">
        <f t="shared" si="13"/>
        <v>0</v>
      </c>
      <c r="AI19" s="176">
        <f t="shared" si="14"/>
        <v>0</v>
      </c>
      <c r="AJ19" s="176">
        <f t="shared" si="48"/>
        <v>0</v>
      </c>
      <c r="AK19" s="176">
        <f t="shared" si="49"/>
        <v>0</v>
      </c>
      <c r="AL19" s="176">
        <f t="shared" si="39"/>
        <v>-10491.334000000001</v>
      </c>
      <c r="AM19" s="176">
        <f t="shared" si="15"/>
        <v>0</v>
      </c>
      <c r="AN19" s="176">
        <f t="shared" si="16"/>
        <v>0</v>
      </c>
      <c r="AO19" s="176">
        <f t="shared" si="17"/>
        <v>0</v>
      </c>
      <c r="AP19" s="176">
        <f t="shared" si="54"/>
        <v>0</v>
      </c>
      <c r="AQ19" s="176">
        <f t="shared" si="50"/>
        <v>0</v>
      </c>
      <c r="AR19" s="176">
        <f t="shared" si="40"/>
        <v>-10491.334000000001</v>
      </c>
      <c r="AS19" s="176">
        <f t="shared" si="18"/>
        <v>0</v>
      </c>
      <c r="AT19" s="176">
        <f t="shared" si="19"/>
        <v>0</v>
      </c>
      <c r="AU19" s="176">
        <f t="shared" si="20"/>
        <v>0</v>
      </c>
      <c r="AV19" s="176">
        <f t="shared" si="51"/>
        <v>0</v>
      </c>
      <c r="AW19" s="176">
        <f t="shared" si="52"/>
        <v>0</v>
      </c>
      <c r="AX19" s="176">
        <f t="shared" si="41"/>
        <v>-10491.334000000001</v>
      </c>
      <c r="AY19" s="176">
        <f t="shared" si="21"/>
        <v>0</v>
      </c>
      <c r="AZ19" s="176">
        <f t="shared" si="22"/>
        <v>0</v>
      </c>
      <c r="BA19" s="176">
        <f t="shared" si="23"/>
        <v>0</v>
      </c>
      <c r="BB19" s="176">
        <f t="shared" si="42"/>
        <v>1005.61</v>
      </c>
      <c r="BC19" s="176">
        <f t="shared" si="24"/>
        <v>-1005.61</v>
      </c>
      <c r="BD19" s="176">
        <f t="shared" si="25"/>
        <v>0</v>
      </c>
      <c r="BE19" s="176">
        <f t="shared" si="26"/>
        <v>0</v>
      </c>
      <c r="BF19" s="176">
        <f t="shared" si="27"/>
        <v>0</v>
      </c>
      <c r="BG19" s="161">
        <v>0.125</v>
      </c>
      <c r="BH19" s="202"/>
      <c r="BI19" s="202"/>
      <c r="BJ19" s="182"/>
      <c r="BL19" s="342"/>
      <c r="BM19" s="340"/>
      <c r="BN19" s="341"/>
      <c r="BO19" s="330"/>
      <c r="BP19" s="330"/>
      <c r="GR19" s="103"/>
      <c r="GS19" s="103"/>
      <c r="GT19" s="103"/>
      <c r="GU19" s="103"/>
      <c r="GV19" s="103"/>
    </row>
    <row r="20" spans="1:204" ht="10.050000000000001" hidden="1" customHeight="1" x14ac:dyDescent="0.25">
      <c r="A20" s="161">
        <v>0.13541666666666699</v>
      </c>
      <c r="B20" s="155">
        <f>'Warrant 2'!F27</f>
        <v>0</v>
      </c>
      <c r="C20" s="155">
        <f>IF(OR('Input &amp; Findings'!$G$28='Drop Down Lists'!$E$2,'Input &amp; Findings'!$G$28='Drop Down Lists'!$E$4),SUM('Data with RTF'!F17,'Data with RTF'!T17),SUM('Data with RTF'!M17,'Data with RTF'!AA17))</f>
        <v>0</v>
      </c>
      <c r="D20" s="176" t="str">
        <f t="shared" si="28"/>
        <v/>
      </c>
      <c r="E20" s="176" t="str">
        <f t="shared" si="29"/>
        <v/>
      </c>
      <c r="F20" s="176" t="str">
        <f t="shared" si="30"/>
        <v/>
      </c>
      <c r="G20" s="176" t="str">
        <f t="shared" si="31"/>
        <v/>
      </c>
      <c r="H20" s="176">
        <f t="shared" si="32"/>
        <v>760.62</v>
      </c>
      <c r="I20" s="176">
        <f t="shared" si="33"/>
        <v>-10760.62</v>
      </c>
      <c r="J20" s="176">
        <f t="shared" si="0"/>
        <v>0</v>
      </c>
      <c r="K20" s="176">
        <f t="shared" si="1"/>
        <v>0</v>
      </c>
      <c r="L20" s="176">
        <f t="shared" si="2"/>
        <v>0</v>
      </c>
      <c r="M20" s="176">
        <f t="shared" si="43"/>
        <v>0</v>
      </c>
      <c r="N20" s="176">
        <f t="shared" si="44"/>
        <v>0</v>
      </c>
      <c r="O20" s="176">
        <f t="shared" si="34"/>
        <v>-10760.62</v>
      </c>
      <c r="P20" s="176">
        <f t="shared" si="3"/>
        <v>0</v>
      </c>
      <c r="Q20" s="176">
        <f t="shared" si="4"/>
        <v>0</v>
      </c>
      <c r="R20" s="176">
        <f t="shared" si="5"/>
        <v>0</v>
      </c>
      <c r="S20" s="176">
        <f t="shared" si="53"/>
        <v>0</v>
      </c>
      <c r="T20" s="176">
        <f t="shared" si="45"/>
        <v>0</v>
      </c>
      <c r="U20" s="176">
        <f t="shared" si="35"/>
        <v>-10760.62</v>
      </c>
      <c r="V20" s="176">
        <f t="shared" si="6"/>
        <v>0</v>
      </c>
      <c r="W20" s="176">
        <f t="shared" si="7"/>
        <v>0</v>
      </c>
      <c r="X20" s="176">
        <f t="shared" si="8"/>
        <v>0</v>
      </c>
      <c r="Y20" s="176">
        <f t="shared" si="46"/>
        <v>0</v>
      </c>
      <c r="Z20" s="176">
        <f t="shared" si="47"/>
        <v>0</v>
      </c>
      <c r="AA20" s="176">
        <f t="shared" si="36"/>
        <v>-10760.62</v>
      </c>
      <c r="AB20" s="176">
        <f t="shared" si="9"/>
        <v>0</v>
      </c>
      <c r="AC20" s="176">
        <f t="shared" si="10"/>
        <v>0</v>
      </c>
      <c r="AD20" s="176">
        <f t="shared" si="11"/>
        <v>0</v>
      </c>
      <c r="AE20" s="176">
        <f t="shared" si="37"/>
        <v>491.334</v>
      </c>
      <c r="AF20" s="176">
        <f t="shared" si="38"/>
        <v>-10491.334000000001</v>
      </c>
      <c r="AG20" s="176">
        <f t="shared" si="12"/>
        <v>0</v>
      </c>
      <c r="AH20" s="176">
        <f t="shared" si="13"/>
        <v>0</v>
      </c>
      <c r="AI20" s="176">
        <f t="shared" si="14"/>
        <v>0</v>
      </c>
      <c r="AJ20" s="176">
        <f t="shared" si="48"/>
        <v>0</v>
      </c>
      <c r="AK20" s="176">
        <f t="shared" si="49"/>
        <v>0</v>
      </c>
      <c r="AL20" s="176">
        <f t="shared" si="39"/>
        <v>-10491.334000000001</v>
      </c>
      <c r="AM20" s="176">
        <f t="shared" si="15"/>
        <v>0</v>
      </c>
      <c r="AN20" s="176">
        <f t="shared" si="16"/>
        <v>0</v>
      </c>
      <c r="AO20" s="176">
        <f t="shared" si="17"/>
        <v>0</v>
      </c>
      <c r="AP20" s="176">
        <f t="shared" si="54"/>
        <v>0</v>
      </c>
      <c r="AQ20" s="176">
        <f t="shared" si="50"/>
        <v>0</v>
      </c>
      <c r="AR20" s="176">
        <f t="shared" si="40"/>
        <v>-10491.334000000001</v>
      </c>
      <c r="AS20" s="176">
        <f t="shared" si="18"/>
        <v>0</v>
      </c>
      <c r="AT20" s="176">
        <f t="shared" si="19"/>
        <v>0</v>
      </c>
      <c r="AU20" s="176">
        <f t="shared" si="20"/>
        <v>0</v>
      </c>
      <c r="AV20" s="176">
        <f t="shared" si="51"/>
        <v>0</v>
      </c>
      <c r="AW20" s="176">
        <f t="shared" si="52"/>
        <v>0</v>
      </c>
      <c r="AX20" s="176">
        <f t="shared" si="41"/>
        <v>-10491.334000000001</v>
      </c>
      <c r="AY20" s="176">
        <f t="shared" si="21"/>
        <v>0</v>
      </c>
      <c r="AZ20" s="176">
        <f t="shared" si="22"/>
        <v>0</v>
      </c>
      <c r="BA20" s="176">
        <f t="shared" si="23"/>
        <v>0</v>
      </c>
      <c r="BB20" s="176">
        <f t="shared" si="42"/>
        <v>1005.61</v>
      </c>
      <c r="BC20" s="176">
        <f t="shared" si="24"/>
        <v>-1005.61</v>
      </c>
      <c r="BD20" s="176">
        <f t="shared" si="25"/>
        <v>0</v>
      </c>
      <c r="BE20" s="176">
        <f t="shared" si="26"/>
        <v>0</v>
      </c>
      <c r="BF20" s="176">
        <f t="shared" si="27"/>
        <v>0</v>
      </c>
      <c r="BG20" s="161">
        <v>0.13541666666666699</v>
      </c>
      <c r="BH20" s="203"/>
      <c r="BI20" s="203"/>
      <c r="BJ20" s="182"/>
      <c r="BL20" s="342"/>
      <c r="BM20" s="341"/>
      <c r="BN20" s="341"/>
      <c r="BO20" s="330"/>
      <c r="BP20" s="330"/>
      <c r="GR20" s="103"/>
      <c r="GS20" s="103"/>
      <c r="GT20" s="103"/>
      <c r="GU20" s="103"/>
      <c r="GV20" s="103"/>
    </row>
    <row r="21" spans="1:204" ht="10.050000000000001" hidden="1" customHeight="1" x14ac:dyDescent="0.25">
      <c r="A21" s="161">
        <v>0.14583333333333301</v>
      </c>
      <c r="B21" s="155">
        <f>'Warrant 2'!F28</f>
        <v>0</v>
      </c>
      <c r="C21" s="155">
        <f>IF(OR('Input &amp; Findings'!$G$28='Drop Down Lists'!$E$2,'Input &amp; Findings'!$G$28='Drop Down Lists'!$E$4),SUM('Data with RTF'!F18,'Data with RTF'!T18),SUM('Data with RTF'!M18,'Data with RTF'!AA18))</f>
        <v>0</v>
      </c>
      <c r="D21" s="176" t="str">
        <f t="shared" si="28"/>
        <v/>
      </c>
      <c r="E21" s="176" t="str">
        <f t="shared" si="29"/>
        <v/>
      </c>
      <c r="F21" s="176" t="str">
        <f t="shared" si="30"/>
        <v/>
      </c>
      <c r="G21" s="176" t="str">
        <f t="shared" si="31"/>
        <v/>
      </c>
      <c r="H21" s="176">
        <f t="shared" si="32"/>
        <v>760.62</v>
      </c>
      <c r="I21" s="176">
        <f t="shared" si="33"/>
        <v>-10760.62</v>
      </c>
      <c r="J21" s="176">
        <f t="shared" si="0"/>
        <v>0</v>
      </c>
      <c r="K21" s="176">
        <f t="shared" si="1"/>
        <v>0</v>
      </c>
      <c r="L21" s="176">
        <f t="shared" si="2"/>
        <v>0</v>
      </c>
      <c r="M21" s="176">
        <f t="shared" si="43"/>
        <v>0</v>
      </c>
      <c r="N21" s="176">
        <f t="shared" si="44"/>
        <v>0</v>
      </c>
      <c r="O21" s="176">
        <f t="shared" si="34"/>
        <v>-10760.62</v>
      </c>
      <c r="P21" s="176">
        <f t="shared" si="3"/>
        <v>0</v>
      </c>
      <c r="Q21" s="176">
        <f t="shared" si="4"/>
        <v>0</v>
      </c>
      <c r="R21" s="176">
        <f t="shared" si="5"/>
        <v>0</v>
      </c>
      <c r="S21" s="176">
        <f t="shared" si="53"/>
        <v>0</v>
      </c>
      <c r="T21" s="176">
        <f t="shared" si="45"/>
        <v>0</v>
      </c>
      <c r="U21" s="176">
        <f t="shared" si="35"/>
        <v>-10760.62</v>
      </c>
      <c r="V21" s="176">
        <f t="shared" si="6"/>
        <v>0</v>
      </c>
      <c r="W21" s="176">
        <f t="shared" si="7"/>
        <v>0</v>
      </c>
      <c r="X21" s="176">
        <f t="shared" si="8"/>
        <v>0</v>
      </c>
      <c r="Y21" s="176">
        <f t="shared" si="46"/>
        <v>0</v>
      </c>
      <c r="Z21" s="176">
        <f t="shared" si="47"/>
        <v>0</v>
      </c>
      <c r="AA21" s="176">
        <f t="shared" si="36"/>
        <v>-10760.62</v>
      </c>
      <c r="AB21" s="176">
        <f t="shared" si="9"/>
        <v>0</v>
      </c>
      <c r="AC21" s="176">
        <f t="shared" si="10"/>
        <v>0</v>
      </c>
      <c r="AD21" s="176">
        <f t="shared" si="11"/>
        <v>0</v>
      </c>
      <c r="AE21" s="176">
        <f t="shared" si="37"/>
        <v>491.334</v>
      </c>
      <c r="AF21" s="176">
        <f t="shared" si="38"/>
        <v>-10491.334000000001</v>
      </c>
      <c r="AG21" s="176">
        <f t="shared" si="12"/>
        <v>0</v>
      </c>
      <c r="AH21" s="176">
        <f t="shared" si="13"/>
        <v>0</v>
      </c>
      <c r="AI21" s="176">
        <f t="shared" si="14"/>
        <v>0</v>
      </c>
      <c r="AJ21" s="176">
        <f t="shared" si="48"/>
        <v>0</v>
      </c>
      <c r="AK21" s="176">
        <f t="shared" si="49"/>
        <v>0</v>
      </c>
      <c r="AL21" s="176">
        <f t="shared" si="39"/>
        <v>-10491.334000000001</v>
      </c>
      <c r="AM21" s="176">
        <f t="shared" si="15"/>
        <v>0</v>
      </c>
      <c r="AN21" s="176">
        <f t="shared" si="16"/>
        <v>0</v>
      </c>
      <c r="AO21" s="176">
        <f t="shared" si="17"/>
        <v>0</v>
      </c>
      <c r="AP21" s="176">
        <f t="shared" si="54"/>
        <v>0</v>
      </c>
      <c r="AQ21" s="176">
        <f t="shared" si="50"/>
        <v>0</v>
      </c>
      <c r="AR21" s="176">
        <f t="shared" si="40"/>
        <v>-10491.334000000001</v>
      </c>
      <c r="AS21" s="176">
        <f t="shared" si="18"/>
        <v>0</v>
      </c>
      <c r="AT21" s="176">
        <f t="shared" si="19"/>
        <v>0</v>
      </c>
      <c r="AU21" s="176">
        <f t="shared" si="20"/>
        <v>0</v>
      </c>
      <c r="AV21" s="176">
        <f t="shared" si="51"/>
        <v>0</v>
      </c>
      <c r="AW21" s="176">
        <f t="shared" si="52"/>
        <v>0</v>
      </c>
      <c r="AX21" s="176">
        <f t="shared" si="41"/>
        <v>-10491.334000000001</v>
      </c>
      <c r="AY21" s="176">
        <f t="shared" si="21"/>
        <v>0</v>
      </c>
      <c r="AZ21" s="176">
        <f t="shared" si="22"/>
        <v>0</v>
      </c>
      <c r="BA21" s="176">
        <f t="shared" si="23"/>
        <v>0</v>
      </c>
      <c r="BB21" s="176">
        <f t="shared" si="42"/>
        <v>1005.61</v>
      </c>
      <c r="BC21" s="176">
        <f t="shared" si="24"/>
        <v>-1005.61</v>
      </c>
      <c r="BD21" s="176">
        <f t="shared" si="25"/>
        <v>0</v>
      </c>
      <c r="BE21" s="176">
        <f t="shared" si="26"/>
        <v>0</v>
      </c>
      <c r="BF21" s="176">
        <f t="shared" si="27"/>
        <v>0</v>
      </c>
      <c r="BG21" s="161">
        <v>0.14583333333333301</v>
      </c>
      <c r="BH21" s="202"/>
      <c r="BI21" s="202"/>
      <c r="BJ21" s="182"/>
      <c r="BL21" s="342"/>
      <c r="BM21" s="340"/>
      <c r="BN21" s="341"/>
      <c r="BO21" s="330"/>
      <c r="BP21" s="330"/>
      <c r="GR21" s="103"/>
      <c r="GS21" s="103"/>
      <c r="GT21" s="103"/>
      <c r="GU21" s="103"/>
      <c r="GV21" s="103"/>
    </row>
    <row r="22" spans="1:204" ht="10.050000000000001" hidden="1" customHeight="1" x14ac:dyDescent="0.25">
      <c r="A22" s="161">
        <v>0.15625</v>
      </c>
      <c r="B22" s="155">
        <f>'Warrant 2'!F29</f>
        <v>0</v>
      </c>
      <c r="C22" s="155">
        <f>IF(OR('Input &amp; Findings'!$G$28='Drop Down Lists'!$E$2,'Input &amp; Findings'!$G$28='Drop Down Lists'!$E$4),SUM('Data with RTF'!F19,'Data with RTF'!T19),SUM('Data with RTF'!M19,'Data with RTF'!AA19))</f>
        <v>0</v>
      </c>
      <c r="D22" s="176" t="str">
        <f t="shared" si="28"/>
        <v/>
      </c>
      <c r="E22" s="176" t="str">
        <f t="shared" si="29"/>
        <v/>
      </c>
      <c r="F22" s="176" t="str">
        <f t="shared" si="30"/>
        <v/>
      </c>
      <c r="G22" s="176" t="str">
        <f t="shared" si="31"/>
        <v/>
      </c>
      <c r="H22" s="176">
        <f t="shared" si="32"/>
        <v>760.62</v>
      </c>
      <c r="I22" s="176">
        <f t="shared" si="33"/>
        <v>-10760.62</v>
      </c>
      <c r="J22" s="176">
        <f t="shared" si="0"/>
        <v>0</v>
      </c>
      <c r="K22" s="176">
        <f t="shared" si="1"/>
        <v>0</v>
      </c>
      <c r="L22" s="176">
        <f t="shared" si="2"/>
        <v>0</v>
      </c>
      <c r="M22" s="176">
        <f t="shared" si="43"/>
        <v>0</v>
      </c>
      <c r="N22" s="176">
        <f t="shared" si="44"/>
        <v>0</v>
      </c>
      <c r="O22" s="176">
        <f t="shared" si="34"/>
        <v>-10760.62</v>
      </c>
      <c r="P22" s="176">
        <f t="shared" si="3"/>
        <v>0</v>
      </c>
      <c r="Q22" s="176">
        <f t="shared" si="4"/>
        <v>0</v>
      </c>
      <c r="R22" s="176">
        <f t="shared" si="5"/>
        <v>0</v>
      </c>
      <c r="S22" s="176">
        <f t="shared" si="53"/>
        <v>0</v>
      </c>
      <c r="T22" s="176">
        <f t="shared" si="45"/>
        <v>0</v>
      </c>
      <c r="U22" s="176">
        <f t="shared" si="35"/>
        <v>-10760.62</v>
      </c>
      <c r="V22" s="176">
        <f t="shared" si="6"/>
        <v>0</v>
      </c>
      <c r="W22" s="176">
        <f t="shared" si="7"/>
        <v>0</v>
      </c>
      <c r="X22" s="176">
        <f t="shared" si="8"/>
        <v>0</v>
      </c>
      <c r="Y22" s="176">
        <f t="shared" si="46"/>
        <v>0</v>
      </c>
      <c r="Z22" s="176">
        <f t="shared" si="47"/>
        <v>0</v>
      </c>
      <c r="AA22" s="176">
        <f t="shared" si="36"/>
        <v>-10760.62</v>
      </c>
      <c r="AB22" s="176">
        <f t="shared" si="9"/>
        <v>0</v>
      </c>
      <c r="AC22" s="176">
        <f t="shared" si="10"/>
        <v>0</v>
      </c>
      <c r="AD22" s="176">
        <f t="shared" si="11"/>
        <v>0</v>
      </c>
      <c r="AE22" s="176">
        <f t="shared" si="37"/>
        <v>491.334</v>
      </c>
      <c r="AF22" s="176">
        <f t="shared" si="38"/>
        <v>-10491.334000000001</v>
      </c>
      <c r="AG22" s="176">
        <f t="shared" si="12"/>
        <v>0</v>
      </c>
      <c r="AH22" s="176">
        <f t="shared" si="13"/>
        <v>0</v>
      </c>
      <c r="AI22" s="176">
        <f t="shared" si="14"/>
        <v>0</v>
      </c>
      <c r="AJ22" s="176">
        <f t="shared" si="48"/>
        <v>0</v>
      </c>
      <c r="AK22" s="176">
        <f t="shared" si="49"/>
        <v>0</v>
      </c>
      <c r="AL22" s="176">
        <f t="shared" si="39"/>
        <v>-10491.334000000001</v>
      </c>
      <c r="AM22" s="176">
        <f t="shared" si="15"/>
        <v>0</v>
      </c>
      <c r="AN22" s="176">
        <f t="shared" si="16"/>
        <v>0</v>
      </c>
      <c r="AO22" s="176">
        <f t="shared" si="17"/>
        <v>0</v>
      </c>
      <c r="AP22" s="176">
        <f t="shared" si="54"/>
        <v>0</v>
      </c>
      <c r="AQ22" s="176">
        <f t="shared" si="50"/>
        <v>0</v>
      </c>
      <c r="AR22" s="176">
        <f t="shared" si="40"/>
        <v>-10491.334000000001</v>
      </c>
      <c r="AS22" s="176">
        <f t="shared" si="18"/>
        <v>0</v>
      </c>
      <c r="AT22" s="176">
        <f t="shared" si="19"/>
        <v>0</v>
      </c>
      <c r="AU22" s="176">
        <f t="shared" si="20"/>
        <v>0</v>
      </c>
      <c r="AV22" s="176">
        <f t="shared" si="51"/>
        <v>0</v>
      </c>
      <c r="AW22" s="176">
        <f t="shared" si="52"/>
        <v>0</v>
      </c>
      <c r="AX22" s="176">
        <f t="shared" si="41"/>
        <v>-10491.334000000001</v>
      </c>
      <c r="AY22" s="176">
        <f t="shared" si="21"/>
        <v>0</v>
      </c>
      <c r="AZ22" s="176">
        <f t="shared" si="22"/>
        <v>0</v>
      </c>
      <c r="BA22" s="176">
        <f t="shared" si="23"/>
        <v>0</v>
      </c>
      <c r="BB22" s="176">
        <f t="shared" si="42"/>
        <v>1005.61</v>
      </c>
      <c r="BC22" s="176">
        <f t="shared" si="24"/>
        <v>-1005.61</v>
      </c>
      <c r="BD22" s="176">
        <f t="shared" si="25"/>
        <v>0</v>
      </c>
      <c r="BE22" s="176">
        <f t="shared" si="26"/>
        <v>0</v>
      </c>
      <c r="BF22" s="176">
        <f t="shared" si="27"/>
        <v>0</v>
      </c>
      <c r="BG22" s="161">
        <v>0.15625</v>
      </c>
      <c r="BH22" s="28"/>
      <c r="BI22" s="28"/>
      <c r="BJ22" s="103"/>
      <c r="BL22" s="342"/>
      <c r="BM22" s="341"/>
      <c r="BN22" s="341"/>
      <c r="BO22" s="330"/>
      <c r="BP22" s="330"/>
      <c r="GR22" s="103"/>
      <c r="GS22" s="103"/>
      <c r="GT22" s="103"/>
      <c r="GU22" s="103"/>
      <c r="GV22" s="103"/>
    </row>
    <row r="23" spans="1:204" ht="10.050000000000001" hidden="1" customHeight="1" x14ac:dyDescent="0.25">
      <c r="A23" s="161">
        <v>0.16666666666666699</v>
      </c>
      <c r="B23" s="155">
        <f>'Warrant 2'!F30</f>
        <v>0</v>
      </c>
      <c r="C23" s="155">
        <f>IF(OR('Input &amp; Findings'!$G$28='Drop Down Lists'!$E$2,'Input &amp; Findings'!$G$28='Drop Down Lists'!$E$4),SUM('Data with RTF'!F20,'Data with RTF'!T20),SUM('Data with RTF'!M20,'Data with RTF'!AA20))</f>
        <v>0</v>
      </c>
      <c r="D23" s="176" t="str">
        <f t="shared" si="28"/>
        <v/>
      </c>
      <c r="E23" s="176" t="str">
        <f t="shared" si="29"/>
        <v/>
      </c>
      <c r="F23" s="176" t="str">
        <f t="shared" si="30"/>
        <v/>
      </c>
      <c r="G23" s="176" t="str">
        <f t="shared" si="31"/>
        <v/>
      </c>
      <c r="H23" s="176">
        <f t="shared" si="32"/>
        <v>760.62</v>
      </c>
      <c r="I23" s="176">
        <f t="shared" si="33"/>
        <v>-10760.62</v>
      </c>
      <c r="J23" s="176">
        <f t="shared" si="0"/>
        <v>0</v>
      </c>
      <c r="K23" s="176">
        <f t="shared" si="1"/>
        <v>0</v>
      </c>
      <c r="L23" s="176">
        <f t="shared" si="2"/>
        <v>0</v>
      </c>
      <c r="M23" s="176">
        <f t="shared" si="43"/>
        <v>0</v>
      </c>
      <c r="N23" s="176">
        <f t="shared" si="44"/>
        <v>0</v>
      </c>
      <c r="O23" s="176">
        <f t="shared" si="34"/>
        <v>-10760.62</v>
      </c>
      <c r="P23" s="176">
        <f t="shared" si="3"/>
        <v>0</v>
      </c>
      <c r="Q23" s="176">
        <f t="shared" si="4"/>
        <v>0</v>
      </c>
      <c r="R23" s="176">
        <f t="shared" si="5"/>
        <v>0</v>
      </c>
      <c r="S23" s="176">
        <f t="shared" si="53"/>
        <v>0</v>
      </c>
      <c r="T23" s="176">
        <f t="shared" si="45"/>
        <v>0</v>
      </c>
      <c r="U23" s="176">
        <f t="shared" si="35"/>
        <v>-10760.62</v>
      </c>
      <c r="V23" s="176">
        <f t="shared" si="6"/>
        <v>0</v>
      </c>
      <c r="W23" s="176">
        <f t="shared" si="7"/>
        <v>0</v>
      </c>
      <c r="X23" s="176">
        <f t="shared" si="8"/>
        <v>0</v>
      </c>
      <c r="Y23" s="176">
        <f t="shared" si="46"/>
        <v>0</v>
      </c>
      <c r="Z23" s="176">
        <f t="shared" si="47"/>
        <v>0</v>
      </c>
      <c r="AA23" s="176">
        <f t="shared" si="36"/>
        <v>-10760.62</v>
      </c>
      <c r="AB23" s="176">
        <f t="shared" si="9"/>
        <v>0</v>
      </c>
      <c r="AC23" s="176">
        <f t="shared" si="10"/>
        <v>0</v>
      </c>
      <c r="AD23" s="176">
        <f t="shared" si="11"/>
        <v>0</v>
      </c>
      <c r="AE23" s="176">
        <f t="shared" si="37"/>
        <v>491.334</v>
      </c>
      <c r="AF23" s="176">
        <f t="shared" si="38"/>
        <v>-10491.334000000001</v>
      </c>
      <c r="AG23" s="176">
        <f t="shared" si="12"/>
        <v>0</v>
      </c>
      <c r="AH23" s="176">
        <f t="shared" si="13"/>
        <v>0</v>
      </c>
      <c r="AI23" s="176">
        <f t="shared" si="14"/>
        <v>0</v>
      </c>
      <c r="AJ23" s="176">
        <f t="shared" si="48"/>
        <v>0</v>
      </c>
      <c r="AK23" s="176">
        <f t="shared" si="49"/>
        <v>0</v>
      </c>
      <c r="AL23" s="176">
        <f t="shared" si="39"/>
        <v>-10491.334000000001</v>
      </c>
      <c r="AM23" s="176">
        <f t="shared" si="15"/>
        <v>0</v>
      </c>
      <c r="AN23" s="176">
        <f t="shared" si="16"/>
        <v>0</v>
      </c>
      <c r="AO23" s="176">
        <f t="shared" si="17"/>
        <v>0</v>
      </c>
      <c r="AP23" s="176">
        <f t="shared" si="54"/>
        <v>0</v>
      </c>
      <c r="AQ23" s="176">
        <f t="shared" si="50"/>
        <v>0</v>
      </c>
      <c r="AR23" s="176">
        <f t="shared" si="40"/>
        <v>-10491.334000000001</v>
      </c>
      <c r="AS23" s="176">
        <f t="shared" si="18"/>
        <v>0</v>
      </c>
      <c r="AT23" s="176">
        <f t="shared" si="19"/>
        <v>0</v>
      </c>
      <c r="AU23" s="176">
        <f t="shared" si="20"/>
        <v>0</v>
      </c>
      <c r="AV23" s="176">
        <f t="shared" si="51"/>
        <v>0</v>
      </c>
      <c r="AW23" s="176">
        <f t="shared" si="52"/>
        <v>0</v>
      </c>
      <c r="AX23" s="176">
        <f t="shared" si="41"/>
        <v>-10491.334000000001</v>
      </c>
      <c r="AY23" s="176">
        <f t="shared" si="21"/>
        <v>0</v>
      </c>
      <c r="AZ23" s="176">
        <f t="shared" si="22"/>
        <v>0</v>
      </c>
      <c r="BA23" s="176">
        <f t="shared" si="23"/>
        <v>0</v>
      </c>
      <c r="BB23" s="176">
        <f t="shared" si="42"/>
        <v>1005.61</v>
      </c>
      <c r="BC23" s="176">
        <f t="shared" si="24"/>
        <v>-1005.61</v>
      </c>
      <c r="BD23" s="176">
        <f t="shared" si="25"/>
        <v>0</v>
      </c>
      <c r="BE23" s="176">
        <f t="shared" si="26"/>
        <v>0</v>
      </c>
      <c r="BF23" s="176">
        <f t="shared" si="27"/>
        <v>0</v>
      </c>
      <c r="BG23" s="161">
        <v>0.16666666666666699</v>
      </c>
      <c r="BH23" s="223"/>
      <c r="BI23" s="223"/>
      <c r="BJ23" s="223"/>
      <c r="BL23" s="342"/>
      <c r="BM23" s="349"/>
      <c r="BN23" s="341"/>
      <c r="BO23" s="330"/>
      <c r="BP23" s="330"/>
      <c r="GR23" s="103"/>
      <c r="GS23" s="103"/>
      <c r="GT23" s="103"/>
      <c r="GU23" s="103"/>
      <c r="GV23" s="103"/>
    </row>
    <row r="24" spans="1:204" ht="10.050000000000001" hidden="1" customHeight="1" x14ac:dyDescent="0.25">
      <c r="A24" s="161">
        <v>0.17708333333333301</v>
      </c>
      <c r="B24" s="155">
        <f>'Warrant 2'!F31</f>
        <v>0</v>
      </c>
      <c r="C24" s="155">
        <f>IF(OR('Input &amp; Findings'!$G$28='Drop Down Lists'!$E$2,'Input &amp; Findings'!$G$28='Drop Down Lists'!$E$4),SUM('Data with RTF'!F21,'Data with RTF'!T21),SUM('Data with RTF'!M21,'Data with RTF'!AA21))</f>
        <v>0</v>
      </c>
      <c r="D24" s="176" t="str">
        <f t="shared" si="28"/>
        <v/>
      </c>
      <c r="E24" s="176" t="str">
        <f t="shared" si="29"/>
        <v/>
      </c>
      <c r="F24" s="176" t="str">
        <f t="shared" si="30"/>
        <v/>
      </c>
      <c r="G24" s="176" t="str">
        <f t="shared" si="31"/>
        <v/>
      </c>
      <c r="H24" s="176">
        <f t="shared" si="32"/>
        <v>760.62</v>
      </c>
      <c r="I24" s="176">
        <f t="shared" si="33"/>
        <v>-10760.62</v>
      </c>
      <c r="J24" s="176">
        <f t="shared" si="0"/>
        <v>0</v>
      </c>
      <c r="K24" s="176">
        <f t="shared" si="1"/>
        <v>0</v>
      </c>
      <c r="L24" s="176">
        <f t="shared" si="2"/>
        <v>0</v>
      </c>
      <c r="M24" s="176">
        <f t="shared" si="43"/>
        <v>0</v>
      </c>
      <c r="N24" s="176">
        <f t="shared" si="44"/>
        <v>0</v>
      </c>
      <c r="O24" s="176">
        <f t="shared" si="34"/>
        <v>-10760.62</v>
      </c>
      <c r="P24" s="176">
        <f t="shared" si="3"/>
        <v>0</v>
      </c>
      <c r="Q24" s="176">
        <f t="shared" si="4"/>
        <v>0</v>
      </c>
      <c r="R24" s="176">
        <f t="shared" si="5"/>
        <v>0</v>
      </c>
      <c r="S24" s="176">
        <f t="shared" si="53"/>
        <v>0</v>
      </c>
      <c r="T24" s="176">
        <f t="shared" si="45"/>
        <v>0</v>
      </c>
      <c r="U24" s="176">
        <f t="shared" si="35"/>
        <v>-10760.62</v>
      </c>
      <c r="V24" s="176">
        <f t="shared" si="6"/>
        <v>0</v>
      </c>
      <c r="W24" s="176">
        <f t="shared" si="7"/>
        <v>0</v>
      </c>
      <c r="X24" s="176">
        <f t="shared" si="8"/>
        <v>0</v>
      </c>
      <c r="Y24" s="176">
        <f t="shared" si="46"/>
        <v>0</v>
      </c>
      <c r="Z24" s="176">
        <f t="shared" si="47"/>
        <v>0</v>
      </c>
      <c r="AA24" s="176">
        <f t="shared" si="36"/>
        <v>-10760.62</v>
      </c>
      <c r="AB24" s="176">
        <f t="shared" si="9"/>
        <v>0</v>
      </c>
      <c r="AC24" s="176">
        <f t="shared" si="10"/>
        <v>0</v>
      </c>
      <c r="AD24" s="176">
        <f t="shared" si="11"/>
        <v>0</v>
      </c>
      <c r="AE24" s="176">
        <f t="shared" si="37"/>
        <v>491.334</v>
      </c>
      <c r="AF24" s="176">
        <f t="shared" si="38"/>
        <v>-10491.334000000001</v>
      </c>
      <c r="AG24" s="176">
        <f t="shared" si="12"/>
        <v>0</v>
      </c>
      <c r="AH24" s="176">
        <f t="shared" si="13"/>
        <v>0</v>
      </c>
      <c r="AI24" s="176">
        <f t="shared" si="14"/>
        <v>0</v>
      </c>
      <c r="AJ24" s="176">
        <f t="shared" si="48"/>
        <v>0</v>
      </c>
      <c r="AK24" s="176">
        <f t="shared" si="49"/>
        <v>0</v>
      </c>
      <c r="AL24" s="176">
        <f t="shared" si="39"/>
        <v>-10491.334000000001</v>
      </c>
      <c r="AM24" s="176">
        <f t="shared" si="15"/>
        <v>0</v>
      </c>
      <c r="AN24" s="176">
        <f t="shared" si="16"/>
        <v>0</v>
      </c>
      <c r="AO24" s="176">
        <f t="shared" si="17"/>
        <v>0</v>
      </c>
      <c r="AP24" s="176">
        <f t="shared" si="54"/>
        <v>0</v>
      </c>
      <c r="AQ24" s="176">
        <f t="shared" si="50"/>
        <v>0</v>
      </c>
      <c r="AR24" s="176">
        <f t="shared" si="40"/>
        <v>-10491.334000000001</v>
      </c>
      <c r="AS24" s="176">
        <f t="shared" si="18"/>
        <v>0</v>
      </c>
      <c r="AT24" s="176">
        <f t="shared" si="19"/>
        <v>0</v>
      </c>
      <c r="AU24" s="176">
        <f t="shared" si="20"/>
        <v>0</v>
      </c>
      <c r="AV24" s="176">
        <f t="shared" si="51"/>
        <v>0</v>
      </c>
      <c r="AW24" s="176">
        <f t="shared" si="52"/>
        <v>0</v>
      </c>
      <c r="AX24" s="176">
        <f t="shared" si="41"/>
        <v>-10491.334000000001</v>
      </c>
      <c r="AY24" s="176">
        <f t="shared" si="21"/>
        <v>0</v>
      </c>
      <c r="AZ24" s="176">
        <f t="shared" si="22"/>
        <v>0</v>
      </c>
      <c r="BA24" s="176">
        <f t="shared" si="23"/>
        <v>0</v>
      </c>
      <c r="BB24" s="176">
        <f t="shared" si="42"/>
        <v>1005.61</v>
      </c>
      <c r="BC24" s="176">
        <f t="shared" si="24"/>
        <v>-1005.61</v>
      </c>
      <c r="BD24" s="176">
        <f t="shared" si="25"/>
        <v>0</v>
      </c>
      <c r="BE24" s="176">
        <f t="shared" si="26"/>
        <v>0</v>
      </c>
      <c r="BF24" s="176">
        <f t="shared" si="27"/>
        <v>0</v>
      </c>
      <c r="BG24" s="161">
        <v>0.17708333333333301</v>
      </c>
      <c r="BH24" s="103"/>
      <c r="BI24" s="103"/>
      <c r="BJ24" s="252"/>
      <c r="BK24" s="254"/>
      <c r="BL24" s="289"/>
      <c r="BM24" s="340"/>
      <c r="BN24" s="341"/>
      <c r="BO24" s="330"/>
      <c r="BP24" s="330"/>
      <c r="GR24" s="103"/>
      <c r="GS24" s="103"/>
      <c r="GT24" s="103"/>
      <c r="GU24" s="103"/>
      <c r="GV24" s="103"/>
    </row>
    <row r="25" spans="1:204" ht="10.050000000000001" hidden="1" customHeight="1" x14ac:dyDescent="0.25">
      <c r="A25" s="161">
        <v>0.1875</v>
      </c>
      <c r="B25" s="155">
        <f>'Warrant 2'!F32</f>
        <v>0</v>
      </c>
      <c r="C25" s="155">
        <f>IF(OR('Input &amp; Findings'!$G$28='Drop Down Lists'!$E$2,'Input &amp; Findings'!$G$28='Drop Down Lists'!$E$4),SUM('Data with RTF'!F22,'Data with RTF'!T22),SUM('Data with RTF'!M22,'Data with RTF'!AA22))</f>
        <v>0</v>
      </c>
      <c r="D25" s="176" t="str">
        <f t="shared" si="28"/>
        <v/>
      </c>
      <c r="E25" s="176" t="str">
        <f t="shared" si="29"/>
        <v/>
      </c>
      <c r="F25" s="176" t="str">
        <f t="shared" si="30"/>
        <v/>
      </c>
      <c r="G25" s="176" t="str">
        <f t="shared" si="31"/>
        <v/>
      </c>
      <c r="H25" s="176">
        <f t="shared" si="32"/>
        <v>760.62</v>
      </c>
      <c r="I25" s="176">
        <f t="shared" si="33"/>
        <v>-10760.62</v>
      </c>
      <c r="J25" s="176">
        <f t="shared" si="0"/>
        <v>0</v>
      </c>
      <c r="K25" s="176">
        <f t="shared" si="1"/>
        <v>0</v>
      </c>
      <c r="L25" s="176">
        <f t="shared" si="2"/>
        <v>0</v>
      </c>
      <c r="M25" s="176">
        <f t="shared" si="43"/>
        <v>0</v>
      </c>
      <c r="N25" s="176">
        <f t="shared" si="44"/>
        <v>0</v>
      </c>
      <c r="O25" s="176">
        <f t="shared" si="34"/>
        <v>-10760.62</v>
      </c>
      <c r="P25" s="176">
        <f t="shared" si="3"/>
        <v>0</v>
      </c>
      <c r="Q25" s="176">
        <f t="shared" si="4"/>
        <v>0</v>
      </c>
      <c r="R25" s="176">
        <f t="shared" si="5"/>
        <v>0</v>
      </c>
      <c r="S25" s="176">
        <f t="shared" si="53"/>
        <v>0</v>
      </c>
      <c r="T25" s="176">
        <f t="shared" si="45"/>
        <v>0</v>
      </c>
      <c r="U25" s="176">
        <f t="shared" si="35"/>
        <v>-10760.62</v>
      </c>
      <c r="V25" s="176">
        <f t="shared" si="6"/>
        <v>0</v>
      </c>
      <c r="W25" s="176">
        <f t="shared" si="7"/>
        <v>0</v>
      </c>
      <c r="X25" s="176">
        <f t="shared" si="8"/>
        <v>0</v>
      </c>
      <c r="Y25" s="176">
        <f t="shared" si="46"/>
        <v>0</v>
      </c>
      <c r="Z25" s="176">
        <f t="shared" si="47"/>
        <v>0</v>
      </c>
      <c r="AA25" s="176">
        <f t="shared" si="36"/>
        <v>-10760.62</v>
      </c>
      <c r="AB25" s="176">
        <f t="shared" si="9"/>
        <v>0</v>
      </c>
      <c r="AC25" s="176">
        <f t="shared" si="10"/>
        <v>0</v>
      </c>
      <c r="AD25" s="176">
        <f t="shared" si="11"/>
        <v>0</v>
      </c>
      <c r="AE25" s="176">
        <f t="shared" si="37"/>
        <v>491.334</v>
      </c>
      <c r="AF25" s="176">
        <f t="shared" si="38"/>
        <v>-10491.334000000001</v>
      </c>
      <c r="AG25" s="176">
        <f t="shared" si="12"/>
        <v>0</v>
      </c>
      <c r="AH25" s="176">
        <f t="shared" si="13"/>
        <v>0</v>
      </c>
      <c r="AI25" s="176">
        <f t="shared" si="14"/>
        <v>0</v>
      </c>
      <c r="AJ25" s="176">
        <f t="shared" si="48"/>
        <v>0</v>
      </c>
      <c r="AK25" s="176">
        <f t="shared" si="49"/>
        <v>0</v>
      </c>
      <c r="AL25" s="176">
        <f t="shared" si="39"/>
        <v>-10491.334000000001</v>
      </c>
      <c r="AM25" s="176">
        <f t="shared" si="15"/>
        <v>0</v>
      </c>
      <c r="AN25" s="176">
        <f t="shared" si="16"/>
        <v>0</v>
      </c>
      <c r="AO25" s="176">
        <f t="shared" si="17"/>
        <v>0</v>
      </c>
      <c r="AP25" s="176">
        <f t="shared" si="54"/>
        <v>0</v>
      </c>
      <c r="AQ25" s="176">
        <f t="shared" si="50"/>
        <v>0</v>
      </c>
      <c r="AR25" s="176">
        <f t="shared" si="40"/>
        <v>-10491.334000000001</v>
      </c>
      <c r="AS25" s="176">
        <f t="shared" si="18"/>
        <v>0</v>
      </c>
      <c r="AT25" s="176">
        <f t="shared" si="19"/>
        <v>0</v>
      </c>
      <c r="AU25" s="176">
        <f t="shared" si="20"/>
        <v>0</v>
      </c>
      <c r="AV25" s="176">
        <f t="shared" si="51"/>
        <v>0</v>
      </c>
      <c r="AW25" s="176">
        <f t="shared" si="52"/>
        <v>0</v>
      </c>
      <c r="AX25" s="176">
        <f t="shared" si="41"/>
        <v>-10491.334000000001</v>
      </c>
      <c r="AY25" s="176">
        <f t="shared" si="21"/>
        <v>0</v>
      </c>
      <c r="AZ25" s="176">
        <f t="shared" si="22"/>
        <v>0</v>
      </c>
      <c r="BA25" s="176">
        <f t="shared" si="23"/>
        <v>0</v>
      </c>
      <c r="BB25" s="176">
        <f t="shared" si="42"/>
        <v>1005.61</v>
      </c>
      <c r="BC25" s="176">
        <f t="shared" si="24"/>
        <v>-1005.61</v>
      </c>
      <c r="BD25" s="176">
        <f t="shared" si="25"/>
        <v>0</v>
      </c>
      <c r="BE25" s="176">
        <f t="shared" si="26"/>
        <v>0</v>
      </c>
      <c r="BF25" s="176">
        <f t="shared" si="27"/>
        <v>0</v>
      </c>
      <c r="BG25" s="161">
        <v>0.1875</v>
      </c>
      <c r="BH25" s="28"/>
      <c r="BI25" s="28"/>
      <c r="BJ25" s="649"/>
      <c r="BK25" s="649"/>
      <c r="BL25" s="649"/>
      <c r="BM25" s="350"/>
      <c r="BN25" s="341"/>
      <c r="BO25" s="330"/>
      <c r="BP25" s="330"/>
      <c r="GR25" s="103"/>
      <c r="GS25" s="103"/>
      <c r="GT25" s="103"/>
      <c r="GU25" s="103"/>
      <c r="GV25" s="103"/>
    </row>
    <row r="26" spans="1:204" ht="10.050000000000001" hidden="1" customHeight="1" x14ac:dyDescent="0.25">
      <c r="A26" s="251">
        <v>0.19791666666666699</v>
      </c>
      <c r="B26" s="155">
        <f>'Warrant 2'!F33</f>
        <v>0</v>
      </c>
      <c r="C26" s="155">
        <f>IF(OR('Input &amp; Findings'!$G$28='Drop Down Lists'!$E$2,'Input &amp; Findings'!$G$28='Drop Down Lists'!$E$4),SUM('Data with RTF'!F23,'Data with RTF'!T23),SUM('Data with RTF'!M23,'Data with RTF'!AA23))</f>
        <v>0</v>
      </c>
      <c r="D26" s="176" t="str">
        <f t="shared" si="28"/>
        <v/>
      </c>
      <c r="E26" s="176" t="str">
        <f t="shared" si="29"/>
        <v/>
      </c>
      <c r="F26" s="176" t="str">
        <f t="shared" si="30"/>
        <v/>
      </c>
      <c r="G26" s="176" t="str">
        <f t="shared" si="31"/>
        <v/>
      </c>
      <c r="H26" s="176">
        <f t="shared" si="32"/>
        <v>760.62</v>
      </c>
      <c r="I26" s="176">
        <f t="shared" si="33"/>
        <v>-10760.62</v>
      </c>
      <c r="J26" s="176">
        <f t="shared" si="0"/>
        <v>0</v>
      </c>
      <c r="K26" s="176">
        <f t="shared" si="1"/>
        <v>0</v>
      </c>
      <c r="L26" s="176">
        <f t="shared" si="2"/>
        <v>0</v>
      </c>
      <c r="M26" s="176">
        <f t="shared" si="43"/>
        <v>0</v>
      </c>
      <c r="N26" s="176">
        <f t="shared" si="44"/>
        <v>0</v>
      </c>
      <c r="O26" s="176">
        <f t="shared" si="34"/>
        <v>-10760.62</v>
      </c>
      <c r="P26" s="176">
        <f t="shared" si="3"/>
        <v>0</v>
      </c>
      <c r="Q26" s="176">
        <f t="shared" si="4"/>
        <v>0</v>
      </c>
      <c r="R26" s="176">
        <f t="shared" si="5"/>
        <v>0</v>
      </c>
      <c r="S26" s="176">
        <f t="shared" si="53"/>
        <v>0</v>
      </c>
      <c r="T26" s="176">
        <f t="shared" si="45"/>
        <v>0</v>
      </c>
      <c r="U26" s="176">
        <f t="shared" si="35"/>
        <v>-10760.62</v>
      </c>
      <c r="V26" s="176">
        <f t="shared" si="6"/>
        <v>0</v>
      </c>
      <c r="W26" s="176">
        <f t="shared" si="7"/>
        <v>0</v>
      </c>
      <c r="X26" s="176">
        <f t="shared" si="8"/>
        <v>0</v>
      </c>
      <c r="Y26" s="176">
        <f t="shared" si="46"/>
        <v>0</v>
      </c>
      <c r="Z26" s="176">
        <f t="shared" si="47"/>
        <v>0</v>
      </c>
      <c r="AA26" s="176">
        <f t="shared" si="36"/>
        <v>-10760.62</v>
      </c>
      <c r="AB26" s="176">
        <f t="shared" si="9"/>
        <v>0</v>
      </c>
      <c r="AC26" s="176">
        <f t="shared" si="10"/>
        <v>0</v>
      </c>
      <c r="AD26" s="176">
        <f t="shared" si="11"/>
        <v>0</v>
      </c>
      <c r="AE26" s="176">
        <f t="shared" si="37"/>
        <v>491.334</v>
      </c>
      <c r="AF26" s="176">
        <f t="shared" si="38"/>
        <v>-10491.334000000001</v>
      </c>
      <c r="AG26" s="176">
        <f t="shared" si="12"/>
        <v>0</v>
      </c>
      <c r="AH26" s="176">
        <f t="shared" si="13"/>
        <v>0</v>
      </c>
      <c r="AI26" s="176">
        <f t="shared" si="14"/>
        <v>0</v>
      </c>
      <c r="AJ26" s="176">
        <f t="shared" si="48"/>
        <v>0</v>
      </c>
      <c r="AK26" s="176">
        <f t="shared" si="49"/>
        <v>0</v>
      </c>
      <c r="AL26" s="176">
        <f t="shared" si="39"/>
        <v>-10491.334000000001</v>
      </c>
      <c r="AM26" s="176">
        <f t="shared" si="15"/>
        <v>0</v>
      </c>
      <c r="AN26" s="176">
        <f t="shared" si="16"/>
        <v>0</v>
      </c>
      <c r="AO26" s="176">
        <f t="shared" si="17"/>
        <v>0</v>
      </c>
      <c r="AP26" s="176">
        <f t="shared" si="54"/>
        <v>0</v>
      </c>
      <c r="AQ26" s="176">
        <f t="shared" si="50"/>
        <v>0</v>
      </c>
      <c r="AR26" s="176">
        <f t="shared" si="40"/>
        <v>-10491.334000000001</v>
      </c>
      <c r="AS26" s="176">
        <f t="shared" si="18"/>
        <v>0</v>
      </c>
      <c r="AT26" s="176">
        <f t="shared" si="19"/>
        <v>0</v>
      </c>
      <c r="AU26" s="176">
        <f t="shared" si="20"/>
        <v>0</v>
      </c>
      <c r="AV26" s="176">
        <f t="shared" si="51"/>
        <v>0</v>
      </c>
      <c r="AW26" s="176">
        <f t="shared" si="52"/>
        <v>0</v>
      </c>
      <c r="AX26" s="176">
        <f t="shared" si="41"/>
        <v>-10491.334000000001</v>
      </c>
      <c r="AY26" s="176">
        <f t="shared" si="21"/>
        <v>0</v>
      </c>
      <c r="AZ26" s="176">
        <f t="shared" si="22"/>
        <v>0</v>
      </c>
      <c r="BA26" s="176">
        <f t="shared" si="23"/>
        <v>0</v>
      </c>
      <c r="BB26" s="176">
        <f t="shared" si="42"/>
        <v>1005.61</v>
      </c>
      <c r="BC26" s="176">
        <f t="shared" si="24"/>
        <v>-1005.61</v>
      </c>
      <c r="BD26" s="176">
        <f t="shared" si="25"/>
        <v>0</v>
      </c>
      <c r="BE26" s="176">
        <f t="shared" si="26"/>
        <v>0</v>
      </c>
      <c r="BF26" s="176">
        <f t="shared" si="27"/>
        <v>0</v>
      </c>
      <c r="BG26" s="161">
        <v>0.19791666666666699</v>
      </c>
      <c r="BH26" s="253"/>
      <c r="BI26" s="253"/>
      <c r="BJ26" s="649"/>
      <c r="BK26" s="649"/>
      <c r="BL26" s="649"/>
      <c r="BM26" s="350"/>
      <c r="BN26" s="341"/>
      <c r="BO26" s="330"/>
      <c r="BP26" s="330"/>
      <c r="GR26" s="103"/>
      <c r="GS26" s="103"/>
      <c r="GT26" s="103"/>
      <c r="GU26" s="103"/>
      <c r="GV26" s="103"/>
    </row>
    <row r="27" spans="1:204" ht="10.050000000000001" hidden="1" customHeight="1" x14ac:dyDescent="0.25">
      <c r="A27" s="251">
        <v>0.20833333333333301</v>
      </c>
      <c r="B27" s="155">
        <f>'Warrant 2'!F34</f>
        <v>0</v>
      </c>
      <c r="C27" s="155">
        <f>IF(OR('Input &amp; Findings'!$G$28='Drop Down Lists'!$E$2,'Input &amp; Findings'!$G$28='Drop Down Lists'!$E$4),SUM('Data with RTF'!F24,'Data with RTF'!T24),SUM('Data with RTF'!M24,'Data with RTF'!AA24))</f>
        <v>0</v>
      </c>
      <c r="D27" s="176" t="str">
        <f t="shared" si="28"/>
        <v/>
      </c>
      <c r="E27" s="176" t="str">
        <f t="shared" si="29"/>
        <v/>
      </c>
      <c r="F27" s="176" t="str">
        <f t="shared" si="30"/>
        <v/>
      </c>
      <c r="G27" s="176" t="str">
        <f t="shared" si="31"/>
        <v/>
      </c>
      <c r="H27" s="176">
        <f t="shared" si="32"/>
        <v>760.62</v>
      </c>
      <c r="I27" s="176">
        <f t="shared" si="33"/>
        <v>-10760.62</v>
      </c>
      <c r="J27" s="176">
        <f t="shared" si="0"/>
        <v>0</v>
      </c>
      <c r="K27" s="176">
        <f t="shared" si="1"/>
        <v>0</v>
      </c>
      <c r="L27" s="176">
        <f t="shared" si="2"/>
        <v>0</v>
      </c>
      <c r="M27" s="176">
        <f t="shared" si="43"/>
        <v>0</v>
      </c>
      <c r="N27" s="176">
        <f t="shared" si="44"/>
        <v>0</v>
      </c>
      <c r="O27" s="176">
        <f t="shared" si="34"/>
        <v>-10760.62</v>
      </c>
      <c r="P27" s="176">
        <f t="shared" si="3"/>
        <v>0</v>
      </c>
      <c r="Q27" s="176">
        <f t="shared" si="4"/>
        <v>0</v>
      </c>
      <c r="R27" s="176">
        <f t="shared" si="5"/>
        <v>0</v>
      </c>
      <c r="S27" s="176">
        <f t="shared" si="53"/>
        <v>0</v>
      </c>
      <c r="T27" s="176">
        <f t="shared" si="45"/>
        <v>0</v>
      </c>
      <c r="U27" s="176">
        <f t="shared" si="35"/>
        <v>-10760.62</v>
      </c>
      <c r="V27" s="176">
        <f t="shared" si="6"/>
        <v>0</v>
      </c>
      <c r="W27" s="176">
        <f t="shared" si="7"/>
        <v>0</v>
      </c>
      <c r="X27" s="176">
        <f t="shared" si="8"/>
        <v>0</v>
      </c>
      <c r="Y27" s="176">
        <f t="shared" si="46"/>
        <v>0</v>
      </c>
      <c r="Z27" s="176">
        <f t="shared" si="47"/>
        <v>0</v>
      </c>
      <c r="AA27" s="176">
        <f t="shared" si="36"/>
        <v>-10760.62</v>
      </c>
      <c r="AB27" s="176">
        <f t="shared" si="9"/>
        <v>0</v>
      </c>
      <c r="AC27" s="176">
        <f t="shared" si="10"/>
        <v>0</v>
      </c>
      <c r="AD27" s="176">
        <f t="shared" si="11"/>
        <v>0</v>
      </c>
      <c r="AE27" s="176">
        <f t="shared" si="37"/>
        <v>491.334</v>
      </c>
      <c r="AF27" s="176">
        <f t="shared" si="38"/>
        <v>-10491.334000000001</v>
      </c>
      <c r="AG27" s="176">
        <f t="shared" si="12"/>
        <v>0</v>
      </c>
      <c r="AH27" s="176">
        <f t="shared" si="13"/>
        <v>0</v>
      </c>
      <c r="AI27" s="176">
        <f t="shared" si="14"/>
        <v>0</v>
      </c>
      <c r="AJ27" s="176">
        <f t="shared" si="48"/>
        <v>0</v>
      </c>
      <c r="AK27" s="176">
        <f t="shared" si="49"/>
        <v>0</v>
      </c>
      <c r="AL27" s="176">
        <f t="shared" si="39"/>
        <v>-10491.334000000001</v>
      </c>
      <c r="AM27" s="176">
        <f t="shared" si="15"/>
        <v>0</v>
      </c>
      <c r="AN27" s="176">
        <f t="shared" si="16"/>
        <v>0</v>
      </c>
      <c r="AO27" s="176">
        <f t="shared" si="17"/>
        <v>0</v>
      </c>
      <c r="AP27" s="176">
        <f t="shared" si="54"/>
        <v>0</v>
      </c>
      <c r="AQ27" s="176">
        <f t="shared" si="50"/>
        <v>0</v>
      </c>
      <c r="AR27" s="176">
        <f t="shared" si="40"/>
        <v>-10491.334000000001</v>
      </c>
      <c r="AS27" s="176">
        <f t="shared" si="18"/>
        <v>0</v>
      </c>
      <c r="AT27" s="176">
        <f t="shared" si="19"/>
        <v>0</v>
      </c>
      <c r="AU27" s="176">
        <f t="shared" si="20"/>
        <v>0</v>
      </c>
      <c r="AV27" s="176">
        <f t="shared" si="51"/>
        <v>0</v>
      </c>
      <c r="AW27" s="176">
        <f t="shared" si="52"/>
        <v>0</v>
      </c>
      <c r="AX27" s="176">
        <f t="shared" si="41"/>
        <v>-10491.334000000001</v>
      </c>
      <c r="AY27" s="176">
        <f t="shared" si="21"/>
        <v>0</v>
      </c>
      <c r="AZ27" s="176">
        <f t="shared" si="22"/>
        <v>0</v>
      </c>
      <c r="BA27" s="176">
        <f t="shared" si="23"/>
        <v>0</v>
      </c>
      <c r="BB27" s="176">
        <f t="shared" si="42"/>
        <v>1005.61</v>
      </c>
      <c r="BC27" s="176">
        <f t="shared" si="24"/>
        <v>-1005.61</v>
      </c>
      <c r="BD27" s="176">
        <f t="shared" si="25"/>
        <v>0</v>
      </c>
      <c r="BE27" s="176">
        <f t="shared" si="26"/>
        <v>0</v>
      </c>
      <c r="BF27" s="176">
        <f t="shared" si="27"/>
        <v>0</v>
      </c>
      <c r="BG27" s="233">
        <v>0.20833333333333301</v>
      </c>
      <c r="BH27" s="253"/>
      <c r="BI27" s="253"/>
      <c r="BJ27" s="649"/>
      <c r="BK27" s="649"/>
      <c r="BL27" s="649"/>
      <c r="BM27" s="350"/>
      <c r="BN27" s="341"/>
      <c r="BO27" s="330"/>
      <c r="BP27" s="330"/>
      <c r="GR27" s="103"/>
      <c r="GS27" s="103"/>
      <c r="GT27" s="103"/>
      <c r="GU27" s="103"/>
      <c r="GV27" s="103"/>
    </row>
    <row r="28" spans="1:204" ht="10.050000000000001" hidden="1" customHeight="1" x14ac:dyDescent="0.25">
      <c r="A28" s="251">
        <v>0.21875</v>
      </c>
      <c r="B28" s="155">
        <f>'Warrant 2'!F35</f>
        <v>0</v>
      </c>
      <c r="C28" s="155">
        <f>IF(OR('Input &amp; Findings'!$G$28='Drop Down Lists'!$E$2,'Input &amp; Findings'!$G$28='Drop Down Lists'!$E$4),SUM('Data with RTF'!F25,'Data with RTF'!T25),SUM('Data with RTF'!M25,'Data with RTF'!AA25))</f>
        <v>0</v>
      </c>
      <c r="D28" s="176" t="str">
        <f t="shared" si="28"/>
        <v/>
      </c>
      <c r="E28" s="176" t="str">
        <f t="shared" si="29"/>
        <v/>
      </c>
      <c r="F28" s="176" t="str">
        <f t="shared" si="30"/>
        <v/>
      </c>
      <c r="G28" s="176" t="str">
        <f t="shared" si="31"/>
        <v/>
      </c>
      <c r="H28" s="176">
        <f t="shared" si="32"/>
        <v>760.62</v>
      </c>
      <c r="I28" s="176">
        <f t="shared" si="33"/>
        <v>-10760.62</v>
      </c>
      <c r="J28" s="176">
        <f t="shared" si="0"/>
        <v>0</v>
      </c>
      <c r="K28" s="176">
        <f t="shared" si="1"/>
        <v>0</v>
      </c>
      <c r="L28" s="176">
        <f t="shared" si="2"/>
        <v>0</v>
      </c>
      <c r="M28" s="176">
        <f t="shared" si="43"/>
        <v>0</v>
      </c>
      <c r="N28" s="176">
        <f t="shared" si="44"/>
        <v>0</v>
      </c>
      <c r="O28" s="176">
        <f t="shared" si="34"/>
        <v>-10760.62</v>
      </c>
      <c r="P28" s="176">
        <f t="shared" si="3"/>
        <v>0</v>
      </c>
      <c r="Q28" s="176">
        <f t="shared" si="4"/>
        <v>0</v>
      </c>
      <c r="R28" s="176">
        <f t="shared" si="5"/>
        <v>0</v>
      </c>
      <c r="S28" s="176">
        <f t="shared" si="53"/>
        <v>0</v>
      </c>
      <c r="T28" s="176">
        <f t="shared" si="45"/>
        <v>0</v>
      </c>
      <c r="U28" s="176">
        <f t="shared" si="35"/>
        <v>-10760.62</v>
      </c>
      <c r="V28" s="176">
        <f t="shared" si="6"/>
        <v>0</v>
      </c>
      <c r="W28" s="176">
        <f t="shared" si="7"/>
        <v>0</v>
      </c>
      <c r="X28" s="176">
        <f t="shared" si="8"/>
        <v>0</v>
      </c>
      <c r="Y28" s="176">
        <f t="shared" si="46"/>
        <v>0</v>
      </c>
      <c r="Z28" s="176">
        <f t="shared" si="47"/>
        <v>0</v>
      </c>
      <c r="AA28" s="176">
        <f t="shared" si="36"/>
        <v>-10760.62</v>
      </c>
      <c r="AB28" s="176">
        <f t="shared" si="9"/>
        <v>0</v>
      </c>
      <c r="AC28" s="176">
        <f t="shared" si="10"/>
        <v>0</v>
      </c>
      <c r="AD28" s="176">
        <f t="shared" si="11"/>
        <v>0</v>
      </c>
      <c r="AE28" s="176">
        <f t="shared" si="37"/>
        <v>491.334</v>
      </c>
      <c r="AF28" s="176">
        <f t="shared" si="38"/>
        <v>-10491.334000000001</v>
      </c>
      <c r="AG28" s="176">
        <f t="shared" si="12"/>
        <v>0</v>
      </c>
      <c r="AH28" s="176">
        <f t="shared" si="13"/>
        <v>0</v>
      </c>
      <c r="AI28" s="176">
        <f t="shared" si="14"/>
        <v>0</v>
      </c>
      <c r="AJ28" s="176">
        <f t="shared" si="48"/>
        <v>0</v>
      </c>
      <c r="AK28" s="176">
        <f t="shared" si="49"/>
        <v>0</v>
      </c>
      <c r="AL28" s="176">
        <f t="shared" si="39"/>
        <v>-10491.334000000001</v>
      </c>
      <c r="AM28" s="176">
        <f t="shared" si="15"/>
        <v>0</v>
      </c>
      <c r="AN28" s="176">
        <f t="shared" si="16"/>
        <v>0</v>
      </c>
      <c r="AO28" s="176">
        <f t="shared" si="17"/>
        <v>0</v>
      </c>
      <c r="AP28" s="176">
        <f t="shared" si="54"/>
        <v>0</v>
      </c>
      <c r="AQ28" s="176">
        <f t="shared" si="50"/>
        <v>0</v>
      </c>
      <c r="AR28" s="176">
        <f t="shared" si="40"/>
        <v>-10491.334000000001</v>
      </c>
      <c r="AS28" s="176">
        <f t="shared" si="18"/>
        <v>0</v>
      </c>
      <c r="AT28" s="176">
        <f t="shared" si="19"/>
        <v>0</v>
      </c>
      <c r="AU28" s="176">
        <f t="shared" si="20"/>
        <v>0</v>
      </c>
      <c r="AV28" s="176">
        <f t="shared" si="51"/>
        <v>0</v>
      </c>
      <c r="AW28" s="176">
        <f t="shared" si="52"/>
        <v>0</v>
      </c>
      <c r="AX28" s="176">
        <f t="shared" si="41"/>
        <v>-10491.334000000001</v>
      </c>
      <c r="AY28" s="176">
        <f t="shared" si="21"/>
        <v>0</v>
      </c>
      <c r="AZ28" s="176">
        <f t="shared" si="22"/>
        <v>0</v>
      </c>
      <c r="BA28" s="176">
        <f t="shared" si="23"/>
        <v>0</v>
      </c>
      <c r="BB28" s="176">
        <f t="shared" si="42"/>
        <v>1005.61</v>
      </c>
      <c r="BC28" s="176">
        <f t="shared" si="24"/>
        <v>-1005.61</v>
      </c>
      <c r="BD28" s="176">
        <f t="shared" si="25"/>
        <v>0</v>
      </c>
      <c r="BE28" s="176">
        <f t="shared" si="26"/>
        <v>0</v>
      </c>
      <c r="BF28" s="176">
        <f t="shared" si="27"/>
        <v>0</v>
      </c>
      <c r="BG28" s="233">
        <v>0.21875</v>
      </c>
      <c r="BH28" s="103"/>
      <c r="BI28" s="103"/>
      <c r="BJ28" s="299"/>
      <c r="BK28" s="300"/>
      <c r="BL28" s="299"/>
      <c r="BM28" s="350"/>
      <c r="BN28" s="341"/>
      <c r="BO28" s="330"/>
      <c r="BP28" s="330"/>
      <c r="GR28" s="103"/>
      <c r="GS28" s="103"/>
      <c r="GT28" s="103"/>
      <c r="GU28" s="103"/>
      <c r="GV28" s="103"/>
    </row>
    <row r="29" spans="1:204" ht="10.050000000000001" hidden="1" customHeight="1" x14ac:dyDescent="0.25">
      <c r="A29" s="251">
        <v>0.22916666666666699</v>
      </c>
      <c r="B29" s="155">
        <f>'Warrant 2'!F36</f>
        <v>0</v>
      </c>
      <c r="C29" s="155">
        <f>IF(OR('Input &amp; Findings'!$G$28='Drop Down Lists'!$E$2,'Input &amp; Findings'!$G$28='Drop Down Lists'!$E$4),SUM('Data with RTF'!F26,'Data with RTF'!T26),SUM('Data with RTF'!M26,'Data with RTF'!AA26))</f>
        <v>0</v>
      </c>
      <c r="D29" s="176" t="str">
        <f t="shared" si="28"/>
        <v/>
      </c>
      <c r="E29" s="176" t="str">
        <f t="shared" si="29"/>
        <v/>
      </c>
      <c r="F29" s="176" t="str">
        <f t="shared" si="30"/>
        <v/>
      </c>
      <c r="G29" s="176" t="str">
        <f t="shared" si="31"/>
        <v/>
      </c>
      <c r="H29" s="176">
        <f t="shared" si="32"/>
        <v>760.62</v>
      </c>
      <c r="I29" s="176">
        <f t="shared" si="33"/>
        <v>-10760.62</v>
      </c>
      <c r="J29" s="176">
        <f t="shared" si="0"/>
        <v>0</v>
      </c>
      <c r="K29" s="176">
        <f t="shared" si="1"/>
        <v>0</v>
      </c>
      <c r="L29" s="176">
        <f t="shared" si="2"/>
        <v>0</v>
      </c>
      <c r="M29" s="176">
        <f t="shared" si="43"/>
        <v>0</v>
      </c>
      <c r="N29" s="176">
        <f t="shared" si="44"/>
        <v>0</v>
      </c>
      <c r="O29" s="176">
        <f t="shared" si="34"/>
        <v>-10760.62</v>
      </c>
      <c r="P29" s="176">
        <f t="shared" si="3"/>
        <v>0</v>
      </c>
      <c r="Q29" s="176">
        <f t="shared" si="4"/>
        <v>0</v>
      </c>
      <c r="R29" s="176">
        <f t="shared" si="5"/>
        <v>0</v>
      </c>
      <c r="S29" s="176">
        <f t="shared" si="53"/>
        <v>0</v>
      </c>
      <c r="T29" s="176">
        <f t="shared" si="45"/>
        <v>0</v>
      </c>
      <c r="U29" s="176">
        <f t="shared" si="35"/>
        <v>-10760.62</v>
      </c>
      <c r="V29" s="176">
        <f t="shared" si="6"/>
        <v>0</v>
      </c>
      <c r="W29" s="176">
        <f t="shared" si="7"/>
        <v>0</v>
      </c>
      <c r="X29" s="176">
        <f t="shared" si="8"/>
        <v>0</v>
      </c>
      <c r="Y29" s="176">
        <f t="shared" si="46"/>
        <v>0</v>
      </c>
      <c r="Z29" s="176">
        <f t="shared" si="47"/>
        <v>0</v>
      </c>
      <c r="AA29" s="176">
        <f t="shared" si="36"/>
        <v>-10760.62</v>
      </c>
      <c r="AB29" s="176">
        <f t="shared" si="9"/>
        <v>0</v>
      </c>
      <c r="AC29" s="176">
        <f t="shared" si="10"/>
        <v>0</v>
      </c>
      <c r="AD29" s="176">
        <f t="shared" si="11"/>
        <v>0</v>
      </c>
      <c r="AE29" s="176">
        <f t="shared" si="37"/>
        <v>491.334</v>
      </c>
      <c r="AF29" s="176">
        <f t="shared" si="38"/>
        <v>-10491.334000000001</v>
      </c>
      <c r="AG29" s="176">
        <f t="shared" si="12"/>
        <v>0</v>
      </c>
      <c r="AH29" s="176">
        <f t="shared" si="13"/>
        <v>0</v>
      </c>
      <c r="AI29" s="176">
        <f t="shared" si="14"/>
        <v>0</v>
      </c>
      <c r="AJ29" s="176">
        <f t="shared" si="48"/>
        <v>0</v>
      </c>
      <c r="AK29" s="176">
        <f t="shared" si="49"/>
        <v>0</v>
      </c>
      <c r="AL29" s="176">
        <f t="shared" si="39"/>
        <v>-10491.334000000001</v>
      </c>
      <c r="AM29" s="176">
        <f t="shared" si="15"/>
        <v>0</v>
      </c>
      <c r="AN29" s="176">
        <f t="shared" si="16"/>
        <v>0</v>
      </c>
      <c r="AO29" s="176">
        <f t="shared" si="17"/>
        <v>0</v>
      </c>
      <c r="AP29" s="176">
        <f t="shared" si="54"/>
        <v>0</v>
      </c>
      <c r="AQ29" s="176">
        <f t="shared" si="50"/>
        <v>0</v>
      </c>
      <c r="AR29" s="176">
        <f t="shared" si="40"/>
        <v>-10491.334000000001</v>
      </c>
      <c r="AS29" s="176">
        <f t="shared" si="18"/>
        <v>0</v>
      </c>
      <c r="AT29" s="176">
        <f t="shared" si="19"/>
        <v>0</v>
      </c>
      <c r="AU29" s="176">
        <f t="shared" si="20"/>
        <v>0</v>
      </c>
      <c r="AV29" s="176">
        <f t="shared" si="51"/>
        <v>0</v>
      </c>
      <c r="AW29" s="176">
        <f t="shared" si="52"/>
        <v>0</v>
      </c>
      <c r="AX29" s="176">
        <f t="shared" si="41"/>
        <v>-10491.334000000001</v>
      </c>
      <c r="AY29" s="176">
        <f t="shared" si="21"/>
        <v>0</v>
      </c>
      <c r="AZ29" s="176">
        <f t="shared" si="22"/>
        <v>0</v>
      </c>
      <c r="BA29" s="176">
        <f t="shared" si="23"/>
        <v>0</v>
      </c>
      <c r="BB29" s="176">
        <f t="shared" si="42"/>
        <v>1005.61</v>
      </c>
      <c r="BC29" s="176">
        <f t="shared" si="24"/>
        <v>-1005.61</v>
      </c>
      <c r="BD29" s="176">
        <f t="shared" si="25"/>
        <v>0</v>
      </c>
      <c r="BE29" s="176">
        <f t="shared" si="26"/>
        <v>0</v>
      </c>
      <c r="BF29" s="176">
        <f t="shared" si="27"/>
        <v>0</v>
      </c>
      <c r="BG29" s="233">
        <v>0.22916666666666699</v>
      </c>
      <c r="BH29" s="103"/>
      <c r="BI29" s="103"/>
      <c r="BJ29" s="103"/>
      <c r="BK29" s="103"/>
      <c r="BL29" s="301"/>
      <c r="BM29" s="341"/>
      <c r="BN29" s="341"/>
      <c r="BO29" s="330"/>
      <c r="BP29" s="330"/>
      <c r="GR29" s="103"/>
      <c r="GS29" s="103"/>
      <c r="GT29" s="103"/>
      <c r="GU29" s="103"/>
      <c r="GV29" s="103"/>
    </row>
    <row r="30" spans="1:204" ht="10.050000000000001" hidden="1" customHeight="1" x14ac:dyDescent="0.25">
      <c r="A30" s="251">
        <v>0.23958333333333301</v>
      </c>
      <c r="B30" s="155">
        <f>'Warrant 2'!F37</f>
        <v>0</v>
      </c>
      <c r="C30" s="155">
        <f>IF(OR('Input &amp; Findings'!$G$28='Drop Down Lists'!$E$2,'Input &amp; Findings'!$G$28='Drop Down Lists'!$E$4),SUM('Data with RTF'!F27,'Data with RTF'!T27),SUM('Data with RTF'!M27,'Data with RTF'!AA27))</f>
        <v>0</v>
      </c>
      <c r="D30" s="176" t="str">
        <f t="shared" si="28"/>
        <v/>
      </c>
      <c r="E30" s="176" t="str">
        <f t="shared" si="29"/>
        <v/>
      </c>
      <c r="F30" s="176" t="str">
        <f t="shared" si="30"/>
        <v/>
      </c>
      <c r="G30" s="176" t="str">
        <f t="shared" si="31"/>
        <v/>
      </c>
      <c r="H30" s="176">
        <f t="shared" si="32"/>
        <v>760.62</v>
      </c>
      <c r="I30" s="176">
        <f t="shared" si="33"/>
        <v>-10760.62</v>
      </c>
      <c r="J30" s="176">
        <f t="shared" si="0"/>
        <v>0</v>
      </c>
      <c r="K30" s="176">
        <f t="shared" si="1"/>
        <v>0</v>
      </c>
      <c r="L30" s="176">
        <f t="shared" si="2"/>
        <v>0</v>
      </c>
      <c r="M30" s="176">
        <f t="shared" si="43"/>
        <v>0</v>
      </c>
      <c r="N30" s="176">
        <f t="shared" si="44"/>
        <v>0</v>
      </c>
      <c r="O30" s="176">
        <f t="shared" si="34"/>
        <v>-10760.62</v>
      </c>
      <c r="P30" s="176">
        <f t="shared" si="3"/>
        <v>0</v>
      </c>
      <c r="Q30" s="176">
        <f t="shared" si="4"/>
        <v>0</v>
      </c>
      <c r="R30" s="176">
        <f t="shared" si="5"/>
        <v>0</v>
      </c>
      <c r="S30" s="176">
        <f t="shared" si="53"/>
        <v>0</v>
      </c>
      <c r="T30" s="176">
        <f t="shared" si="45"/>
        <v>0</v>
      </c>
      <c r="U30" s="176">
        <f t="shared" si="35"/>
        <v>-10760.62</v>
      </c>
      <c r="V30" s="176">
        <f t="shared" si="6"/>
        <v>0</v>
      </c>
      <c r="W30" s="176">
        <f t="shared" si="7"/>
        <v>0</v>
      </c>
      <c r="X30" s="176">
        <f t="shared" si="8"/>
        <v>0</v>
      </c>
      <c r="Y30" s="176">
        <f t="shared" si="46"/>
        <v>0</v>
      </c>
      <c r="Z30" s="176">
        <f t="shared" si="47"/>
        <v>0</v>
      </c>
      <c r="AA30" s="176">
        <f t="shared" si="36"/>
        <v>-10760.62</v>
      </c>
      <c r="AB30" s="176">
        <f t="shared" si="9"/>
        <v>0</v>
      </c>
      <c r="AC30" s="176">
        <f t="shared" si="10"/>
        <v>0</v>
      </c>
      <c r="AD30" s="176">
        <f t="shared" si="11"/>
        <v>0</v>
      </c>
      <c r="AE30" s="176">
        <f t="shared" si="37"/>
        <v>491.334</v>
      </c>
      <c r="AF30" s="176">
        <f t="shared" si="38"/>
        <v>-10491.334000000001</v>
      </c>
      <c r="AG30" s="176">
        <f t="shared" si="12"/>
        <v>0</v>
      </c>
      <c r="AH30" s="176">
        <f t="shared" si="13"/>
        <v>0</v>
      </c>
      <c r="AI30" s="176">
        <f t="shared" si="14"/>
        <v>0</v>
      </c>
      <c r="AJ30" s="176">
        <f t="shared" si="48"/>
        <v>0</v>
      </c>
      <c r="AK30" s="176">
        <f t="shared" si="49"/>
        <v>0</v>
      </c>
      <c r="AL30" s="176">
        <f t="shared" si="39"/>
        <v>-10491.334000000001</v>
      </c>
      <c r="AM30" s="176">
        <f t="shared" si="15"/>
        <v>0</v>
      </c>
      <c r="AN30" s="176">
        <f t="shared" si="16"/>
        <v>0</v>
      </c>
      <c r="AO30" s="176">
        <f t="shared" si="17"/>
        <v>0</v>
      </c>
      <c r="AP30" s="176">
        <f t="shared" si="54"/>
        <v>0</v>
      </c>
      <c r="AQ30" s="176">
        <f t="shared" si="50"/>
        <v>0</v>
      </c>
      <c r="AR30" s="176">
        <f t="shared" si="40"/>
        <v>-10491.334000000001</v>
      </c>
      <c r="AS30" s="176">
        <f t="shared" si="18"/>
        <v>0</v>
      </c>
      <c r="AT30" s="176">
        <f t="shared" si="19"/>
        <v>0</v>
      </c>
      <c r="AU30" s="176">
        <f t="shared" si="20"/>
        <v>0</v>
      </c>
      <c r="AV30" s="176">
        <f t="shared" si="51"/>
        <v>0</v>
      </c>
      <c r="AW30" s="176">
        <f t="shared" si="52"/>
        <v>0</v>
      </c>
      <c r="AX30" s="176">
        <f t="shared" si="41"/>
        <v>-10491.334000000001</v>
      </c>
      <c r="AY30" s="176">
        <f t="shared" si="21"/>
        <v>0</v>
      </c>
      <c r="AZ30" s="176">
        <f t="shared" si="22"/>
        <v>0</v>
      </c>
      <c r="BA30" s="176">
        <f t="shared" si="23"/>
        <v>0</v>
      </c>
      <c r="BB30" s="176">
        <f t="shared" si="42"/>
        <v>1005.61</v>
      </c>
      <c r="BC30" s="176">
        <f t="shared" si="24"/>
        <v>-1005.61</v>
      </c>
      <c r="BD30" s="176">
        <f t="shared" si="25"/>
        <v>0</v>
      </c>
      <c r="BE30" s="176">
        <f t="shared" si="26"/>
        <v>0</v>
      </c>
      <c r="BF30" s="176">
        <f t="shared" si="27"/>
        <v>0</v>
      </c>
      <c r="BG30" s="233">
        <v>0.23958333333333301</v>
      </c>
      <c r="BH30" s="103"/>
      <c r="BI30" s="103"/>
      <c r="BJ30" s="103"/>
      <c r="BK30" s="103"/>
      <c r="BL30" s="301"/>
      <c r="BM30" s="341"/>
      <c r="BN30" s="341"/>
      <c r="BO30" s="330"/>
      <c r="BP30" s="330"/>
      <c r="GR30" s="103"/>
      <c r="GS30" s="103"/>
      <c r="GT30" s="103"/>
      <c r="GU30" s="103"/>
      <c r="GV30" s="103"/>
    </row>
    <row r="31" spans="1:204" ht="10.050000000000001" customHeight="1" x14ac:dyDescent="0.25">
      <c r="A31" s="251">
        <v>0.25</v>
      </c>
      <c r="B31" s="155">
        <f>'Warrant 2'!F38</f>
        <v>0</v>
      </c>
      <c r="C31" s="155">
        <f>IF(OR('Input &amp; Findings'!$G$28='Drop Down Lists'!$E$2,'Input &amp; Findings'!$G$28='Drop Down Lists'!$E$4),SUM('Data with RTF'!F28,'Data with RTF'!T28),SUM('Data with RTF'!M28,'Data with RTF'!AA28))</f>
        <v>0</v>
      </c>
      <c r="D31" s="176" t="str">
        <f t="shared" si="28"/>
        <v/>
      </c>
      <c r="E31" s="176" t="str">
        <f t="shared" si="29"/>
        <v/>
      </c>
      <c r="F31" s="176" t="str">
        <f t="shared" si="30"/>
        <v/>
      </c>
      <c r="G31" s="176" t="str">
        <f t="shared" si="31"/>
        <v/>
      </c>
      <c r="H31" s="176">
        <f t="shared" si="32"/>
        <v>760.62</v>
      </c>
      <c r="I31" s="176">
        <f t="shared" si="33"/>
        <v>-10760.62</v>
      </c>
      <c r="J31" s="176">
        <f t="shared" si="0"/>
        <v>0</v>
      </c>
      <c r="K31" s="176">
        <f t="shared" si="1"/>
        <v>0</v>
      </c>
      <c r="L31" s="176">
        <f t="shared" si="2"/>
        <v>0</v>
      </c>
      <c r="M31" s="176">
        <f t="shared" si="43"/>
        <v>0</v>
      </c>
      <c r="N31" s="176">
        <f t="shared" si="44"/>
        <v>0</v>
      </c>
      <c r="O31" s="176">
        <f t="shared" si="34"/>
        <v>-10760.62</v>
      </c>
      <c r="P31" s="176">
        <f t="shared" si="3"/>
        <v>0</v>
      </c>
      <c r="Q31" s="176">
        <f t="shared" si="4"/>
        <v>0</v>
      </c>
      <c r="R31" s="176">
        <f t="shared" si="5"/>
        <v>0</v>
      </c>
      <c r="S31" s="176">
        <f t="shared" si="53"/>
        <v>0</v>
      </c>
      <c r="T31" s="176">
        <f t="shared" si="45"/>
        <v>0</v>
      </c>
      <c r="U31" s="176">
        <f t="shared" si="35"/>
        <v>-10760.62</v>
      </c>
      <c r="V31" s="176">
        <f t="shared" si="6"/>
        <v>0</v>
      </c>
      <c r="W31" s="176">
        <f t="shared" si="7"/>
        <v>0</v>
      </c>
      <c r="X31" s="176">
        <f t="shared" si="8"/>
        <v>0</v>
      </c>
      <c r="Y31" s="176">
        <f t="shared" si="46"/>
        <v>0</v>
      </c>
      <c r="Z31" s="176">
        <f t="shared" si="47"/>
        <v>0</v>
      </c>
      <c r="AA31" s="176">
        <f t="shared" si="36"/>
        <v>-10760.62</v>
      </c>
      <c r="AB31" s="176">
        <f t="shared" si="9"/>
        <v>0</v>
      </c>
      <c r="AC31" s="176">
        <f t="shared" si="10"/>
        <v>0</v>
      </c>
      <c r="AD31" s="176">
        <f t="shared" si="11"/>
        <v>0</v>
      </c>
      <c r="AE31" s="176">
        <f t="shared" si="37"/>
        <v>491.334</v>
      </c>
      <c r="AF31" s="176">
        <f t="shared" si="38"/>
        <v>-10491.334000000001</v>
      </c>
      <c r="AG31" s="176">
        <f t="shared" si="12"/>
        <v>0</v>
      </c>
      <c r="AH31" s="176">
        <f t="shared" si="13"/>
        <v>0</v>
      </c>
      <c r="AI31" s="176">
        <f t="shared" si="14"/>
        <v>0</v>
      </c>
      <c r="AJ31" s="176">
        <f t="shared" si="48"/>
        <v>0</v>
      </c>
      <c r="AK31" s="176">
        <f t="shared" si="49"/>
        <v>0</v>
      </c>
      <c r="AL31" s="176">
        <f t="shared" si="39"/>
        <v>-10491.334000000001</v>
      </c>
      <c r="AM31" s="176">
        <f t="shared" si="15"/>
        <v>0</v>
      </c>
      <c r="AN31" s="176">
        <f t="shared" si="16"/>
        <v>0</v>
      </c>
      <c r="AO31" s="176">
        <f t="shared" si="17"/>
        <v>0</v>
      </c>
      <c r="AP31" s="176">
        <f t="shared" si="54"/>
        <v>0</v>
      </c>
      <c r="AQ31" s="176">
        <f t="shared" si="50"/>
        <v>0</v>
      </c>
      <c r="AR31" s="176">
        <f t="shared" si="40"/>
        <v>-10491.334000000001</v>
      </c>
      <c r="AS31" s="176">
        <f t="shared" si="18"/>
        <v>0</v>
      </c>
      <c r="AT31" s="176">
        <f t="shared" si="19"/>
        <v>0</v>
      </c>
      <c r="AU31" s="176">
        <f t="shared" si="20"/>
        <v>0</v>
      </c>
      <c r="AV31" s="176">
        <f t="shared" si="51"/>
        <v>0</v>
      </c>
      <c r="AW31" s="176">
        <f t="shared" si="52"/>
        <v>0</v>
      </c>
      <c r="AX31" s="176">
        <f t="shared" si="41"/>
        <v>-10491.334000000001</v>
      </c>
      <c r="AY31" s="176">
        <f t="shared" si="21"/>
        <v>0</v>
      </c>
      <c r="AZ31" s="176">
        <f t="shared" si="22"/>
        <v>0</v>
      </c>
      <c r="BA31" s="176">
        <f t="shared" si="23"/>
        <v>0</v>
      </c>
      <c r="BB31" s="176">
        <f t="shared" si="42"/>
        <v>1005.61</v>
      </c>
      <c r="BC31" s="176">
        <f t="shared" si="24"/>
        <v>-1005.61</v>
      </c>
      <c r="BD31" s="176">
        <f t="shared" si="25"/>
        <v>0</v>
      </c>
      <c r="BE31" s="176">
        <f t="shared" si="26"/>
        <v>0</v>
      </c>
      <c r="BF31" s="176">
        <f t="shared" si="27"/>
        <v>0</v>
      </c>
      <c r="BG31" s="233">
        <v>0.25</v>
      </c>
      <c r="BH31" s="644" t="s">
        <v>316</v>
      </c>
      <c r="BI31" s="645"/>
      <c r="BJ31" s="645"/>
      <c r="BK31" s="646"/>
      <c r="BL31" s="282" t="s">
        <v>111</v>
      </c>
      <c r="BM31" s="341"/>
      <c r="BN31" s="341"/>
      <c r="BO31" s="330"/>
      <c r="BP31" s="330"/>
      <c r="GR31" s="103"/>
      <c r="GS31" s="103"/>
      <c r="GT31" s="103"/>
      <c r="GU31" s="103"/>
      <c r="GV31" s="103"/>
    </row>
    <row r="32" spans="1:204" ht="10.050000000000001" customHeight="1" x14ac:dyDescent="0.25">
      <c r="A32" s="251">
        <v>0.26041666666666702</v>
      </c>
      <c r="B32" s="155">
        <f>'Warrant 2'!F39</f>
        <v>455</v>
      </c>
      <c r="C32" s="155">
        <f>IF(OR('Input &amp; Findings'!$G$28='Drop Down Lists'!$E$2,'Input &amp; Findings'!$G$28='Drop Down Lists'!$E$4),SUM('Data with RTF'!F29,'Data with RTF'!T29),SUM('Data with RTF'!M29,'Data with RTF'!AA29))</f>
        <v>0</v>
      </c>
      <c r="D32" s="176" t="str">
        <f t="shared" si="28"/>
        <v/>
      </c>
      <c r="E32" s="176" t="str">
        <f t="shared" si="29"/>
        <v/>
      </c>
      <c r="F32" s="176" t="str">
        <f t="shared" si="30"/>
        <v/>
      </c>
      <c r="G32" s="176" t="str">
        <f t="shared" si="31"/>
        <v/>
      </c>
      <c r="H32" s="176">
        <f t="shared" si="32"/>
        <v>376.29628750000001</v>
      </c>
      <c r="I32" s="176">
        <f t="shared" si="33"/>
        <v>-10376.296287499999</v>
      </c>
      <c r="J32" s="176">
        <f t="shared" si="0"/>
        <v>0</v>
      </c>
      <c r="K32" s="176">
        <f t="shared" si="1"/>
        <v>0</v>
      </c>
      <c r="L32" s="176">
        <f t="shared" si="2"/>
        <v>0</v>
      </c>
      <c r="M32" s="176">
        <f t="shared" si="43"/>
        <v>455</v>
      </c>
      <c r="N32" s="176">
        <f t="shared" si="44"/>
        <v>0</v>
      </c>
      <c r="O32" s="176">
        <f t="shared" si="34"/>
        <v>-10376.296287499999</v>
      </c>
      <c r="P32" s="176">
        <f t="shared" si="3"/>
        <v>0</v>
      </c>
      <c r="Q32" s="176">
        <f t="shared" si="4"/>
        <v>0</v>
      </c>
      <c r="R32" s="176">
        <f t="shared" si="5"/>
        <v>0</v>
      </c>
      <c r="S32" s="176">
        <f t="shared" si="53"/>
        <v>455</v>
      </c>
      <c r="T32" s="176">
        <f t="shared" si="45"/>
        <v>0</v>
      </c>
      <c r="U32" s="176">
        <f t="shared" si="35"/>
        <v>-10376.296287499999</v>
      </c>
      <c r="V32" s="176">
        <f t="shared" si="6"/>
        <v>0</v>
      </c>
      <c r="W32" s="176">
        <f t="shared" si="7"/>
        <v>0</v>
      </c>
      <c r="X32" s="176">
        <f t="shared" si="8"/>
        <v>0</v>
      </c>
      <c r="Y32" s="176">
        <f t="shared" si="46"/>
        <v>455</v>
      </c>
      <c r="Z32" s="176">
        <f t="shared" si="47"/>
        <v>0</v>
      </c>
      <c r="AA32" s="176">
        <f t="shared" si="36"/>
        <v>-10376.296287499999</v>
      </c>
      <c r="AB32" s="176">
        <f t="shared" si="9"/>
        <v>0</v>
      </c>
      <c r="AC32" s="176">
        <f t="shared" si="10"/>
        <v>0</v>
      </c>
      <c r="AD32" s="176">
        <f t="shared" si="11"/>
        <v>0</v>
      </c>
      <c r="AE32" s="176">
        <f t="shared" si="37"/>
        <v>184.289535</v>
      </c>
      <c r="AF32" s="176">
        <f t="shared" si="38"/>
        <v>-10184.289535</v>
      </c>
      <c r="AG32" s="176">
        <f t="shared" si="12"/>
        <v>0</v>
      </c>
      <c r="AH32" s="176">
        <f t="shared" si="13"/>
        <v>0</v>
      </c>
      <c r="AI32" s="176">
        <f t="shared" si="14"/>
        <v>0</v>
      </c>
      <c r="AJ32" s="176">
        <f t="shared" si="48"/>
        <v>455</v>
      </c>
      <c r="AK32" s="176">
        <f t="shared" si="49"/>
        <v>0</v>
      </c>
      <c r="AL32" s="176">
        <f t="shared" si="39"/>
        <v>-10184.289535</v>
      </c>
      <c r="AM32" s="176">
        <f t="shared" si="15"/>
        <v>0</v>
      </c>
      <c r="AN32" s="176">
        <f t="shared" si="16"/>
        <v>0</v>
      </c>
      <c r="AO32" s="176">
        <f t="shared" si="17"/>
        <v>0</v>
      </c>
      <c r="AP32" s="176">
        <f t="shared" si="54"/>
        <v>455</v>
      </c>
      <c r="AQ32" s="176">
        <f t="shared" si="50"/>
        <v>0</v>
      </c>
      <c r="AR32" s="176">
        <f t="shared" si="40"/>
        <v>-10184.289535</v>
      </c>
      <c r="AS32" s="176">
        <f t="shared" si="18"/>
        <v>0</v>
      </c>
      <c r="AT32" s="176">
        <f t="shared" si="19"/>
        <v>0</v>
      </c>
      <c r="AU32" s="176">
        <f t="shared" si="20"/>
        <v>0</v>
      </c>
      <c r="AV32" s="176">
        <f t="shared" si="51"/>
        <v>455</v>
      </c>
      <c r="AW32" s="176">
        <f t="shared" si="52"/>
        <v>0</v>
      </c>
      <c r="AX32" s="176">
        <f t="shared" si="41"/>
        <v>-10184.289535</v>
      </c>
      <c r="AY32" s="176">
        <f t="shared" si="21"/>
        <v>0</v>
      </c>
      <c r="AZ32" s="176">
        <f t="shared" si="22"/>
        <v>0</v>
      </c>
      <c r="BA32" s="176">
        <f t="shared" si="23"/>
        <v>0</v>
      </c>
      <c r="BB32" s="176">
        <f t="shared" si="42"/>
        <v>601.8655225</v>
      </c>
      <c r="BC32" s="176">
        <f t="shared" si="24"/>
        <v>-601.8655225</v>
      </c>
      <c r="BD32" s="176">
        <f t="shared" si="25"/>
        <v>0</v>
      </c>
      <c r="BE32" s="176">
        <f t="shared" si="26"/>
        <v>0</v>
      </c>
      <c r="BF32" s="176">
        <f t="shared" si="27"/>
        <v>0</v>
      </c>
      <c r="BG32" s="233">
        <v>0.26041666666666702</v>
      </c>
      <c r="BH32" s="647" t="s">
        <v>569</v>
      </c>
      <c r="BI32" s="648"/>
      <c r="BJ32" s="648"/>
      <c r="BK32" s="648"/>
      <c r="BL32" s="301"/>
      <c r="BM32" s="341"/>
      <c r="BN32" s="341"/>
      <c r="BO32" s="330"/>
      <c r="BP32" s="330"/>
      <c r="GR32" s="103"/>
      <c r="GS32" s="103"/>
      <c r="GT32" s="103"/>
      <c r="GU32" s="103"/>
      <c r="GV32" s="103"/>
    </row>
    <row r="33" spans="1:204" ht="10.050000000000001" customHeight="1" x14ac:dyDescent="0.25">
      <c r="A33" s="251">
        <v>0.27083333333333298</v>
      </c>
      <c r="B33" s="155">
        <f>'Warrant 2'!F40</f>
        <v>1016</v>
      </c>
      <c r="C33" s="155">
        <f>IF(OR('Input &amp; Findings'!$G$28='Drop Down Lists'!$E$2,'Input &amp; Findings'!$G$28='Drop Down Lists'!$E$4),SUM('Data with RTF'!F30,'Data with RTF'!T30),SUM('Data with RTF'!M30,'Data with RTF'!AA30))</f>
        <v>0</v>
      </c>
      <c r="D33" s="176" t="str">
        <f t="shared" si="28"/>
        <v/>
      </c>
      <c r="E33" s="176" t="str">
        <f t="shared" si="29"/>
        <v/>
      </c>
      <c r="F33" s="176" t="str">
        <f t="shared" si="30"/>
        <v/>
      </c>
      <c r="G33" s="176" t="str">
        <f t="shared" si="31"/>
        <v/>
      </c>
      <c r="H33" s="176">
        <f t="shared" si="32"/>
        <v>123.30352000000005</v>
      </c>
      <c r="I33" s="176">
        <f t="shared" si="33"/>
        <v>-10123.303519999999</v>
      </c>
      <c r="J33" s="176">
        <f t="shared" si="0"/>
        <v>0</v>
      </c>
      <c r="K33" s="176">
        <f t="shared" si="1"/>
        <v>0</v>
      </c>
      <c r="L33" s="176">
        <f t="shared" si="2"/>
        <v>0</v>
      </c>
      <c r="M33" s="176">
        <f t="shared" si="43"/>
        <v>1016</v>
      </c>
      <c r="N33" s="176">
        <f t="shared" si="44"/>
        <v>0</v>
      </c>
      <c r="O33" s="176">
        <f t="shared" si="34"/>
        <v>-10123.303519999999</v>
      </c>
      <c r="P33" s="176">
        <f t="shared" si="3"/>
        <v>0</v>
      </c>
      <c r="Q33" s="176">
        <f t="shared" si="4"/>
        <v>0</v>
      </c>
      <c r="R33" s="176">
        <f t="shared" si="5"/>
        <v>0</v>
      </c>
      <c r="S33" s="176">
        <f t="shared" si="53"/>
        <v>1016</v>
      </c>
      <c r="T33" s="176">
        <f t="shared" si="45"/>
        <v>0</v>
      </c>
      <c r="U33" s="176">
        <f t="shared" si="35"/>
        <v>-10123.303519999999</v>
      </c>
      <c r="V33" s="176">
        <f t="shared" si="6"/>
        <v>0</v>
      </c>
      <c r="W33" s="176">
        <f t="shared" si="7"/>
        <v>0</v>
      </c>
      <c r="X33" s="176">
        <f t="shared" si="8"/>
        <v>0</v>
      </c>
      <c r="Y33" s="176" t="str">
        <f t="shared" si="46"/>
        <v/>
      </c>
      <c r="Z33" s="176" t="str">
        <f t="shared" si="47"/>
        <v/>
      </c>
      <c r="AA33" s="176">
        <f t="shared" si="36"/>
        <v>-20123.303520000001</v>
      </c>
      <c r="AB33" s="176">
        <f t="shared" si="9"/>
        <v>0</v>
      </c>
      <c r="AC33" s="176">
        <f t="shared" si="10"/>
        <v>0</v>
      </c>
      <c r="AD33" s="176">
        <f t="shared" si="11"/>
        <v>0</v>
      </c>
      <c r="AE33" s="176">
        <f t="shared" si="37"/>
        <v>75</v>
      </c>
      <c r="AF33" s="176">
        <f t="shared" si="38"/>
        <v>-10075</v>
      </c>
      <c r="AG33" s="176">
        <f t="shared" si="12"/>
        <v>1016</v>
      </c>
      <c r="AH33" s="176">
        <f t="shared" si="13"/>
        <v>0</v>
      </c>
      <c r="AI33" s="176">
        <f t="shared" si="14"/>
        <v>0</v>
      </c>
      <c r="AJ33" s="176">
        <f t="shared" si="48"/>
        <v>1016</v>
      </c>
      <c r="AK33" s="176">
        <f t="shared" si="49"/>
        <v>0</v>
      </c>
      <c r="AL33" s="176">
        <f t="shared" si="39"/>
        <v>-10075</v>
      </c>
      <c r="AM33" s="176">
        <f t="shared" si="15"/>
        <v>1016</v>
      </c>
      <c r="AN33" s="176">
        <f t="shared" si="16"/>
        <v>0</v>
      </c>
      <c r="AO33" s="176">
        <f t="shared" si="17"/>
        <v>0</v>
      </c>
      <c r="AP33" s="176">
        <f t="shared" si="54"/>
        <v>1016</v>
      </c>
      <c r="AQ33" s="176">
        <f t="shared" si="50"/>
        <v>0</v>
      </c>
      <c r="AR33" s="176">
        <f t="shared" si="40"/>
        <v>-10075</v>
      </c>
      <c r="AS33" s="176">
        <f t="shared" si="18"/>
        <v>1016</v>
      </c>
      <c r="AT33" s="176">
        <f t="shared" si="19"/>
        <v>0</v>
      </c>
      <c r="AU33" s="176">
        <f t="shared" si="20"/>
        <v>0</v>
      </c>
      <c r="AV33" s="176" t="str">
        <f t="shared" si="51"/>
        <v/>
      </c>
      <c r="AW33" s="176" t="str">
        <f t="shared" si="52"/>
        <v/>
      </c>
      <c r="AX33" s="176">
        <f t="shared" si="41"/>
        <v>-20075</v>
      </c>
      <c r="AY33" s="176">
        <f t="shared" si="21"/>
        <v>0</v>
      </c>
      <c r="AZ33" s="176">
        <f t="shared" si="22"/>
        <v>0</v>
      </c>
      <c r="BA33" s="176">
        <f t="shared" si="23"/>
        <v>0</v>
      </c>
      <c r="BB33" s="176">
        <f t="shared" si="42"/>
        <v>268.72795840000003</v>
      </c>
      <c r="BC33" s="176">
        <f t="shared" si="24"/>
        <v>-268.72795840000003</v>
      </c>
      <c r="BD33" s="176">
        <f t="shared" si="25"/>
        <v>0</v>
      </c>
      <c r="BE33" s="176">
        <f t="shared" si="26"/>
        <v>0</v>
      </c>
      <c r="BF33" s="176">
        <f t="shared" si="27"/>
        <v>0</v>
      </c>
      <c r="BG33" s="233">
        <v>0.27083333333333298</v>
      </c>
      <c r="BH33" s="647"/>
      <c r="BI33" s="648"/>
      <c r="BJ33" s="648"/>
      <c r="BK33" s="648"/>
      <c r="BL33" s="301"/>
      <c r="BM33" s="341"/>
      <c r="BN33" s="341"/>
      <c r="BO33" s="330"/>
      <c r="BP33" s="330"/>
      <c r="GR33" s="103"/>
      <c r="GS33" s="103"/>
      <c r="GT33" s="103"/>
      <c r="GU33" s="103"/>
      <c r="GV33" s="103"/>
    </row>
    <row r="34" spans="1:204" ht="10.050000000000001" customHeight="1" x14ac:dyDescent="0.25">
      <c r="A34" s="251">
        <v>0.28125</v>
      </c>
      <c r="B34" s="155">
        <f>'Warrant 2'!F41</f>
        <v>1574</v>
      </c>
      <c r="C34" s="155">
        <f>IF(OR('Input &amp; Findings'!$G$28='Drop Down Lists'!$E$2,'Input &amp; Findings'!$G$28='Drop Down Lists'!$E$4),SUM('Data with RTF'!F31,'Data with RTF'!T31),SUM('Data with RTF'!M31,'Data with RTF'!AA31))</f>
        <v>0</v>
      </c>
      <c r="D34" s="176" t="str">
        <f t="shared" si="28"/>
        <v/>
      </c>
      <c r="E34" s="176" t="str">
        <f t="shared" si="29"/>
        <v/>
      </c>
      <c r="F34" s="176" t="str">
        <f t="shared" si="30"/>
        <v/>
      </c>
      <c r="G34" s="176" t="str">
        <f t="shared" si="31"/>
        <v/>
      </c>
      <c r="H34" s="176">
        <f t="shared" si="32"/>
        <v>107</v>
      </c>
      <c r="I34" s="176">
        <f t="shared" si="33"/>
        <v>-10107</v>
      </c>
      <c r="J34" s="176">
        <f t="shared" si="0"/>
        <v>1574</v>
      </c>
      <c r="K34" s="176">
        <f t="shared" si="1"/>
        <v>0</v>
      </c>
      <c r="L34" s="176">
        <f t="shared" si="2"/>
        <v>0</v>
      </c>
      <c r="M34" s="176">
        <f t="shared" si="43"/>
        <v>1574</v>
      </c>
      <c r="N34" s="176">
        <f t="shared" si="44"/>
        <v>0</v>
      </c>
      <c r="O34" s="176">
        <f t="shared" si="34"/>
        <v>-10107</v>
      </c>
      <c r="P34" s="176">
        <f t="shared" si="3"/>
        <v>1574</v>
      </c>
      <c r="Q34" s="176">
        <f t="shared" si="4"/>
        <v>0</v>
      </c>
      <c r="R34" s="176">
        <f t="shared" si="5"/>
        <v>0</v>
      </c>
      <c r="S34" s="176">
        <f t="shared" si="53"/>
        <v>1574</v>
      </c>
      <c r="T34" s="176">
        <f t="shared" si="45"/>
        <v>0</v>
      </c>
      <c r="U34" s="176">
        <f t="shared" si="35"/>
        <v>-10107</v>
      </c>
      <c r="V34" s="176">
        <f t="shared" si="6"/>
        <v>1574</v>
      </c>
      <c r="W34" s="176">
        <f t="shared" si="7"/>
        <v>0</v>
      </c>
      <c r="X34" s="176">
        <f t="shared" si="8"/>
        <v>0</v>
      </c>
      <c r="Y34" s="176" t="str">
        <f t="shared" si="46"/>
        <v/>
      </c>
      <c r="Z34" s="176" t="str">
        <f t="shared" si="47"/>
        <v/>
      </c>
      <c r="AA34" s="176">
        <f t="shared" si="36"/>
        <v>-20107</v>
      </c>
      <c r="AB34" s="176">
        <f t="shared" si="9"/>
        <v>0</v>
      </c>
      <c r="AC34" s="176">
        <f t="shared" si="10"/>
        <v>0</v>
      </c>
      <c r="AD34" s="176">
        <f t="shared" si="11"/>
        <v>0</v>
      </c>
      <c r="AE34" s="176">
        <f t="shared" si="37"/>
        <v>75</v>
      </c>
      <c r="AF34" s="176">
        <f t="shared" si="38"/>
        <v>-10075</v>
      </c>
      <c r="AG34" s="176">
        <f t="shared" si="12"/>
        <v>1574</v>
      </c>
      <c r="AH34" s="176">
        <f t="shared" si="13"/>
        <v>0</v>
      </c>
      <c r="AI34" s="176">
        <f t="shared" si="14"/>
        <v>0</v>
      </c>
      <c r="AJ34" s="176">
        <f t="shared" si="48"/>
        <v>1574</v>
      </c>
      <c r="AK34" s="176">
        <f t="shared" si="49"/>
        <v>0</v>
      </c>
      <c r="AL34" s="176">
        <f t="shared" si="39"/>
        <v>-10075</v>
      </c>
      <c r="AM34" s="176">
        <f t="shared" si="15"/>
        <v>1574</v>
      </c>
      <c r="AN34" s="176">
        <f t="shared" si="16"/>
        <v>0</v>
      </c>
      <c r="AO34" s="176">
        <f t="shared" si="17"/>
        <v>0</v>
      </c>
      <c r="AP34" s="176">
        <f t="shared" si="54"/>
        <v>1574</v>
      </c>
      <c r="AQ34" s="176">
        <f t="shared" si="50"/>
        <v>0</v>
      </c>
      <c r="AR34" s="176">
        <f t="shared" si="40"/>
        <v>-10075</v>
      </c>
      <c r="AS34" s="176">
        <f t="shared" si="18"/>
        <v>1574</v>
      </c>
      <c r="AT34" s="176">
        <f t="shared" si="19"/>
        <v>0</v>
      </c>
      <c r="AU34" s="176">
        <f t="shared" si="20"/>
        <v>0</v>
      </c>
      <c r="AV34" s="176" t="str">
        <f t="shared" si="51"/>
        <v/>
      </c>
      <c r="AW34" s="176" t="str">
        <f t="shared" si="52"/>
        <v/>
      </c>
      <c r="AX34" s="176">
        <f t="shared" si="41"/>
        <v>-20075</v>
      </c>
      <c r="AY34" s="176">
        <f t="shared" si="21"/>
        <v>0</v>
      </c>
      <c r="AZ34" s="176">
        <f t="shared" si="22"/>
        <v>0</v>
      </c>
      <c r="BA34" s="176">
        <f t="shared" si="23"/>
        <v>0</v>
      </c>
      <c r="BB34" s="176">
        <f t="shared" si="42"/>
        <v>133</v>
      </c>
      <c r="BC34" s="176">
        <f t="shared" si="24"/>
        <v>-133</v>
      </c>
      <c r="BD34" s="176">
        <f t="shared" si="25"/>
        <v>1574</v>
      </c>
      <c r="BE34" s="176">
        <f t="shared" si="26"/>
        <v>0</v>
      </c>
      <c r="BF34" s="176">
        <f t="shared" si="27"/>
        <v>0</v>
      </c>
      <c r="BG34" s="233">
        <v>0.28125</v>
      </c>
      <c r="BH34" s="647"/>
      <c r="BI34" s="648"/>
      <c r="BJ34" s="648"/>
      <c r="BK34" s="648"/>
      <c r="BL34" s="301"/>
      <c r="BM34" s="341"/>
      <c r="BN34" s="341"/>
      <c r="BO34" s="330"/>
      <c r="BP34" s="330"/>
      <c r="GR34" s="103"/>
      <c r="GS34" s="103"/>
      <c r="GT34" s="103"/>
      <c r="GU34" s="103"/>
      <c r="GV34" s="103"/>
    </row>
    <row r="35" spans="1:204" ht="10.050000000000001" customHeight="1" x14ac:dyDescent="0.25">
      <c r="A35" s="251">
        <v>0.29166666666666702</v>
      </c>
      <c r="B35" s="155">
        <f>'Warrant 2'!F42</f>
        <v>2127</v>
      </c>
      <c r="C35" s="155">
        <f>IF(OR('Input &amp; Findings'!$G$28='Drop Down Lists'!$E$2,'Input &amp; Findings'!$G$28='Drop Down Lists'!$E$4),SUM('Data with RTF'!F32,'Data with RTF'!T32),SUM('Data with RTF'!M32,'Data with RTF'!AA32))</f>
        <v>0</v>
      </c>
      <c r="D35" s="176" t="str">
        <f t="shared" si="28"/>
        <v/>
      </c>
      <c r="E35" s="176" t="str">
        <f t="shared" si="29"/>
        <v/>
      </c>
      <c r="F35" s="176" t="str">
        <f t="shared" si="30"/>
        <v/>
      </c>
      <c r="G35" s="176" t="str">
        <f t="shared" si="31"/>
        <v/>
      </c>
      <c r="H35" s="176">
        <f t="shared" si="32"/>
        <v>107</v>
      </c>
      <c r="I35" s="176">
        <f t="shared" si="33"/>
        <v>-10107</v>
      </c>
      <c r="J35" s="176">
        <f t="shared" si="0"/>
        <v>2127</v>
      </c>
      <c r="K35" s="176">
        <f t="shared" si="1"/>
        <v>0</v>
      </c>
      <c r="L35" s="176">
        <f t="shared" si="2"/>
        <v>0</v>
      </c>
      <c r="M35" s="176">
        <f t="shared" si="43"/>
        <v>2127</v>
      </c>
      <c r="N35" s="176">
        <f t="shared" si="44"/>
        <v>0</v>
      </c>
      <c r="O35" s="176">
        <f t="shared" si="34"/>
        <v>-10107</v>
      </c>
      <c r="P35" s="176">
        <f t="shared" si="3"/>
        <v>2127</v>
      </c>
      <c r="Q35" s="176">
        <f t="shared" si="4"/>
        <v>0</v>
      </c>
      <c r="R35" s="176">
        <f t="shared" si="5"/>
        <v>0</v>
      </c>
      <c r="S35" s="176">
        <f t="shared" si="53"/>
        <v>2127</v>
      </c>
      <c r="T35" s="176">
        <f t="shared" si="45"/>
        <v>0</v>
      </c>
      <c r="U35" s="176">
        <f t="shared" si="35"/>
        <v>-10107</v>
      </c>
      <c r="V35" s="176">
        <f t="shared" si="6"/>
        <v>2127</v>
      </c>
      <c r="W35" s="176">
        <f t="shared" si="7"/>
        <v>0</v>
      </c>
      <c r="X35" s="176">
        <f t="shared" si="8"/>
        <v>0</v>
      </c>
      <c r="Y35" s="176" t="str">
        <f t="shared" si="46"/>
        <v/>
      </c>
      <c r="Z35" s="176" t="str">
        <f t="shared" si="47"/>
        <v/>
      </c>
      <c r="AA35" s="176">
        <f t="shared" si="36"/>
        <v>-20107</v>
      </c>
      <c r="AB35" s="176">
        <f t="shared" si="9"/>
        <v>0</v>
      </c>
      <c r="AC35" s="176">
        <f t="shared" si="10"/>
        <v>0</v>
      </c>
      <c r="AD35" s="176">
        <f t="shared" si="11"/>
        <v>0</v>
      </c>
      <c r="AE35" s="176">
        <f t="shared" si="37"/>
        <v>75</v>
      </c>
      <c r="AF35" s="176">
        <f t="shared" si="38"/>
        <v>-10075</v>
      </c>
      <c r="AG35" s="176">
        <f t="shared" si="12"/>
        <v>2127</v>
      </c>
      <c r="AH35" s="176">
        <f t="shared" si="13"/>
        <v>0</v>
      </c>
      <c r="AI35" s="176">
        <f t="shared" si="14"/>
        <v>0</v>
      </c>
      <c r="AJ35" s="176">
        <f t="shared" si="48"/>
        <v>2127</v>
      </c>
      <c r="AK35" s="176">
        <f t="shared" si="49"/>
        <v>0</v>
      </c>
      <c r="AL35" s="176">
        <f t="shared" si="39"/>
        <v>-10075</v>
      </c>
      <c r="AM35" s="176">
        <f t="shared" si="15"/>
        <v>2127</v>
      </c>
      <c r="AN35" s="176">
        <f t="shared" si="16"/>
        <v>0</v>
      </c>
      <c r="AO35" s="176">
        <f t="shared" si="17"/>
        <v>0</v>
      </c>
      <c r="AP35" s="176">
        <f t="shared" si="54"/>
        <v>2127</v>
      </c>
      <c r="AQ35" s="176">
        <f t="shared" si="50"/>
        <v>0</v>
      </c>
      <c r="AR35" s="176">
        <f t="shared" si="40"/>
        <v>-10075</v>
      </c>
      <c r="AS35" s="176">
        <f t="shared" si="18"/>
        <v>2127</v>
      </c>
      <c r="AT35" s="176">
        <f t="shared" si="19"/>
        <v>0</v>
      </c>
      <c r="AU35" s="176">
        <f t="shared" si="20"/>
        <v>0</v>
      </c>
      <c r="AV35" s="176" t="str">
        <f t="shared" si="51"/>
        <v/>
      </c>
      <c r="AW35" s="176" t="str">
        <f t="shared" si="52"/>
        <v/>
      </c>
      <c r="AX35" s="176">
        <f t="shared" si="41"/>
        <v>-20075</v>
      </c>
      <c r="AY35" s="176">
        <f t="shared" si="21"/>
        <v>0</v>
      </c>
      <c r="AZ35" s="176">
        <f t="shared" si="22"/>
        <v>0</v>
      </c>
      <c r="BA35" s="176">
        <f t="shared" si="23"/>
        <v>0</v>
      </c>
      <c r="BB35" s="176">
        <f t="shared" si="42"/>
        <v>145.6432681</v>
      </c>
      <c r="BC35" s="176">
        <f t="shared" si="24"/>
        <v>-145.6432681</v>
      </c>
      <c r="BD35" s="176">
        <f t="shared" si="25"/>
        <v>0</v>
      </c>
      <c r="BE35" s="176">
        <f t="shared" si="26"/>
        <v>0</v>
      </c>
      <c r="BF35" s="176">
        <f t="shared" si="27"/>
        <v>0</v>
      </c>
      <c r="BG35" s="233">
        <v>0.29166666666666702</v>
      </c>
      <c r="BH35" s="631" t="s">
        <v>544</v>
      </c>
      <c r="BI35" s="631"/>
      <c r="BJ35" s="631"/>
      <c r="BK35" s="631"/>
      <c r="BL35" s="341"/>
      <c r="BM35" s="341"/>
      <c r="BN35" s="341"/>
      <c r="BO35" s="330"/>
      <c r="BP35" s="330"/>
      <c r="GR35" s="103"/>
      <c r="GS35" s="103"/>
      <c r="GT35" s="103"/>
      <c r="GU35" s="103"/>
      <c r="GV35" s="103"/>
    </row>
    <row r="36" spans="1:204" ht="10.050000000000001" customHeight="1" x14ac:dyDescent="0.25">
      <c r="A36" s="251">
        <v>0.30208333333333298</v>
      </c>
      <c r="B36" s="155">
        <f>'Warrant 2'!F43</f>
        <v>2173</v>
      </c>
      <c r="C36" s="155">
        <f>IF(OR('Input &amp; Findings'!$G$28='Drop Down Lists'!$E$2,'Input &amp; Findings'!$G$28='Drop Down Lists'!$E$4),SUM('Data with RTF'!F33,'Data with RTF'!T33),SUM('Data with RTF'!M33,'Data with RTF'!AA33))</f>
        <v>0</v>
      </c>
      <c r="D36" s="176" t="str">
        <f t="shared" si="28"/>
        <v/>
      </c>
      <c r="E36" s="176" t="str">
        <f t="shared" si="29"/>
        <v/>
      </c>
      <c r="F36" s="176" t="str">
        <f t="shared" si="30"/>
        <v/>
      </c>
      <c r="G36" s="176" t="str">
        <f t="shared" si="31"/>
        <v/>
      </c>
      <c r="H36" s="176">
        <f t="shared" si="32"/>
        <v>107</v>
      </c>
      <c r="I36" s="176">
        <f t="shared" si="33"/>
        <v>-10107</v>
      </c>
      <c r="J36" s="176">
        <f t="shared" si="0"/>
        <v>2173</v>
      </c>
      <c r="K36" s="176">
        <f t="shared" si="1"/>
        <v>0</v>
      </c>
      <c r="L36" s="176">
        <f t="shared" si="2"/>
        <v>0</v>
      </c>
      <c r="M36" s="176">
        <f t="shared" si="43"/>
        <v>2173</v>
      </c>
      <c r="N36" s="176">
        <f t="shared" si="44"/>
        <v>0</v>
      </c>
      <c r="O36" s="176">
        <f t="shared" si="34"/>
        <v>-10107</v>
      </c>
      <c r="P36" s="176">
        <f t="shared" si="3"/>
        <v>2173</v>
      </c>
      <c r="Q36" s="176">
        <f t="shared" si="4"/>
        <v>0</v>
      </c>
      <c r="R36" s="176">
        <f t="shared" si="5"/>
        <v>0</v>
      </c>
      <c r="S36" s="176">
        <f t="shared" si="53"/>
        <v>2173</v>
      </c>
      <c r="T36" s="176">
        <f t="shared" si="45"/>
        <v>0</v>
      </c>
      <c r="U36" s="176">
        <f t="shared" si="35"/>
        <v>-10107</v>
      </c>
      <c r="V36" s="176">
        <f t="shared" si="6"/>
        <v>2173</v>
      </c>
      <c r="W36" s="176">
        <f t="shared" si="7"/>
        <v>2173</v>
      </c>
      <c r="X36" s="176">
        <f t="shared" si="8"/>
        <v>0</v>
      </c>
      <c r="Y36" s="176" t="str">
        <f t="shared" si="46"/>
        <v/>
      </c>
      <c r="Z36" s="176" t="str">
        <f t="shared" si="47"/>
        <v/>
      </c>
      <c r="AA36" s="176">
        <f t="shared" si="36"/>
        <v>-20107</v>
      </c>
      <c r="AB36" s="176">
        <f t="shared" si="9"/>
        <v>0</v>
      </c>
      <c r="AC36" s="176">
        <f t="shared" si="10"/>
        <v>0</v>
      </c>
      <c r="AD36" s="176">
        <f t="shared" si="11"/>
        <v>0</v>
      </c>
      <c r="AE36" s="176">
        <f t="shared" si="37"/>
        <v>75</v>
      </c>
      <c r="AF36" s="176">
        <f t="shared" si="38"/>
        <v>-10075</v>
      </c>
      <c r="AG36" s="176">
        <f t="shared" si="12"/>
        <v>2173</v>
      </c>
      <c r="AH36" s="176">
        <f t="shared" si="13"/>
        <v>0</v>
      </c>
      <c r="AI36" s="176">
        <f t="shared" si="14"/>
        <v>0</v>
      </c>
      <c r="AJ36" s="176">
        <f t="shared" si="48"/>
        <v>2173</v>
      </c>
      <c r="AK36" s="176">
        <f t="shared" si="49"/>
        <v>0</v>
      </c>
      <c r="AL36" s="176">
        <f t="shared" si="39"/>
        <v>-10075</v>
      </c>
      <c r="AM36" s="176">
        <f t="shared" si="15"/>
        <v>2173</v>
      </c>
      <c r="AN36" s="176">
        <f t="shared" si="16"/>
        <v>0</v>
      </c>
      <c r="AO36" s="176">
        <f t="shared" si="17"/>
        <v>0</v>
      </c>
      <c r="AP36" s="176">
        <f t="shared" si="54"/>
        <v>2173</v>
      </c>
      <c r="AQ36" s="176">
        <f t="shared" si="50"/>
        <v>0</v>
      </c>
      <c r="AR36" s="176">
        <f t="shared" si="40"/>
        <v>-10075</v>
      </c>
      <c r="AS36" s="176">
        <f t="shared" si="18"/>
        <v>2173</v>
      </c>
      <c r="AT36" s="176">
        <f t="shared" si="19"/>
        <v>2173</v>
      </c>
      <c r="AU36" s="176">
        <f t="shared" si="20"/>
        <v>0</v>
      </c>
      <c r="AV36" s="176" t="str">
        <f t="shared" si="51"/>
        <v/>
      </c>
      <c r="AW36" s="176" t="str">
        <f t="shared" si="52"/>
        <v/>
      </c>
      <c r="AX36" s="176">
        <f t="shared" si="41"/>
        <v>-20075</v>
      </c>
      <c r="AY36" s="176">
        <f t="shared" si="21"/>
        <v>0</v>
      </c>
      <c r="AZ36" s="176">
        <f t="shared" si="22"/>
        <v>0</v>
      </c>
      <c r="BA36" s="176">
        <f t="shared" si="23"/>
        <v>0</v>
      </c>
      <c r="BB36" s="176">
        <f t="shared" si="42"/>
        <v>155.92288810000002</v>
      </c>
      <c r="BC36" s="176">
        <f t="shared" si="24"/>
        <v>-155.92288810000002</v>
      </c>
      <c r="BD36" s="176">
        <f t="shared" si="25"/>
        <v>0</v>
      </c>
      <c r="BE36" s="176">
        <f t="shared" si="26"/>
        <v>0</v>
      </c>
      <c r="BF36" s="176">
        <f t="shared" si="27"/>
        <v>0</v>
      </c>
      <c r="BG36" s="233">
        <v>0.30208333333333298</v>
      </c>
      <c r="BH36" s="631"/>
      <c r="BI36" s="631"/>
      <c r="BJ36" s="631"/>
      <c r="BK36" s="631"/>
      <c r="BL36" s="341"/>
      <c r="BM36" s="341"/>
      <c r="BN36" s="341"/>
      <c r="BO36" s="330"/>
      <c r="BP36" s="330"/>
      <c r="GR36" s="103"/>
      <c r="GS36" s="103"/>
      <c r="GT36" s="103"/>
      <c r="GU36" s="103"/>
      <c r="GV36" s="103"/>
    </row>
    <row r="37" spans="1:204" ht="10.050000000000001" customHeight="1" x14ac:dyDescent="0.25">
      <c r="A37" s="251">
        <v>0.3125</v>
      </c>
      <c r="B37" s="155">
        <f>'Warrant 2'!F44</f>
        <v>2146</v>
      </c>
      <c r="C37" s="155">
        <f>IF(OR('Input &amp; Findings'!$G$28='Drop Down Lists'!$E$2,'Input &amp; Findings'!$G$28='Drop Down Lists'!$E$4),SUM('Data with RTF'!F34,'Data with RTF'!T34),SUM('Data with RTF'!M34,'Data with RTF'!AA34))</f>
        <v>0</v>
      </c>
      <c r="D37" s="176" t="str">
        <f t="shared" si="28"/>
        <v/>
      </c>
      <c r="E37" s="176" t="str">
        <f t="shared" si="29"/>
        <v/>
      </c>
      <c r="F37" s="176" t="str">
        <f t="shared" si="30"/>
        <v/>
      </c>
      <c r="G37" s="176" t="str">
        <f t="shared" si="31"/>
        <v/>
      </c>
      <c r="H37" s="176">
        <f t="shared" si="32"/>
        <v>107</v>
      </c>
      <c r="I37" s="176">
        <f t="shared" si="33"/>
        <v>-10107</v>
      </c>
      <c r="J37" s="176">
        <f t="shared" si="0"/>
        <v>2146</v>
      </c>
      <c r="K37" s="176">
        <f t="shared" si="1"/>
        <v>0</v>
      </c>
      <c r="L37" s="176">
        <f t="shared" si="2"/>
        <v>0</v>
      </c>
      <c r="M37" s="176">
        <f t="shared" si="43"/>
        <v>2146</v>
      </c>
      <c r="N37" s="176">
        <f t="shared" si="44"/>
        <v>0</v>
      </c>
      <c r="O37" s="176">
        <f t="shared" si="34"/>
        <v>-10107</v>
      </c>
      <c r="P37" s="176">
        <f t="shared" si="3"/>
        <v>2146</v>
      </c>
      <c r="Q37" s="176">
        <f t="shared" si="4"/>
        <v>0</v>
      </c>
      <c r="R37" s="176">
        <f t="shared" si="5"/>
        <v>0</v>
      </c>
      <c r="S37" s="176">
        <f t="shared" si="53"/>
        <v>2146</v>
      </c>
      <c r="T37" s="176">
        <f t="shared" si="45"/>
        <v>0</v>
      </c>
      <c r="U37" s="176">
        <f t="shared" si="35"/>
        <v>-10107</v>
      </c>
      <c r="V37" s="176">
        <f t="shared" si="6"/>
        <v>2146</v>
      </c>
      <c r="W37" s="176">
        <f t="shared" si="7"/>
        <v>0</v>
      </c>
      <c r="X37" s="176">
        <f t="shared" si="8"/>
        <v>0</v>
      </c>
      <c r="Y37" s="176" t="str">
        <f t="shared" si="46"/>
        <v/>
      </c>
      <c r="Z37" s="176" t="str">
        <f t="shared" si="47"/>
        <v/>
      </c>
      <c r="AA37" s="176">
        <f t="shared" si="36"/>
        <v>-20107</v>
      </c>
      <c r="AB37" s="176">
        <f t="shared" si="9"/>
        <v>0</v>
      </c>
      <c r="AC37" s="176">
        <f t="shared" si="10"/>
        <v>0</v>
      </c>
      <c r="AD37" s="176">
        <f t="shared" si="11"/>
        <v>0</v>
      </c>
      <c r="AE37" s="176">
        <f t="shared" si="37"/>
        <v>75</v>
      </c>
      <c r="AF37" s="176">
        <f t="shared" si="38"/>
        <v>-10075</v>
      </c>
      <c r="AG37" s="176">
        <f t="shared" si="12"/>
        <v>2146</v>
      </c>
      <c r="AH37" s="176">
        <f t="shared" si="13"/>
        <v>0</v>
      </c>
      <c r="AI37" s="176">
        <f t="shared" si="14"/>
        <v>0</v>
      </c>
      <c r="AJ37" s="176">
        <f t="shared" si="48"/>
        <v>2146</v>
      </c>
      <c r="AK37" s="176">
        <f t="shared" si="49"/>
        <v>0</v>
      </c>
      <c r="AL37" s="176">
        <f t="shared" si="39"/>
        <v>-10075</v>
      </c>
      <c r="AM37" s="176">
        <f t="shared" si="15"/>
        <v>2146</v>
      </c>
      <c r="AN37" s="176">
        <f t="shared" si="16"/>
        <v>0</v>
      </c>
      <c r="AO37" s="176">
        <f t="shared" si="17"/>
        <v>0</v>
      </c>
      <c r="AP37" s="176">
        <f t="shared" si="54"/>
        <v>2146</v>
      </c>
      <c r="AQ37" s="176">
        <f t="shared" si="50"/>
        <v>0</v>
      </c>
      <c r="AR37" s="176">
        <f t="shared" si="40"/>
        <v>-10075</v>
      </c>
      <c r="AS37" s="176">
        <f t="shared" si="18"/>
        <v>2146</v>
      </c>
      <c r="AT37" s="176">
        <f t="shared" si="19"/>
        <v>0</v>
      </c>
      <c r="AU37" s="176">
        <f t="shared" si="20"/>
        <v>0</v>
      </c>
      <c r="AV37" s="176" t="str">
        <f t="shared" si="51"/>
        <v/>
      </c>
      <c r="AW37" s="176" t="str">
        <f t="shared" si="52"/>
        <v/>
      </c>
      <c r="AX37" s="176">
        <f t="shared" si="41"/>
        <v>-20075</v>
      </c>
      <c r="AY37" s="176">
        <f t="shared" si="21"/>
        <v>0</v>
      </c>
      <c r="AZ37" s="176">
        <f t="shared" si="22"/>
        <v>0</v>
      </c>
      <c r="BA37" s="176">
        <f t="shared" si="23"/>
        <v>0</v>
      </c>
      <c r="BB37" s="176">
        <f t="shared" si="42"/>
        <v>149.74099239999998</v>
      </c>
      <c r="BC37" s="176">
        <f t="shared" si="24"/>
        <v>-149.74099239999998</v>
      </c>
      <c r="BD37" s="176">
        <f t="shared" si="25"/>
        <v>0</v>
      </c>
      <c r="BE37" s="176">
        <f t="shared" si="26"/>
        <v>0</v>
      </c>
      <c r="BF37" s="176">
        <f t="shared" si="27"/>
        <v>0</v>
      </c>
      <c r="BG37" s="161">
        <v>0.3125</v>
      </c>
      <c r="BH37" s="631"/>
      <c r="BI37" s="631"/>
      <c r="BJ37" s="631"/>
      <c r="BK37" s="631"/>
      <c r="BL37" s="276"/>
      <c r="BM37" s="341"/>
      <c r="BN37" s="341"/>
      <c r="BO37" s="330"/>
      <c r="BP37" s="330"/>
      <c r="GR37" s="103"/>
      <c r="GS37" s="103"/>
      <c r="GT37" s="103"/>
      <c r="GU37" s="103"/>
      <c r="GV37" s="103"/>
    </row>
    <row r="38" spans="1:204" ht="10.050000000000001" customHeight="1" x14ac:dyDescent="0.25">
      <c r="A38" s="251">
        <v>0.32291666666666702</v>
      </c>
      <c r="B38" s="155">
        <f>'Warrant 2'!F45</f>
        <v>2099</v>
      </c>
      <c r="C38" s="155">
        <f>IF(OR('Input &amp; Findings'!$G$28='Drop Down Lists'!$E$2,'Input &amp; Findings'!$G$28='Drop Down Lists'!$E$4),SUM('Data with RTF'!F35,'Data with RTF'!T35),SUM('Data with RTF'!M35,'Data with RTF'!AA35))</f>
        <v>0</v>
      </c>
      <c r="D38" s="176" t="str">
        <f t="shared" si="28"/>
        <v/>
      </c>
      <c r="E38" s="176" t="str">
        <f t="shared" si="29"/>
        <v/>
      </c>
      <c r="F38" s="176" t="str">
        <f t="shared" si="30"/>
        <v/>
      </c>
      <c r="G38" s="176" t="str">
        <f t="shared" si="31"/>
        <v/>
      </c>
      <c r="H38" s="176">
        <f t="shared" si="32"/>
        <v>107</v>
      </c>
      <c r="I38" s="176">
        <f t="shared" si="33"/>
        <v>-10107</v>
      </c>
      <c r="J38" s="176">
        <f t="shared" si="0"/>
        <v>2099</v>
      </c>
      <c r="K38" s="176">
        <f t="shared" si="1"/>
        <v>0</v>
      </c>
      <c r="L38" s="176">
        <f t="shared" si="2"/>
        <v>0</v>
      </c>
      <c r="M38" s="176">
        <f t="shared" si="43"/>
        <v>2099</v>
      </c>
      <c r="N38" s="176">
        <f t="shared" si="44"/>
        <v>0</v>
      </c>
      <c r="O38" s="176">
        <f t="shared" si="34"/>
        <v>-10107</v>
      </c>
      <c r="P38" s="176">
        <f t="shared" si="3"/>
        <v>2099</v>
      </c>
      <c r="Q38" s="176">
        <f t="shared" si="4"/>
        <v>0</v>
      </c>
      <c r="R38" s="176">
        <f t="shared" si="5"/>
        <v>0</v>
      </c>
      <c r="S38" s="176">
        <f t="shared" si="53"/>
        <v>2099</v>
      </c>
      <c r="T38" s="176">
        <f t="shared" si="45"/>
        <v>0</v>
      </c>
      <c r="U38" s="176">
        <f t="shared" si="35"/>
        <v>-10107</v>
      </c>
      <c r="V38" s="176">
        <f t="shared" si="6"/>
        <v>2099</v>
      </c>
      <c r="W38" s="176">
        <f t="shared" si="7"/>
        <v>0</v>
      </c>
      <c r="X38" s="176">
        <f t="shared" si="8"/>
        <v>0</v>
      </c>
      <c r="Y38" s="176" t="str">
        <f t="shared" si="46"/>
        <v/>
      </c>
      <c r="Z38" s="176" t="str">
        <f t="shared" si="47"/>
        <v/>
      </c>
      <c r="AA38" s="176">
        <f t="shared" si="36"/>
        <v>-20107</v>
      </c>
      <c r="AB38" s="176">
        <f t="shared" si="9"/>
        <v>0</v>
      </c>
      <c r="AC38" s="176">
        <f t="shared" si="10"/>
        <v>0</v>
      </c>
      <c r="AD38" s="176">
        <f t="shared" si="11"/>
        <v>0</v>
      </c>
      <c r="AE38" s="176">
        <f t="shared" si="37"/>
        <v>75</v>
      </c>
      <c r="AF38" s="176">
        <f t="shared" si="38"/>
        <v>-10075</v>
      </c>
      <c r="AG38" s="176">
        <f t="shared" si="12"/>
        <v>2099</v>
      </c>
      <c r="AH38" s="176">
        <f t="shared" si="13"/>
        <v>0</v>
      </c>
      <c r="AI38" s="176">
        <f t="shared" si="14"/>
        <v>0</v>
      </c>
      <c r="AJ38" s="176">
        <f t="shared" si="48"/>
        <v>2099</v>
      </c>
      <c r="AK38" s="176">
        <f t="shared" si="49"/>
        <v>0</v>
      </c>
      <c r="AL38" s="176">
        <f t="shared" si="39"/>
        <v>-10075</v>
      </c>
      <c r="AM38" s="176">
        <f t="shared" si="15"/>
        <v>2099</v>
      </c>
      <c r="AN38" s="176">
        <f t="shared" si="16"/>
        <v>0</v>
      </c>
      <c r="AO38" s="176">
        <f t="shared" si="17"/>
        <v>0</v>
      </c>
      <c r="AP38" s="176">
        <f t="shared" si="54"/>
        <v>2099</v>
      </c>
      <c r="AQ38" s="176">
        <f t="shared" si="50"/>
        <v>0</v>
      </c>
      <c r="AR38" s="176">
        <f t="shared" si="40"/>
        <v>-10075</v>
      </c>
      <c r="AS38" s="176">
        <f t="shared" si="18"/>
        <v>2099</v>
      </c>
      <c r="AT38" s="176">
        <f t="shared" si="19"/>
        <v>0</v>
      </c>
      <c r="AU38" s="176">
        <f t="shared" si="20"/>
        <v>0</v>
      </c>
      <c r="AV38" s="176" t="str">
        <f t="shared" si="51"/>
        <v/>
      </c>
      <c r="AW38" s="176" t="str">
        <f t="shared" si="52"/>
        <v/>
      </c>
      <c r="AX38" s="176">
        <f t="shared" si="41"/>
        <v>-20075</v>
      </c>
      <c r="AY38" s="176">
        <f t="shared" si="21"/>
        <v>0</v>
      </c>
      <c r="AZ38" s="176">
        <f t="shared" si="22"/>
        <v>0</v>
      </c>
      <c r="BA38" s="176">
        <f t="shared" si="23"/>
        <v>0</v>
      </c>
      <c r="BB38" s="176">
        <f t="shared" si="42"/>
        <v>139.9847089000001</v>
      </c>
      <c r="BC38" s="176">
        <f t="shared" si="24"/>
        <v>-139.9847089000001</v>
      </c>
      <c r="BD38" s="176">
        <f t="shared" si="25"/>
        <v>0</v>
      </c>
      <c r="BE38" s="176">
        <f t="shared" si="26"/>
        <v>0</v>
      </c>
      <c r="BF38" s="176">
        <f t="shared" si="27"/>
        <v>0</v>
      </c>
      <c r="BG38" s="161">
        <v>0.32291666666666702</v>
      </c>
      <c r="BH38" s="330"/>
      <c r="BI38" s="332"/>
      <c r="BJ38" s="330"/>
      <c r="BK38" s="330"/>
      <c r="BL38" s="341"/>
      <c r="BM38" s="341"/>
      <c r="BN38" s="341"/>
      <c r="BO38" s="330"/>
      <c r="BP38" s="330"/>
      <c r="GR38" s="103"/>
      <c r="GS38" s="103"/>
      <c r="GT38" s="103"/>
      <c r="GU38" s="103"/>
      <c r="GV38" s="103"/>
    </row>
    <row r="39" spans="1:204" ht="10.050000000000001" customHeight="1" x14ac:dyDescent="0.25">
      <c r="A39" s="251">
        <v>0.33333333333333298</v>
      </c>
      <c r="B39" s="155">
        <f>'Warrant 2'!F46</f>
        <v>2083</v>
      </c>
      <c r="C39" s="155">
        <f>IF(OR('Input &amp; Findings'!$G$28='Drop Down Lists'!$E$2,'Input &amp; Findings'!$G$28='Drop Down Lists'!$E$4),SUM('Data with RTF'!F36,'Data with RTF'!T36),SUM('Data with RTF'!M36,'Data with RTF'!AA36))</f>
        <v>0</v>
      </c>
      <c r="D39" s="176" t="str">
        <f t="shared" si="28"/>
        <v/>
      </c>
      <c r="E39" s="176" t="str">
        <f t="shared" si="29"/>
        <v/>
      </c>
      <c r="F39" s="176" t="str">
        <f t="shared" si="30"/>
        <v/>
      </c>
      <c r="G39" s="176" t="str">
        <f t="shared" si="31"/>
        <v/>
      </c>
      <c r="H39" s="176">
        <f t="shared" si="32"/>
        <v>107</v>
      </c>
      <c r="I39" s="176">
        <f t="shared" si="33"/>
        <v>-10107</v>
      </c>
      <c r="J39" s="176">
        <f t="shared" ref="J39:J70" si="55">IF(I39=MAX($I$7:$I$102),B39,0)</f>
        <v>2083</v>
      </c>
      <c r="K39" s="176">
        <f t="shared" ref="K39:K70" si="56">IF(J39=MAX($J$7:$J$102),J39,0)</f>
        <v>0</v>
      </c>
      <c r="L39" s="176">
        <f t="shared" ref="L39:L70" si="57">IF(K39=MAX($K$7:$K$102),C39,0)</f>
        <v>0</v>
      </c>
      <c r="M39" s="176">
        <f t="shared" si="43"/>
        <v>2083</v>
      </c>
      <c r="N39" s="176">
        <f t="shared" si="44"/>
        <v>0</v>
      </c>
      <c r="O39" s="176">
        <f t="shared" si="34"/>
        <v>-10107</v>
      </c>
      <c r="P39" s="176">
        <f t="shared" ref="P39:P70" si="58">IF(O39=MAX($O$7:$O$102),B39,0)</f>
        <v>2083</v>
      </c>
      <c r="Q39" s="176">
        <f t="shared" ref="Q39:Q70" si="59">IF(P39=MAX($P$7:$P$102),P39,0)</f>
        <v>0</v>
      </c>
      <c r="R39" s="176">
        <f t="shared" ref="R39:R70" si="60">IF(P39=MAX($P$7:$P$102),C39,0)</f>
        <v>0</v>
      </c>
      <c r="S39" s="176">
        <f t="shared" si="53"/>
        <v>2083</v>
      </c>
      <c r="T39" s="176">
        <f t="shared" si="45"/>
        <v>0</v>
      </c>
      <c r="U39" s="176">
        <f t="shared" si="35"/>
        <v>-10107</v>
      </c>
      <c r="V39" s="176">
        <f t="shared" ref="V39:V70" si="61">IF(U39=MAX($U$7:$U$102),S39,0)</f>
        <v>2083</v>
      </c>
      <c r="W39" s="176">
        <f t="shared" ref="W39:W70" si="62">IF(V39=MAX($V$7:$V$102),V39,0)</f>
        <v>0</v>
      </c>
      <c r="X39" s="176">
        <f t="shared" ref="X39:X70" si="63">IF(V39=MAX($V$7:$V$102),T39,0)</f>
        <v>0</v>
      </c>
      <c r="Y39" s="176" t="str">
        <f t="shared" si="46"/>
        <v/>
      </c>
      <c r="Z39" s="176" t="str">
        <f t="shared" si="47"/>
        <v/>
      </c>
      <c r="AA39" s="176">
        <f t="shared" si="36"/>
        <v>-20107</v>
      </c>
      <c r="AB39" s="176">
        <f t="shared" ref="AB39:AB70" si="64">IF(AA39=MAX($AA$7:$AA$102),Y39,0)</f>
        <v>0</v>
      </c>
      <c r="AC39" s="176">
        <f t="shared" ref="AC39:AC70" si="65">IF(AB39=MAX($AB$7:$AB$102),AB39,0)</f>
        <v>0</v>
      </c>
      <c r="AD39" s="176">
        <f t="shared" ref="AD39:AD70" si="66">IF(AB39=MAX($AB$7:$AB$102),Z39,0)</f>
        <v>0</v>
      </c>
      <c r="AE39" s="176">
        <f t="shared" si="37"/>
        <v>75</v>
      </c>
      <c r="AF39" s="176">
        <f t="shared" si="38"/>
        <v>-10075</v>
      </c>
      <c r="AG39" s="176">
        <f t="shared" ref="AG39:AG70" si="67">IF(AF39=MAX($AF$7:$AF$102),B39,0)</f>
        <v>2083</v>
      </c>
      <c r="AH39" s="176">
        <f t="shared" ref="AH39:AH70" si="68">IF(AG39=MAX($AG$7:$AG$102),AG39,0)</f>
        <v>0</v>
      </c>
      <c r="AI39" s="176">
        <f t="shared" ref="AI39:AI70" si="69">IF(AH39=MAX($AH$7:$AH$102),C39,0)</f>
        <v>0</v>
      </c>
      <c r="AJ39" s="176">
        <f t="shared" si="48"/>
        <v>2083</v>
      </c>
      <c r="AK39" s="176">
        <f t="shared" si="49"/>
        <v>0</v>
      </c>
      <c r="AL39" s="176">
        <f t="shared" si="39"/>
        <v>-10075</v>
      </c>
      <c r="AM39" s="176">
        <f t="shared" ref="AM39:AM70" si="70">IF(AL39=MAX($AL$7:$AL$102),AJ39,0)</f>
        <v>2083</v>
      </c>
      <c r="AN39" s="176">
        <f t="shared" ref="AN39:AN70" si="71">IF(AM39=MAX($AM$7:$AM$102),AM39,0)</f>
        <v>0</v>
      </c>
      <c r="AO39" s="176">
        <f t="shared" ref="AO39:AO70" si="72">IF(AM39=MAX($AM$7:$AM$102),AK39,0)</f>
        <v>0</v>
      </c>
      <c r="AP39" s="176">
        <f t="shared" si="54"/>
        <v>2083</v>
      </c>
      <c r="AQ39" s="176">
        <f t="shared" si="50"/>
        <v>0</v>
      </c>
      <c r="AR39" s="176">
        <f t="shared" si="40"/>
        <v>-10075</v>
      </c>
      <c r="AS39" s="176">
        <f t="shared" ref="AS39:AS70" si="73">IF(AR39=MAX($AR$7:$AR$102),AP39,0)</f>
        <v>2083</v>
      </c>
      <c r="AT39" s="176">
        <f t="shared" ref="AT39:AT70" si="74">IF(AS39=MAX($AS$7:$AS$102),AS39,0)</f>
        <v>0</v>
      </c>
      <c r="AU39" s="176">
        <f t="shared" ref="AU39:AU70" si="75">IF(AS39=MAX($AS$7:$AS$102),AQ39,0)</f>
        <v>0</v>
      </c>
      <c r="AV39" s="176" t="str">
        <f t="shared" si="51"/>
        <v/>
      </c>
      <c r="AW39" s="176" t="str">
        <f t="shared" si="52"/>
        <v/>
      </c>
      <c r="AX39" s="176">
        <f t="shared" si="41"/>
        <v>-20075</v>
      </c>
      <c r="AY39" s="176">
        <f t="shared" ref="AY39:AY70" si="76">IF(AX39=MAX($AX$7:$AX$102),AV39,0)</f>
        <v>0</v>
      </c>
      <c r="AZ39" s="176">
        <f t="shared" ref="AZ39:AZ70" si="77">IF(AY39=MAX($AY$7:$AY$102),AY39,0)</f>
        <v>0</v>
      </c>
      <c r="BA39" s="176">
        <f t="shared" ref="BA39:BA70" si="78">IF(AY39=MAX($AY$7:$AY$102),AW39,0)</f>
        <v>0</v>
      </c>
      <c r="BB39" s="176">
        <f t="shared" si="42"/>
        <v>136.95463210000014</v>
      </c>
      <c r="BC39" s="176">
        <f t="shared" ref="BC39:BC70" si="79">C39-BB39</f>
        <v>-136.95463210000014</v>
      </c>
      <c r="BD39" s="176">
        <f t="shared" ref="BD39:BD70" si="80">IF(BC39=MAX($BC$7:$BC$102),B39,0)</f>
        <v>0</v>
      </c>
      <c r="BE39" s="176">
        <f t="shared" ref="BE39:BE70" si="81">IF(BD39=MAX($BD$7:$BD$102),BD39,0)</f>
        <v>0</v>
      </c>
      <c r="BF39" s="176">
        <f t="shared" ref="BF39:BF70" si="82">IF(BD39=MAX($BD$7:$BD$102),C39,0)</f>
        <v>0</v>
      </c>
      <c r="BG39" s="161">
        <v>0.33333333333333298</v>
      </c>
      <c r="BH39" s="641" t="s">
        <v>317</v>
      </c>
      <c r="BI39" s="630"/>
      <c r="BJ39" s="630"/>
      <c r="BK39" s="630"/>
      <c r="BL39" s="301"/>
      <c r="BM39" s="341"/>
      <c r="BN39" s="341"/>
      <c r="BO39" s="330"/>
      <c r="BP39" s="330"/>
      <c r="GR39" s="103"/>
      <c r="GS39" s="103"/>
      <c r="GT39" s="103"/>
      <c r="GU39" s="103"/>
      <c r="GV39" s="103"/>
    </row>
    <row r="40" spans="1:204" ht="10.050000000000001" customHeight="1" x14ac:dyDescent="0.25">
      <c r="A40" s="251">
        <v>0.34375</v>
      </c>
      <c r="B40" s="155">
        <f>'Warrant 2'!F47</f>
        <v>1955</v>
      </c>
      <c r="C40" s="155">
        <f>IF(OR('Input &amp; Findings'!$G$28='Drop Down Lists'!$E$2,'Input &amp; Findings'!$G$28='Drop Down Lists'!$E$4),SUM('Data with RTF'!F37,'Data with RTF'!T37),SUM('Data with RTF'!M37,'Data with RTF'!AA37))</f>
        <v>0</v>
      </c>
      <c r="D40" s="176" t="str">
        <f t="shared" si="28"/>
        <v/>
      </c>
      <c r="E40" s="176" t="str">
        <f t="shared" si="29"/>
        <v/>
      </c>
      <c r="F40" s="176" t="str">
        <f t="shared" si="30"/>
        <v/>
      </c>
      <c r="G40" s="176" t="str">
        <f t="shared" si="31"/>
        <v/>
      </c>
      <c r="H40" s="176">
        <f t="shared" si="32"/>
        <v>107</v>
      </c>
      <c r="I40" s="176">
        <f t="shared" si="33"/>
        <v>-10107</v>
      </c>
      <c r="J40" s="176">
        <f t="shared" si="55"/>
        <v>1955</v>
      </c>
      <c r="K40" s="176">
        <f t="shared" si="56"/>
        <v>0</v>
      </c>
      <c r="L40" s="176">
        <f t="shared" si="57"/>
        <v>0</v>
      </c>
      <c r="M40" s="176">
        <f t="shared" si="43"/>
        <v>1955</v>
      </c>
      <c r="N40" s="176">
        <f t="shared" si="44"/>
        <v>0</v>
      </c>
      <c r="O40" s="176">
        <f t="shared" si="34"/>
        <v>-10107</v>
      </c>
      <c r="P40" s="176">
        <f t="shared" si="58"/>
        <v>1955</v>
      </c>
      <c r="Q40" s="176">
        <f t="shared" si="59"/>
        <v>0</v>
      </c>
      <c r="R40" s="176">
        <f t="shared" si="60"/>
        <v>0</v>
      </c>
      <c r="S40" s="176">
        <f t="shared" si="53"/>
        <v>1955</v>
      </c>
      <c r="T40" s="176">
        <f t="shared" si="45"/>
        <v>0</v>
      </c>
      <c r="U40" s="176">
        <f t="shared" si="35"/>
        <v>-10107</v>
      </c>
      <c r="V40" s="176">
        <f t="shared" si="61"/>
        <v>1955</v>
      </c>
      <c r="W40" s="176">
        <f t="shared" si="62"/>
        <v>0</v>
      </c>
      <c r="X40" s="176">
        <f t="shared" si="63"/>
        <v>0</v>
      </c>
      <c r="Y40" s="176">
        <f t="shared" si="46"/>
        <v>1955</v>
      </c>
      <c r="Z40" s="176">
        <f t="shared" si="47"/>
        <v>0</v>
      </c>
      <c r="AA40" s="176">
        <f t="shared" si="36"/>
        <v>-10107</v>
      </c>
      <c r="AB40" s="176">
        <f t="shared" si="64"/>
        <v>1955</v>
      </c>
      <c r="AC40" s="176">
        <f t="shared" si="65"/>
        <v>0</v>
      </c>
      <c r="AD40" s="176">
        <f t="shared" si="66"/>
        <v>0</v>
      </c>
      <c r="AE40" s="176">
        <f t="shared" si="37"/>
        <v>75</v>
      </c>
      <c r="AF40" s="176">
        <f t="shared" si="38"/>
        <v>-10075</v>
      </c>
      <c r="AG40" s="176">
        <f t="shared" si="67"/>
        <v>1955</v>
      </c>
      <c r="AH40" s="176">
        <f t="shared" si="68"/>
        <v>0</v>
      </c>
      <c r="AI40" s="176">
        <f t="shared" si="69"/>
        <v>0</v>
      </c>
      <c r="AJ40" s="176">
        <f t="shared" si="48"/>
        <v>1955</v>
      </c>
      <c r="AK40" s="176">
        <f t="shared" si="49"/>
        <v>0</v>
      </c>
      <c r="AL40" s="176">
        <f t="shared" si="39"/>
        <v>-10075</v>
      </c>
      <c r="AM40" s="176">
        <f t="shared" si="70"/>
        <v>1955</v>
      </c>
      <c r="AN40" s="176">
        <f t="shared" si="71"/>
        <v>0</v>
      </c>
      <c r="AO40" s="176">
        <f t="shared" si="72"/>
        <v>0</v>
      </c>
      <c r="AP40" s="176">
        <f t="shared" si="54"/>
        <v>1955</v>
      </c>
      <c r="AQ40" s="176">
        <f t="shared" si="50"/>
        <v>0</v>
      </c>
      <c r="AR40" s="176">
        <f t="shared" si="40"/>
        <v>-10075</v>
      </c>
      <c r="AS40" s="176">
        <f t="shared" si="73"/>
        <v>1955</v>
      </c>
      <c r="AT40" s="176">
        <f t="shared" si="74"/>
        <v>0</v>
      </c>
      <c r="AU40" s="176">
        <f t="shared" si="75"/>
        <v>0</v>
      </c>
      <c r="AV40" s="176">
        <f t="shared" si="51"/>
        <v>1955</v>
      </c>
      <c r="AW40" s="176">
        <f t="shared" si="52"/>
        <v>0</v>
      </c>
      <c r="AX40" s="176">
        <f t="shared" si="41"/>
        <v>-10075</v>
      </c>
      <c r="AY40" s="176">
        <f t="shared" si="76"/>
        <v>1955</v>
      </c>
      <c r="AZ40" s="176">
        <f t="shared" si="77"/>
        <v>0</v>
      </c>
      <c r="BA40" s="176">
        <f t="shared" si="78"/>
        <v>0</v>
      </c>
      <c r="BB40" s="176">
        <f t="shared" si="42"/>
        <v>133</v>
      </c>
      <c r="BC40" s="176">
        <f t="shared" si="79"/>
        <v>-133</v>
      </c>
      <c r="BD40" s="176">
        <f t="shared" si="80"/>
        <v>1955</v>
      </c>
      <c r="BE40" s="176">
        <f t="shared" si="81"/>
        <v>0</v>
      </c>
      <c r="BF40" s="176">
        <f t="shared" si="82"/>
        <v>0</v>
      </c>
      <c r="BG40" s="161">
        <v>0.34375</v>
      </c>
      <c r="BH40" s="641"/>
      <c r="BI40" s="630"/>
      <c r="BJ40" s="630"/>
      <c r="BK40" s="630"/>
      <c r="BL40" s="301"/>
      <c r="BM40" s="341"/>
      <c r="BN40" s="341"/>
      <c r="BO40" s="330"/>
      <c r="BP40" s="330"/>
      <c r="GR40" s="103"/>
      <c r="GS40" s="103"/>
      <c r="GT40" s="103"/>
      <c r="GU40" s="103"/>
      <c r="GV40" s="103"/>
    </row>
    <row r="41" spans="1:204" ht="10.050000000000001" customHeight="1" x14ac:dyDescent="0.25">
      <c r="A41" s="251">
        <v>0.35416666666666702</v>
      </c>
      <c r="B41" s="155">
        <f>'Warrant 2'!F48</f>
        <v>1822</v>
      </c>
      <c r="C41" s="155">
        <f>IF(OR('Input &amp; Findings'!$G$28='Drop Down Lists'!$E$2,'Input &amp; Findings'!$G$28='Drop Down Lists'!$E$4),SUM('Data with RTF'!F38,'Data with RTF'!T38),SUM('Data with RTF'!M38,'Data with RTF'!AA38))</f>
        <v>0</v>
      </c>
      <c r="D41" s="176" t="str">
        <f t="shared" si="28"/>
        <v/>
      </c>
      <c r="E41" s="176" t="str">
        <f t="shared" si="29"/>
        <v/>
      </c>
      <c r="F41" s="176" t="str">
        <f t="shared" si="30"/>
        <v/>
      </c>
      <c r="G41" s="176" t="str">
        <f t="shared" si="31"/>
        <v/>
      </c>
      <c r="H41" s="176">
        <f t="shared" si="32"/>
        <v>107</v>
      </c>
      <c r="I41" s="176">
        <f t="shared" si="33"/>
        <v>-10107</v>
      </c>
      <c r="J41" s="176">
        <f t="shared" si="55"/>
        <v>1822</v>
      </c>
      <c r="K41" s="176">
        <f t="shared" si="56"/>
        <v>0</v>
      </c>
      <c r="L41" s="176">
        <f t="shared" si="57"/>
        <v>0</v>
      </c>
      <c r="M41" s="176">
        <f t="shared" si="43"/>
        <v>1822</v>
      </c>
      <c r="N41" s="176">
        <f t="shared" si="44"/>
        <v>0</v>
      </c>
      <c r="O41" s="176">
        <f t="shared" si="34"/>
        <v>-10107</v>
      </c>
      <c r="P41" s="176">
        <f t="shared" si="58"/>
        <v>1822</v>
      </c>
      <c r="Q41" s="176">
        <f t="shared" si="59"/>
        <v>0</v>
      </c>
      <c r="R41" s="176">
        <f t="shared" si="60"/>
        <v>0</v>
      </c>
      <c r="S41" s="176">
        <f t="shared" si="53"/>
        <v>1822</v>
      </c>
      <c r="T41" s="176">
        <f t="shared" si="45"/>
        <v>0</v>
      </c>
      <c r="U41" s="176">
        <f t="shared" si="35"/>
        <v>-10107</v>
      </c>
      <c r="V41" s="176">
        <f t="shared" si="61"/>
        <v>1822</v>
      </c>
      <c r="W41" s="176">
        <f t="shared" si="62"/>
        <v>0</v>
      </c>
      <c r="X41" s="176">
        <f t="shared" si="63"/>
        <v>0</v>
      </c>
      <c r="Y41" s="176">
        <f t="shared" si="46"/>
        <v>1822</v>
      </c>
      <c r="Z41" s="176">
        <f t="shared" si="47"/>
        <v>0</v>
      </c>
      <c r="AA41" s="176">
        <f t="shared" si="36"/>
        <v>-10107</v>
      </c>
      <c r="AB41" s="176">
        <f t="shared" si="64"/>
        <v>1822</v>
      </c>
      <c r="AC41" s="176">
        <f t="shared" si="65"/>
        <v>0</v>
      </c>
      <c r="AD41" s="176">
        <f t="shared" si="66"/>
        <v>0</v>
      </c>
      <c r="AE41" s="176">
        <f t="shared" si="37"/>
        <v>75</v>
      </c>
      <c r="AF41" s="176">
        <f t="shared" si="38"/>
        <v>-10075</v>
      </c>
      <c r="AG41" s="176">
        <f t="shared" si="67"/>
        <v>1822</v>
      </c>
      <c r="AH41" s="176">
        <f t="shared" si="68"/>
        <v>0</v>
      </c>
      <c r="AI41" s="176">
        <f t="shared" si="69"/>
        <v>0</v>
      </c>
      <c r="AJ41" s="176">
        <f t="shared" si="48"/>
        <v>1822</v>
      </c>
      <c r="AK41" s="176">
        <f t="shared" si="49"/>
        <v>0</v>
      </c>
      <c r="AL41" s="176">
        <f t="shared" si="39"/>
        <v>-10075</v>
      </c>
      <c r="AM41" s="176">
        <f t="shared" si="70"/>
        <v>1822</v>
      </c>
      <c r="AN41" s="176">
        <f t="shared" si="71"/>
        <v>0</v>
      </c>
      <c r="AO41" s="176">
        <f t="shared" si="72"/>
        <v>0</v>
      </c>
      <c r="AP41" s="176">
        <f t="shared" si="54"/>
        <v>1822</v>
      </c>
      <c r="AQ41" s="176">
        <f t="shared" si="50"/>
        <v>0</v>
      </c>
      <c r="AR41" s="176">
        <f t="shared" si="40"/>
        <v>-10075</v>
      </c>
      <c r="AS41" s="176">
        <f t="shared" si="73"/>
        <v>1822</v>
      </c>
      <c r="AT41" s="176">
        <f t="shared" si="74"/>
        <v>0</v>
      </c>
      <c r="AU41" s="176">
        <f t="shared" si="75"/>
        <v>0</v>
      </c>
      <c r="AV41" s="176">
        <f t="shared" si="51"/>
        <v>1822</v>
      </c>
      <c r="AW41" s="176">
        <f t="shared" si="52"/>
        <v>0</v>
      </c>
      <c r="AX41" s="176">
        <f t="shared" si="41"/>
        <v>-10075</v>
      </c>
      <c r="AY41" s="176">
        <f t="shared" si="76"/>
        <v>1822</v>
      </c>
      <c r="AZ41" s="176">
        <f t="shared" si="77"/>
        <v>0</v>
      </c>
      <c r="BA41" s="176">
        <f t="shared" si="78"/>
        <v>0</v>
      </c>
      <c r="BB41" s="176">
        <f t="shared" si="42"/>
        <v>133</v>
      </c>
      <c r="BC41" s="176">
        <f t="shared" si="79"/>
        <v>-133</v>
      </c>
      <c r="BD41" s="176">
        <f t="shared" si="80"/>
        <v>1822</v>
      </c>
      <c r="BE41" s="176">
        <f t="shared" si="81"/>
        <v>0</v>
      </c>
      <c r="BF41" s="176">
        <f t="shared" si="82"/>
        <v>0</v>
      </c>
      <c r="BG41" s="161">
        <v>0.35416666666666702</v>
      </c>
      <c r="BH41" s="641"/>
      <c r="BI41" s="630"/>
      <c r="BJ41" s="630"/>
      <c r="BK41" s="630"/>
      <c r="BL41" s="341"/>
      <c r="BM41" s="341"/>
      <c r="BN41" s="341"/>
      <c r="BO41" s="330"/>
      <c r="BP41" s="330"/>
      <c r="GR41" s="103"/>
      <c r="GS41" s="103"/>
      <c r="GT41" s="103"/>
      <c r="GU41" s="103"/>
      <c r="GV41" s="103"/>
    </row>
    <row r="42" spans="1:204" ht="10.050000000000001" customHeight="1" x14ac:dyDescent="0.25">
      <c r="A42" s="251">
        <v>0.36458333333333298</v>
      </c>
      <c r="B42" s="155">
        <f>'Warrant 2'!F49</f>
        <v>1724</v>
      </c>
      <c r="C42" s="155">
        <f>IF(OR('Input &amp; Findings'!$G$28='Drop Down Lists'!$E$2,'Input &amp; Findings'!$G$28='Drop Down Lists'!$E$4),SUM('Data with RTF'!F39,'Data with RTF'!T39),SUM('Data with RTF'!M39,'Data with RTF'!AA39))</f>
        <v>0</v>
      </c>
      <c r="D42" s="176" t="str">
        <f t="shared" si="28"/>
        <v/>
      </c>
      <c r="E42" s="176" t="str">
        <f t="shared" si="29"/>
        <v/>
      </c>
      <c r="F42" s="176" t="str">
        <f t="shared" si="30"/>
        <v/>
      </c>
      <c r="G42" s="176" t="str">
        <f t="shared" si="31"/>
        <v/>
      </c>
      <c r="H42" s="176">
        <f t="shared" si="32"/>
        <v>107</v>
      </c>
      <c r="I42" s="176">
        <f t="shared" si="33"/>
        <v>-10107</v>
      </c>
      <c r="J42" s="176">
        <f t="shared" si="55"/>
        <v>1724</v>
      </c>
      <c r="K42" s="176">
        <f t="shared" si="56"/>
        <v>0</v>
      </c>
      <c r="L42" s="176">
        <f t="shared" si="57"/>
        <v>0</v>
      </c>
      <c r="M42" s="176">
        <f t="shared" ref="M42:M73" si="83">IF(AND(K42=0,K43=0,K44=0,K45=0,K41=0,K40=0,K39=0),B42,"")</f>
        <v>1724</v>
      </c>
      <c r="N42" s="176">
        <f t="shared" ref="N42:N73" si="84">IF(AND(K42=0,K43=0,K44=0,K45=0,K41=0,K40=0,K39=0),C42,"")</f>
        <v>0</v>
      </c>
      <c r="O42" s="176">
        <f t="shared" si="34"/>
        <v>-10107</v>
      </c>
      <c r="P42" s="176">
        <f t="shared" si="58"/>
        <v>1724</v>
      </c>
      <c r="Q42" s="176">
        <f t="shared" si="59"/>
        <v>0</v>
      </c>
      <c r="R42" s="176">
        <f t="shared" si="60"/>
        <v>0</v>
      </c>
      <c r="S42" s="176">
        <f t="shared" si="53"/>
        <v>1724</v>
      </c>
      <c r="T42" s="176">
        <f t="shared" ref="T42:T68" si="85">IF(AND(Q42=0,Q43=0,Q44=0,Q45=0,Q41=0,Q40=0,Q39=0),N42,"")</f>
        <v>0</v>
      </c>
      <c r="U42" s="176">
        <f t="shared" si="35"/>
        <v>-10107</v>
      </c>
      <c r="V42" s="176">
        <f t="shared" si="61"/>
        <v>1724</v>
      </c>
      <c r="W42" s="176">
        <f t="shared" si="62"/>
        <v>0</v>
      </c>
      <c r="X42" s="176">
        <f t="shared" si="63"/>
        <v>0</v>
      </c>
      <c r="Y42" s="176">
        <f t="shared" ref="Y42:Y68" si="86">IF(AND(W42=0,W43=0,W44=0,W45=0,W41=0,W40=0,W39=0),S42,"")</f>
        <v>1724</v>
      </c>
      <c r="Z42" s="176">
        <f t="shared" ref="Z42:Z68" si="87">IF(AND(W42=0,W43=0,W44=0,W45=0,W41=0,W40=0,W39=0),T42,"")</f>
        <v>0</v>
      </c>
      <c r="AA42" s="176">
        <f t="shared" si="36"/>
        <v>-10107</v>
      </c>
      <c r="AB42" s="176">
        <f t="shared" si="64"/>
        <v>1724</v>
      </c>
      <c r="AC42" s="176">
        <f t="shared" si="65"/>
        <v>0</v>
      </c>
      <c r="AD42" s="176">
        <f t="shared" si="66"/>
        <v>0</v>
      </c>
      <c r="AE42" s="176">
        <f t="shared" si="37"/>
        <v>75</v>
      </c>
      <c r="AF42" s="176">
        <f t="shared" si="38"/>
        <v>-10075</v>
      </c>
      <c r="AG42" s="176">
        <f t="shared" si="67"/>
        <v>1724</v>
      </c>
      <c r="AH42" s="176">
        <f t="shared" si="68"/>
        <v>0</v>
      </c>
      <c r="AI42" s="176">
        <f t="shared" si="69"/>
        <v>0</v>
      </c>
      <c r="AJ42" s="176">
        <f t="shared" ref="AJ42:AJ73" si="88">IF(AND(AH42=0,AH43=0,AH44=0,AH45=0,AH41=0,AH40=0,AH39=0),B42,"")</f>
        <v>1724</v>
      </c>
      <c r="AK42" s="176">
        <f t="shared" ref="AK42:AK73" si="89">IF(AND(AH42=0,AH43=0,AH44=0,AH45=0,AH41=0,AH40=0,AH39=0),C42,"")</f>
        <v>0</v>
      </c>
      <c r="AL42" s="176">
        <f t="shared" si="39"/>
        <v>-10075</v>
      </c>
      <c r="AM42" s="176">
        <f t="shared" si="70"/>
        <v>1724</v>
      </c>
      <c r="AN42" s="176">
        <f t="shared" si="71"/>
        <v>0</v>
      </c>
      <c r="AO42" s="176">
        <f t="shared" si="72"/>
        <v>0</v>
      </c>
      <c r="AP42" s="176">
        <f t="shared" si="54"/>
        <v>1724</v>
      </c>
      <c r="AQ42" s="176">
        <f t="shared" ref="AQ42:AQ68" si="90">IF(AND(AN42=0,AN43=0,AN44=0,AN45=0,AN41=0,AN40=0,AN39=0),AK42,"")</f>
        <v>0</v>
      </c>
      <c r="AR42" s="176">
        <f t="shared" si="40"/>
        <v>-10075</v>
      </c>
      <c r="AS42" s="176">
        <f t="shared" si="73"/>
        <v>1724</v>
      </c>
      <c r="AT42" s="176">
        <f t="shared" si="74"/>
        <v>0</v>
      </c>
      <c r="AU42" s="176">
        <f t="shared" si="75"/>
        <v>0</v>
      </c>
      <c r="AV42" s="176">
        <f t="shared" ref="AV42:AV68" si="91">IF(AND(AT42=0,AT43=0,AT44=0,AT45=0,AT41=0,AT40=0,AT39=0),AP42,"")</f>
        <v>1724</v>
      </c>
      <c r="AW42" s="176">
        <f t="shared" ref="AW42:AW68" si="92">IF(AND(AT42=0,AT43=0,AT44=0,AT45=0,AT41=0,AT40=0,AT39=0),AQ42,"")</f>
        <v>0</v>
      </c>
      <c r="AX42" s="176">
        <f t="shared" si="41"/>
        <v>-10075</v>
      </c>
      <c r="AY42" s="176">
        <f t="shared" si="76"/>
        <v>1724</v>
      </c>
      <c r="AZ42" s="176">
        <f t="shared" si="77"/>
        <v>0</v>
      </c>
      <c r="BA42" s="176">
        <f t="shared" si="78"/>
        <v>0</v>
      </c>
      <c r="BB42" s="176">
        <f t="shared" si="42"/>
        <v>133</v>
      </c>
      <c r="BC42" s="176">
        <f t="shared" si="79"/>
        <v>-133</v>
      </c>
      <c r="BD42" s="176">
        <f t="shared" si="80"/>
        <v>1724</v>
      </c>
      <c r="BE42" s="176">
        <f t="shared" si="81"/>
        <v>0</v>
      </c>
      <c r="BF42" s="176">
        <f t="shared" si="82"/>
        <v>0</v>
      </c>
      <c r="BG42" s="161">
        <v>0.36458333333333298</v>
      </c>
      <c r="BH42" s="641"/>
      <c r="BI42" s="630"/>
      <c r="BJ42" s="630"/>
      <c r="BK42" s="630"/>
      <c r="BL42" s="282"/>
      <c r="BM42" s="341"/>
      <c r="BN42" s="341"/>
      <c r="BO42" s="330"/>
      <c r="BP42" s="330"/>
      <c r="GR42" s="103"/>
      <c r="GS42" s="103"/>
      <c r="GT42" s="103"/>
      <c r="GU42" s="103"/>
      <c r="GV42" s="103"/>
    </row>
    <row r="43" spans="1:204" ht="10.050000000000001" customHeight="1" x14ac:dyDescent="0.25">
      <c r="A43" s="251">
        <v>0.375</v>
      </c>
      <c r="B43" s="155">
        <f>'Warrant 2'!F50</f>
        <v>1575</v>
      </c>
      <c r="C43" s="155">
        <f>IF(OR('Input &amp; Findings'!$G$28='Drop Down Lists'!$E$2,'Input &amp; Findings'!$G$28='Drop Down Lists'!$E$4),SUM('Data with RTF'!F40,'Data with RTF'!T40),SUM('Data with RTF'!M40,'Data with RTF'!AA40))</f>
        <v>0</v>
      </c>
      <c r="D43" s="176" t="str">
        <f t="shared" si="28"/>
        <v/>
      </c>
      <c r="E43" s="176" t="str">
        <f t="shared" si="29"/>
        <v/>
      </c>
      <c r="F43" s="176" t="str">
        <f t="shared" si="30"/>
        <v/>
      </c>
      <c r="G43" s="176" t="str">
        <f t="shared" si="31"/>
        <v/>
      </c>
      <c r="H43" s="176">
        <f t="shared" si="32"/>
        <v>107</v>
      </c>
      <c r="I43" s="176">
        <f t="shared" si="33"/>
        <v>-10107</v>
      </c>
      <c r="J43" s="176">
        <f t="shared" si="55"/>
        <v>1575</v>
      </c>
      <c r="K43" s="176">
        <f t="shared" si="56"/>
        <v>0</v>
      </c>
      <c r="L43" s="176">
        <f t="shared" si="57"/>
        <v>0</v>
      </c>
      <c r="M43" s="176">
        <f t="shared" si="83"/>
        <v>1575</v>
      </c>
      <c r="N43" s="176">
        <f t="shared" si="84"/>
        <v>0</v>
      </c>
      <c r="O43" s="176">
        <f t="shared" si="34"/>
        <v>-10107</v>
      </c>
      <c r="P43" s="176">
        <f t="shared" si="58"/>
        <v>1575</v>
      </c>
      <c r="Q43" s="176">
        <f t="shared" si="59"/>
        <v>0</v>
      </c>
      <c r="R43" s="176">
        <f t="shared" si="60"/>
        <v>0</v>
      </c>
      <c r="S43" s="176">
        <f t="shared" si="53"/>
        <v>1575</v>
      </c>
      <c r="T43" s="176">
        <f t="shared" si="85"/>
        <v>0</v>
      </c>
      <c r="U43" s="176">
        <f t="shared" si="35"/>
        <v>-10107</v>
      </c>
      <c r="V43" s="176">
        <f t="shared" si="61"/>
        <v>1575</v>
      </c>
      <c r="W43" s="176">
        <f t="shared" si="62"/>
        <v>0</v>
      </c>
      <c r="X43" s="176">
        <f t="shared" si="63"/>
        <v>0</v>
      </c>
      <c r="Y43" s="176">
        <f t="shared" si="86"/>
        <v>1575</v>
      </c>
      <c r="Z43" s="176">
        <f t="shared" si="87"/>
        <v>0</v>
      </c>
      <c r="AA43" s="176">
        <f t="shared" si="36"/>
        <v>-10107</v>
      </c>
      <c r="AB43" s="176">
        <f t="shared" si="64"/>
        <v>1575</v>
      </c>
      <c r="AC43" s="176">
        <f t="shared" si="65"/>
        <v>0</v>
      </c>
      <c r="AD43" s="176">
        <f t="shared" si="66"/>
        <v>0</v>
      </c>
      <c r="AE43" s="176">
        <f t="shared" si="37"/>
        <v>75</v>
      </c>
      <c r="AF43" s="176">
        <f t="shared" si="38"/>
        <v>-10075</v>
      </c>
      <c r="AG43" s="176">
        <f t="shared" si="67"/>
        <v>1575</v>
      </c>
      <c r="AH43" s="176">
        <f t="shared" si="68"/>
        <v>0</v>
      </c>
      <c r="AI43" s="176">
        <f t="shared" si="69"/>
        <v>0</v>
      </c>
      <c r="AJ43" s="176">
        <f t="shared" si="88"/>
        <v>1575</v>
      </c>
      <c r="AK43" s="176">
        <f t="shared" si="89"/>
        <v>0</v>
      </c>
      <c r="AL43" s="176">
        <f t="shared" si="39"/>
        <v>-10075</v>
      </c>
      <c r="AM43" s="176">
        <f t="shared" si="70"/>
        <v>1575</v>
      </c>
      <c r="AN43" s="176">
        <f t="shared" si="71"/>
        <v>0</v>
      </c>
      <c r="AO43" s="176">
        <f t="shared" si="72"/>
        <v>0</v>
      </c>
      <c r="AP43" s="176">
        <f t="shared" si="54"/>
        <v>1575</v>
      </c>
      <c r="AQ43" s="176">
        <f t="shared" si="90"/>
        <v>0</v>
      </c>
      <c r="AR43" s="176">
        <f t="shared" si="40"/>
        <v>-10075</v>
      </c>
      <c r="AS43" s="176">
        <f t="shared" si="73"/>
        <v>1575</v>
      </c>
      <c r="AT43" s="176">
        <f t="shared" si="74"/>
        <v>0</v>
      </c>
      <c r="AU43" s="176">
        <f t="shared" si="75"/>
        <v>0</v>
      </c>
      <c r="AV43" s="176">
        <f t="shared" si="91"/>
        <v>1575</v>
      </c>
      <c r="AW43" s="176">
        <f t="shared" si="92"/>
        <v>0</v>
      </c>
      <c r="AX43" s="176">
        <f t="shared" si="41"/>
        <v>-10075</v>
      </c>
      <c r="AY43" s="176">
        <f t="shared" si="76"/>
        <v>1575</v>
      </c>
      <c r="AZ43" s="176">
        <f t="shared" si="77"/>
        <v>0</v>
      </c>
      <c r="BA43" s="176">
        <f t="shared" si="78"/>
        <v>0</v>
      </c>
      <c r="BB43" s="176">
        <f t="shared" si="42"/>
        <v>133</v>
      </c>
      <c r="BC43" s="176">
        <f t="shared" si="79"/>
        <v>-133</v>
      </c>
      <c r="BD43" s="176">
        <f t="shared" si="80"/>
        <v>1575</v>
      </c>
      <c r="BE43" s="176">
        <f t="shared" si="81"/>
        <v>0</v>
      </c>
      <c r="BF43" s="176">
        <f t="shared" si="82"/>
        <v>0</v>
      </c>
      <c r="BG43" s="161">
        <v>0.375</v>
      </c>
      <c r="BH43" s="330"/>
      <c r="BI43" s="330"/>
      <c r="BJ43" s="330"/>
      <c r="BK43" s="330"/>
      <c r="BL43" s="341"/>
      <c r="BM43" s="341"/>
      <c r="BN43" s="341"/>
      <c r="BO43" s="330"/>
      <c r="BP43" s="330"/>
      <c r="GR43" s="103"/>
      <c r="GS43" s="103"/>
      <c r="GT43" s="103"/>
      <c r="GU43" s="103"/>
      <c r="GV43" s="103"/>
    </row>
    <row r="44" spans="1:204" ht="10.050000000000001" customHeight="1" x14ac:dyDescent="0.25">
      <c r="A44" s="251">
        <v>0.38541666666666702</v>
      </c>
      <c r="B44" s="155">
        <f>'Warrant 2'!F51</f>
        <v>1603</v>
      </c>
      <c r="C44" s="155">
        <f>IF(OR('Input &amp; Findings'!$G$28='Drop Down Lists'!$E$2,'Input &amp; Findings'!$G$28='Drop Down Lists'!$E$4),SUM('Data with RTF'!F41,'Data with RTF'!T41),SUM('Data with RTF'!M41,'Data with RTF'!AA41))</f>
        <v>0</v>
      </c>
      <c r="D44" s="176" t="str">
        <f t="shared" si="28"/>
        <v/>
      </c>
      <c r="E44" s="176" t="str">
        <f t="shared" si="29"/>
        <v/>
      </c>
      <c r="F44" s="176" t="str">
        <f t="shared" si="30"/>
        <v/>
      </c>
      <c r="G44" s="176" t="str">
        <f t="shared" si="31"/>
        <v/>
      </c>
      <c r="H44" s="176">
        <f t="shared" si="32"/>
        <v>107</v>
      </c>
      <c r="I44" s="176">
        <f t="shared" si="33"/>
        <v>-10107</v>
      </c>
      <c r="J44" s="176">
        <f t="shared" si="55"/>
        <v>1603</v>
      </c>
      <c r="K44" s="176">
        <f t="shared" si="56"/>
        <v>0</v>
      </c>
      <c r="L44" s="176">
        <f t="shared" si="57"/>
        <v>0</v>
      </c>
      <c r="M44" s="176">
        <f t="shared" si="83"/>
        <v>1603</v>
      </c>
      <c r="N44" s="176">
        <f t="shared" si="84"/>
        <v>0</v>
      </c>
      <c r="O44" s="176">
        <f t="shared" si="34"/>
        <v>-10107</v>
      </c>
      <c r="P44" s="176">
        <f t="shared" si="58"/>
        <v>1603</v>
      </c>
      <c r="Q44" s="176">
        <f t="shared" si="59"/>
        <v>0</v>
      </c>
      <c r="R44" s="176">
        <f t="shared" si="60"/>
        <v>0</v>
      </c>
      <c r="S44" s="176">
        <f t="shared" si="53"/>
        <v>1603</v>
      </c>
      <c r="T44" s="176">
        <f t="shared" si="85"/>
        <v>0</v>
      </c>
      <c r="U44" s="176">
        <f t="shared" si="35"/>
        <v>-10107</v>
      </c>
      <c r="V44" s="176">
        <f t="shared" si="61"/>
        <v>1603</v>
      </c>
      <c r="W44" s="176">
        <f t="shared" si="62"/>
        <v>0</v>
      </c>
      <c r="X44" s="176">
        <f t="shared" si="63"/>
        <v>0</v>
      </c>
      <c r="Y44" s="176">
        <f t="shared" si="86"/>
        <v>1603</v>
      </c>
      <c r="Z44" s="176">
        <f t="shared" si="87"/>
        <v>0</v>
      </c>
      <c r="AA44" s="176">
        <f t="shared" si="36"/>
        <v>-10107</v>
      </c>
      <c r="AB44" s="176">
        <f t="shared" si="64"/>
        <v>1603</v>
      </c>
      <c r="AC44" s="176">
        <f t="shared" si="65"/>
        <v>0</v>
      </c>
      <c r="AD44" s="176">
        <f t="shared" si="66"/>
        <v>0</v>
      </c>
      <c r="AE44" s="176">
        <f t="shared" si="37"/>
        <v>75</v>
      </c>
      <c r="AF44" s="176">
        <f t="shared" si="38"/>
        <v>-10075</v>
      </c>
      <c r="AG44" s="176">
        <f t="shared" si="67"/>
        <v>1603</v>
      </c>
      <c r="AH44" s="176">
        <f t="shared" si="68"/>
        <v>0</v>
      </c>
      <c r="AI44" s="176">
        <f t="shared" si="69"/>
        <v>0</v>
      </c>
      <c r="AJ44" s="176">
        <f t="shared" si="88"/>
        <v>1603</v>
      </c>
      <c r="AK44" s="176">
        <f t="shared" si="89"/>
        <v>0</v>
      </c>
      <c r="AL44" s="176">
        <f t="shared" si="39"/>
        <v>-10075</v>
      </c>
      <c r="AM44" s="176">
        <f t="shared" si="70"/>
        <v>1603</v>
      </c>
      <c r="AN44" s="176">
        <f t="shared" si="71"/>
        <v>0</v>
      </c>
      <c r="AO44" s="176">
        <f t="shared" si="72"/>
        <v>0</v>
      </c>
      <c r="AP44" s="176">
        <f t="shared" si="54"/>
        <v>1603</v>
      </c>
      <c r="AQ44" s="176">
        <f t="shared" si="90"/>
        <v>0</v>
      </c>
      <c r="AR44" s="176">
        <f t="shared" si="40"/>
        <v>-10075</v>
      </c>
      <c r="AS44" s="176">
        <f t="shared" si="73"/>
        <v>1603</v>
      </c>
      <c r="AT44" s="176">
        <f t="shared" si="74"/>
        <v>0</v>
      </c>
      <c r="AU44" s="176">
        <f t="shared" si="75"/>
        <v>0</v>
      </c>
      <c r="AV44" s="176">
        <f t="shared" si="91"/>
        <v>1603</v>
      </c>
      <c r="AW44" s="176">
        <f t="shared" si="92"/>
        <v>0</v>
      </c>
      <c r="AX44" s="176">
        <f t="shared" si="41"/>
        <v>-10075</v>
      </c>
      <c r="AY44" s="176">
        <f t="shared" si="76"/>
        <v>1603</v>
      </c>
      <c r="AZ44" s="176">
        <f t="shared" si="77"/>
        <v>0</v>
      </c>
      <c r="BA44" s="176">
        <f t="shared" si="78"/>
        <v>0</v>
      </c>
      <c r="BB44" s="176">
        <f t="shared" si="42"/>
        <v>133</v>
      </c>
      <c r="BC44" s="176">
        <f t="shared" si="79"/>
        <v>-133</v>
      </c>
      <c r="BD44" s="176">
        <f t="shared" si="80"/>
        <v>1603</v>
      </c>
      <c r="BE44" s="176">
        <f t="shared" si="81"/>
        <v>0</v>
      </c>
      <c r="BF44" s="176">
        <f t="shared" si="82"/>
        <v>0</v>
      </c>
      <c r="BG44" s="161">
        <v>0.38541666666666702</v>
      </c>
      <c r="BH44" s="639" t="s">
        <v>554</v>
      </c>
      <c r="BI44" s="640"/>
      <c r="BJ44" s="640"/>
      <c r="BK44" s="640"/>
      <c r="BL44" s="341"/>
      <c r="BM44" s="341"/>
      <c r="BN44" s="341"/>
      <c r="BO44" s="330"/>
      <c r="BP44" s="330"/>
      <c r="GR44" s="103"/>
      <c r="GS44" s="103"/>
      <c r="GT44" s="103"/>
      <c r="GU44" s="103"/>
      <c r="GV44" s="103"/>
    </row>
    <row r="45" spans="1:204" ht="10.050000000000001" customHeight="1" x14ac:dyDescent="0.25">
      <c r="A45" s="251">
        <v>0.39583333333333298</v>
      </c>
      <c r="B45" s="155">
        <f>'Warrant 2'!F52</f>
        <v>1573</v>
      </c>
      <c r="C45" s="155">
        <f>IF(OR('Input &amp; Findings'!$G$28='Drop Down Lists'!$E$2,'Input &amp; Findings'!$G$28='Drop Down Lists'!$E$4),SUM('Data with RTF'!F42,'Data with RTF'!T42),SUM('Data with RTF'!M42,'Data with RTF'!AA42))</f>
        <v>0</v>
      </c>
      <c r="D45" s="176" t="str">
        <f t="shared" si="28"/>
        <v/>
      </c>
      <c r="E45" s="176" t="str">
        <f t="shared" si="29"/>
        <v/>
      </c>
      <c r="F45" s="176" t="str">
        <f t="shared" si="30"/>
        <v/>
      </c>
      <c r="G45" s="176" t="str">
        <f t="shared" si="31"/>
        <v/>
      </c>
      <c r="H45" s="176">
        <f t="shared" si="32"/>
        <v>107</v>
      </c>
      <c r="I45" s="176">
        <f t="shared" si="33"/>
        <v>-10107</v>
      </c>
      <c r="J45" s="176">
        <f t="shared" si="55"/>
        <v>1573</v>
      </c>
      <c r="K45" s="176">
        <f t="shared" si="56"/>
        <v>0</v>
      </c>
      <c r="L45" s="176">
        <f t="shared" si="57"/>
        <v>0</v>
      </c>
      <c r="M45" s="176">
        <f t="shared" si="83"/>
        <v>1573</v>
      </c>
      <c r="N45" s="176">
        <f t="shared" si="84"/>
        <v>0</v>
      </c>
      <c r="O45" s="176">
        <f t="shared" si="34"/>
        <v>-10107</v>
      </c>
      <c r="P45" s="176">
        <f t="shared" si="58"/>
        <v>1573</v>
      </c>
      <c r="Q45" s="176">
        <f t="shared" si="59"/>
        <v>0</v>
      </c>
      <c r="R45" s="176">
        <f t="shared" si="60"/>
        <v>0</v>
      </c>
      <c r="S45" s="176">
        <f t="shared" si="53"/>
        <v>1573</v>
      </c>
      <c r="T45" s="176">
        <f t="shared" si="85"/>
        <v>0</v>
      </c>
      <c r="U45" s="176">
        <f t="shared" si="35"/>
        <v>-10107</v>
      </c>
      <c r="V45" s="176">
        <f t="shared" si="61"/>
        <v>1573</v>
      </c>
      <c r="W45" s="176">
        <f t="shared" si="62"/>
        <v>0</v>
      </c>
      <c r="X45" s="176">
        <f t="shared" si="63"/>
        <v>0</v>
      </c>
      <c r="Y45" s="176">
        <f t="shared" si="86"/>
        <v>1573</v>
      </c>
      <c r="Z45" s="176">
        <f t="shared" si="87"/>
        <v>0</v>
      </c>
      <c r="AA45" s="176">
        <f t="shared" si="36"/>
        <v>-10107</v>
      </c>
      <c r="AB45" s="176">
        <f t="shared" si="64"/>
        <v>1573</v>
      </c>
      <c r="AC45" s="176">
        <f t="shared" si="65"/>
        <v>0</v>
      </c>
      <c r="AD45" s="176">
        <f t="shared" si="66"/>
        <v>0</v>
      </c>
      <c r="AE45" s="176">
        <f t="shared" si="37"/>
        <v>75</v>
      </c>
      <c r="AF45" s="176">
        <f t="shared" si="38"/>
        <v>-10075</v>
      </c>
      <c r="AG45" s="176">
        <f t="shared" si="67"/>
        <v>1573</v>
      </c>
      <c r="AH45" s="176">
        <f t="shared" si="68"/>
        <v>0</v>
      </c>
      <c r="AI45" s="176">
        <f t="shared" si="69"/>
        <v>0</v>
      </c>
      <c r="AJ45" s="176">
        <f t="shared" si="88"/>
        <v>1573</v>
      </c>
      <c r="AK45" s="176">
        <f t="shared" si="89"/>
        <v>0</v>
      </c>
      <c r="AL45" s="176">
        <f t="shared" si="39"/>
        <v>-10075</v>
      </c>
      <c r="AM45" s="176">
        <f t="shared" si="70"/>
        <v>1573</v>
      </c>
      <c r="AN45" s="176">
        <f t="shared" si="71"/>
        <v>0</v>
      </c>
      <c r="AO45" s="176">
        <f t="shared" si="72"/>
        <v>0</v>
      </c>
      <c r="AP45" s="176">
        <f t="shared" si="54"/>
        <v>1573</v>
      </c>
      <c r="AQ45" s="176">
        <f t="shared" si="90"/>
        <v>0</v>
      </c>
      <c r="AR45" s="176">
        <f t="shared" si="40"/>
        <v>-10075</v>
      </c>
      <c r="AS45" s="176">
        <f t="shared" si="73"/>
        <v>1573</v>
      </c>
      <c r="AT45" s="176">
        <f t="shared" si="74"/>
        <v>0</v>
      </c>
      <c r="AU45" s="176">
        <f t="shared" si="75"/>
        <v>0</v>
      </c>
      <c r="AV45" s="176">
        <f t="shared" si="91"/>
        <v>1573</v>
      </c>
      <c r="AW45" s="176">
        <f t="shared" si="92"/>
        <v>0</v>
      </c>
      <c r="AX45" s="176">
        <f t="shared" si="41"/>
        <v>-10075</v>
      </c>
      <c r="AY45" s="176">
        <f t="shared" si="76"/>
        <v>1573</v>
      </c>
      <c r="AZ45" s="176">
        <f t="shared" si="77"/>
        <v>0</v>
      </c>
      <c r="BA45" s="176">
        <f t="shared" si="78"/>
        <v>0</v>
      </c>
      <c r="BB45" s="176">
        <f t="shared" si="42"/>
        <v>133</v>
      </c>
      <c r="BC45" s="176">
        <f t="shared" si="79"/>
        <v>-133</v>
      </c>
      <c r="BD45" s="176">
        <f t="shared" si="80"/>
        <v>1573</v>
      </c>
      <c r="BE45" s="176">
        <f t="shared" si="81"/>
        <v>0</v>
      </c>
      <c r="BF45" s="176">
        <f t="shared" si="82"/>
        <v>0</v>
      </c>
      <c r="BG45" s="161">
        <v>0.39583333333333298</v>
      </c>
      <c r="BH45" s="639"/>
      <c r="BI45" s="640"/>
      <c r="BJ45" s="640"/>
      <c r="BK45" s="640"/>
      <c r="BL45" s="341"/>
      <c r="BM45" s="341"/>
      <c r="BN45" s="341"/>
      <c r="BO45" s="330"/>
      <c r="BP45" s="330"/>
      <c r="GR45" s="103"/>
      <c r="GS45" s="103"/>
      <c r="GT45" s="103"/>
      <c r="GU45" s="103"/>
      <c r="GV45" s="103"/>
    </row>
    <row r="46" spans="1:204" ht="10.050000000000001" customHeight="1" x14ac:dyDescent="0.25">
      <c r="A46" s="251">
        <v>0.40625</v>
      </c>
      <c r="B46" s="155">
        <f>'Warrant 2'!F53</f>
        <v>1533</v>
      </c>
      <c r="C46" s="155">
        <f>IF(OR('Input &amp; Findings'!$G$28='Drop Down Lists'!$E$2,'Input &amp; Findings'!$G$28='Drop Down Lists'!$E$4),SUM('Data with RTF'!F43,'Data with RTF'!T43),SUM('Data with RTF'!M43,'Data with RTF'!AA43))</f>
        <v>0</v>
      </c>
      <c r="D46" s="176" t="str">
        <f t="shared" si="28"/>
        <v/>
      </c>
      <c r="E46" s="176" t="str">
        <f t="shared" si="29"/>
        <v/>
      </c>
      <c r="F46" s="176" t="str">
        <f t="shared" si="30"/>
        <v/>
      </c>
      <c r="G46" s="176" t="str">
        <f t="shared" si="31"/>
        <v/>
      </c>
      <c r="H46" s="176">
        <f t="shared" si="32"/>
        <v>107</v>
      </c>
      <c r="I46" s="176">
        <f t="shared" si="33"/>
        <v>-10107</v>
      </c>
      <c r="J46" s="176">
        <f t="shared" si="55"/>
        <v>1533</v>
      </c>
      <c r="K46" s="176">
        <f t="shared" si="56"/>
        <v>0</v>
      </c>
      <c r="L46" s="176">
        <f t="shared" si="57"/>
        <v>0</v>
      </c>
      <c r="M46" s="176">
        <f t="shared" si="83"/>
        <v>1533</v>
      </c>
      <c r="N46" s="176">
        <f t="shared" si="84"/>
        <v>0</v>
      </c>
      <c r="O46" s="176">
        <f t="shared" si="34"/>
        <v>-10107</v>
      </c>
      <c r="P46" s="176">
        <f t="shared" si="58"/>
        <v>1533</v>
      </c>
      <c r="Q46" s="176">
        <f t="shared" si="59"/>
        <v>0</v>
      </c>
      <c r="R46" s="176">
        <f t="shared" si="60"/>
        <v>0</v>
      </c>
      <c r="S46" s="176">
        <f t="shared" si="53"/>
        <v>1533</v>
      </c>
      <c r="T46" s="176">
        <f t="shared" si="85"/>
        <v>0</v>
      </c>
      <c r="U46" s="176">
        <f t="shared" si="35"/>
        <v>-10107</v>
      </c>
      <c r="V46" s="176">
        <f t="shared" si="61"/>
        <v>1533</v>
      </c>
      <c r="W46" s="176">
        <f t="shared" si="62"/>
        <v>0</v>
      </c>
      <c r="X46" s="176">
        <f t="shared" si="63"/>
        <v>0</v>
      </c>
      <c r="Y46" s="176">
        <f t="shared" si="86"/>
        <v>1533</v>
      </c>
      <c r="Z46" s="176">
        <f t="shared" si="87"/>
        <v>0</v>
      </c>
      <c r="AA46" s="176">
        <f t="shared" si="36"/>
        <v>-10107</v>
      </c>
      <c r="AB46" s="176">
        <f t="shared" si="64"/>
        <v>1533</v>
      </c>
      <c r="AC46" s="176">
        <f t="shared" si="65"/>
        <v>0</v>
      </c>
      <c r="AD46" s="176">
        <f t="shared" si="66"/>
        <v>0</v>
      </c>
      <c r="AE46" s="176">
        <f t="shared" si="37"/>
        <v>75</v>
      </c>
      <c r="AF46" s="176">
        <f t="shared" si="38"/>
        <v>-10075</v>
      </c>
      <c r="AG46" s="176">
        <f t="shared" si="67"/>
        <v>1533</v>
      </c>
      <c r="AH46" s="176">
        <f t="shared" si="68"/>
        <v>0</v>
      </c>
      <c r="AI46" s="176">
        <f t="shared" si="69"/>
        <v>0</v>
      </c>
      <c r="AJ46" s="176">
        <f t="shared" si="88"/>
        <v>1533</v>
      </c>
      <c r="AK46" s="176">
        <f t="shared" si="89"/>
        <v>0</v>
      </c>
      <c r="AL46" s="176">
        <f t="shared" si="39"/>
        <v>-10075</v>
      </c>
      <c r="AM46" s="176">
        <f t="shared" si="70"/>
        <v>1533</v>
      </c>
      <c r="AN46" s="176">
        <f t="shared" si="71"/>
        <v>0</v>
      </c>
      <c r="AO46" s="176">
        <f t="shared" si="72"/>
        <v>0</v>
      </c>
      <c r="AP46" s="176">
        <f t="shared" si="54"/>
        <v>1533</v>
      </c>
      <c r="AQ46" s="176">
        <f t="shared" si="90"/>
        <v>0</v>
      </c>
      <c r="AR46" s="176">
        <f t="shared" si="40"/>
        <v>-10075</v>
      </c>
      <c r="AS46" s="176">
        <f t="shared" si="73"/>
        <v>1533</v>
      </c>
      <c r="AT46" s="176">
        <f t="shared" si="74"/>
        <v>0</v>
      </c>
      <c r="AU46" s="176">
        <f t="shared" si="75"/>
        <v>0</v>
      </c>
      <c r="AV46" s="176">
        <f t="shared" si="91"/>
        <v>1533</v>
      </c>
      <c r="AW46" s="176">
        <f t="shared" si="92"/>
        <v>0</v>
      </c>
      <c r="AX46" s="176">
        <f t="shared" si="41"/>
        <v>-10075</v>
      </c>
      <c r="AY46" s="176">
        <f t="shared" si="76"/>
        <v>1533</v>
      </c>
      <c r="AZ46" s="176">
        <f t="shared" si="77"/>
        <v>0</v>
      </c>
      <c r="BA46" s="176">
        <f t="shared" si="78"/>
        <v>0</v>
      </c>
      <c r="BB46" s="176">
        <f t="shared" si="42"/>
        <v>133</v>
      </c>
      <c r="BC46" s="176">
        <f t="shared" si="79"/>
        <v>-133</v>
      </c>
      <c r="BD46" s="176">
        <f t="shared" si="80"/>
        <v>1533</v>
      </c>
      <c r="BE46" s="176">
        <f t="shared" si="81"/>
        <v>0</v>
      </c>
      <c r="BF46" s="176">
        <f t="shared" si="82"/>
        <v>0</v>
      </c>
      <c r="BG46" s="161">
        <v>0.40625</v>
      </c>
      <c r="BH46" s="639"/>
      <c r="BI46" s="640"/>
      <c r="BJ46" s="640"/>
      <c r="BK46" s="640"/>
      <c r="BL46" s="341"/>
      <c r="BM46" s="341"/>
      <c r="BN46" s="341"/>
      <c r="BO46" s="351"/>
      <c r="BP46" s="351"/>
      <c r="BQ46" s="190"/>
      <c r="BR46" s="679"/>
      <c r="BS46" s="679"/>
      <c r="BT46" s="679"/>
      <c r="BU46" s="679"/>
      <c r="GR46" s="103"/>
      <c r="GS46" s="103"/>
      <c r="GT46" s="103"/>
      <c r="GU46" s="103"/>
      <c r="GV46" s="103"/>
    </row>
    <row r="47" spans="1:204" ht="10.050000000000001" customHeight="1" x14ac:dyDescent="0.25">
      <c r="A47" s="251">
        <v>0.41666666666666702</v>
      </c>
      <c r="B47" s="155">
        <f>'Warrant 2'!F54</f>
        <v>1529</v>
      </c>
      <c r="C47" s="155">
        <f>IF(OR('Input &amp; Findings'!$G$28='Drop Down Lists'!$E$2,'Input &amp; Findings'!$G$28='Drop Down Lists'!$E$4),SUM('Data with RTF'!F44,'Data with RTF'!T44),SUM('Data with RTF'!M44,'Data with RTF'!AA44))</f>
        <v>0</v>
      </c>
      <c r="D47" s="176" t="str">
        <f t="shared" si="28"/>
        <v/>
      </c>
      <c r="E47" s="176" t="str">
        <f t="shared" si="29"/>
        <v/>
      </c>
      <c r="F47" s="176" t="str">
        <f t="shared" si="30"/>
        <v/>
      </c>
      <c r="G47" s="176" t="str">
        <f t="shared" si="31"/>
        <v/>
      </c>
      <c r="H47" s="176">
        <f t="shared" si="32"/>
        <v>107</v>
      </c>
      <c r="I47" s="176">
        <f t="shared" si="33"/>
        <v>-10107</v>
      </c>
      <c r="J47" s="176">
        <f t="shared" si="55"/>
        <v>1529</v>
      </c>
      <c r="K47" s="176">
        <f t="shared" si="56"/>
        <v>0</v>
      </c>
      <c r="L47" s="176">
        <f t="shared" si="57"/>
        <v>0</v>
      </c>
      <c r="M47" s="176">
        <f t="shared" si="83"/>
        <v>1529</v>
      </c>
      <c r="N47" s="176">
        <f t="shared" si="84"/>
        <v>0</v>
      </c>
      <c r="O47" s="176">
        <f t="shared" si="34"/>
        <v>-10107</v>
      </c>
      <c r="P47" s="176">
        <f t="shared" si="58"/>
        <v>1529</v>
      </c>
      <c r="Q47" s="176">
        <f t="shared" si="59"/>
        <v>0</v>
      </c>
      <c r="R47" s="176">
        <f t="shared" si="60"/>
        <v>0</v>
      </c>
      <c r="S47" s="176">
        <f t="shared" si="53"/>
        <v>1529</v>
      </c>
      <c r="T47" s="176">
        <f t="shared" si="85"/>
        <v>0</v>
      </c>
      <c r="U47" s="176">
        <f t="shared" si="35"/>
        <v>-10107</v>
      </c>
      <c r="V47" s="176">
        <f t="shared" si="61"/>
        <v>1529</v>
      </c>
      <c r="W47" s="176">
        <f t="shared" si="62"/>
        <v>0</v>
      </c>
      <c r="X47" s="176">
        <f t="shared" si="63"/>
        <v>0</v>
      </c>
      <c r="Y47" s="176">
        <f t="shared" si="86"/>
        <v>1529</v>
      </c>
      <c r="Z47" s="176">
        <f t="shared" si="87"/>
        <v>0</v>
      </c>
      <c r="AA47" s="176">
        <f t="shared" si="36"/>
        <v>-10107</v>
      </c>
      <c r="AB47" s="176">
        <f t="shared" si="64"/>
        <v>1529</v>
      </c>
      <c r="AC47" s="176">
        <f t="shared" si="65"/>
        <v>0</v>
      </c>
      <c r="AD47" s="176">
        <f t="shared" si="66"/>
        <v>0</v>
      </c>
      <c r="AE47" s="176">
        <f t="shared" si="37"/>
        <v>75</v>
      </c>
      <c r="AF47" s="176">
        <f t="shared" si="38"/>
        <v>-10075</v>
      </c>
      <c r="AG47" s="176">
        <f t="shared" si="67"/>
        <v>1529</v>
      </c>
      <c r="AH47" s="176">
        <f t="shared" si="68"/>
        <v>0</v>
      </c>
      <c r="AI47" s="176">
        <f t="shared" si="69"/>
        <v>0</v>
      </c>
      <c r="AJ47" s="176">
        <f t="shared" si="88"/>
        <v>1529</v>
      </c>
      <c r="AK47" s="176">
        <f t="shared" si="89"/>
        <v>0</v>
      </c>
      <c r="AL47" s="176">
        <f t="shared" si="39"/>
        <v>-10075</v>
      </c>
      <c r="AM47" s="176">
        <f t="shared" si="70"/>
        <v>1529</v>
      </c>
      <c r="AN47" s="176">
        <f t="shared" si="71"/>
        <v>0</v>
      </c>
      <c r="AO47" s="176">
        <f t="shared" si="72"/>
        <v>0</v>
      </c>
      <c r="AP47" s="176">
        <f t="shared" si="54"/>
        <v>1529</v>
      </c>
      <c r="AQ47" s="176">
        <f t="shared" si="90"/>
        <v>0</v>
      </c>
      <c r="AR47" s="176">
        <f t="shared" si="40"/>
        <v>-10075</v>
      </c>
      <c r="AS47" s="176">
        <f t="shared" si="73"/>
        <v>1529</v>
      </c>
      <c r="AT47" s="176">
        <f t="shared" si="74"/>
        <v>0</v>
      </c>
      <c r="AU47" s="176">
        <f t="shared" si="75"/>
        <v>0</v>
      </c>
      <c r="AV47" s="176">
        <f t="shared" si="91"/>
        <v>1529</v>
      </c>
      <c r="AW47" s="176">
        <f t="shared" si="92"/>
        <v>0</v>
      </c>
      <c r="AX47" s="176">
        <f t="shared" si="41"/>
        <v>-10075</v>
      </c>
      <c r="AY47" s="176">
        <f t="shared" si="76"/>
        <v>1529</v>
      </c>
      <c r="AZ47" s="176">
        <f t="shared" si="77"/>
        <v>0</v>
      </c>
      <c r="BA47" s="176">
        <f t="shared" si="78"/>
        <v>0</v>
      </c>
      <c r="BB47" s="176">
        <f t="shared" si="42"/>
        <v>133</v>
      </c>
      <c r="BC47" s="176">
        <f t="shared" si="79"/>
        <v>-133</v>
      </c>
      <c r="BD47" s="176">
        <f t="shared" si="80"/>
        <v>1529</v>
      </c>
      <c r="BE47" s="176">
        <f t="shared" si="81"/>
        <v>0</v>
      </c>
      <c r="BF47" s="176">
        <f t="shared" si="82"/>
        <v>0</v>
      </c>
      <c r="BG47" s="161">
        <v>0.41666666666666702</v>
      </c>
      <c r="BH47" s="639"/>
      <c r="BI47" s="640"/>
      <c r="BJ47" s="640"/>
      <c r="BK47" s="640"/>
      <c r="BL47" s="341"/>
      <c r="BM47" s="341"/>
      <c r="BN47" s="341"/>
      <c r="BO47" s="685"/>
      <c r="BP47" s="685"/>
      <c r="BQ47" s="190"/>
      <c r="BR47" s="679"/>
      <c r="BS47" s="679"/>
      <c r="BT47" s="679"/>
      <c r="BU47" s="679"/>
      <c r="GR47" s="103"/>
      <c r="GS47" s="103"/>
      <c r="GT47" s="103"/>
      <c r="GU47" s="103"/>
      <c r="GV47" s="103"/>
    </row>
    <row r="48" spans="1:204" ht="10.050000000000001" customHeight="1" x14ac:dyDescent="0.25">
      <c r="A48" s="251">
        <v>0.42708333333333298</v>
      </c>
      <c r="B48" s="155">
        <f>'Warrant 2'!F55</f>
        <v>1509</v>
      </c>
      <c r="C48" s="155">
        <f>IF(OR('Input &amp; Findings'!$G$28='Drop Down Lists'!$E$2,'Input &amp; Findings'!$G$28='Drop Down Lists'!$E$4),SUM('Data with RTF'!F45,'Data with RTF'!T45),SUM('Data with RTF'!M45,'Data with RTF'!AA45))</f>
        <v>0</v>
      </c>
      <c r="D48" s="176" t="str">
        <f t="shared" si="28"/>
        <v/>
      </c>
      <c r="E48" s="176" t="str">
        <f t="shared" si="29"/>
        <v/>
      </c>
      <c r="F48" s="176" t="str">
        <f t="shared" si="30"/>
        <v/>
      </c>
      <c r="G48" s="176" t="str">
        <f t="shared" si="31"/>
        <v/>
      </c>
      <c r="H48" s="176">
        <f t="shared" si="32"/>
        <v>107</v>
      </c>
      <c r="I48" s="176">
        <f t="shared" si="33"/>
        <v>-10107</v>
      </c>
      <c r="J48" s="176">
        <f t="shared" si="55"/>
        <v>1509</v>
      </c>
      <c r="K48" s="176">
        <f t="shared" si="56"/>
        <v>0</v>
      </c>
      <c r="L48" s="176">
        <f t="shared" si="57"/>
        <v>0</v>
      </c>
      <c r="M48" s="176">
        <f t="shared" si="83"/>
        <v>1509</v>
      </c>
      <c r="N48" s="176">
        <f t="shared" si="84"/>
        <v>0</v>
      </c>
      <c r="O48" s="176">
        <f t="shared" si="34"/>
        <v>-10107</v>
      </c>
      <c r="P48" s="176">
        <f t="shared" si="58"/>
        <v>1509</v>
      </c>
      <c r="Q48" s="176">
        <f t="shared" si="59"/>
        <v>0</v>
      </c>
      <c r="R48" s="176">
        <f t="shared" si="60"/>
        <v>0</v>
      </c>
      <c r="S48" s="176">
        <f t="shared" si="53"/>
        <v>1509</v>
      </c>
      <c r="T48" s="176">
        <f t="shared" si="85"/>
        <v>0</v>
      </c>
      <c r="U48" s="176">
        <f t="shared" si="35"/>
        <v>-10107</v>
      </c>
      <c r="V48" s="176">
        <f t="shared" si="61"/>
        <v>1509</v>
      </c>
      <c r="W48" s="176">
        <f t="shared" si="62"/>
        <v>0</v>
      </c>
      <c r="X48" s="176">
        <f t="shared" si="63"/>
        <v>0</v>
      </c>
      <c r="Y48" s="176">
        <f t="shared" si="86"/>
        <v>1509</v>
      </c>
      <c r="Z48" s="176">
        <f t="shared" si="87"/>
        <v>0</v>
      </c>
      <c r="AA48" s="176">
        <f t="shared" si="36"/>
        <v>-10107</v>
      </c>
      <c r="AB48" s="176">
        <f t="shared" si="64"/>
        <v>1509</v>
      </c>
      <c r="AC48" s="176">
        <f t="shared" si="65"/>
        <v>0</v>
      </c>
      <c r="AD48" s="176">
        <f t="shared" si="66"/>
        <v>0</v>
      </c>
      <c r="AE48" s="176">
        <f t="shared" si="37"/>
        <v>75</v>
      </c>
      <c r="AF48" s="176">
        <f t="shared" si="38"/>
        <v>-10075</v>
      </c>
      <c r="AG48" s="176">
        <f t="shared" si="67"/>
        <v>1509</v>
      </c>
      <c r="AH48" s="176">
        <f t="shared" si="68"/>
        <v>0</v>
      </c>
      <c r="AI48" s="176">
        <f t="shared" si="69"/>
        <v>0</v>
      </c>
      <c r="AJ48" s="176">
        <f t="shared" si="88"/>
        <v>1509</v>
      </c>
      <c r="AK48" s="176">
        <f t="shared" si="89"/>
        <v>0</v>
      </c>
      <c r="AL48" s="176">
        <f t="shared" si="39"/>
        <v>-10075</v>
      </c>
      <c r="AM48" s="176">
        <f t="shared" si="70"/>
        <v>1509</v>
      </c>
      <c r="AN48" s="176">
        <f t="shared" si="71"/>
        <v>0</v>
      </c>
      <c r="AO48" s="176">
        <f t="shared" si="72"/>
        <v>0</v>
      </c>
      <c r="AP48" s="176">
        <f t="shared" si="54"/>
        <v>1509</v>
      </c>
      <c r="AQ48" s="176">
        <f t="shared" si="90"/>
        <v>0</v>
      </c>
      <c r="AR48" s="176">
        <f t="shared" si="40"/>
        <v>-10075</v>
      </c>
      <c r="AS48" s="176">
        <f t="shared" si="73"/>
        <v>1509</v>
      </c>
      <c r="AT48" s="176">
        <f t="shared" si="74"/>
        <v>0</v>
      </c>
      <c r="AU48" s="176">
        <f t="shared" si="75"/>
        <v>0</v>
      </c>
      <c r="AV48" s="176">
        <f t="shared" si="91"/>
        <v>1509</v>
      </c>
      <c r="AW48" s="176">
        <f t="shared" si="92"/>
        <v>0</v>
      </c>
      <c r="AX48" s="176">
        <f t="shared" si="41"/>
        <v>-10075</v>
      </c>
      <c r="AY48" s="176">
        <f t="shared" si="76"/>
        <v>1509</v>
      </c>
      <c r="AZ48" s="176">
        <f t="shared" si="77"/>
        <v>0</v>
      </c>
      <c r="BA48" s="176">
        <f t="shared" si="78"/>
        <v>0</v>
      </c>
      <c r="BB48" s="176">
        <f t="shared" si="42"/>
        <v>133</v>
      </c>
      <c r="BC48" s="176">
        <f t="shared" si="79"/>
        <v>-133</v>
      </c>
      <c r="BD48" s="176">
        <f t="shared" si="80"/>
        <v>1509</v>
      </c>
      <c r="BE48" s="176">
        <f t="shared" si="81"/>
        <v>0</v>
      </c>
      <c r="BF48" s="176">
        <f t="shared" si="82"/>
        <v>0</v>
      </c>
      <c r="BG48" s="161">
        <v>0.42708333333333298</v>
      </c>
      <c r="BH48" s="639"/>
      <c r="BI48" s="640"/>
      <c r="BJ48" s="640"/>
      <c r="BK48" s="640"/>
      <c r="BL48" s="341"/>
      <c r="BM48" s="341"/>
      <c r="BN48" s="341"/>
      <c r="BO48" s="330"/>
      <c r="BP48" s="330"/>
      <c r="BT48" s="190"/>
      <c r="BU48" s="190"/>
      <c r="GR48" s="103"/>
      <c r="GS48" s="103"/>
      <c r="GT48" s="103"/>
      <c r="GU48" s="103"/>
      <c r="GV48" s="103"/>
    </row>
    <row r="49" spans="1:204" ht="10.050000000000001" customHeight="1" x14ac:dyDescent="0.25">
      <c r="A49" s="251">
        <v>0.4375</v>
      </c>
      <c r="B49" s="155">
        <f>'Warrant 2'!F56</f>
        <v>1532</v>
      </c>
      <c r="C49" s="155">
        <f>IF(OR('Input &amp; Findings'!$G$28='Drop Down Lists'!$E$2,'Input &amp; Findings'!$G$28='Drop Down Lists'!$E$4),SUM('Data with RTF'!F46,'Data with RTF'!T46),SUM('Data with RTF'!M46,'Data with RTF'!AA46))</f>
        <v>0</v>
      </c>
      <c r="D49" s="176" t="str">
        <f t="shared" si="28"/>
        <v/>
      </c>
      <c r="E49" s="176" t="str">
        <f t="shared" si="29"/>
        <v/>
      </c>
      <c r="F49" s="176" t="str">
        <f t="shared" si="30"/>
        <v/>
      </c>
      <c r="G49" s="176" t="str">
        <f t="shared" si="31"/>
        <v/>
      </c>
      <c r="H49" s="176">
        <f t="shared" si="32"/>
        <v>107</v>
      </c>
      <c r="I49" s="176">
        <f t="shared" si="33"/>
        <v>-10107</v>
      </c>
      <c r="J49" s="176">
        <f t="shared" si="55"/>
        <v>1532</v>
      </c>
      <c r="K49" s="176">
        <f t="shared" si="56"/>
        <v>0</v>
      </c>
      <c r="L49" s="176">
        <f t="shared" si="57"/>
        <v>0</v>
      </c>
      <c r="M49" s="176">
        <f t="shared" si="83"/>
        <v>1532</v>
      </c>
      <c r="N49" s="176">
        <f t="shared" si="84"/>
        <v>0</v>
      </c>
      <c r="O49" s="176">
        <f t="shared" si="34"/>
        <v>-10107</v>
      </c>
      <c r="P49" s="176">
        <f t="shared" si="58"/>
        <v>1532</v>
      </c>
      <c r="Q49" s="176">
        <f t="shared" si="59"/>
        <v>0</v>
      </c>
      <c r="R49" s="176">
        <f t="shared" si="60"/>
        <v>0</v>
      </c>
      <c r="S49" s="176">
        <f t="shared" si="53"/>
        <v>1532</v>
      </c>
      <c r="T49" s="176">
        <f t="shared" si="85"/>
        <v>0</v>
      </c>
      <c r="U49" s="176">
        <f t="shared" si="35"/>
        <v>-10107</v>
      </c>
      <c r="V49" s="176">
        <f t="shared" si="61"/>
        <v>1532</v>
      </c>
      <c r="W49" s="176">
        <f t="shared" si="62"/>
        <v>0</v>
      </c>
      <c r="X49" s="176">
        <f t="shared" si="63"/>
        <v>0</v>
      </c>
      <c r="Y49" s="176">
        <f t="shared" si="86"/>
        <v>1532</v>
      </c>
      <c r="Z49" s="176">
        <f t="shared" si="87"/>
        <v>0</v>
      </c>
      <c r="AA49" s="176">
        <f t="shared" si="36"/>
        <v>-10107</v>
      </c>
      <c r="AB49" s="176">
        <f t="shared" si="64"/>
        <v>1532</v>
      </c>
      <c r="AC49" s="176">
        <f t="shared" si="65"/>
        <v>0</v>
      </c>
      <c r="AD49" s="176">
        <f t="shared" si="66"/>
        <v>0</v>
      </c>
      <c r="AE49" s="176">
        <f t="shared" si="37"/>
        <v>75</v>
      </c>
      <c r="AF49" s="176">
        <f t="shared" si="38"/>
        <v>-10075</v>
      </c>
      <c r="AG49" s="176">
        <f t="shared" si="67"/>
        <v>1532</v>
      </c>
      <c r="AH49" s="176">
        <f t="shared" si="68"/>
        <v>0</v>
      </c>
      <c r="AI49" s="176">
        <f t="shared" si="69"/>
        <v>0</v>
      </c>
      <c r="AJ49" s="176">
        <f t="shared" si="88"/>
        <v>1532</v>
      </c>
      <c r="AK49" s="176">
        <f t="shared" si="89"/>
        <v>0</v>
      </c>
      <c r="AL49" s="176">
        <f t="shared" si="39"/>
        <v>-10075</v>
      </c>
      <c r="AM49" s="176">
        <f t="shared" si="70"/>
        <v>1532</v>
      </c>
      <c r="AN49" s="176">
        <f t="shared" si="71"/>
        <v>0</v>
      </c>
      <c r="AO49" s="176">
        <f t="shared" si="72"/>
        <v>0</v>
      </c>
      <c r="AP49" s="176">
        <f t="shared" si="54"/>
        <v>1532</v>
      </c>
      <c r="AQ49" s="176">
        <f t="shared" si="90"/>
        <v>0</v>
      </c>
      <c r="AR49" s="176">
        <f t="shared" si="40"/>
        <v>-10075</v>
      </c>
      <c r="AS49" s="176">
        <f t="shared" si="73"/>
        <v>1532</v>
      </c>
      <c r="AT49" s="176">
        <f t="shared" si="74"/>
        <v>0</v>
      </c>
      <c r="AU49" s="176">
        <f t="shared" si="75"/>
        <v>0</v>
      </c>
      <c r="AV49" s="176">
        <f t="shared" si="91"/>
        <v>1532</v>
      </c>
      <c r="AW49" s="176">
        <f t="shared" si="92"/>
        <v>0</v>
      </c>
      <c r="AX49" s="176">
        <f t="shared" si="41"/>
        <v>-10075</v>
      </c>
      <c r="AY49" s="176">
        <f t="shared" si="76"/>
        <v>1532</v>
      </c>
      <c r="AZ49" s="176">
        <f t="shared" si="77"/>
        <v>0</v>
      </c>
      <c r="BA49" s="176">
        <f t="shared" si="78"/>
        <v>0</v>
      </c>
      <c r="BB49" s="176">
        <f t="shared" si="42"/>
        <v>133</v>
      </c>
      <c r="BC49" s="176">
        <f t="shared" si="79"/>
        <v>-133</v>
      </c>
      <c r="BD49" s="176">
        <f t="shared" si="80"/>
        <v>1532</v>
      </c>
      <c r="BE49" s="176">
        <f t="shared" si="81"/>
        <v>0</v>
      </c>
      <c r="BF49" s="176">
        <f t="shared" si="82"/>
        <v>0</v>
      </c>
      <c r="BG49" s="161">
        <v>0.4375</v>
      </c>
      <c r="BH49" s="639"/>
      <c r="BI49" s="640"/>
      <c r="BJ49" s="640"/>
      <c r="BK49" s="640"/>
      <c r="BL49" s="282"/>
      <c r="BM49" s="341"/>
      <c r="BN49" s="341"/>
      <c r="BO49" s="330"/>
      <c r="BP49" s="330"/>
      <c r="BT49" s="190"/>
      <c r="BU49" s="190"/>
      <c r="GR49" s="103"/>
      <c r="GS49" s="103"/>
      <c r="GT49" s="103"/>
      <c r="GU49" s="103"/>
      <c r="GV49" s="103"/>
    </row>
    <row r="50" spans="1:204" ht="10.050000000000001" customHeight="1" x14ac:dyDescent="0.25">
      <c r="A50" s="251">
        <v>0.44791666666666702</v>
      </c>
      <c r="B50" s="155">
        <f>'Warrant 2'!F57</f>
        <v>1602</v>
      </c>
      <c r="C50" s="155">
        <f>IF(OR('Input &amp; Findings'!$G$28='Drop Down Lists'!$E$2,'Input &amp; Findings'!$G$28='Drop Down Lists'!$E$4),SUM('Data with RTF'!F47,'Data with RTF'!T47),SUM('Data with RTF'!M47,'Data with RTF'!AA47))</f>
        <v>0</v>
      </c>
      <c r="D50" s="176" t="str">
        <f t="shared" si="28"/>
        <v/>
      </c>
      <c r="E50" s="176" t="str">
        <f t="shared" si="29"/>
        <v/>
      </c>
      <c r="F50" s="176" t="str">
        <f t="shared" si="30"/>
        <v/>
      </c>
      <c r="G50" s="176" t="str">
        <f t="shared" si="31"/>
        <v/>
      </c>
      <c r="H50" s="176">
        <f t="shared" si="32"/>
        <v>107</v>
      </c>
      <c r="I50" s="176">
        <f t="shared" si="33"/>
        <v>-10107</v>
      </c>
      <c r="J50" s="176">
        <f t="shared" si="55"/>
        <v>1602</v>
      </c>
      <c r="K50" s="176">
        <f t="shared" si="56"/>
        <v>0</v>
      </c>
      <c r="L50" s="176">
        <f t="shared" si="57"/>
        <v>0</v>
      </c>
      <c r="M50" s="176">
        <f t="shared" si="83"/>
        <v>1602</v>
      </c>
      <c r="N50" s="176">
        <f t="shared" si="84"/>
        <v>0</v>
      </c>
      <c r="O50" s="176">
        <f t="shared" si="34"/>
        <v>-10107</v>
      </c>
      <c r="P50" s="176">
        <f t="shared" si="58"/>
        <v>1602</v>
      </c>
      <c r="Q50" s="176">
        <f t="shared" si="59"/>
        <v>0</v>
      </c>
      <c r="R50" s="176">
        <f t="shared" si="60"/>
        <v>0</v>
      </c>
      <c r="S50" s="176">
        <f t="shared" si="53"/>
        <v>1602</v>
      </c>
      <c r="T50" s="176">
        <f t="shared" si="85"/>
        <v>0</v>
      </c>
      <c r="U50" s="176">
        <f t="shared" si="35"/>
        <v>-10107</v>
      </c>
      <c r="V50" s="176">
        <f t="shared" si="61"/>
        <v>1602</v>
      </c>
      <c r="W50" s="176">
        <f t="shared" si="62"/>
        <v>0</v>
      </c>
      <c r="X50" s="176">
        <f t="shared" si="63"/>
        <v>0</v>
      </c>
      <c r="Y50" s="176">
        <f t="shared" si="86"/>
        <v>1602</v>
      </c>
      <c r="Z50" s="176">
        <f t="shared" si="87"/>
        <v>0</v>
      </c>
      <c r="AA50" s="176">
        <f t="shared" si="36"/>
        <v>-10107</v>
      </c>
      <c r="AB50" s="176">
        <f t="shared" si="64"/>
        <v>1602</v>
      </c>
      <c r="AC50" s="176">
        <f t="shared" si="65"/>
        <v>0</v>
      </c>
      <c r="AD50" s="176">
        <f t="shared" si="66"/>
        <v>0</v>
      </c>
      <c r="AE50" s="176">
        <f t="shared" si="37"/>
        <v>75</v>
      </c>
      <c r="AF50" s="176">
        <f t="shared" si="38"/>
        <v>-10075</v>
      </c>
      <c r="AG50" s="176">
        <f t="shared" si="67"/>
        <v>1602</v>
      </c>
      <c r="AH50" s="176">
        <f t="shared" si="68"/>
        <v>0</v>
      </c>
      <c r="AI50" s="176">
        <f t="shared" si="69"/>
        <v>0</v>
      </c>
      <c r="AJ50" s="176">
        <f t="shared" si="88"/>
        <v>1602</v>
      </c>
      <c r="AK50" s="176">
        <f t="shared" si="89"/>
        <v>0</v>
      </c>
      <c r="AL50" s="176">
        <f t="shared" si="39"/>
        <v>-10075</v>
      </c>
      <c r="AM50" s="176">
        <f t="shared" si="70"/>
        <v>1602</v>
      </c>
      <c r="AN50" s="176">
        <f t="shared" si="71"/>
        <v>0</v>
      </c>
      <c r="AO50" s="176">
        <f t="shared" si="72"/>
        <v>0</v>
      </c>
      <c r="AP50" s="176">
        <f t="shared" si="54"/>
        <v>1602</v>
      </c>
      <c r="AQ50" s="176">
        <f t="shared" si="90"/>
        <v>0</v>
      </c>
      <c r="AR50" s="176">
        <f t="shared" si="40"/>
        <v>-10075</v>
      </c>
      <c r="AS50" s="176">
        <f t="shared" si="73"/>
        <v>1602</v>
      </c>
      <c r="AT50" s="176">
        <f t="shared" si="74"/>
        <v>0</v>
      </c>
      <c r="AU50" s="176">
        <f t="shared" si="75"/>
        <v>0</v>
      </c>
      <c r="AV50" s="176">
        <f t="shared" si="91"/>
        <v>1602</v>
      </c>
      <c r="AW50" s="176">
        <f t="shared" si="92"/>
        <v>0</v>
      </c>
      <c r="AX50" s="176">
        <f t="shared" si="41"/>
        <v>-10075</v>
      </c>
      <c r="AY50" s="176">
        <f t="shared" si="76"/>
        <v>1602</v>
      </c>
      <c r="AZ50" s="176">
        <f t="shared" si="77"/>
        <v>0</v>
      </c>
      <c r="BA50" s="176">
        <f t="shared" si="78"/>
        <v>0</v>
      </c>
      <c r="BB50" s="176">
        <f t="shared" si="42"/>
        <v>133</v>
      </c>
      <c r="BC50" s="176">
        <f t="shared" si="79"/>
        <v>-133</v>
      </c>
      <c r="BD50" s="176">
        <f t="shared" si="80"/>
        <v>1602</v>
      </c>
      <c r="BE50" s="176">
        <f t="shared" si="81"/>
        <v>0</v>
      </c>
      <c r="BF50" s="176">
        <f t="shared" si="82"/>
        <v>0</v>
      </c>
      <c r="BG50" s="161">
        <v>0.44791666666666702</v>
      </c>
      <c r="BH50" s="324"/>
      <c r="BI50" s="324"/>
      <c r="BJ50" s="103"/>
      <c r="BK50" s="103"/>
      <c r="BL50" s="301"/>
      <c r="BM50" s="341"/>
      <c r="BN50" s="341"/>
      <c r="BO50" s="330"/>
      <c r="BP50" s="330"/>
      <c r="GR50" s="103"/>
      <c r="GS50" s="103"/>
      <c r="GT50" s="103"/>
      <c r="GU50" s="103"/>
      <c r="GV50" s="103"/>
    </row>
    <row r="51" spans="1:204" ht="10.050000000000001" customHeight="1" x14ac:dyDescent="0.25">
      <c r="A51" s="251">
        <v>0.45833333333333298</v>
      </c>
      <c r="B51" s="155">
        <f>'Warrant 2'!F58</f>
        <v>1673</v>
      </c>
      <c r="C51" s="155">
        <f>IF(OR('Input &amp; Findings'!$G$28='Drop Down Lists'!$E$2,'Input &amp; Findings'!$G$28='Drop Down Lists'!$E$4),SUM('Data with RTF'!F48,'Data with RTF'!T48),SUM('Data with RTF'!M48,'Data with RTF'!AA48))</f>
        <v>0</v>
      </c>
      <c r="D51" s="176" t="str">
        <f t="shared" si="28"/>
        <v/>
      </c>
      <c r="E51" s="176" t="str">
        <f t="shared" si="29"/>
        <v/>
      </c>
      <c r="F51" s="176" t="str">
        <f t="shared" si="30"/>
        <v/>
      </c>
      <c r="G51" s="176" t="str">
        <f t="shared" si="31"/>
        <v/>
      </c>
      <c r="H51" s="176">
        <f t="shared" si="32"/>
        <v>107</v>
      </c>
      <c r="I51" s="176">
        <f t="shared" si="33"/>
        <v>-10107</v>
      </c>
      <c r="J51" s="176">
        <f t="shared" si="55"/>
        <v>1673</v>
      </c>
      <c r="K51" s="176">
        <f t="shared" si="56"/>
        <v>0</v>
      </c>
      <c r="L51" s="176">
        <f t="shared" si="57"/>
        <v>0</v>
      </c>
      <c r="M51" s="176">
        <f t="shared" si="83"/>
        <v>1673</v>
      </c>
      <c r="N51" s="176">
        <f t="shared" si="84"/>
        <v>0</v>
      </c>
      <c r="O51" s="176">
        <f t="shared" si="34"/>
        <v>-10107</v>
      </c>
      <c r="P51" s="176">
        <f t="shared" si="58"/>
        <v>1673</v>
      </c>
      <c r="Q51" s="176">
        <f t="shared" si="59"/>
        <v>0</v>
      </c>
      <c r="R51" s="176">
        <f t="shared" si="60"/>
        <v>0</v>
      </c>
      <c r="S51" s="176">
        <f t="shared" si="53"/>
        <v>1673</v>
      </c>
      <c r="T51" s="176">
        <f t="shared" si="85"/>
        <v>0</v>
      </c>
      <c r="U51" s="176">
        <f t="shared" si="35"/>
        <v>-10107</v>
      </c>
      <c r="V51" s="176">
        <f t="shared" si="61"/>
        <v>1673</v>
      </c>
      <c r="W51" s="176">
        <f t="shared" si="62"/>
        <v>0</v>
      </c>
      <c r="X51" s="176">
        <f t="shared" si="63"/>
        <v>0</v>
      </c>
      <c r="Y51" s="176">
        <f t="shared" si="86"/>
        <v>1673</v>
      </c>
      <c r="Z51" s="176">
        <f t="shared" si="87"/>
        <v>0</v>
      </c>
      <c r="AA51" s="176">
        <f t="shared" si="36"/>
        <v>-10107</v>
      </c>
      <c r="AB51" s="176">
        <f t="shared" si="64"/>
        <v>1673</v>
      </c>
      <c r="AC51" s="176">
        <f t="shared" si="65"/>
        <v>0</v>
      </c>
      <c r="AD51" s="176">
        <f t="shared" si="66"/>
        <v>0</v>
      </c>
      <c r="AE51" s="176">
        <f t="shared" si="37"/>
        <v>75</v>
      </c>
      <c r="AF51" s="176">
        <f t="shared" si="38"/>
        <v>-10075</v>
      </c>
      <c r="AG51" s="176">
        <f t="shared" si="67"/>
        <v>1673</v>
      </c>
      <c r="AH51" s="176">
        <f t="shared" si="68"/>
        <v>0</v>
      </c>
      <c r="AI51" s="176">
        <f t="shared" si="69"/>
        <v>0</v>
      </c>
      <c r="AJ51" s="176">
        <f t="shared" si="88"/>
        <v>1673</v>
      </c>
      <c r="AK51" s="176">
        <f t="shared" si="89"/>
        <v>0</v>
      </c>
      <c r="AL51" s="176">
        <f t="shared" si="39"/>
        <v>-10075</v>
      </c>
      <c r="AM51" s="176">
        <f t="shared" si="70"/>
        <v>1673</v>
      </c>
      <c r="AN51" s="176">
        <f t="shared" si="71"/>
        <v>0</v>
      </c>
      <c r="AO51" s="176">
        <f t="shared" si="72"/>
        <v>0</v>
      </c>
      <c r="AP51" s="176">
        <f t="shared" si="54"/>
        <v>1673</v>
      </c>
      <c r="AQ51" s="176">
        <f t="shared" si="90"/>
        <v>0</v>
      </c>
      <c r="AR51" s="176">
        <f t="shared" si="40"/>
        <v>-10075</v>
      </c>
      <c r="AS51" s="176">
        <f t="shared" si="73"/>
        <v>1673</v>
      </c>
      <c r="AT51" s="176">
        <f t="shared" si="74"/>
        <v>0</v>
      </c>
      <c r="AU51" s="176">
        <f t="shared" si="75"/>
        <v>0</v>
      </c>
      <c r="AV51" s="176">
        <f t="shared" si="91"/>
        <v>1673</v>
      </c>
      <c r="AW51" s="176">
        <f t="shared" si="92"/>
        <v>0</v>
      </c>
      <c r="AX51" s="176">
        <f t="shared" si="41"/>
        <v>-10075</v>
      </c>
      <c r="AY51" s="176">
        <f t="shared" si="76"/>
        <v>1673</v>
      </c>
      <c r="AZ51" s="176">
        <f t="shared" si="77"/>
        <v>0</v>
      </c>
      <c r="BA51" s="176">
        <f t="shared" si="78"/>
        <v>0</v>
      </c>
      <c r="BB51" s="176">
        <f t="shared" si="42"/>
        <v>133</v>
      </c>
      <c r="BC51" s="176">
        <f t="shared" si="79"/>
        <v>-133</v>
      </c>
      <c r="BD51" s="176">
        <f t="shared" si="80"/>
        <v>1673</v>
      </c>
      <c r="BE51" s="176">
        <f t="shared" si="81"/>
        <v>0</v>
      </c>
      <c r="BF51" s="176">
        <f t="shared" si="82"/>
        <v>0</v>
      </c>
      <c r="BG51" s="161">
        <v>0.45833333333333298</v>
      </c>
      <c r="BH51" s="330"/>
      <c r="BI51" s="333"/>
      <c r="BJ51" s="330"/>
      <c r="BK51" s="337" t="s">
        <v>555</v>
      </c>
      <c r="BL51" s="285" t="str">
        <f>IF(AND(BL4="No",BL81&gt;3),"Yes",IF(AND(BL4="Yes",BL85&gt;3),"Yes","No"))</f>
        <v>No</v>
      </c>
      <c r="BM51" s="341"/>
      <c r="BN51" s="341"/>
      <c r="BO51" s="330"/>
      <c r="BP51" s="330"/>
      <c r="GR51" s="103"/>
      <c r="GS51" s="103"/>
      <c r="GT51" s="103"/>
      <c r="GU51" s="103"/>
      <c r="GV51" s="103"/>
    </row>
    <row r="52" spans="1:204" ht="10.050000000000001" customHeight="1" x14ac:dyDescent="0.25">
      <c r="A52" s="251">
        <v>0.46875</v>
      </c>
      <c r="B52" s="155">
        <f>'Warrant 2'!F59</f>
        <v>1710</v>
      </c>
      <c r="C52" s="155">
        <f>IF(OR('Input &amp; Findings'!$G$28='Drop Down Lists'!$E$2,'Input &amp; Findings'!$G$28='Drop Down Lists'!$E$4),SUM('Data with RTF'!F49,'Data with RTF'!T49),SUM('Data with RTF'!M49,'Data with RTF'!AA49))</f>
        <v>0</v>
      </c>
      <c r="D52" s="176" t="str">
        <f t="shared" si="28"/>
        <v/>
      </c>
      <c r="E52" s="176" t="str">
        <f t="shared" si="29"/>
        <v/>
      </c>
      <c r="F52" s="176" t="str">
        <f t="shared" si="30"/>
        <v/>
      </c>
      <c r="G52" s="176" t="str">
        <f t="shared" si="31"/>
        <v/>
      </c>
      <c r="H52" s="176">
        <f t="shared" si="32"/>
        <v>107</v>
      </c>
      <c r="I52" s="176">
        <f t="shared" si="33"/>
        <v>-10107</v>
      </c>
      <c r="J52" s="176">
        <f t="shared" si="55"/>
        <v>1710</v>
      </c>
      <c r="K52" s="176">
        <f t="shared" si="56"/>
        <v>0</v>
      </c>
      <c r="L52" s="176">
        <f t="shared" si="57"/>
        <v>0</v>
      </c>
      <c r="M52" s="176">
        <f t="shared" si="83"/>
        <v>1710</v>
      </c>
      <c r="N52" s="176">
        <f t="shared" si="84"/>
        <v>0</v>
      </c>
      <c r="O52" s="176">
        <f t="shared" si="34"/>
        <v>-10107</v>
      </c>
      <c r="P52" s="176">
        <f t="shared" si="58"/>
        <v>1710</v>
      </c>
      <c r="Q52" s="176">
        <f t="shared" si="59"/>
        <v>0</v>
      </c>
      <c r="R52" s="176">
        <f t="shared" si="60"/>
        <v>0</v>
      </c>
      <c r="S52" s="176">
        <f t="shared" ref="S52:S61" si="93">IF(AND(Q52=0,Q53=0,Q54=0,Q55=0,Q51=0,Q50=0,Q49=0),M52,"")</f>
        <v>1710</v>
      </c>
      <c r="T52" s="176">
        <f t="shared" ref="T52:T61" si="94">IF(AND(Q52=0,Q53=0,Q54=0,Q55=0,Q51=0,Q50=0,Q49=0),N52,"")</f>
        <v>0</v>
      </c>
      <c r="U52" s="176">
        <f t="shared" si="35"/>
        <v>-10107</v>
      </c>
      <c r="V52" s="176">
        <f t="shared" si="61"/>
        <v>1710</v>
      </c>
      <c r="W52" s="176">
        <f t="shared" si="62"/>
        <v>0</v>
      </c>
      <c r="X52" s="176">
        <f t="shared" si="63"/>
        <v>0</v>
      </c>
      <c r="Y52" s="176">
        <f t="shared" ref="Y52:Y61" si="95">IF(AND(W52=0,W53=0,W54=0,W55=0,W51=0,W50=0,W49=0),S52,"")</f>
        <v>1710</v>
      </c>
      <c r="Z52" s="176">
        <f t="shared" ref="Z52:Z61" si="96">IF(AND(W52=0,W53=0,W54=0,W55=0,W51=0,W50=0,W49=0),T52,"")</f>
        <v>0</v>
      </c>
      <c r="AA52" s="176">
        <f t="shared" si="36"/>
        <v>-10107</v>
      </c>
      <c r="AB52" s="176">
        <f t="shared" si="64"/>
        <v>1710</v>
      </c>
      <c r="AC52" s="176">
        <f t="shared" si="65"/>
        <v>0</v>
      </c>
      <c r="AD52" s="176">
        <f t="shared" si="66"/>
        <v>0</v>
      </c>
      <c r="AE52" s="176">
        <f t="shared" si="37"/>
        <v>75</v>
      </c>
      <c r="AF52" s="176">
        <f t="shared" si="38"/>
        <v>-10075</v>
      </c>
      <c r="AG52" s="176">
        <f t="shared" si="67"/>
        <v>1710</v>
      </c>
      <c r="AH52" s="176">
        <f t="shared" si="68"/>
        <v>0</v>
      </c>
      <c r="AI52" s="176">
        <f t="shared" si="69"/>
        <v>0</v>
      </c>
      <c r="AJ52" s="176">
        <f t="shared" si="88"/>
        <v>1710</v>
      </c>
      <c r="AK52" s="176">
        <f t="shared" si="89"/>
        <v>0</v>
      </c>
      <c r="AL52" s="176">
        <f t="shared" si="39"/>
        <v>-10075</v>
      </c>
      <c r="AM52" s="176">
        <f t="shared" si="70"/>
        <v>1710</v>
      </c>
      <c r="AN52" s="176">
        <f t="shared" si="71"/>
        <v>0</v>
      </c>
      <c r="AO52" s="176">
        <f t="shared" si="72"/>
        <v>0</v>
      </c>
      <c r="AP52" s="176">
        <f t="shared" ref="AP52:AP61" si="97">IF(AND(AN52=0,AN53=0,AN54=0,AN55=0,AN51=0,AN50=0,AN49=0),AJ52,"")</f>
        <v>1710</v>
      </c>
      <c r="AQ52" s="176">
        <f t="shared" ref="AQ52:AQ61" si="98">IF(AND(AN52=0,AN53=0,AN54=0,AN55=0,AN51=0,AN50=0,AN49=0),AK52,"")</f>
        <v>0</v>
      </c>
      <c r="AR52" s="176">
        <f t="shared" si="40"/>
        <v>-10075</v>
      </c>
      <c r="AS52" s="176">
        <f t="shared" si="73"/>
        <v>1710</v>
      </c>
      <c r="AT52" s="176">
        <f t="shared" si="74"/>
        <v>0</v>
      </c>
      <c r="AU52" s="176">
        <f t="shared" si="75"/>
        <v>0</v>
      </c>
      <c r="AV52" s="176">
        <f t="shared" ref="AV52:AV61" si="99">IF(AND(AT52=0,AT53=0,AT54=0,AT55=0,AT51=0,AT50=0,AT49=0),AP52,"")</f>
        <v>1710</v>
      </c>
      <c r="AW52" s="176">
        <f t="shared" ref="AW52:AW61" si="100">IF(AND(AT52=0,AT53=0,AT54=0,AT55=0,AT51=0,AT50=0,AT49=0),AQ52,"")</f>
        <v>0</v>
      </c>
      <c r="AX52" s="176">
        <f t="shared" si="41"/>
        <v>-10075</v>
      </c>
      <c r="AY52" s="176">
        <f t="shared" si="76"/>
        <v>1710</v>
      </c>
      <c r="AZ52" s="176">
        <f t="shared" si="77"/>
        <v>0</v>
      </c>
      <c r="BA52" s="176">
        <f t="shared" si="78"/>
        <v>0</v>
      </c>
      <c r="BB52" s="176">
        <f t="shared" si="42"/>
        <v>133</v>
      </c>
      <c r="BC52" s="176">
        <f t="shared" si="79"/>
        <v>-133</v>
      </c>
      <c r="BD52" s="176">
        <f t="shared" si="80"/>
        <v>1710</v>
      </c>
      <c r="BE52" s="176">
        <f t="shared" si="81"/>
        <v>0</v>
      </c>
      <c r="BF52" s="176">
        <f t="shared" si="82"/>
        <v>0</v>
      </c>
      <c r="BG52" s="161">
        <v>0.46875</v>
      </c>
      <c r="BH52" s="333"/>
      <c r="BI52" s="333"/>
      <c r="BJ52" s="330"/>
      <c r="BK52" s="338"/>
      <c r="BL52" s="301"/>
      <c r="BM52" s="341"/>
      <c r="BN52" s="341"/>
      <c r="BO52" s="330"/>
      <c r="BP52" s="330"/>
      <c r="GR52" s="103"/>
      <c r="GS52" s="103"/>
      <c r="GT52" s="103"/>
      <c r="GU52" s="103"/>
      <c r="GV52" s="103"/>
    </row>
    <row r="53" spans="1:204" ht="10.050000000000001" customHeight="1" x14ac:dyDescent="0.25">
      <c r="A53" s="251">
        <v>0.47916666666666702</v>
      </c>
      <c r="B53" s="155">
        <f>'Warrant 2'!F60</f>
        <v>1740</v>
      </c>
      <c r="C53" s="155">
        <f>IF(OR('Input &amp; Findings'!$G$28='Drop Down Lists'!$E$2,'Input &amp; Findings'!$G$28='Drop Down Lists'!$E$4),SUM('Data with RTF'!F50,'Data with RTF'!T50),SUM('Data with RTF'!M50,'Data with RTF'!AA50))</f>
        <v>0</v>
      </c>
      <c r="D53" s="176" t="str">
        <f t="shared" si="28"/>
        <v/>
      </c>
      <c r="E53" s="176" t="str">
        <f t="shared" si="29"/>
        <v/>
      </c>
      <c r="F53" s="176" t="str">
        <f t="shared" si="30"/>
        <v/>
      </c>
      <c r="G53" s="176" t="str">
        <f t="shared" si="31"/>
        <v/>
      </c>
      <c r="H53" s="176">
        <f t="shared" si="32"/>
        <v>107</v>
      </c>
      <c r="I53" s="176">
        <f t="shared" si="33"/>
        <v>-10107</v>
      </c>
      <c r="J53" s="176">
        <f t="shared" si="55"/>
        <v>1740</v>
      </c>
      <c r="K53" s="176">
        <f t="shared" si="56"/>
        <v>0</v>
      </c>
      <c r="L53" s="176">
        <f t="shared" si="57"/>
        <v>0</v>
      </c>
      <c r="M53" s="176">
        <f t="shared" si="83"/>
        <v>1740</v>
      </c>
      <c r="N53" s="176">
        <f t="shared" si="84"/>
        <v>0</v>
      </c>
      <c r="O53" s="176">
        <f t="shared" si="34"/>
        <v>-10107</v>
      </c>
      <c r="P53" s="176">
        <f t="shared" si="58"/>
        <v>1740</v>
      </c>
      <c r="Q53" s="176">
        <f t="shared" si="59"/>
        <v>0</v>
      </c>
      <c r="R53" s="176">
        <f t="shared" si="60"/>
        <v>0</v>
      </c>
      <c r="S53" s="176">
        <f t="shared" si="93"/>
        <v>1740</v>
      </c>
      <c r="T53" s="176">
        <f t="shared" si="94"/>
        <v>0</v>
      </c>
      <c r="U53" s="176">
        <f t="shared" si="35"/>
        <v>-10107</v>
      </c>
      <c r="V53" s="176">
        <f t="shared" si="61"/>
        <v>1740</v>
      </c>
      <c r="W53" s="176">
        <f t="shared" si="62"/>
        <v>0</v>
      </c>
      <c r="X53" s="176">
        <f t="shared" si="63"/>
        <v>0</v>
      </c>
      <c r="Y53" s="176">
        <f t="shared" si="95"/>
        <v>1740</v>
      </c>
      <c r="Z53" s="176">
        <f t="shared" si="96"/>
        <v>0</v>
      </c>
      <c r="AA53" s="176">
        <f t="shared" si="36"/>
        <v>-10107</v>
      </c>
      <c r="AB53" s="176">
        <f t="shared" si="64"/>
        <v>1740</v>
      </c>
      <c r="AC53" s="176">
        <f t="shared" si="65"/>
        <v>0</v>
      </c>
      <c r="AD53" s="176">
        <f t="shared" si="66"/>
        <v>0</v>
      </c>
      <c r="AE53" s="176">
        <f t="shared" si="37"/>
        <v>75</v>
      </c>
      <c r="AF53" s="176">
        <f t="shared" si="38"/>
        <v>-10075</v>
      </c>
      <c r="AG53" s="176">
        <f t="shared" si="67"/>
        <v>1740</v>
      </c>
      <c r="AH53" s="176">
        <f t="shared" si="68"/>
        <v>0</v>
      </c>
      <c r="AI53" s="176">
        <f t="shared" si="69"/>
        <v>0</v>
      </c>
      <c r="AJ53" s="176">
        <f t="shared" si="88"/>
        <v>1740</v>
      </c>
      <c r="AK53" s="176">
        <f t="shared" si="89"/>
        <v>0</v>
      </c>
      <c r="AL53" s="176">
        <f t="shared" si="39"/>
        <v>-10075</v>
      </c>
      <c r="AM53" s="176">
        <f t="shared" si="70"/>
        <v>1740</v>
      </c>
      <c r="AN53" s="176">
        <f t="shared" si="71"/>
        <v>0</v>
      </c>
      <c r="AO53" s="176">
        <f t="shared" si="72"/>
        <v>0</v>
      </c>
      <c r="AP53" s="176">
        <f t="shared" si="97"/>
        <v>1740</v>
      </c>
      <c r="AQ53" s="176">
        <f t="shared" si="98"/>
        <v>0</v>
      </c>
      <c r="AR53" s="176">
        <f t="shared" si="40"/>
        <v>-10075</v>
      </c>
      <c r="AS53" s="176">
        <f t="shared" si="73"/>
        <v>1740</v>
      </c>
      <c r="AT53" s="176">
        <f t="shared" si="74"/>
        <v>0</v>
      </c>
      <c r="AU53" s="176">
        <f t="shared" si="75"/>
        <v>0</v>
      </c>
      <c r="AV53" s="176">
        <f t="shared" si="99"/>
        <v>1740</v>
      </c>
      <c r="AW53" s="176">
        <f t="shared" si="100"/>
        <v>0</v>
      </c>
      <c r="AX53" s="176">
        <f t="shared" si="41"/>
        <v>-10075</v>
      </c>
      <c r="AY53" s="176">
        <f t="shared" si="76"/>
        <v>1740</v>
      </c>
      <c r="AZ53" s="176">
        <f t="shared" si="77"/>
        <v>0</v>
      </c>
      <c r="BA53" s="176">
        <f t="shared" si="78"/>
        <v>0</v>
      </c>
      <c r="BB53" s="176">
        <f t="shared" si="42"/>
        <v>133</v>
      </c>
      <c r="BC53" s="176">
        <f t="shared" si="79"/>
        <v>-133</v>
      </c>
      <c r="BD53" s="176">
        <f t="shared" si="80"/>
        <v>1740</v>
      </c>
      <c r="BE53" s="176">
        <f t="shared" si="81"/>
        <v>0</v>
      </c>
      <c r="BF53" s="176">
        <f t="shared" si="82"/>
        <v>0</v>
      </c>
      <c r="BG53" s="161">
        <v>0.47916666666666702</v>
      </c>
      <c r="BH53" s="330"/>
      <c r="BI53" s="333"/>
      <c r="BJ53" s="330"/>
      <c r="BK53" s="337" t="s">
        <v>516</v>
      </c>
      <c r="BL53" s="285" t="str">
        <f>IF(AND(COUNTIF(F7:F102,"Met")&gt;=1,BL4="No"),"Yes",IF(AND(COUNTIF(G27:G94,"Met"),BL4="Yes"),"Yes","No"))</f>
        <v>No</v>
      </c>
      <c r="BM53" s="352"/>
      <c r="BN53" s="352"/>
      <c r="BO53" s="339"/>
      <c r="BP53" s="330"/>
      <c r="GR53" s="103"/>
      <c r="GS53" s="103"/>
      <c r="GT53" s="103"/>
      <c r="GU53" s="103"/>
      <c r="GV53" s="103"/>
    </row>
    <row r="54" spans="1:204" ht="10.050000000000001" customHeight="1" x14ac:dyDescent="0.25">
      <c r="A54" s="251">
        <v>0.48958333333333298</v>
      </c>
      <c r="B54" s="155">
        <f>'Warrant 2'!F61</f>
        <v>1752</v>
      </c>
      <c r="C54" s="155">
        <f>IF(OR('Input &amp; Findings'!$G$28='Drop Down Lists'!$E$2,'Input &amp; Findings'!$G$28='Drop Down Lists'!$E$4),SUM('Data with RTF'!F51,'Data with RTF'!T51),SUM('Data with RTF'!M51,'Data with RTF'!AA51))</f>
        <v>0</v>
      </c>
      <c r="D54" s="176" t="str">
        <f t="shared" si="28"/>
        <v/>
      </c>
      <c r="E54" s="176" t="str">
        <f t="shared" si="29"/>
        <v/>
      </c>
      <c r="F54" s="176" t="str">
        <f t="shared" si="30"/>
        <v/>
      </c>
      <c r="G54" s="176" t="str">
        <f t="shared" si="31"/>
        <v/>
      </c>
      <c r="H54" s="176">
        <f t="shared" si="32"/>
        <v>107</v>
      </c>
      <c r="I54" s="176">
        <f t="shared" si="33"/>
        <v>-10107</v>
      </c>
      <c r="J54" s="176">
        <f t="shared" si="55"/>
        <v>1752</v>
      </c>
      <c r="K54" s="176">
        <f t="shared" si="56"/>
        <v>0</v>
      </c>
      <c r="L54" s="176">
        <f t="shared" si="57"/>
        <v>0</v>
      </c>
      <c r="M54" s="176">
        <f t="shared" si="83"/>
        <v>1752</v>
      </c>
      <c r="N54" s="176">
        <f t="shared" si="84"/>
        <v>0</v>
      </c>
      <c r="O54" s="176">
        <f t="shared" si="34"/>
        <v>-10107</v>
      </c>
      <c r="P54" s="176">
        <f t="shared" si="58"/>
        <v>1752</v>
      </c>
      <c r="Q54" s="176">
        <f t="shared" si="59"/>
        <v>0</v>
      </c>
      <c r="R54" s="176">
        <f t="shared" si="60"/>
        <v>0</v>
      </c>
      <c r="S54" s="176">
        <f t="shared" si="93"/>
        <v>1752</v>
      </c>
      <c r="T54" s="176">
        <f t="shared" si="94"/>
        <v>0</v>
      </c>
      <c r="U54" s="176">
        <f t="shared" si="35"/>
        <v>-10107</v>
      </c>
      <c r="V54" s="176">
        <f t="shared" si="61"/>
        <v>1752</v>
      </c>
      <c r="W54" s="176">
        <f t="shared" si="62"/>
        <v>0</v>
      </c>
      <c r="X54" s="176">
        <f t="shared" si="63"/>
        <v>0</v>
      </c>
      <c r="Y54" s="176">
        <f t="shared" si="95"/>
        <v>1752</v>
      </c>
      <c r="Z54" s="176">
        <f t="shared" si="96"/>
        <v>0</v>
      </c>
      <c r="AA54" s="176">
        <f t="shared" si="36"/>
        <v>-10107</v>
      </c>
      <c r="AB54" s="176">
        <f t="shared" si="64"/>
        <v>1752</v>
      </c>
      <c r="AC54" s="176">
        <f t="shared" si="65"/>
        <v>0</v>
      </c>
      <c r="AD54" s="176">
        <f t="shared" si="66"/>
        <v>0</v>
      </c>
      <c r="AE54" s="176">
        <f t="shared" si="37"/>
        <v>75</v>
      </c>
      <c r="AF54" s="176">
        <f t="shared" si="38"/>
        <v>-10075</v>
      </c>
      <c r="AG54" s="176">
        <f t="shared" si="67"/>
        <v>1752</v>
      </c>
      <c r="AH54" s="176">
        <f t="shared" si="68"/>
        <v>0</v>
      </c>
      <c r="AI54" s="176">
        <f t="shared" si="69"/>
        <v>0</v>
      </c>
      <c r="AJ54" s="176">
        <f t="shared" si="88"/>
        <v>1752</v>
      </c>
      <c r="AK54" s="176">
        <f t="shared" si="89"/>
        <v>0</v>
      </c>
      <c r="AL54" s="176">
        <f t="shared" si="39"/>
        <v>-10075</v>
      </c>
      <c r="AM54" s="176">
        <f t="shared" si="70"/>
        <v>1752</v>
      </c>
      <c r="AN54" s="176">
        <f t="shared" si="71"/>
        <v>0</v>
      </c>
      <c r="AO54" s="176">
        <f t="shared" si="72"/>
        <v>0</v>
      </c>
      <c r="AP54" s="176">
        <f t="shared" si="97"/>
        <v>1752</v>
      </c>
      <c r="AQ54" s="176">
        <f t="shared" si="98"/>
        <v>0</v>
      </c>
      <c r="AR54" s="176">
        <f t="shared" si="40"/>
        <v>-10075</v>
      </c>
      <c r="AS54" s="176">
        <f t="shared" si="73"/>
        <v>1752</v>
      </c>
      <c r="AT54" s="176">
        <f t="shared" si="74"/>
        <v>0</v>
      </c>
      <c r="AU54" s="176">
        <f t="shared" si="75"/>
        <v>0</v>
      </c>
      <c r="AV54" s="176">
        <f t="shared" si="99"/>
        <v>1752</v>
      </c>
      <c r="AW54" s="176">
        <f t="shared" si="100"/>
        <v>0</v>
      </c>
      <c r="AX54" s="176">
        <f t="shared" si="41"/>
        <v>-10075</v>
      </c>
      <c r="AY54" s="176">
        <f t="shared" si="76"/>
        <v>1752</v>
      </c>
      <c r="AZ54" s="176">
        <f t="shared" si="77"/>
        <v>0</v>
      </c>
      <c r="BA54" s="176">
        <f t="shared" si="78"/>
        <v>0</v>
      </c>
      <c r="BB54" s="176">
        <f t="shared" si="42"/>
        <v>133</v>
      </c>
      <c r="BC54" s="176">
        <f t="shared" si="79"/>
        <v>-133</v>
      </c>
      <c r="BD54" s="176">
        <f t="shared" si="80"/>
        <v>1752</v>
      </c>
      <c r="BE54" s="176">
        <f t="shared" si="81"/>
        <v>0</v>
      </c>
      <c r="BF54" s="176">
        <f t="shared" si="82"/>
        <v>0</v>
      </c>
      <c r="BG54" s="161">
        <v>0.48958333333333298</v>
      </c>
      <c r="BH54" s="334"/>
      <c r="BI54" s="334"/>
      <c r="BJ54" s="330"/>
      <c r="BK54" s="338"/>
      <c r="BL54" s="107"/>
      <c r="BM54" s="107"/>
      <c r="BN54" s="107"/>
      <c r="BO54" s="103"/>
      <c r="GR54" s="103"/>
      <c r="GS54" s="103"/>
      <c r="GT54" s="103"/>
      <c r="GU54" s="103"/>
      <c r="GV54" s="103"/>
    </row>
    <row r="55" spans="1:204" ht="10.050000000000001" customHeight="1" x14ac:dyDescent="0.25">
      <c r="A55" s="251">
        <v>0.5</v>
      </c>
      <c r="B55" s="155">
        <f>'Warrant 2'!F62</f>
        <v>1752</v>
      </c>
      <c r="C55" s="155">
        <f>IF(OR('Input &amp; Findings'!$G$28='Drop Down Lists'!$E$2,'Input &amp; Findings'!$G$28='Drop Down Lists'!$E$4),SUM('Data with RTF'!F52,'Data with RTF'!T52),SUM('Data with RTF'!M52,'Data with RTF'!AA52))</f>
        <v>0</v>
      </c>
      <c r="D55" s="176" t="str">
        <f t="shared" si="28"/>
        <v/>
      </c>
      <c r="E55" s="176" t="str">
        <f t="shared" si="29"/>
        <v/>
      </c>
      <c r="F55" s="176" t="str">
        <f t="shared" si="30"/>
        <v/>
      </c>
      <c r="G55" s="176" t="str">
        <f t="shared" si="31"/>
        <v/>
      </c>
      <c r="H55" s="176">
        <f t="shared" si="32"/>
        <v>107</v>
      </c>
      <c r="I55" s="176">
        <f t="shared" si="33"/>
        <v>-10107</v>
      </c>
      <c r="J55" s="176">
        <f t="shared" si="55"/>
        <v>1752</v>
      </c>
      <c r="K55" s="176">
        <f t="shared" si="56"/>
        <v>0</v>
      </c>
      <c r="L55" s="176">
        <f t="shared" si="57"/>
        <v>0</v>
      </c>
      <c r="M55" s="176">
        <f t="shared" si="83"/>
        <v>1752</v>
      </c>
      <c r="N55" s="176">
        <f t="shared" si="84"/>
        <v>0</v>
      </c>
      <c r="O55" s="176">
        <f t="shared" si="34"/>
        <v>-10107</v>
      </c>
      <c r="P55" s="176">
        <f t="shared" si="58"/>
        <v>1752</v>
      </c>
      <c r="Q55" s="176">
        <f t="shared" si="59"/>
        <v>0</v>
      </c>
      <c r="R55" s="176">
        <f t="shared" si="60"/>
        <v>0</v>
      </c>
      <c r="S55" s="176">
        <f t="shared" si="93"/>
        <v>1752</v>
      </c>
      <c r="T55" s="176">
        <f t="shared" si="94"/>
        <v>0</v>
      </c>
      <c r="U55" s="176">
        <f t="shared" si="35"/>
        <v>-10107</v>
      </c>
      <c r="V55" s="176">
        <f t="shared" si="61"/>
        <v>1752</v>
      </c>
      <c r="W55" s="176">
        <f t="shared" si="62"/>
        <v>0</v>
      </c>
      <c r="X55" s="176">
        <f t="shared" si="63"/>
        <v>0</v>
      </c>
      <c r="Y55" s="176">
        <f t="shared" si="95"/>
        <v>1752</v>
      </c>
      <c r="Z55" s="176">
        <f t="shared" si="96"/>
        <v>0</v>
      </c>
      <c r="AA55" s="176">
        <f t="shared" si="36"/>
        <v>-10107</v>
      </c>
      <c r="AB55" s="176">
        <f t="shared" si="64"/>
        <v>1752</v>
      </c>
      <c r="AC55" s="176">
        <f t="shared" si="65"/>
        <v>0</v>
      </c>
      <c r="AD55" s="176">
        <f t="shared" si="66"/>
        <v>0</v>
      </c>
      <c r="AE55" s="176">
        <f t="shared" si="37"/>
        <v>75</v>
      </c>
      <c r="AF55" s="176">
        <f t="shared" si="38"/>
        <v>-10075</v>
      </c>
      <c r="AG55" s="176">
        <f t="shared" si="67"/>
        <v>1752</v>
      </c>
      <c r="AH55" s="176">
        <f t="shared" si="68"/>
        <v>0</v>
      </c>
      <c r="AI55" s="176">
        <f t="shared" si="69"/>
        <v>0</v>
      </c>
      <c r="AJ55" s="176">
        <f t="shared" si="88"/>
        <v>1752</v>
      </c>
      <c r="AK55" s="176">
        <f t="shared" si="89"/>
        <v>0</v>
      </c>
      <c r="AL55" s="176">
        <f t="shared" si="39"/>
        <v>-10075</v>
      </c>
      <c r="AM55" s="176">
        <f t="shared" si="70"/>
        <v>1752</v>
      </c>
      <c r="AN55" s="176">
        <f t="shared" si="71"/>
        <v>0</v>
      </c>
      <c r="AO55" s="176">
        <f t="shared" si="72"/>
        <v>0</v>
      </c>
      <c r="AP55" s="176">
        <f t="shared" si="97"/>
        <v>1752</v>
      </c>
      <c r="AQ55" s="176">
        <f t="shared" si="98"/>
        <v>0</v>
      </c>
      <c r="AR55" s="176">
        <f t="shared" si="40"/>
        <v>-10075</v>
      </c>
      <c r="AS55" s="176">
        <f t="shared" si="73"/>
        <v>1752</v>
      </c>
      <c r="AT55" s="176">
        <f t="shared" si="74"/>
        <v>0</v>
      </c>
      <c r="AU55" s="176">
        <f t="shared" si="75"/>
        <v>0</v>
      </c>
      <c r="AV55" s="176">
        <f t="shared" si="99"/>
        <v>1752</v>
      </c>
      <c r="AW55" s="176">
        <f t="shared" si="100"/>
        <v>0</v>
      </c>
      <c r="AX55" s="176">
        <f t="shared" si="41"/>
        <v>-10075</v>
      </c>
      <c r="AY55" s="176">
        <f t="shared" si="76"/>
        <v>1752</v>
      </c>
      <c r="AZ55" s="176">
        <f t="shared" si="77"/>
        <v>0</v>
      </c>
      <c r="BA55" s="176">
        <f t="shared" si="78"/>
        <v>0</v>
      </c>
      <c r="BB55" s="176">
        <f t="shared" si="42"/>
        <v>133</v>
      </c>
      <c r="BC55" s="176">
        <f t="shared" si="79"/>
        <v>-133</v>
      </c>
      <c r="BD55" s="176">
        <f t="shared" si="80"/>
        <v>1752</v>
      </c>
      <c r="BE55" s="176">
        <f t="shared" si="81"/>
        <v>0</v>
      </c>
      <c r="BF55" s="176">
        <f t="shared" si="82"/>
        <v>0</v>
      </c>
      <c r="BG55" s="161">
        <v>0.5</v>
      </c>
      <c r="BH55" s="330"/>
      <c r="BI55" s="335"/>
      <c r="BJ55" s="330"/>
      <c r="BK55" s="336" t="s">
        <v>517</v>
      </c>
      <c r="BL55" s="146" t="str">
        <f>IF(BL42="Yes","N/A",IF(OR(BL51="Yes",BL53="Yes"),"Yes","No"))</f>
        <v>No</v>
      </c>
      <c r="BM55" s="341"/>
      <c r="BN55" s="301"/>
      <c r="BO55" s="103"/>
      <c r="GR55" s="103"/>
      <c r="GS55" s="103"/>
      <c r="GT55" s="103"/>
      <c r="GU55" s="103"/>
      <c r="GV55" s="103"/>
    </row>
    <row r="56" spans="1:204" ht="10.050000000000001" customHeight="1" x14ac:dyDescent="0.25">
      <c r="A56" s="251">
        <v>0.51041666666666696</v>
      </c>
      <c r="B56" s="155">
        <f>'Warrant 2'!F63</f>
        <v>1758</v>
      </c>
      <c r="C56" s="155">
        <f>IF(OR('Input &amp; Findings'!$G$28='Drop Down Lists'!$E$2,'Input &amp; Findings'!$G$28='Drop Down Lists'!$E$4),SUM('Data with RTF'!F53,'Data with RTF'!T53),SUM('Data with RTF'!M53,'Data with RTF'!AA53))</f>
        <v>0</v>
      </c>
      <c r="D56" s="176" t="str">
        <f t="shared" si="28"/>
        <v/>
      </c>
      <c r="E56" s="176" t="str">
        <f t="shared" si="29"/>
        <v/>
      </c>
      <c r="F56" s="176" t="str">
        <f t="shared" si="30"/>
        <v/>
      </c>
      <c r="G56" s="176" t="str">
        <f t="shared" si="31"/>
        <v/>
      </c>
      <c r="H56" s="176">
        <f t="shared" si="32"/>
        <v>107</v>
      </c>
      <c r="I56" s="176">
        <f t="shared" si="33"/>
        <v>-10107</v>
      </c>
      <c r="J56" s="176">
        <f t="shared" si="55"/>
        <v>1758</v>
      </c>
      <c r="K56" s="176">
        <f t="shared" si="56"/>
        <v>0</v>
      </c>
      <c r="L56" s="176">
        <f t="shared" si="57"/>
        <v>0</v>
      </c>
      <c r="M56" s="176">
        <f t="shared" si="83"/>
        <v>1758</v>
      </c>
      <c r="N56" s="176">
        <f t="shared" si="84"/>
        <v>0</v>
      </c>
      <c r="O56" s="176">
        <f t="shared" si="34"/>
        <v>-10107</v>
      </c>
      <c r="P56" s="176">
        <f t="shared" si="58"/>
        <v>1758</v>
      </c>
      <c r="Q56" s="176">
        <f t="shared" si="59"/>
        <v>0</v>
      </c>
      <c r="R56" s="176">
        <f t="shared" si="60"/>
        <v>0</v>
      </c>
      <c r="S56" s="176">
        <f t="shared" si="93"/>
        <v>1758</v>
      </c>
      <c r="T56" s="176">
        <f t="shared" si="94"/>
        <v>0</v>
      </c>
      <c r="U56" s="176">
        <f t="shared" si="35"/>
        <v>-10107</v>
      </c>
      <c r="V56" s="176">
        <f t="shared" si="61"/>
        <v>1758</v>
      </c>
      <c r="W56" s="176">
        <f t="shared" si="62"/>
        <v>0</v>
      </c>
      <c r="X56" s="176">
        <f t="shared" si="63"/>
        <v>0</v>
      </c>
      <c r="Y56" s="176">
        <f t="shared" si="95"/>
        <v>1758</v>
      </c>
      <c r="Z56" s="176">
        <f t="shared" si="96"/>
        <v>0</v>
      </c>
      <c r="AA56" s="176">
        <f t="shared" si="36"/>
        <v>-10107</v>
      </c>
      <c r="AB56" s="176">
        <f t="shared" si="64"/>
        <v>1758</v>
      </c>
      <c r="AC56" s="176">
        <f t="shared" si="65"/>
        <v>0</v>
      </c>
      <c r="AD56" s="176">
        <f t="shared" si="66"/>
        <v>0</v>
      </c>
      <c r="AE56" s="176">
        <f t="shared" si="37"/>
        <v>75</v>
      </c>
      <c r="AF56" s="176">
        <f t="shared" si="38"/>
        <v>-10075</v>
      </c>
      <c r="AG56" s="176">
        <f t="shared" si="67"/>
        <v>1758</v>
      </c>
      <c r="AH56" s="176">
        <f t="shared" si="68"/>
        <v>0</v>
      </c>
      <c r="AI56" s="176">
        <f t="shared" si="69"/>
        <v>0</v>
      </c>
      <c r="AJ56" s="176">
        <f t="shared" si="88"/>
        <v>1758</v>
      </c>
      <c r="AK56" s="176">
        <f t="shared" si="89"/>
        <v>0</v>
      </c>
      <c r="AL56" s="176">
        <f t="shared" si="39"/>
        <v>-10075</v>
      </c>
      <c r="AM56" s="176">
        <f t="shared" si="70"/>
        <v>1758</v>
      </c>
      <c r="AN56" s="176">
        <f t="shared" si="71"/>
        <v>0</v>
      </c>
      <c r="AO56" s="176">
        <f t="shared" si="72"/>
        <v>0</v>
      </c>
      <c r="AP56" s="176">
        <f t="shared" si="97"/>
        <v>1758</v>
      </c>
      <c r="AQ56" s="176">
        <f t="shared" si="98"/>
        <v>0</v>
      </c>
      <c r="AR56" s="176">
        <f t="shared" si="40"/>
        <v>-10075</v>
      </c>
      <c r="AS56" s="176">
        <f t="shared" si="73"/>
        <v>1758</v>
      </c>
      <c r="AT56" s="176">
        <f t="shared" si="74"/>
        <v>0</v>
      </c>
      <c r="AU56" s="176">
        <f t="shared" si="75"/>
        <v>0</v>
      </c>
      <c r="AV56" s="176">
        <f t="shared" si="99"/>
        <v>1758</v>
      </c>
      <c r="AW56" s="176">
        <f t="shared" si="100"/>
        <v>0</v>
      </c>
      <c r="AX56" s="176">
        <f t="shared" si="41"/>
        <v>-10075</v>
      </c>
      <c r="AY56" s="176">
        <f t="shared" si="76"/>
        <v>1758</v>
      </c>
      <c r="AZ56" s="176">
        <f t="shared" si="77"/>
        <v>0</v>
      </c>
      <c r="BA56" s="176">
        <f t="shared" si="78"/>
        <v>0</v>
      </c>
      <c r="BB56" s="176">
        <f t="shared" si="42"/>
        <v>133</v>
      </c>
      <c r="BC56" s="176">
        <f t="shared" si="79"/>
        <v>-133</v>
      </c>
      <c r="BD56" s="176">
        <f t="shared" si="80"/>
        <v>1758</v>
      </c>
      <c r="BE56" s="176">
        <f t="shared" si="81"/>
        <v>0</v>
      </c>
      <c r="BF56" s="176">
        <f t="shared" si="82"/>
        <v>0</v>
      </c>
      <c r="BG56" s="161">
        <v>0.51041666666666696</v>
      </c>
      <c r="BH56" s="330"/>
      <c r="BI56" s="330"/>
      <c r="BJ56" s="330"/>
      <c r="BK56" s="330"/>
      <c r="BL56" s="330"/>
      <c r="BM56" s="103"/>
      <c r="BN56" s="28"/>
      <c r="BO56" s="103"/>
      <c r="GR56" s="103"/>
      <c r="GS56" s="103"/>
      <c r="GT56" s="103"/>
      <c r="GU56" s="103"/>
      <c r="GV56" s="103"/>
    </row>
    <row r="57" spans="1:204" ht="10.050000000000001" customHeight="1" x14ac:dyDescent="0.25">
      <c r="A57" s="251">
        <v>0.52083333333333304</v>
      </c>
      <c r="B57" s="155">
        <f>'Warrant 2'!F64</f>
        <v>1709</v>
      </c>
      <c r="C57" s="155">
        <f>IF(OR('Input &amp; Findings'!$G$28='Drop Down Lists'!$E$2,'Input &amp; Findings'!$G$28='Drop Down Lists'!$E$4),SUM('Data with RTF'!F54,'Data with RTF'!T54),SUM('Data with RTF'!M54,'Data with RTF'!AA54))</f>
        <v>0</v>
      </c>
      <c r="D57" s="176" t="str">
        <f t="shared" si="28"/>
        <v/>
      </c>
      <c r="E57" s="176" t="str">
        <f t="shared" si="29"/>
        <v/>
      </c>
      <c r="F57" s="176" t="str">
        <f t="shared" si="30"/>
        <v/>
      </c>
      <c r="G57" s="176" t="str">
        <f t="shared" si="31"/>
        <v/>
      </c>
      <c r="H57" s="176">
        <f t="shared" si="32"/>
        <v>107</v>
      </c>
      <c r="I57" s="176">
        <f t="shared" si="33"/>
        <v>-10107</v>
      </c>
      <c r="J57" s="176">
        <f t="shared" si="55"/>
        <v>1709</v>
      </c>
      <c r="K57" s="176">
        <f t="shared" si="56"/>
        <v>0</v>
      </c>
      <c r="L57" s="176">
        <f t="shared" si="57"/>
        <v>0</v>
      </c>
      <c r="M57" s="176">
        <f t="shared" si="83"/>
        <v>1709</v>
      </c>
      <c r="N57" s="176">
        <f t="shared" si="84"/>
        <v>0</v>
      </c>
      <c r="O57" s="176">
        <f t="shared" si="34"/>
        <v>-10107</v>
      </c>
      <c r="P57" s="176">
        <f t="shared" si="58"/>
        <v>1709</v>
      </c>
      <c r="Q57" s="176">
        <f t="shared" si="59"/>
        <v>0</v>
      </c>
      <c r="R57" s="176">
        <f t="shared" si="60"/>
        <v>0</v>
      </c>
      <c r="S57" s="176">
        <f t="shared" si="93"/>
        <v>1709</v>
      </c>
      <c r="T57" s="176">
        <f t="shared" si="94"/>
        <v>0</v>
      </c>
      <c r="U57" s="176">
        <f t="shared" si="35"/>
        <v>-10107</v>
      </c>
      <c r="V57" s="176">
        <f t="shared" si="61"/>
        <v>1709</v>
      </c>
      <c r="W57" s="176">
        <f t="shared" si="62"/>
        <v>0</v>
      </c>
      <c r="X57" s="176">
        <f t="shared" si="63"/>
        <v>0</v>
      </c>
      <c r="Y57" s="176">
        <f t="shared" si="95"/>
        <v>1709</v>
      </c>
      <c r="Z57" s="176">
        <f t="shared" si="96"/>
        <v>0</v>
      </c>
      <c r="AA57" s="176">
        <f t="shared" si="36"/>
        <v>-10107</v>
      </c>
      <c r="AB57" s="176">
        <f t="shared" si="64"/>
        <v>1709</v>
      </c>
      <c r="AC57" s="176">
        <f t="shared" si="65"/>
        <v>0</v>
      </c>
      <c r="AD57" s="176">
        <f t="shared" si="66"/>
        <v>0</v>
      </c>
      <c r="AE57" s="176">
        <f t="shared" si="37"/>
        <v>75</v>
      </c>
      <c r="AF57" s="176">
        <f t="shared" si="38"/>
        <v>-10075</v>
      </c>
      <c r="AG57" s="176">
        <f t="shared" si="67"/>
        <v>1709</v>
      </c>
      <c r="AH57" s="176">
        <f t="shared" si="68"/>
        <v>0</v>
      </c>
      <c r="AI57" s="176">
        <f t="shared" si="69"/>
        <v>0</v>
      </c>
      <c r="AJ57" s="176">
        <f t="shared" si="88"/>
        <v>1709</v>
      </c>
      <c r="AK57" s="176">
        <f t="shared" si="89"/>
        <v>0</v>
      </c>
      <c r="AL57" s="176">
        <f t="shared" si="39"/>
        <v>-10075</v>
      </c>
      <c r="AM57" s="176">
        <f t="shared" si="70"/>
        <v>1709</v>
      </c>
      <c r="AN57" s="176">
        <f t="shared" si="71"/>
        <v>0</v>
      </c>
      <c r="AO57" s="176">
        <f t="shared" si="72"/>
        <v>0</v>
      </c>
      <c r="AP57" s="176">
        <f t="shared" si="97"/>
        <v>1709</v>
      </c>
      <c r="AQ57" s="176">
        <f t="shared" si="98"/>
        <v>0</v>
      </c>
      <c r="AR57" s="176">
        <f t="shared" si="40"/>
        <v>-10075</v>
      </c>
      <c r="AS57" s="176">
        <f t="shared" si="73"/>
        <v>1709</v>
      </c>
      <c r="AT57" s="176">
        <f t="shared" si="74"/>
        <v>0</v>
      </c>
      <c r="AU57" s="176">
        <f t="shared" si="75"/>
        <v>0</v>
      </c>
      <c r="AV57" s="176">
        <f t="shared" si="99"/>
        <v>1709</v>
      </c>
      <c r="AW57" s="176">
        <f t="shared" si="100"/>
        <v>0</v>
      </c>
      <c r="AX57" s="176">
        <f t="shared" si="41"/>
        <v>-10075</v>
      </c>
      <c r="AY57" s="176">
        <f t="shared" si="76"/>
        <v>1709</v>
      </c>
      <c r="AZ57" s="176">
        <f t="shared" si="77"/>
        <v>0</v>
      </c>
      <c r="BA57" s="176">
        <f t="shared" si="78"/>
        <v>0</v>
      </c>
      <c r="BB57" s="176">
        <f t="shared" si="42"/>
        <v>133</v>
      </c>
      <c r="BC57" s="176">
        <f t="shared" si="79"/>
        <v>-133</v>
      </c>
      <c r="BD57" s="176">
        <f t="shared" si="80"/>
        <v>1709</v>
      </c>
      <c r="BE57" s="176">
        <f t="shared" si="81"/>
        <v>0</v>
      </c>
      <c r="BF57" s="176">
        <f t="shared" si="82"/>
        <v>0</v>
      </c>
      <c r="BG57" s="161">
        <v>0.52083333333333304</v>
      </c>
      <c r="BH57" s="330"/>
      <c r="BI57" s="330"/>
      <c r="BJ57" s="330"/>
      <c r="BK57" s="330"/>
      <c r="BL57" s="330"/>
      <c r="BM57" s="103"/>
      <c r="BN57" s="103"/>
      <c r="BO57" s="103"/>
      <c r="GR57" s="103"/>
      <c r="GS57" s="103"/>
      <c r="GT57" s="103"/>
      <c r="GU57" s="103"/>
      <c r="GV57" s="103"/>
    </row>
    <row r="58" spans="1:204" ht="10.050000000000001" customHeight="1" x14ac:dyDescent="0.25">
      <c r="A58" s="251">
        <v>0.53125</v>
      </c>
      <c r="B58" s="155">
        <f>'Warrant 2'!F65</f>
        <v>1665</v>
      </c>
      <c r="C58" s="155">
        <f>IF(OR('Input &amp; Findings'!$G$28='Drop Down Lists'!$E$2,'Input &amp; Findings'!$G$28='Drop Down Lists'!$E$4),SUM('Data with RTF'!F55,'Data with RTF'!T55),SUM('Data with RTF'!M55,'Data with RTF'!AA55))</f>
        <v>0</v>
      </c>
      <c r="D58" s="176" t="str">
        <f t="shared" si="28"/>
        <v/>
      </c>
      <c r="E58" s="176" t="str">
        <f t="shared" si="29"/>
        <v/>
      </c>
      <c r="F58" s="176" t="str">
        <f t="shared" si="30"/>
        <v/>
      </c>
      <c r="G58" s="176" t="str">
        <f t="shared" si="31"/>
        <v/>
      </c>
      <c r="H58" s="176">
        <f t="shared" si="32"/>
        <v>107</v>
      </c>
      <c r="I58" s="176">
        <f t="shared" si="33"/>
        <v>-10107</v>
      </c>
      <c r="J58" s="176">
        <f t="shared" si="55"/>
        <v>1665</v>
      </c>
      <c r="K58" s="176">
        <f t="shared" si="56"/>
        <v>0</v>
      </c>
      <c r="L58" s="176">
        <f t="shared" si="57"/>
        <v>0</v>
      </c>
      <c r="M58" s="176">
        <f t="shared" si="83"/>
        <v>1665</v>
      </c>
      <c r="N58" s="176">
        <f t="shared" si="84"/>
        <v>0</v>
      </c>
      <c r="O58" s="176">
        <f t="shared" si="34"/>
        <v>-10107</v>
      </c>
      <c r="P58" s="176">
        <f t="shared" si="58"/>
        <v>1665</v>
      </c>
      <c r="Q58" s="176">
        <f t="shared" si="59"/>
        <v>0</v>
      </c>
      <c r="R58" s="176">
        <f t="shared" si="60"/>
        <v>0</v>
      </c>
      <c r="S58" s="176">
        <f t="shared" si="93"/>
        <v>1665</v>
      </c>
      <c r="T58" s="176">
        <f t="shared" si="94"/>
        <v>0</v>
      </c>
      <c r="U58" s="176">
        <f t="shared" si="35"/>
        <v>-10107</v>
      </c>
      <c r="V58" s="176">
        <f t="shared" si="61"/>
        <v>1665</v>
      </c>
      <c r="W58" s="176">
        <f t="shared" si="62"/>
        <v>0</v>
      </c>
      <c r="X58" s="176">
        <f t="shared" si="63"/>
        <v>0</v>
      </c>
      <c r="Y58" s="176">
        <f t="shared" si="95"/>
        <v>1665</v>
      </c>
      <c r="Z58" s="176">
        <f t="shared" si="96"/>
        <v>0</v>
      </c>
      <c r="AA58" s="176">
        <f t="shared" si="36"/>
        <v>-10107</v>
      </c>
      <c r="AB58" s="176">
        <f t="shared" si="64"/>
        <v>1665</v>
      </c>
      <c r="AC58" s="176">
        <f t="shared" si="65"/>
        <v>0</v>
      </c>
      <c r="AD58" s="176">
        <f t="shared" si="66"/>
        <v>0</v>
      </c>
      <c r="AE58" s="176">
        <f t="shared" si="37"/>
        <v>75</v>
      </c>
      <c r="AF58" s="176">
        <f t="shared" si="38"/>
        <v>-10075</v>
      </c>
      <c r="AG58" s="176">
        <f t="shared" si="67"/>
        <v>1665</v>
      </c>
      <c r="AH58" s="176">
        <f t="shared" si="68"/>
        <v>0</v>
      </c>
      <c r="AI58" s="176">
        <f t="shared" si="69"/>
        <v>0</v>
      </c>
      <c r="AJ58" s="176">
        <f t="shared" si="88"/>
        <v>1665</v>
      </c>
      <c r="AK58" s="176">
        <f t="shared" si="89"/>
        <v>0</v>
      </c>
      <c r="AL58" s="176">
        <f t="shared" si="39"/>
        <v>-10075</v>
      </c>
      <c r="AM58" s="176">
        <f t="shared" si="70"/>
        <v>1665</v>
      </c>
      <c r="AN58" s="176">
        <f t="shared" si="71"/>
        <v>0</v>
      </c>
      <c r="AO58" s="176">
        <f t="shared" si="72"/>
        <v>0</v>
      </c>
      <c r="AP58" s="176">
        <f t="shared" si="97"/>
        <v>1665</v>
      </c>
      <c r="AQ58" s="176">
        <f t="shared" si="98"/>
        <v>0</v>
      </c>
      <c r="AR58" s="176">
        <f t="shared" si="40"/>
        <v>-10075</v>
      </c>
      <c r="AS58" s="176">
        <f t="shared" si="73"/>
        <v>1665</v>
      </c>
      <c r="AT58" s="176">
        <f t="shared" si="74"/>
        <v>0</v>
      </c>
      <c r="AU58" s="176">
        <f t="shared" si="75"/>
        <v>0</v>
      </c>
      <c r="AV58" s="176">
        <f t="shared" si="99"/>
        <v>1665</v>
      </c>
      <c r="AW58" s="176">
        <f t="shared" si="100"/>
        <v>0</v>
      </c>
      <c r="AX58" s="176">
        <f t="shared" si="41"/>
        <v>-10075</v>
      </c>
      <c r="AY58" s="176">
        <f t="shared" si="76"/>
        <v>1665</v>
      </c>
      <c r="AZ58" s="176">
        <f t="shared" si="77"/>
        <v>0</v>
      </c>
      <c r="BA58" s="176">
        <f t="shared" si="78"/>
        <v>0</v>
      </c>
      <c r="BB58" s="176">
        <f t="shared" si="42"/>
        <v>133</v>
      </c>
      <c r="BC58" s="176">
        <f t="shared" si="79"/>
        <v>-133</v>
      </c>
      <c r="BD58" s="176">
        <f t="shared" si="80"/>
        <v>1665</v>
      </c>
      <c r="BE58" s="176">
        <f t="shared" si="81"/>
        <v>0</v>
      </c>
      <c r="BF58" s="176">
        <f t="shared" si="82"/>
        <v>0</v>
      </c>
      <c r="BG58" s="161">
        <v>0.53125</v>
      </c>
      <c r="BH58" s="329" t="s">
        <v>508</v>
      </c>
      <c r="BI58" s="286" t="s">
        <v>99</v>
      </c>
      <c r="BJ58" s="286" t="s">
        <v>513</v>
      </c>
      <c r="BK58" s="286" t="s">
        <v>700</v>
      </c>
      <c r="BL58" s="286" t="s">
        <v>701</v>
      </c>
      <c r="BM58" s="103"/>
      <c r="BN58" s="103"/>
      <c r="BO58" s="103"/>
      <c r="GR58" s="103"/>
      <c r="GS58" s="103"/>
      <c r="GT58" s="103"/>
      <c r="GU58" s="103"/>
      <c r="GV58" s="103"/>
    </row>
    <row r="59" spans="1:204" ht="10.050000000000001" customHeight="1" x14ac:dyDescent="0.25">
      <c r="A59" s="251">
        <v>0.54166666666666696</v>
      </c>
      <c r="B59" s="155">
        <f>'Warrant 2'!F66</f>
        <v>1651</v>
      </c>
      <c r="C59" s="155">
        <f>IF(OR('Input &amp; Findings'!$G$28='Drop Down Lists'!$E$2,'Input &amp; Findings'!$G$28='Drop Down Lists'!$E$4),SUM('Data with RTF'!F56,'Data with RTF'!T56),SUM('Data with RTF'!M56,'Data with RTF'!AA56))</f>
        <v>0</v>
      </c>
      <c r="D59" s="176" t="str">
        <f t="shared" si="28"/>
        <v/>
      </c>
      <c r="E59" s="176" t="str">
        <f t="shared" si="29"/>
        <v/>
      </c>
      <c r="F59" s="176" t="str">
        <f t="shared" si="30"/>
        <v/>
      </c>
      <c r="G59" s="176" t="str">
        <f t="shared" si="31"/>
        <v/>
      </c>
      <c r="H59" s="176">
        <f t="shared" si="32"/>
        <v>107</v>
      </c>
      <c r="I59" s="176">
        <f t="shared" si="33"/>
        <v>-10107</v>
      </c>
      <c r="J59" s="176">
        <f t="shared" si="55"/>
        <v>1651</v>
      </c>
      <c r="K59" s="176">
        <f t="shared" si="56"/>
        <v>0</v>
      </c>
      <c r="L59" s="176">
        <f t="shared" si="57"/>
        <v>0</v>
      </c>
      <c r="M59" s="176">
        <f t="shared" si="83"/>
        <v>1651</v>
      </c>
      <c r="N59" s="176">
        <f t="shared" si="84"/>
        <v>0</v>
      </c>
      <c r="O59" s="176">
        <f t="shared" si="34"/>
        <v>-10107</v>
      </c>
      <c r="P59" s="176">
        <f t="shared" si="58"/>
        <v>1651</v>
      </c>
      <c r="Q59" s="176">
        <f t="shared" si="59"/>
        <v>0</v>
      </c>
      <c r="R59" s="176">
        <f t="shared" si="60"/>
        <v>0</v>
      </c>
      <c r="S59" s="176">
        <f t="shared" si="93"/>
        <v>1651</v>
      </c>
      <c r="T59" s="176">
        <f t="shared" si="94"/>
        <v>0</v>
      </c>
      <c r="U59" s="176">
        <f t="shared" si="35"/>
        <v>-10107</v>
      </c>
      <c r="V59" s="176">
        <f t="shared" si="61"/>
        <v>1651</v>
      </c>
      <c r="W59" s="176">
        <f t="shared" si="62"/>
        <v>0</v>
      </c>
      <c r="X59" s="176">
        <f t="shared" si="63"/>
        <v>0</v>
      </c>
      <c r="Y59" s="176">
        <f t="shared" si="95"/>
        <v>1651</v>
      </c>
      <c r="Z59" s="176">
        <f t="shared" si="96"/>
        <v>0</v>
      </c>
      <c r="AA59" s="176">
        <f t="shared" si="36"/>
        <v>-10107</v>
      </c>
      <c r="AB59" s="176">
        <f t="shared" si="64"/>
        <v>1651</v>
      </c>
      <c r="AC59" s="176">
        <f t="shared" si="65"/>
        <v>0</v>
      </c>
      <c r="AD59" s="176">
        <f t="shared" si="66"/>
        <v>0</v>
      </c>
      <c r="AE59" s="176">
        <f t="shared" si="37"/>
        <v>75</v>
      </c>
      <c r="AF59" s="176">
        <f t="shared" si="38"/>
        <v>-10075</v>
      </c>
      <c r="AG59" s="176">
        <f t="shared" si="67"/>
        <v>1651</v>
      </c>
      <c r="AH59" s="176">
        <f t="shared" si="68"/>
        <v>0</v>
      </c>
      <c r="AI59" s="176">
        <f t="shared" si="69"/>
        <v>0</v>
      </c>
      <c r="AJ59" s="176">
        <f t="shared" si="88"/>
        <v>1651</v>
      </c>
      <c r="AK59" s="176">
        <f t="shared" si="89"/>
        <v>0</v>
      </c>
      <c r="AL59" s="176">
        <f t="shared" si="39"/>
        <v>-10075</v>
      </c>
      <c r="AM59" s="176">
        <f t="shared" si="70"/>
        <v>1651</v>
      </c>
      <c r="AN59" s="176">
        <f t="shared" si="71"/>
        <v>0</v>
      </c>
      <c r="AO59" s="176">
        <f t="shared" si="72"/>
        <v>0</v>
      </c>
      <c r="AP59" s="176">
        <f t="shared" si="97"/>
        <v>1651</v>
      </c>
      <c r="AQ59" s="176">
        <f t="shared" si="98"/>
        <v>0</v>
      </c>
      <c r="AR59" s="176">
        <f t="shared" si="40"/>
        <v>-10075</v>
      </c>
      <c r="AS59" s="176">
        <f t="shared" si="73"/>
        <v>1651</v>
      </c>
      <c r="AT59" s="176">
        <f t="shared" si="74"/>
        <v>0</v>
      </c>
      <c r="AU59" s="176">
        <f t="shared" si="75"/>
        <v>0</v>
      </c>
      <c r="AV59" s="176">
        <f t="shared" si="99"/>
        <v>1651</v>
      </c>
      <c r="AW59" s="176">
        <f t="shared" si="100"/>
        <v>0</v>
      </c>
      <c r="AX59" s="176">
        <f t="shared" si="41"/>
        <v>-10075</v>
      </c>
      <c r="AY59" s="176">
        <f t="shared" si="76"/>
        <v>1651</v>
      </c>
      <c r="AZ59" s="176">
        <f t="shared" si="77"/>
        <v>0</v>
      </c>
      <c r="BA59" s="176">
        <f t="shared" si="78"/>
        <v>0</v>
      </c>
      <c r="BB59" s="176">
        <f t="shared" si="42"/>
        <v>133</v>
      </c>
      <c r="BC59" s="176">
        <f t="shared" si="79"/>
        <v>-133</v>
      </c>
      <c r="BD59" s="176">
        <f t="shared" si="80"/>
        <v>1651</v>
      </c>
      <c r="BE59" s="176">
        <f t="shared" si="81"/>
        <v>0</v>
      </c>
      <c r="BF59" s="176">
        <f t="shared" si="82"/>
        <v>0</v>
      </c>
      <c r="BG59" s="161">
        <v>0.54166666666666696</v>
      </c>
      <c r="BH59" s="325" t="s">
        <v>512</v>
      </c>
      <c r="BI59" s="307">
        <f>VLOOKUP(MAX(K7:K102),$B$7:$BG$102,58,FALSE)</f>
        <v>0.70833333333333304</v>
      </c>
      <c r="BJ59" s="307">
        <f>BI59+0.041666667</f>
        <v>0.75000000033333303</v>
      </c>
      <c r="BK59" s="303">
        <f>MAX(K7:K102)</f>
        <v>2458</v>
      </c>
      <c r="BL59" s="303">
        <f>MAX(L7:L102)</f>
        <v>0</v>
      </c>
      <c r="BM59" s="103"/>
      <c r="BN59" s="103"/>
      <c r="BO59" s="103"/>
      <c r="GR59" s="103"/>
      <c r="GS59" s="103"/>
      <c r="GT59" s="103"/>
      <c r="GU59" s="103"/>
      <c r="GV59" s="103"/>
    </row>
    <row r="60" spans="1:204" ht="10.050000000000001" customHeight="1" x14ac:dyDescent="0.25">
      <c r="A60" s="251">
        <v>0.55208333333333304</v>
      </c>
      <c r="B60" s="155">
        <f>'Warrant 2'!F67</f>
        <v>1656</v>
      </c>
      <c r="C60" s="155">
        <f>IF(OR('Input &amp; Findings'!$G$28='Drop Down Lists'!$E$2,'Input &amp; Findings'!$G$28='Drop Down Lists'!$E$4),SUM('Data with RTF'!F57,'Data with RTF'!T57),SUM('Data with RTF'!M57,'Data with RTF'!AA57))</f>
        <v>0</v>
      </c>
      <c r="D60" s="176" t="str">
        <f t="shared" si="28"/>
        <v/>
      </c>
      <c r="E60" s="176" t="str">
        <f t="shared" si="29"/>
        <v/>
      </c>
      <c r="F60" s="176" t="str">
        <f t="shared" si="30"/>
        <v/>
      </c>
      <c r="G60" s="176" t="str">
        <f t="shared" si="31"/>
        <v/>
      </c>
      <c r="H60" s="176">
        <f t="shared" si="32"/>
        <v>107</v>
      </c>
      <c r="I60" s="176">
        <f t="shared" si="33"/>
        <v>-10107</v>
      </c>
      <c r="J60" s="176">
        <f t="shared" si="55"/>
        <v>1656</v>
      </c>
      <c r="K60" s="176">
        <f t="shared" si="56"/>
        <v>0</v>
      </c>
      <c r="L60" s="176">
        <f t="shared" si="57"/>
        <v>0</v>
      </c>
      <c r="M60" s="176">
        <f t="shared" si="83"/>
        <v>1656</v>
      </c>
      <c r="N60" s="176">
        <f t="shared" si="84"/>
        <v>0</v>
      </c>
      <c r="O60" s="176">
        <f t="shared" si="34"/>
        <v>-10107</v>
      </c>
      <c r="P60" s="176">
        <f t="shared" si="58"/>
        <v>1656</v>
      </c>
      <c r="Q60" s="176">
        <f t="shared" si="59"/>
        <v>0</v>
      </c>
      <c r="R60" s="176">
        <f t="shared" si="60"/>
        <v>0</v>
      </c>
      <c r="S60" s="176">
        <f t="shared" si="93"/>
        <v>1656</v>
      </c>
      <c r="T60" s="176">
        <f t="shared" si="94"/>
        <v>0</v>
      </c>
      <c r="U60" s="176">
        <f t="shared" si="35"/>
        <v>-10107</v>
      </c>
      <c r="V60" s="176">
        <f t="shared" si="61"/>
        <v>1656</v>
      </c>
      <c r="W60" s="176">
        <f t="shared" si="62"/>
        <v>0</v>
      </c>
      <c r="X60" s="176">
        <f t="shared" si="63"/>
        <v>0</v>
      </c>
      <c r="Y60" s="176">
        <f t="shared" si="95"/>
        <v>1656</v>
      </c>
      <c r="Z60" s="176">
        <f t="shared" si="96"/>
        <v>0</v>
      </c>
      <c r="AA60" s="176">
        <f t="shared" si="36"/>
        <v>-10107</v>
      </c>
      <c r="AB60" s="176">
        <f t="shared" si="64"/>
        <v>1656</v>
      </c>
      <c r="AC60" s="176">
        <f t="shared" si="65"/>
        <v>0</v>
      </c>
      <c r="AD60" s="176">
        <f t="shared" si="66"/>
        <v>0</v>
      </c>
      <c r="AE60" s="176">
        <f t="shared" si="37"/>
        <v>75</v>
      </c>
      <c r="AF60" s="176">
        <f t="shared" si="38"/>
        <v>-10075</v>
      </c>
      <c r="AG60" s="176">
        <f t="shared" si="67"/>
        <v>1656</v>
      </c>
      <c r="AH60" s="176">
        <f t="shared" si="68"/>
        <v>0</v>
      </c>
      <c r="AI60" s="176">
        <f t="shared" si="69"/>
        <v>0</v>
      </c>
      <c r="AJ60" s="176">
        <f t="shared" si="88"/>
        <v>1656</v>
      </c>
      <c r="AK60" s="176">
        <f t="shared" si="89"/>
        <v>0</v>
      </c>
      <c r="AL60" s="176">
        <f t="shared" si="39"/>
        <v>-10075</v>
      </c>
      <c r="AM60" s="176">
        <f t="shared" si="70"/>
        <v>1656</v>
      </c>
      <c r="AN60" s="176">
        <f t="shared" si="71"/>
        <v>0</v>
      </c>
      <c r="AO60" s="176">
        <f t="shared" si="72"/>
        <v>0</v>
      </c>
      <c r="AP60" s="176">
        <f t="shared" si="97"/>
        <v>1656</v>
      </c>
      <c r="AQ60" s="176">
        <f t="shared" si="98"/>
        <v>0</v>
      </c>
      <c r="AR60" s="176">
        <f t="shared" si="40"/>
        <v>-10075</v>
      </c>
      <c r="AS60" s="176">
        <f t="shared" si="73"/>
        <v>1656</v>
      </c>
      <c r="AT60" s="176">
        <f t="shared" si="74"/>
        <v>0</v>
      </c>
      <c r="AU60" s="176">
        <f t="shared" si="75"/>
        <v>0</v>
      </c>
      <c r="AV60" s="176">
        <f t="shared" si="99"/>
        <v>1656</v>
      </c>
      <c r="AW60" s="176">
        <f t="shared" si="100"/>
        <v>0</v>
      </c>
      <c r="AX60" s="176">
        <f t="shared" si="41"/>
        <v>-10075</v>
      </c>
      <c r="AY60" s="176">
        <f t="shared" si="76"/>
        <v>1656</v>
      </c>
      <c r="AZ60" s="176">
        <f t="shared" si="77"/>
        <v>0</v>
      </c>
      <c r="BA60" s="176">
        <f t="shared" si="78"/>
        <v>0</v>
      </c>
      <c r="BB60" s="176">
        <f t="shared" si="42"/>
        <v>133</v>
      </c>
      <c r="BC60" s="176">
        <f t="shared" si="79"/>
        <v>-133</v>
      </c>
      <c r="BD60" s="176">
        <f t="shared" si="80"/>
        <v>1656</v>
      </c>
      <c r="BE60" s="176">
        <f t="shared" si="81"/>
        <v>0</v>
      </c>
      <c r="BF60" s="176">
        <f t="shared" si="82"/>
        <v>0</v>
      </c>
      <c r="BG60" s="161">
        <v>0.55208333333333304</v>
      </c>
      <c r="BH60" s="326" t="s">
        <v>509</v>
      </c>
      <c r="BI60" s="308">
        <f>VLOOKUP(MAX(Q7:Q102),$B$7:$BG$102,58,FALSE)</f>
        <v>0.66666666666666696</v>
      </c>
      <c r="BJ60" s="308">
        <f>BI60+0.041666667</f>
        <v>0.70833333366666695</v>
      </c>
      <c r="BK60" s="304">
        <f>MAX(Q7:Q102)</f>
        <v>2311</v>
      </c>
      <c r="BL60" s="304">
        <f>MAX(R7:R102)</f>
        <v>0</v>
      </c>
      <c r="BM60" s="103"/>
      <c r="BN60" s="103"/>
      <c r="BO60" s="103"/>
      <c r="GR60" s="103"/>
      <c r="GS60" s="103"/>
      <c r="GT60" s="103"/>
      <c r="GU60" s="103"/>
      <c r="GV60" s="103"/>
    </row>
    <row r="61" spans="1:204" ht="10.050000000000001" customHeight="1" x14ac:dyDescent="0.25">
      <c r="A61" s="251">
        <v>0.5625</v>
      </c>
      <c r="B61" s="155">
        <f>'Warrant 2'!F68</f>
        <v>1678</v>
      </c>
      <c r="C61" s="155">
        <f>IF(OR('Input &amp; Findings'!$G$28='Drop Down Lists'!$E$2,'Input &amp; Findings'!$G$28='Drop Down Lists'!$E$4),SUM('Data with RTF'!F58,'Data with RTF'!T58),SUM('Data with RTF'!M58,'Data with RTF'!AA58))</f>
        <v>0</v>
      </c>
      <c r="D61" s="176" t="str">
        <f t="shared" si="28"/>
        <v/>
      </c>
      <c r="E61" s="176" t="str">
        <f t="shared" si="29"/>
        <v/>
      </c>
      <c r="F61" s="176" t="str">
        <f t="shared" si="30"/>
        <v/>
      </c>
      <c r="G61" s="176" t="str">
        <f t="shared" si="31"/>
        <v/>
      </c>
      <c r="H61" s="176">
        <f t="shared" si="32"/>
        <v>107</v>
      </c>
      <c r="I61" s="176">
        <f t="shared" si="33"/>
        <v>-10107</v>
      </c>
      <c r="J61" s="176">
        <f t="shared" si="55"/>
        <v>1678</v>
      </c>
      <c r="K61" s="176">
        <f t="shared" si="56"/>
        <v>0</v>
      </c>
      <c r="L61" s="176">
        <f t="shared" si="57"/>
        <v>0</v>
      </c>
      <c r="M61" s="176">
        <f t="shared" si="83"/>
        <v>1678</v>
      </c>
      <c r="N61" s="176">
        <f t="shared" si="84"/>
        <v>0</v>
      </c>
      <c r="O61" s="176">
        <f t="shared" si="34"/>
        <v>-10107</v>
      </c>
      <c r="P61" s="176">
        <f t="shared" si="58"/>
        <v>1678</v>
      </c>
      <c r="Q61" s="176">
        <f t="shared" si="59"/>
        <v>0</v>
      </c>
      <c r="R61" s="176">
        <f t="shared" si="60"/>
        <v>0</v>
      </c>
      <c r="S61" s="176">
        <f t="shared" si="93"/>
        <v>1678</v>
      </c>
      <c r="T61" s="176">
        <f t="shared" si="94"/>
        <v>0</v>
      </c>
      <c r="U61" s="176">
        <f t="shared" si="35"/>
        <v>-10107</v>
      </c>
      <c r="V61" s="176">
        <f t="shared" si="61"/>
        <v>1678</v>
      </c>
      <c r="W61" s="176">
        <f t="shared" si="62"/>
        <v>0</v>
      </c>
      <c r="X61" s="176">
        <f t="shared" si="63"/>
        <v>0</v>
      </c>
      <c r="Y61" s="176">
        <f t="shared" si="95"/>
        <v>1678</v>
      </c>
      <c r="Z61" s="176">
        <f t="shared" si="96"/>
        <v>0</v>
      </c>
      <c r="AA61" s="176">
        <f t="shared" si="36"/>
        <v>-10107</v>
      </c>
      <c r="AB61" s="176">
        <f t="shared" si="64"/>
        <v>1678</v>
      </c>
      <c r="AC61" s="176">
        <f t="shared" si="65"/>
        <v>0</v>
      </c>
      <c r="AD61" s="176">
        <f t="shared" si="66"/>
        <v>0</v>
      </c>
      <c r="AE61" s="176">
        <f t="shared" si="37"/>
        <v>75</v>
      </c>
      <c r="AF61" s="176">
        <f t="shared" si="38"/>
        <v>-10075</v>
      </c>
      <c r="AG61" s="176">
        <f t="shared" si="67"/>
        <v>1678</v>
      </c>
      <c r="AH61" s="176">
        <f t="shared" si="68"/>
        <v>0</v>
      </c>
      <c r="AI61" s="176">
        <f t="shared" si="69"/>
        <v>0</v>
      </c>
      <c r="AJ61" s="176">
        <f t="shared" si="88"/>
        <v>1678</v>
      </c>
      <c r="AK61" s="176">
        <f t="shared" si="89"/>
        <v>0</v>
      </c>
      <c r="AL61" s="176">
        <f t="shared" si="39"/>
        <v>-10075</v>
      </c>
      <c r="AM61" s="176">
        <f t="shared" si="70"/>
        <v>1678</v>
      </c>
      <c r="AN61" s="176">
        <f t="shared" si="71"/>
        <v>0</v>
      </c>
      <c r="AO61" s="176">
        <f t="shared" si="72"/>
        <v>0</v>
      </c>
      <c r="AP61" s="176">
        <f t="shared" si="97"/>
        <v>1678</v>
      </c>
      <c r="AQ61" s="176">
        <f t="shared" si="98"/>
        <v>0</v>
      </c>
      <c r="AR61" s="176">
        <f t="shared" si="40"/>
        <v>-10075</v>
      </c>
      <c r="AS61" s="176">
        <f t="shared" si="73"/>
        <v>1678</v>
      </c>
      <c r="AT61" s="176">
        <f t="shared" si="74"/>
        <v>0</v>
      </c>
      <c r="AU61" s="176">
        <f t="shared" si="75"/>
        <v>0</v>
      </c>
      <c r="AV61" s="176">
        <f t="shared" si="99"/>
        <v>1678</v>
      </c>
      <c r="AW61" s="176">
        <f t="shared" si="100"/>
        <v>0</v>
      </c>
      <c r="AX61" s="176">
        <f t="shared" si="41"/>
        <v>-10075</v>
      </c>
      <c r="AY61" s="176">
        <f t="shared" si="76"/>
        <v>1678</v>
      </c>
      <c r="AZ61" s="176">
        <f t="shared" si="77"/>
        <v>0</v>
      </c>
      <c r="BA61" s="176">
        <f t="shared" si="78"/>
        <v>0</v>
      </c>
      <c r="BB61" s="176">
        <f t="shared" si="42"/>
        <v>133</v>
      </c>
      <c r="BC61" s="176">
        <f t="shared" si="79"/>
        <v>-133</v>
      </c>
      <c r="BD61" s="176">
        <f t="shared" si="80"/>
        <v>1678</v>
      </c>
      <c r="BE61" s="176">
        <f t="shared" si="81"/>
        <v>0</v>
      </c>
      <c r="BF61" s="176">
        <f t="shared" si="82"/>
        <v>0</v>
      </c>
      <c r="BG61" s="161">
        <v>0.5625</v>
      </c>
      <c r="BH61" s="327" t="s">
        <v>510</v>
      </c>
      <c r="BI61" s="309">
        <f>VLOOKUP(MAX(W7:W102),$B$7:$BG$102,58,FALSE)</f>
        <v>0.30208333333333298</v>
      </c>
      <c r="BJ61" s="309">
        <f>BI61+0.041666667</f>
        <v>0.34375000033333297</v>
      </c>
      <c r="BK61" s="305">
        <f>MAX(W7:W102)</f>
        <v>2173</v>
      </c>
      <c r="BL61" s="305">
        <f>MAX(X7:X102)</f>
        <v>0</v>
      </c>
      <c r="BM61" s="103"/>
      <c r="BN61" s="103"/>
      <c r="BO61" s="103"/>
      <c r="GR61" s="103"/>
      <c r="GS61" s="103"/>
      <c r="GT61" s="103"/>
      <c r="GU61" s="103"/>
      <c r="GV61" s="103"/>
    </row>
    <row r="62" spans="1:204" ht="10.050000000000001" customHeight="1" x14ac:dyDescent="0.25">
      <c r="A62" s="251">
        <v>0.57291666666666696</v>
      </c>
      <c r="B62" s="155">
        <f>'Warrant 2'!F69</f>
        <v>1723</v>
      </c>
      <c r="C62" s="155">
        <f>IF(OR('Input &amp; Findings'!$G$28='Drop Down Lists'!$E$2,'Input &amp; Findings'!$G$28='Drop Down Lists'!$E$4),SUM('Data with RTF'!F59,'Data with RTF'!T59),SUM('Data with RTF'!M59,'Data with RTF'!AA59))</f>
        <v>0</v>
      </c>
      <c r="D62" s="176" t="str">
        <f t="shared" si="28"/>
        <v/>
      </c>
      <c r="E62" s="176" t="str">
        <f t="shared" si="29"/>
        <v/>
      </c>
      <c r="F62" s="176" t="str">
        <f t="shared" si="30"/>
        <v/>
      </c>
      <c r="G62" s="176" t="str">
        <f t="shared" si="31"/>
        <v/>
      </c>
      <c r="H62" s="176">
        <f t="shared" si="32"/>
        <v>107</v>
      </c>
      <c r="I62" s="176">
        <f t="shared" si="33"/>
        <v>-10107</v>
      </c>
      <c r="J62" s="176">
        <f t="shared" si="55"/>
        <v>1723</v>
      </c>
      <c r="K62" s="176">
        <f t="shared" si="56"/>
        <v>0</v>
      </c>
      <c r="L62" s="176">
        <f t="shared" si="57"/>
        <v>0</v>
      </c>
      <c r="M62" s="176">
        <f t="shared" si="83"/>
        <v>1723</v>
      </c>
      <c r="N62" s="176">
        <f t="shared" si="84"/>
        <v>0</v>
      </c>
      <c r="O62" s="176">
        <f t="shared" si="34"/>
        <v>-10107</v>
      </c>
      <c r="P62" s="176">
        <f t="shared" si="58"/>
        <v>1723</v>
      </c>
      <c r="Q62" s="176">
        <f t="shared" si="59"/>
        <v>0</v>
      </c>
      <c r="R62" s="176">
        <f t="shared" si="60"/>
        <v>0</v>
      </c>
      <c r="S62" s="176">
        <f t="shared" si="53"/>
        <v>1723</v>
      </c>
      <c r="T62" s="176">
        <f t="shared" si="85"/>
        <v>0</v>
      </c>
      <c r="U62" s="176">
        <f t="shared" si="35"/>
        <v>-10107</v>
      </c>
      <c r="V62" s="176">
        <f t="shared" si="61"/>
        <v>1723</v>
      </c>
      <c r="W62" s="176">
        <f t="shared" si="62"/>
        <v>0</v>
      </c>
      <c r="X62" s="176">
        <f t="shared" si="63"/>
        <v>0</v>
      </c>
      <c r="Y62" s="176">
        <f t="shared" si="86"/>
        <v>1723</v>
      </c>
      <c r="Z62" s="176">
        <f t="shared" si="87"/>
        <v>0</v>
      </c>
      <c r="AA62" s="176">
        <f t="shared" si="36"/>
        <v>-10107</v>
      </c>
      <c r="AB62" s="176">
        <f t="shared" si="64"/>
        <v>1723</v>
      </c>
      <c r="AC62" s="176">
        <f t="shared" si="65"/>
        <v>0</v>
      </c>
      <c r="AD62" s="176">
        <f t="shared" si="66"/>
        <v>0</v>
      </c>
      <c r="AE62" s="176">
        <f t="shared" si="37"/>
        <v>75</v>
      </c>
      <c r="AF62" s="176">
        <f t="shared" si="38"/>
        <v>-10075</v>
      </c>
      <c r="AG62" s="176">
        <f t="shared" si="67"/>
        <v>1723</v>
      </c>
      <c r="AH62" s="176">
        <f t="shared" si="68"/>
        <v>0</v>
      </c>
      <c r="AI62" s="176">
        <f t="shared" si="69"/>
        <v>0</v>
      </c>
      <c r="AJ62" s="176">
        <f t="shared" si="88"/>
        <v>1723</v>
      </c>
      <c r="AK62" s="176">
        <f t="shared" si="89"/>
        <v>0</v>
      </c>
      <c r="AL62" s="176">
        <f t="shared" si="39"/>
        <v>-10075</v>
      </c>
      <c r="AM62" s="176">
        <f t="shared" si="70"/>
        <v>1723</v>
      </c>
      <c r="AN62" s="176">
        <f t="shared" si="71"/>
        <v>0</v>
      </c>
      <c r="AO62" s="176">
        <f t="shared" si="72"/>
        <v>0</v>
      </c>
      <c r="AP62" s="176">
        <f t="shared" si="54"/>
        <v>1723</v>
      </c>
      <c r="AQ62" s="176">
        <f t="shared" si="90"/>
        <v>0</v>
      </c>
      <c r="AR62" s="176">
        <f t="shared" si="40"/>
        <v>-10075</v>
      </c>
      <c r="AS62" s="176">
        <f t="shared" si="73"/>
        <v>1723</v>
      </c>
      <c r="AT62" s="176">
        <f t="shared" si="74"/>
        <v>0</v>
      </c>
      <c r="AU62" s="176">
        <f t="shared" si="75"/>
        <v>0</v>
      </c>
      <c r="AV62" s="176">
        <f t="shared" si="91"/>
        <v>1723</v>
      </c>
      <c r="AW62" s="176">
        <f t="shared" si="92"/>
        <v>0</v>
      </c>
      <c r="AX62" s="176">
        <f t="shared" si="41"/>
        <v>-10075</v>
      </c>
      <c r="AY62" s="176">
        <f t="shared" si="76"/>
        <v>1723</v>
      </c>
      <c r="AZ62" s="176">
        <f t="shared" si="77"/>
        <v>0</v>
      </c>
      <c r="BA62" s="176">
        <f t="shared" si="78"/>
        <v>0</v>
      </c>
      <c r="BB62" s="176">
        <f t="shared" si="42"/>
        <v>133</v>
      </c>
      <c r="BC62" s="176">
        <f t="shared" si="79"/>
        <v>-133</v>
      </c>
      <c r="BD62" s="176">
        <f t="shared" si="80"/>
        <v>1723</v>
      </c>
      <c r="BE62" s="176">
        <f t="shared" si="81"/>
        <v>0</v>
      </c>
      <c r="BF62" s="176">
        <f t="shared" si="82"/>
        <v>0</v>
      </c>
      <c r="BG62" s="161">
        <v>0.57291666666666696</v>
      </c>
      <c r="BH62" s="328" t="s">
        <v>511</v>
      </c>
      <c r="BI62" s="310">
        <f>VLOOKUP(MAX(AC10:AC126),$B$7:$BG$102,58,FALSE)</f>
        <v>0.625</v>
      </c>
      <c r="BJ62" s="310">
        <f>BI62+0.041666667</f>
        <v>0.66666666699999999</v>
      </c>
      <c r="BK62" s="306">
        <f>MAX(AC10:AC126)</f>
        <v>2035</v>
      </c>
      <c r="BL62" s="306">
        <f>MAX(AD10:AD126)</f>
        <v>0</v>
      </c>
      <c r="BM62" s="103"/>
      <c r="BN62" s="103"/>
      <c r="BO62" s="103"/>
      <c r="GR62" s="103"/>
      <c r="GS62" s="103"/>
      <c r="GT62" s="103"/>
      <c r="GU62" s="103"/>
      <c r="GV62" s="103"/>
    </row>
    <row r="63" spans="1:204" ht="10.050000000000001" customHeight="1" x14ac:dyDescent="0.25">
      <c r="A63" s="251">
        <v>0.58333333333333304</v>
      </c>
      <c r="B63" s="155">
        <f>'Warrant 2'!F70</f>
        <v>1792</v>
      </c>
      <c r="C63" s="155">
        <f>IF(OR('Input &amp; Findings'!$G$28='Drop Down Lists'!$E$2,'Input &amp; Findings'!$G$28='Drop Down Lists'!$E$4),SUM('Data with RTF'!F60,'Data with RTF'!T60),SUM('Data with RTF'!M60,'Data with RTF'!AA60))</f>
        <v>0</v>
      </c>
      <c r="D63" s="176" t="str">
        <f t="shared" si="28"/>
        <v/>
      </c>
      <c r="E63" s="176" t="str">
        <f t="shared" si="29"/>
        <v/>
      </c>
      <c r="F63" s="176" t="str">
        <f t="shared" si="30"/>
        <v/>
      </c>
      <c r="G63" s="176" t="str">
        <f t="shared" si="31"/>
        <v/>
      </c>
      <c r="H63" s="176">
        <f t="shared" si="32"/>
        <v>107</v>
      </c>
      <c r="I63" s="176">
        <f t="shared" si="33"/>
        <v>-10107</v>
      </c>
      <c r="J63" s="176">
        <f t="shared" si="55"/>
        <v>1792</v>
      </c>
      <c r="K63" s="176">
        <f t="shared" si="56"/>
        <v>0</v>
      </c>
      <c r="L63" s="176">
        <f t="shared" si="57"/>
        <v>0</v>
      </c>
      <c r="M63" s="176">
        <f t="shared" si="83"/>
        <v>1792</v>
      </c>
      <c r="N63" s="176">
        <f t="shared" si="84"/>
        <v>0</v>
      </c>
      <c r="O63" s="176">
        <f t="shared" si="34"/>
        <v>-10107</v>
      </c>
      <c r="P63" s="176">
        <f t="shared" si="58"/>
        <v>1792</v>
      </c>
      <c r="Q63" s="176">
        <f t="shared" si="59"/>
        <v>0</v>
      </c>
      <c r="R63" s="176">
        <f t="shared" si="60"/>
        <v>0</v>
      </c>
      <c r="S63" s="176">
        <f t="shared" si="53"/>
        <v>1792</v>
      </c>
      <c r="T63" s="176">
        <f t="shared" si="85"/>
        <v>0</v>
      </c>
      <c r="U63" s="176">
        <f t="shared" si="35"/>
        <v>-10107</v>
      </c>
      <c r="V63" s="176">
        <f t="shared" si="61"/>
        <v>1792</v>
      </c>
      <c r="W63" s="176">
        <f t="shared" si="62"/>
        <v>0</v>
      </c>
      <c r="X63" s="176">
        <f t="shared" si="63"/>
        <v>0</v>
      </c>
      <c r="Y63" s="176">
        <f t="shared" si="86"/>
        <v>1792</v>
      </c>
      <c r="Z63" s="176">
        <f t="shared" si="87"/>
        <v>0</v>
      </c>
      <c r="AA63" s="176">
        <f t="shared" si="36"/>
        <v>-10107</v>
      </c>
      <c r="AB63" s="176">
        <f t="shared" si="64"/>
        <v>1792</v>
      </c>
      <c r="AC63" s="176">
        <f t="shared" si="65"/>
        <v>0</v>
      </c>
      <c r="AD63" s="176">
        <f t="shared" si="66"/>
        <v>0</v>
      </c>
      <c r="AE63" s="176">
        <f t="shared" si="37"/>
        <v>75</v>
      </c>
      <c r="AF63" s="176">
        <f t="shared" si="38"/>
        <v>-10075</v>
      </c>
      <c r="AG63" s="176">
        <f t="shared" si="67"/>
        <v>1792</v>
      </c>
      <c r="AH63" s="176">
        <f t="shared" si="68"/>
        <v>0</v>
      </c>
      <c r="AI63" s="176">
        <f t="shared" si="69"/>
        <v>0</v>
      </c>
      <c r="AJ63" s="176">
        <f t="shared" si="88"/>
        <v>1792</v>
      </c>
      <c r="AK63" s="176">
        <f t="shared" si="89"/>
        <v>0</v>
      </c>
      <c r="AL63" s="176">
        <f t="shared" si="39"/>
        <v>-10075</v>
      </c>
      <c r="AM63" s="176">
        <f t="shared" si="70"/>
        <v>1792</v>
      </c>
      <c r="AN63" s="176">
        <f t="shared" si="71"/>
        <v>0</v>
      </c>
      <c r="AO63" s="176">
        <f t="shared" si="72"/>
        <v>0</v>
      </c>
      <c r="AP63" s="176">
        <f t="shared" si="54"/>
        <v>1792</v>
      </c>
      <c r="AQ63" s="176">
        <f t="shared" si="90"/>
        <v>0</v>
      </c>
      <c r="AR63" s="176">
        <f t="shared" si="40"/>
        <v>-10075</v>
      </c>
      <c r="AS63" s="176">
        <f t="shared" si="73"/>
        <v>1792</v>
      </c>
      <c r="AT63" s="176">
        <f t="shared" si="74"/>
        <v>0</v>
      </c>
      <c r="AU63" s="176">
        <f t="shared" si="75"/>
        <v>0</v>
      </c>
      <c r="AV63" s="176">
        <f t="shared" si="91"/>
        <v>1792</v>
      </c>
      <c r="AW63" s="176">
        <f t="shared" si="92"/>
        <v>0</v>
      </c>
      <c r="AX63" s="176">
        <f t="shared" si="41"/>
        <v>-10075</v>
      </c>
      <c r="AY63" s="176">
        <f t="shared" si="76"/>
        <v>1792</v>
      </c>
      <c r="AZ63" s="176">
        <f t="shared" si="77"/>
        <v>0</v>
      </c>
      <c r="BA63" s="176">
        <f t="shared" si="78"/>
        <v>0</v>
      </c>
      <c r="BB63" s="176">
        <f t="shared" si="42"/>
        <v>133</v>
      </c>
      <c r="BC63" s="176">
        <f t="shared" si="79"/>
        <v>-133</v>
      </c>
      <c r="BD63" s="176">
        <f t="shared" si="80"/>
        <v>1792</v>
      </c>
      <c r="BE63" s="176">
        <f t="shared" si="81"/>
        <v>0</v>
      </c>
      <c r="BF63" s="176">
        <f t="shared" si="82"/>
        <v>0</v>
      </c>
      <c r="BG63" s="161">
        <v>0.58333333333333304</v>
      </c>
      <c r="BH63" s="301"/>
      <c r="BI63" s="208"/>
      <c r="BJ63" s="208"/>
      <c r="BK63" s="208"/>
      <c r="BL63" s="208"/>
      <c r="BM63" s="103"/>
      <c r="BN63" s="103"/>
      <c r="BO63" s="103"/>
      <c r="GR63" s="103"/>
      <c r="GS63" s="103"/>
      <c r="GT63" s="103"/>
      <c r="GU63" s="103"/>
      <c r="GV63" s="103"/>
    </row>
    <row r="64" spans="1:204" ht="10.050000000000001" customHeight="1" x14ac:dyDescent="0.25">
      <c r="A64" s="251">
        <v>0.59375</v>
      </c>
      <c r="B64" s="155">
        <f>'Warrant 2'!F71</f>
        <v>1854</v>
      </c>
      <c r="C64" s="155">
        <f>IF(OR('Input &amp; Findings'!$G$28='Drop Down Lists'!$E$2,'Input &amp; Findings'!$G$28='Drop Down Lists'!$E$4),SUM('Data with RTF'!F61,'Data with RTF'!T61),SUM('Data with RTF'!M61,'Data with RTF'!AA61))</f>
        <v>0</v>
      </c>
      <c r="D64" s="176" t="str">
        <f t="shared" si="28"/>
        <v/>
      </c>
      <c r="E64" s="176" t="str">
        <f t="shared" si="29"/>
        <v/>
      </c>
      <c r="F64" s="176" t="str">
        <f t="shared" si="30"/>
        <v/>
      </c>
      <c r="G64" s="176" t="str">
        <f t="shared" si="31"/>
        <v/>
      </c>
      <c r="H64" s="176">
        <f t="shared" si="32"/>
        <v>107</v>
      </c>
      <c r="I64" s="176">
        <f t="shared" si="33"/>
        <v>-10107</v>
      </c>
      <c r="J64" s="176">
        <f t="shared" si="55"/>
        <v>1854</v>
      </c>
      <c r="K64" s="176">
        <f t="shared" si="56"/>
        <v>0</v>
      </c>
      <c r="L64" s="176">
        <f t="shared" si="57"/>
        <v>0</v>
      </c>
      <c r="M64" s="176">
        <f t="shared" si="83"/>
        <v>1854</v>
      </c>
      <c r="N64" s="176">
        <f t="shared" si="84"/>
        <v>0</v>
      </c>
      <c r="O64" s="176">
        <f t="shared" si="34"/>
        <v>-10107</v>
      </c>
      <c r="P64" s="176">
        <f t="shared" si="58"/>
        <v>1854</v>
      </c>
      <c r="Q64" s="176">
        <f t="shared" si="59"/>
        <v>0</v>
      </c>
      <c r="R64" s="176">
        <f t="shared" si="60"/>
        <v>0</v>
      </c>
      <c r="S64" s="176">
        <f t="shared" si="53"/>
        <v>1854</v>
      </c>
      <c r="T64" s="176">
        <f t="shared" si="85"/>
        <v>0</v>
      </c>
      <c r="U64" s="176">
        <f t="shared" si="35"/>
        <v>-10107</v>
      </c>
      <c r="V64" s="176">
        <f t="shared" si="61"/>
        <v>1854</v>
      </c>
      <c r="W64" s="176">
        <f t="shared" si="62"/>
        <v>0</v>
      </c>
      <c r="X64" s="176">
        <f t="shared" si="63"/>
        <v>0</v>
      </c>
      <c r="Y64" s="176">
        <f t="shared" si="86"/>
        <v>1854</v>
      </c>
      <c r="Z64" s="176">
        <f t="shared" si="87"/>
        <v>0</v>
      </c>
      <c r="AA64" s="176">
        <f t="shared" si="36"/>
        <v>-10107</v>
      </c>
      <c r="AB64" s="176">
        <f t="shared" si="64"/>
        <v>1854</v>
      </c>
      <c r="AC64" s="176">
        <f t="shared" si="65"/>
        <v>0</v>
      </c>
      <c r="AD64" s="176">
        <f t="shared" si="66"/>
        <v>0</v>
      </c>
      <c r="AE64" s="176">
        <f t="shared" si="37"/>
        <v>75</v>
      </c>
      <c r="AF64" s="176">
        <f t="shared" si="38"/>
        <v>-10075</v>
      </c>
      <c r="AG64" s="176">
        <f t="shared" si="67"/>
        <v>1854</v>
      </c>
      <c r="AH64" s="176">
        <f t="shared" si="68"/>
        <v>0</v>
      </c>
      <c r="AI64" s="176">
        <f t="shared" si="69"/>
        <v>0</v>
      </c>
      <c r="AJ64" s="176">
        <f t="shared" si="88"/>
        <v>1854</v>
      </c>
      <c r="AK64" s="176">
        <f t="shared" si="89"/>
        <v>0</v>
      </c>
      <c r="AL64" s="176">
        <f t="shared" si="39"/>
        <v>-10075</v>
      </c>
      <c r="AM64" s="176">
        <f t="shared" si="70"/>
        <v>1854</v>
      </c>
      <c r="AN64" s="176">
        <f t="shared" si="71"/>
        <v>0</v>
      </c>
      <c r="AO64" s="176">
        <f t="shared" si="72"/>
        <v>0</v>
      </c>
      <c r="AP64" s="176">
        <f t="shared" si="54"/>
        <v>1854</v>
      </c>
      <c r="AQ64" s="176">
        <f t="shared" si="90"/>
        <v>0</v>
      </c>
      <c r="AR64" s="176">
        <f t="shared" si="40"/>
        <v>-10075</v>
      </c>
      <c r="AS64" s="176">
        <f t="shared" si="73"/>
        <v>1854</v>
      </c>
      <c r="AT64" s="176">
        <f t="shared" si="74"/>
        <v>0</v>
      </c>
      <c r="AU64" s="176">
        <f t="shared" si="75"/>
        <v>0</v>
      </c>
      <c r="AV64" s="176">
        <f t="shared" si="91"/>
        <v>1854</v>
      </c>
      <c r="AW64" s="176">
        <f t="shared" si="92"/>
        <v>0</v>
      </c>
      <c r="AX64" s="176">
        <f t="shared" si="41"/>
        <v>-10075</v>
      </c>
      <c r="AY64" s="176">
        <f t="shared" si="76"/>
        <v>1854</v>
      </c>
      <c r="AZ64" s="176">
        <f t="shared" si="77"/>
        <v>0</v>
      </c>
      <c r="BA64" s="176">
        <f t="shared" si="78"/>
        <v>0</v>
      </c>
      <c r="BB64" s="176">
        <f t="shared" si="42"/>
        <v>133</v>
      </c>
      <c r="BC64" s="176">
        <f t="shared" si="79"/>
        <v>-133</v>
      </c>
      <c r="BD64" s="176">
        <f t="shared" si="80"/>
        <v>1854</v>
      </c>
      <c r="BE64" s="176">
        <f t="shared" si="81"/>
        <v>0</v>
      </c>
      <c r="BF64" s="176">
        <f t="shared" si="82"/>
        <v>0</v>
      </c>
      <c r="BG64" s="161">
        <v>0.59375</v>
      </c>
      <c r="BH64" s="329" t="s">
        <v>514</v>
      </c>
      <c r="BI64" s="286" t="s">
        <v>99</v>
      </c>
      <c r="BJ64" s="286" t="s">
        <v>513</v>
      </c>
      <c r="BK64" s="286" t="s">
        <v>700</v>
      </c>
      <c r="BL64" s="286" t="s">
        <v>701</v>
      </c>
      <c r="BM64" s="103"/>
      <c r="BN64" s="103"/>
      <c r="BO64" s="103"/>
      <c r="GR64" s="103"/>
      <c r="GS64" s="103"/>
      <c r="GT64" s="103"/>
      <c r="GU64" s="103"/>
      <c r="GV64" s="103"/>
    </row>
    <row r="65" spans="1:204" ht="10.050000000000001" customHeight="1" x14ac:dyDescent="0.25">
      <c r="A65" s="251">
        <v>0.60416666666666696</v>
      </c>
      <c r="B65" s="155">
        <f>'Warrant 2'!F72</f>
        <v>1955</v>
      </c>
      <c r="C65" s="155">
        <f>IF(OR('Input &amp; Findings'!$G$28='Drop Down Lists'!$E$2,'Input &amp; Findings'!$G$28='Drop Down Lists'!$E$4),SUM('Data with RTF'!F62,'Data with RTF'!T62),SUM('Data with RTF'!M62,'Data with RTF'!AA62))</f>
        <v>0</v>
      </c>
      <c r="D65" s="176" t="str">
        <f t="shared" si="28"/>
        <v/>
      </c>
      <c r="E65" s="176" t="str">
        <f t="shared" si="29"/>
        <v/>
      </c>
      <c r="F65" s="176" t="str">
        <f t="shared" si="30"/>
        <v/>
      </c>
      <c r="G65" s="176" t="str">
        <f t="shared" si="31"/>
        <v/>
      </c>
      <c r="H65" s="176">
        <f t="shared" si="32"/>
        <v>107</v>
      </c>
      <c r="I65" s="176">
        <f t="shared" si="33"/>
        <v>-10107</v>
      </c>
      <c r="J65" s="176">
        <f t="shared" si="55"/>
        <v>1955</v>
      </c>
      <c r="K65" s="176">
        <f t="shared" si="56"/>
        <v>0</v>
      </c>
      <c r="L65" s="176">
        <f t="shared" si="57"/>
        <v>0</v>
      </c>
      <c r="M65" s="176">
        <f t="shared" si="83"/>
        <v>1955</v>
      </c>
      <c r="N65" s="176">
        <f t="shared" si="84"/>
        <v>0</v>
      </c>
      <c r="O65" s="176">
        <f t="shared" si="34"/>
        <v>-10107</v>
      </c>
      <c r="P65" s="176">
        <f t="shared" si="58"/>
        <v>1955</v>
      </c>
      <c r="Q65" s="176">
        <f t="shared" si="59"/>
        <v>0</v>
      </c>
      <c r="R65" s="176">
        <f t="shared" si="60"/>
        <v>0</v>
      </c>
      <c r="S65" s="176">
        <f t="shared" si="53"/>
        <v>1955</v>
      </c>
      <c r="T65" s="176">
        <f t="shared" si="85"/>
        <v>0</v>
      </c>
      <c r="U65" s="176">
        <f t="shared" si="35"/>
        <v>-10107</v>
      </c>
      <c r="V65" s="176">
        <f t="shared" si="61"/>
        <v>1955</v>
      </c>
      <c r="W65" s="176">
        <f t="shared" si="62"/>
        <v>0</v>
      </c>
      <c r="X65" s="176">
        <f t="shared" si="63"/>
        <v>0</v>
      </c>
      <c r="Y65" s="176">
        <f t="shared" si="86"/>
        <v>1955</v>
      </c>
      <c r="Z65" s="176">
        <f t="shared" si="87"/>
        <v>0</v>
      </c>
      <c r="AA65" s="176">
        <f t="shared" si="36"/>
        <v>-10107</v>
      </c>
      <c r="AB65" s="176">
        <f t="shared" si="64"/>
        <v>1955</v>
      </c>
      <c r="AC65" s="176">
        <f t="shared" si="65"/>
        <v>0</v>
      </c>
      <c r="AD65" s="176">
        <f t="shared" si="66"/>
        <v>0</v>
      </c>
      <c r="AE65" s="176">
        <f t="shared" si="37"/>
        <v>75</v>
      </c>
      <c r="AF65" s="176">
        <f t="shared" si="38"/>
        <v>-10075</v>
      </c>
      <c r="AG65" s="176">
        <f t="shared" si="67"/>
        <v>1955</v>
      </c>
      <c r="AH65" s="176">
        <f t="shared" si="68"/>
        <v>0</v>
      </c>
      <c r="AI65" s="176">
        <f t="shared" si="69"/>
        <v>0</v>
      </c>
      <c r="AJ65" s="176">
        <f t="shared" si="88"/>
        <v>1955</v>
      </c>
      <c r="AK65" s="176">
        <f t="shared" si="89"/>
        <v>0</v>
      </c>
      <c r="AL65" s="176">
        <f t="shared" si="39"/>
        <v>-10075</v>
      </c>
      <c r="AM65" s="176">
        <f t="shared" si="70"/>
        <v>1955</v>
      </c>
      <c r="AN65" s="176">
        <f t="shared" si="71"/>
        <v>0</v>
      </c>
      <c r="AO65" s="176">
        <f t="shared" si="72"/>
        <v>0</v>
      </c>
      <c r="AP65" s="176">
        <f t="shared" si="54"/>
        <v>1955</v>
      </c>
      <c r="AQ65" s="176">
        <f t="shared" si="90"/>
        <v>0</v>
      </c>
      <c r="AR65" s="176">
        <f t="shared" si="40"/>
        <v>-10075</v>
      </c>
      <c r="AS65" s="176">
        <f t="shared" si="73"/>
        <v>1955</v>
      </c>
      <c r="AT65" s="176">
        <f t="shared" si="74"/>
        <v>0</v>
      </c>
      <c r="AU65" s="176">
        <f t="shared" si="75"/>
        <v>0</v>
      </c>
      <c r="AV65" s="176">
        <f t="shared" si="91"/>
        <v>1955</v>
      </c>
      <c r="AW65" s="176">
        <f t="shared" si="92"/>
        <v>0</v>
      </c>
      <c r="AX65" s="176">
        <f t="shared" si="41"/>
        <v>-10075</v>
      </c>
      <c r="AY65" s="176">
        <f t="shared" si="76"/>
        <v>1955</v>
      </c>
      <c r="AZ65" s="176">
        <f t="shared" si="77"/>
        <v>0</v>
      </c>
      <c r="BA65" s="176">
        <f t="shared" si="78"/>
        <v>0</v>
      </c>
      <c r="BB65" s="176">
        <f t="shared" si="42"/>
        <v>133</v>
      </c>
      <c r="BC65" s="176">
        <f t="shared" si="79"/>
        <v>-133</v>
      </c>
      <c r="BD65" s="176">
        <f t="shared" si="80"/>
        <v>1955</v>
      </c>
      <c r="BE65" s="176">
        <f t="shared" si="81"/>
        <v>0</v>
      </c>
      <c r="BF65" s="176">
        <f t="shared" si="82"/>
        <v>0</v>
      </c>
      <c r="BG65" s="161">
        <v>0.60416666666666696</v>
      </c>
      <c r="BH65" s="325" t="s">
        <v>512</v>
      </c>
      <c r="BI65" s="307">
        <f>VLOOKUP(MAX(AH7:AH102),$B$7:$BG$102,58,FALSE)</f>
        <v>0.70833333333333304</v>
      </c>
      <c r="BJ65" s="307">
        <f>BI65+0.041666667</f>
        <v>0.75000000033333303</v>
      </c>
      <c r="BK65" s="303">
        <f>MAX(AH7:AH102)</f>
        <v>2458</v>
      </c>
      <c r="BL65" s="303">
        <f>MAX(AI7:AI102)</f>
        <v>0</v>
      </c>
      <c r="BM65" s="103"/>
      <c r="BN65" s="103"/>
      <c r="BO65" s="103"/>
      <c r="GR65" s="103"/>
      <c r="GS65" s="103"/>
      <c r="GT65" s="103"/>
      <c r="GU65" s="103"/>
      <c r="GV65" s="103"/>
    </row>
    <row r="66" spans="1:204" ht="10.050000000000001" customHeight="1" x14ac:dyDescent="0.25">
      <c r="A66" s="251">
        <v>0.61458333333333304</v>
      </c>
      <c r="B66" s="155">
        <f>'Warrant 2'!F73</f>
        <v>2024</v>
      </c>
      <c r="C66" s="155">
        <f>IF(OR('Input &amp; Findings'!$G$28='Drop Down Lists'!$E$2,'Input &amp; Findings'!$G$28='Drop Down Lists'!$E$4),SUM('Data with RTF'!F63,'Data with RTF'!T63),SUM('Data with RTF'!M63,'Data with RTF'!AA63))</f>
        <v>0</v>
      </c>
      <c r="D66" s="176" t="str">
        <f t="shared" si="28"/>
        <v/>
      </c>
      <c r="E66" s="176" t="str">
        <f t="shared" si="29"/>
        <v/>
      </c>
      <c r="F66" s="176" t="str">
        <f t="shared" si="30"/>
        <v/>
      </c>
      <c r="G66" s="176" t="str">
        <f t="shared" si="31"/>
        <v/>
      </c>
      <c r="H66" s="176">
        <f t="shared" si="32"/>
        <v>107</v>
      </c>
      <c r="I66" s="176">
        <f t="shared" si="33"/>
        <v>-10107</v>
      </c>
      <c r="J66" s="176">
        <f t="shared" si="55"/>
        <v>2024</v>
      </c>
      <c r="K66" s="176">
        <f t="shared" si="56"/>
        <v>0</v>
      </c>
      <c r="L66" s="176">
        <f t="shared" si="57"/>
        <v>0</v>
      </c>
      <c r="M66" s="176">
        <f t="shared" si="83"/>
        <v>2024</v>
      </c>
      <c r="N66" s="176">
        <f t="shared" si="84"/>
        <v>0</v>
      </c>
      <c r="O66" s="176">
        <f t="shared" si="34"/>
        <v>-10107</v>
      </c>
      <c r="P66" s="176">
        <f t="shared" si="58"/>
        <v>2024</v>
      </c>
      <c r="Q66" s="176">
        <f t="shared" si="59"/>
        <v>0</v>
      </c>
      <c r="R66" s="176">
        <f t="shared" si="60"/>
        <v>0</v>
      </c>
      <c r="S66" s="176">
        <f t="shared" si="53"/>
        <v>2024</v>
      </c>
      <c r="T66" s="176">
        <f t="shared" si="85"/>
        <v>0</v>
      </c>
      <c r="U66" s="176">
        <f t="shared" si="35"/>
        <v>-10107</v>
      </c>
      <c r="V66" s="176">
        <f t="shared" si="61"/>
        <v>2024</v>
      </c>
      <c r="W66" s="176">
        <f t="shared" si="62"/>
        <v>0</v>
      </c>
      <c r="X66" s="176">
        <f t="shared" si="63"/>
        <v>0</v>
      </c>
      <c r="Y66" s="176">
        <f t="shared" si="86"/>
        <v>2024</v>
      </c>
      <c r="Z66" s="176">
        <f t="shared" si="87"/>
        <v>0</v>
      </c>
      <c r="AA66" s="176">
        <f t="shared" si="36"/>
        <v>-10107</v>
      </c>
      <c r="AB66" s="176">
        <f t="shared" si="64"/>
        <v>2024</v>
      </c>
      <c r="AC66" s="176">
        <f t="shared" si="65"/>
        <v>0</v>
      </c>
      <c r="AD66" s="176">
        <f t="shared" si="66"/>
        <v>0</v>
      </c>
      <c r="AE66" s="176">
        <f t="shared" si="37"/>
        <v>75</v>
      </c>
      <c r="AF66" s="176">
        <f t="shared" si="38"/>
        <v>-10075</v>
      </c>
      <c r="AG66" s="176">
        <f t="shared" si="67"/>
        <v>2024</v>
      </c>
      <c r="AH66" s="176">
        <f t="shared" si="68"/>
        <v>0</v>
      </c>
      <c r="AI66" s="176">
        <f t="shared" si="69"/>
        <v>0</v>
      </c>
      <c r="AJ66" s="176">
        <f t="shared" si="88"/>
        <v>2024</v>
      </c>
      <c r="AK66" s="176">
        <f t="shared" si="89"/>
        <v>0</v>
      </c>
      <c r="AL66" s="176">
        <f t="shared" si="39"/>
        <v>-10075</v>
      </c>
      <c r="AM66" s="176">
        <f t="shared" si="70"/>
        <v>2024</v>
      </c>
      <c r="AN66" s="176">
        <f t="shared" si="71"/>
        <v>0</v>
      </c>
      <c r="AO66" s="176">
        <f t="shared" si="72"/>
        <v>0</v>
      </c>
      <c r="AP66" s="176">
        <f t="shared" si="54"/>
        <v>2024</v>
      </c>
      <c r="AQ66" s="176">
        <f t="shared" si="90"/>
        <v>0</v>
      </c>
      <c r="AR66" s="176">
        <f t="shared" si="40"/>
        <v>-10075</v>
      </c>
      <c r="AS66" s="176">
        <f t="shared" si="73"/>
        <v>2024</v>
      </c>
      <c r="AT66" s="176">
        <f t="shared" si="74"/>
        <v>0</v>
      </c>
      <c r="AU66" s="176">
        <f t="shared" si="75"/>
        <v>0</v>
      </c>
      <c r="AV66" s="176">
        <f t="shared" si="91"/>
        <v>2024</v>
      </c>
      <c r="AW66" s="176">
        <f t="shared" si="92"/>
        <v>0</v>
      </c>
      <c r="AX66" s="176">
        <f t="shared" si="41"/>
        <v>-10075</v>
      </c>
      <c r="AY66" s="176">
        <f t="shared" si="76"/>
        <v>2024</v>
      </c>
      <c r="AZ66" s="176">
        <f t="shared" si="77"/>
        <v>0</v>
      </c>
      <c r="BA66" s="176">
        <f t="shared" si="78"/>
        <v>0</v>
      </c>
      <c r="BB66" s="176">
        <f t="shared" si="42"/>
        <v>133</v>
      </c>
      <c r="BC66" s="176">
        <f t="shared" si="79"/>
        <v>-133</v>
      </c>
      <c r="BD66" s="176">
        <f t="shared" si="80"/>
        <v>2024</v>
      </c>
      <c r="BE66" s="176">
        <f t="shared" si="81"/>
        <v>0</v>
      </c>
      <c r="BF66" s="176">
        <f t="shared" si="82"/>
        <v>0</v>
      </c>
      <c r="BG66" s="161">
        <v>0.61458333333333304</v>
      </c>
      <c r="BH66" s="326" t="s">
        <v>509</v>
      </c>
      <c r="BI66" s="308">
        <f>VLOOKUP(MAX(AN7:AN102),$B$7:$BG$102,58,FALSE)</f>
        <v>0.66666666666666696</v>
      </c>
      <c r="BJ66" s="308">
        <f>BI66+0.041666667</f>
        <v>0.70833333366666695</v>
      </c>
      <c r="BK66" s="304">
        <f>MAX(AN7:AN102)</f>
        <v>2311</v>
      </c>
      <c r="BL66" s="304">
        <f>MAX(AO7:AO102)</f>
        <v>0</v>
      </c>
      <c r="BM66" s="103"/>
      <c r="BN66" s="103"/>
      <c r="BO66" s="103"/>
      <c r="GR66" s="103"/>
      <c r="GS66" s="103"/>
      <c r="GT66" s="103"/>
      <c r="GU66" s="103"/>
      <c r="GV66" s="103"/>
    </row>
    <row r="67" spans="1:204" ht="10.050000000000001" customHeight="1" x14ac:dyDescent="0.25">
      <c r="A67" s="251">
        <v>0.625</v>
      </c>
      <c r="B67" s="155">
        <f>'Warrant 2'!F74</f>
        <v>2035</v>
      </c>
      <c r="C67" s="155">
        <f>IF(OR('Input &amp; Findings'!$G$28='Drop Down Lists'!$E$2,'Input &amp; Findings'!$G$28='Drop Down Lists'!$E$4),SUM('Data with RTF'!F64,'Data with RTF'!T64),SUM('Data with RTF'!M64,'Data with RTF'!AA64))</f>
        <v>0</v>
      </c>
      <c r="D67" s="176" t="str">
        <f t="shared" si="28"/>
        <v/>
      </c>
      <c r="E67" s="176" t="str">
        <f t="shared" si="29"/>
        <v/>
      </c>
      <c r="F67" s="176" t="str">
        <f t="shared" si="30"/>
        <v/>
      </c>
      <c r="G67" s="176" t="str">
        <f t="shared" si="31"/>
        <v/>
      </c>
      <c r="H67" s="176">
        <f t="shared" si="32"/>
        <v>107</v>
      </c>
      <c r="I67" s="176">
        <f t="shared" si="33"/>
        <v>-10107</v>
      </c>
      <c r="J67" s="176">
        <f t="shared" si="55"/>
        <v>2035</v>
      </c>
      <c r="K67" s="176">
        <f t="shared" si="56"/>
        <v>0</v>
      </c>
      <c r="L67" s="176">
        <f t="shared" si="57"/>
        <v>0</v>
      </c>
      <c r="M67" s="176">
        <f t="shared" si="83"/>
        <v>2035</v>
      </c>
      <c r="N67" s="176">
        <f t="shared" si="84"/>
        <v>0</v>
      </c>
      <c r="O67" s="176">
        <f t="shared" si="34"/>
        <v>-10107</v>
      </c>
      <c r="P67" s="176">
        <f t="shared" si="58"/>
        <v>2035</v>
      </c>
      <c r="Q67" s="176">
        <f t="shared" si="59"/>
        <v>0</v>
      </c>
      <c r="R67" s="176">
        <f t="shared" si="60"/>
        <v>0</v>
      </c>
      <c r="S67" s="176">
        <f t="shared" si="53"/>
        <v>2035</v>
      </c>
      <c r="T67" s="176">
        <f t="shared" si="85"/>
        <v>0</v>
      </c>
      <c r="U67" s="176">
        <f t="shared" si="35"/>
        <v>-10107</v>
      </c>
      <c r="V67" s="176">
        <f t="shared" si="61"/>
        <v>2035</v>
      </c>
      <c r="W67" s="176">
        <f t="shared" si="62"/>
        <v>0</v>
      </c>
      <c r="X67" s="176">
        <f t="shared" si="63"/>
        <v>0</v>
      </c>
      <c r="Y67" s="176">
        <f t="shared" si="86"/>
        <v>2035</v>
      </c>
      <c r="Z67" s="176">
        <f t="shared" si="87"/>
        <v>0</v>
      </c>
      <c r="AA67" s="176">
        <f t="shared" si="36"/>
        <v>-10107</v>
      </c>
      <c r="AB67" s="176">
        <f t="shared" si="64"/>
        <v>2035</v>
      </c>
      <c r="AC67" s="176">
        <f t="shared" si="65"/>
        <v>2035</v>
      </c>
      <c r="AD67" s="176">
        <f t="shared" si="66"/>
        <v>0</v>
      </c>
      <c r="AE67" s="176">
        <f t="shared" si="37"/>
        <v>75</v>
      </c>
      <c r="AF67" s="176">
        <f t="shared" si="38"/>
        <v>-10075</v>
      </c>
      <c r="AG67" s="176">
        <f t="shared" si="67"/>
        <v>2035</v>
      </c>
      <c r="AH67" s="176">
        <f t="shared" si="68"/>
        <v>0</v>
      </c>
      <c r="AI67" s="176">
        <f t="shared" si="69"/>
        <v>0</v>
      </c>
      <c r="AJ67" s="176">
        <f t="shared" si="88"/>
        <v>2035</v>
      </c>
      <c r="AK67" s="176">
        <f t="shared" si="89"/>
        <v>0</v>
      </c>
      <c r="AL67" s="176">
        <f t="shared" si="39"/>
        <v>-10075</v>
      </c>
      <c r="AM67" s="176">
        <f t="shared" si="70"/>
        <v>2035</v>
      </c>
      <c r="AN67" s="176">
        <f t="shared" si="71"/>
        <v>0</v>
      </c>
      <c r="AO67" s="176">
        <f t="shared" si="72"/>
        <v>0</v>
      </c>
      <c r="AP67" s="176">
        <f t="shared" si="54"/>
        <v>2035</v>
      </c>
      <c r="AQ67" s="176">
        <f t="shared" si="90"/>
        <v>0</v>
      </c>
      <c r="AR67" s="176">
        <f t="shared" si="40"/>
        <v>-10075</v>
      </c>
      <c r="AS67" s="176">
        <f t="shared" si="73"/>
        <v>2035</v>
      </c>
      <c r="AT67" s="176">
        <f t="shared" si="74"/>
        <v>0</v>
      </c>
      <c r="AU67" s="176">
        <f t="shared" si="75"/>
        <v>0</v>
      </c>
      <c r="AV67" s="176">
        <f t="shared" si="91"/>
        <v>2035</v>
      </c>
      <c r="AW67" s="176">
        <f t="shared" si="92"/>
        <v>0</v>
      </c>
      <c r="AX67" s="176">
        <f t="shared" si="41"/>
        <v>-10075</v>
      </c>
      <c r="AY67" s="176">
        <f t="shared" si="76"/>
        <v>2035</v>
      </c>
      <c r="AZ67" s="176">
        <f t="shared" si="77"/>
        <v>2035</v>
      </c>
      <c r="BA67" s="176">
        <f t="shared" si="78"/>
        <v>0</v>
      </c>
      <c r="BB67" s="176">
        <f t="shared" si="42"/>
        <v>133</v>
      </c>
      <c r="BC67" s="176">
        <f t="shared" si="79"/>
        <v>-133</v>
      </c>
      <c r="BD67" s="176">
        <f t="shared" si="80"/>
        <v>2035</v>
      </c>
      <c r="BE67" s="176">
        <f t="shared" si="81"/>
        <v>0</v>
      </c>
      <c r="BF67" s="176">
        <f t="shared" si="82"/>
        <v>0</v>
      </c>
      <c r="BG67" s="161">
        <v>0.625</v>
      </c>
      <c r="BH67" s="327" t="s">
        <v>510</v>
      </c>
      <c r="BI67" s="309">
        <f>VLOOKUP(MAX(AT7:AT102),$B$7:$BG$102,58,FALSE)</f>
        <v>0.30208333333333298</v>
      </c>
      <c r="BJ67" s="309">
        <f>BI67+0.041666667</f>
        <v>0.34375000033333297</v>
      </c>
      <c r="BK67" s="305">
        <f>MAX(AT7:AT102)</f>
        <v>2173</v>
      </c>
      <c r="BL67" s="305">
        <f>MAX(AU7:AU102)</f>
        <v>0</v>
      </c>
      <c r="BM67" s="103"/>
      <c r="BN67" s="103"/>
      <c r="BO67" s="103"/>
      <c r="GR67" s="103"/>
      <c r="GS67" s="103"/>
      <c r="GT67" s="103"/>
      <c r="GU67" s="103"/>
      <c r="GV67" s="103"/>
    </row>
    <row r="68" spans="1:204" ht="10.050000000000001" customHeight="1" x14ac:dyDescent="0.25">
      <c r="A68" s="251">
        <v>0.63541666666666696</v>
      </c>
      <c r="B68" s="155">
        <f>'Warrant 2'!F75</f>
        <v>2048</v>
      </c>
      <c r="C68" s="155">
        <f>IF(OR('Input &amp; Findings'!$G$28='Drop Down Lists'!$E$2,'Input &amp; Findings'!$G$28='Drop Down Lists'!$E$4),SUM('Data with RTF'!F65,'Data with RTF'!T65),SUM('Data with RTF'!M65,'Data with RTF'!AA65))</f>
        <v>0</v>
      </c>
      <c r="D68" s="176" t="str">
        <f t="shared" si="28"/>
        <v/>
      </c>
      <c r="E68" s="176" t="str">
        <f t="shared" si="29"/>
        <v/>
      </c>
      <c r="F68" s="176" t="str">
        <f t="shared" si="30"/>
        <v/>
      </c>
      <c r="G68" s="176" t="str">
        <f t="shared" si="31"/>
        <v/>
      </c>
      <c r="H68" s="176">
        <f t="shared" si="32"/>
        <v>107</v>
      </c>
      <c r="I68" s="176">
        <f t="shared" si="33"/>
        <v>-10107</v>
      </c>
      <c r="J68" s="176">
        <f t="shared" si="55"/>
        <v>2048</v>
      </c>
      <c r="K68" s="176">
        <f t="shared" si="56"/>
        <v>0</v>
      </c>
      <c r="L68" s="176">
        <f t="shared" si="57"/>
        <v>0</v>
      </c>
      <c r="M68" s="176">
        <f t="shared" si="83"/>
        <v>2048</v>
      </c>
      <c r="N68" s="176">
        <f t="shared" si="84"/>
        <v>0</v>
      </c>
      <c r="O68" s="176">
        <f t="shared" si="34"/>
        <v>-10107</v>
      </c>
      <c r="P68" s="176">
        <f t="shared" si="58"/>
        <v>2048</v>
      </c>
      <c r="Q68" s="176">
        <f t="shared" si="59"/>
        <v>0</v>
      </c>
      <c r="R68" s="176">
        <f t="shared" si="60"/>
        <v>0</v>
      </c>
      <c r="S68" s="176" t="str">
        <f t="shared" si="53"/>
        <v/>
      </c>
      <c r="T68" s="176" t="str">
        <f t="shared" si="85"/>
        <v/>
      </c>
      <c r="U68" s="176">
        <f t="shared" si="35"/>
        <v>-20107</v>
      </c>
      <c r="V68" s="176">
        <f t="shared" si="61"/>
        <v>0</v>
      </c>
      <c r="W68" s="176">
        <f t="shared" si="62"/>
        <v>0</v>
      </c>
      <c r="X68" s="176">
        <f t="shared" si="63"/>
        <v>0</v>
      </c>
      <c r="Y68" s="176" t="str">
        <f t="shared" si="86"/>
        <v/>
      </c>
      <c r="Z68" s="176" t="str">
        <f t="shared" si="87"/>
        <v/>
      </c>
      <c r="AA68" s="176">
        <f t="shared" si="36"/>
        <v>-30107</v>
      </c>
      <c r="AB68" s="176">
        <f t="shared" si="64"/>
        <v>0</v>
      </c>
      <c r="AC68" s="176">
        <f t="shared" si="65"/>
        <v>0</v>
      </c>
      <c r="AD68" s="176">
        <f t="shared" si="66"/>
        <v>0</v>
      </c>
      <c r="AE68" s="176">
        <f t="shared" si="37"/>
        <v>75</v>
      </c>
      <c r="AF68" s="176">
        <f t="shared" si="38"/>
        <v>-10075</v>
      </c>
      <c r="AG68" s="176">
        <f t="shared" si="67"/>
        <v>2048</v>
      </c>
      <c r="AH68" s="176">
        <f t="shared" si="68"/>
        <v>0</v>
      </c>
      <c r="AI68" s="176">
        <f t="shared" si="69"/>
        <v>0</v>
      </c>
      <c r="AJ68" s="176">
        <f t="shared" si="88"/>
        <v>2048</v>
      </c>
      <c r="AK68" s="176">
        <f t="shared" si="89"/>
        <v>0</v>
      </c>
      <c r="AL68" s="176">
        <f t="shared" si="39"/>
        <v>-10075</v>
      </c>
      <c r="AM68" s="176">
        <f t="shared" si="70"/>
        <v>2048</v>
      </c>
      <c r="AN68" s="176">
        <f t="shared" si="71"/>
        <v>0</v>
      </c>
      <c r="AO68" s="176">
        <f t="shared" si="72"/>
        <v>0</v>
      </c>
      <c r="AP68" s="176" t="str">
        <f t="shared" si="54"/>
        <v/>
      </c>
      <c r="AQ68" s="176" t="str">
        <f t="shared" si="90"/>
        <v/>
      </c>
      <c r="AR68" s="176">
        <f t="shared" si="40"/>
        <v>-20075</v>
      </c>
      <c r="AS68" s="176">
        <f t="shared" si="73"/>
        <v>0</v>
      </c>
      <c r="AT68" s="176">
        <f t="shared" si="74"/>
        <v>0</v>
      </c>
      <c r="AU68" s="176">
        <f t="shared" si="75"/>
        <v>0</v>
      </c>
      <c r="AV68" s="176" t="str">
        <f t="shared" si="91"/>
        <v/>
      </c>
      <c r="AW68" s="176" t="str">
        <f t="shared" si="92"/>
        <v/>
      </c>
      <c r="AX68" s="176">
        <f t="shared" si="41"/>
        <v>-30075</v>
      </c>
      <c r="AY68" s="176">
        <f t="shared" si="76"/>
        <v>0</v>
      </c>
      <c r="AZ68" s="176">
        <f t="shared" si="77"/>
        <v>0</v>
      </c>
      <c r="BA68" s="176">
        <f t="shared" si="78"/>
        <v>0</v>
      </c>
      <c r="BB68" s="176">
        <f t="shared" si="42"/>
        <v>133</v>
      </c>
      <c r="BC68" s="176">
        <f t="shared" si="79"/>
        <v>-133</v>
      </c>
      <c r="BD68" s="176">
        <f t="shared" si="80"/>
        <v>2048</v>
      </c>
      <c r="BE68" s="176">
        <f t="shared" si="81"/>
        <v>2048</v>
      </c>
      <c r="BF68" s="176">
        <f t="shared" si="82"/>
        <v>0</v>
      </c>
      <c r="BG68" s="161">
        <v>0.63541666666666696</v>
      </c>
      <c r="BH68" s="328" t="s">
        <v>511</v>
      </c>
      <c r="BI68" s="310">
        <f>VLOOKUP(MAX(AZ7:AZ102),$B$7:$BG$102,58,FALSE)</f>
        <v>0.625</v>
      </c>
      <c r="BJ68" s="310">
        <f>BI68+0.041666667</f>
        <v>0.66666666699999999</v>
      </c>
      <c r="BK68" s="306">
        <f>MAX(AZ7:AZ102)</f>
        <v>2035</v>
      </c>
      <c r="BL68" s="306">
        <f>MAX(BA7:BA102)</f>
        <v>0</v>
      </c>
      <c r="BM68" s="103"/>
      <c r="BN68" s="103"/>
      <c r="BO68" s="103"/>
      <c r="GR68" s="103"/>
      <c r="GS68" s="103"/>
      <c r="GT68" s="103"/>
      <c r="GU68" s="103"/>
      <c r="GV68" s="103"/>
    </row>
    <row r="69" spans="1:204" ht="10.050000000000001" customHeight="1" thickBot="1" x14ac:dyDescent="0.3">
      <c r="A69" s="251">
        <v>0.64583333333333304</v>
      </c>
      <c r="B69" s="155">
        <f>'Warrant 2'!F76</f>
        <v>2160</v>
      </c>
      <c r="C69" s="155">
        <f>IF(OR('Input &amp; Findings'!$G$28='Drop Down Lists'!$E$2,'Input &amp; Findings'!$G$28='Drop Down Lists'!$E$4),SUM('Data with RTF'!F66,'Data with RTF'!T66),SUM('Data with RTF'!M66,'Data with RTF'!AA66))</f>
        <v>0</v>
      </c>
      <c r="D69" s="176" t="str">
        <f t="shared" si="28"/>
        <v/>
      </c>
      <c r="E69" s="176" t="str">
        <f t="shared" si="29"/>
        <v/>
      </c>
      <c r="F69" s="176" t="str">
        <f t="shared" si="30"/>
        <v/>
      </c>
      <c r="G69" s="176" t="str">
        <f t="shared" si="31"/>
        <v/>
      </c>
      <c r="H69" s="176">
        <f t="shared" si="32"/>
        <v>107</v>
      </c>
      <c r="I69" s="176">
        <f t="shared" si="33"/>
        <v>-10107</v>
      </c>
      <c r="J69" s="176">
        <f t="shared" si="55"/>
        <v>2160</v>
      </c>
      <c r="K69" s="176">
        <f t="shared" si="56"/>
        <v>0</v>
      </c>
      <c r="L69" s="176">
        <f t="shared" si="57"/>
        <v>0</v>
      </c>
      <c r="M69" s="176">
        <f t="shared" si="83"/>
        <v>2160</v>
      </c>
      <c r="N69" s="176">
        <f t="shared" si="84"/>
        <v>0</v>
      </c>
      <c r="O69" s="176">
        <f t="shared" si="34"/>
        <v>-10107</v>
      </c>
      <c r="P69" s="176">
        <f t="shared" si="58"/>
        <v>2160</v>
      </c>
      <c r="Q69" s="176">
        <f t="shared" si="59"/>
        <v>0</v>
      </c>
      <c r="R69" s="176">
        <f t="shared" si="60"/>
        <v>0</v>
      </c>
      <c r="S69" s="176" t="str">
        <f t="shared" ref="S69:S74" si="101">IF(AND(Q69=0,Q70=0,Q71=0,Q72=0,Q68=0,Q67=0,Q66=0),M69,"")</f>
        <v/>
      </c>
      <c r="T69" s="176" t="str">
        <f t="shared" ref="T69:T74" si="102">IF(AND(Q69=0,Q70=0,Q71=0,Q72=0,Q68=0,Q67=0,Q66=0),N69,"")</f>
        <v/>
      </c>
      <c r="U69" s="176">
        <f t="shared" si="35"/>
        <v>-20107</v>
      </c>
      <c r="V69" s="176">
        <f t="shared" si="61"/>
        <v>0</v>
      </c>
      <c r="W69" s="176">
        <f t="shared" si="62"/>
        <v>0</v>
      </c>
      <c r="X69" s="176">
        <f t="shared" si="63"/>
        <v>0</v>
      </c>
      <c r="Y69" s="176" t="str">
        <f t="shared" ref="Y69:Y74" si="103">IF(AND(W69=0,W70=0,W71=0,W72=0,W68=0,W67=0,W66=0),S69,"")</f>
        <v/>
      </c>
      <c r="Z69" s="176" t="str">
        <f t="shared" ref="Z69:Z74" si="104">IF(AND(W69=0,W70=0,W71=0,W72=0,W68=0,W67=0,W66=0),T69,"")</f>
        <v/>
      </c>
      <c r="AA69" s="176">
        <f t="shared" si="36"/>
        <v>-30107</v>
      </c>
      <c r="AB69" s="176">
        <f t="shared" si="64"/>
        <v>0</v>
      </c>
      <c r="AC69" s="176">
        <f t="shared" si="65"/>
        <v>0</v>
      </c>
      <c r="AD69" s="176">
        <f t="shared" si="66"/>
        <v>0</v>
      </c>
      <c r="AE69" s="176">
        <f t="shared" si="37"/>
        <v>75</v>
      </c>
      <c r="AF69" s="176">
        <f t="shared" si="38"/>
        <v>-10075</v>
      </c>
      <c r="AG69" s="176">
        <f t="shared" si="67"/>
        <v>2160</v>
      </c>
      <c r="AH69" s="176">
        <f t="shared" si="68"/>
        <v>0</v>
      </c>
      <c r="AI69" s="176">
        <f t="shared" si="69"/>
        <v>0</v>
      </c>
      <c r="AJ69" s="176">
        <f t="shared" si="88"/>
        <v>2160</v>
      </c>
      <c r="AK69" s="176">
        <f t="shared" si="89"/>
        <v>0</v>
      </c>
      <c r="AL69" s="176">
        <f t="shared" si="39"/>
        <v>-10075</v>
      </c>
      <c r="AM69" s="176">
        <f t="shared" si="70"/>
        <v>2160</v>
      </c>
      <c r="AN69" s="176">
        <f t="shared" si="71"/>
        <v>0</v>
      </c>
      <c r="AO69" s="176">
        <f t="shared" si="72"/>
        <v>0</v>
      </c>
      <c r="AP69" s="176" t="str">
        <f t="shared" ref="AP69:AP74" si="105">IF(AND(AN69=0,AN70=0,AN71=0,AN72=0,AN68=0,AN67=0,AN66=0),AJ69,"")</f>
        <v/>
      </c>
      <c r="AQ69" s="176" t="str">
        <f t="shared" ref="AQ69:AQ74" si="106">IF(AND(AN69=0,AN70=0,AN71=0,AN72=0,AN68=0,AN67=0,AN66=0),AK69,"")</f>
        <v/>
      </c>
      <c r="AR69" s="176">
        <f t="shared" si="40"/>
        <v>-20075</v>
      </c>
      <c r="AS69" s="176">
        <f t="shared" si="73"/>
        <v>0</v>
      </c>
      <c r="AT69" s="176">
        <f t="shared" si="74"/>
        <v>0</v>
      </c>
      <c r="AU69" s="176">
        <f t="shared" si="75"/>
        <v>0</v>
      </c>
      <c r="AV69" s="176" t="str">
        <f t="shared" ref="AV69:AV74" si="107">IF(AND(AT69=0,AT70=0,AT71=0,AT72=0,AT68=0,AT67=0,AT66=0),AP69,"")</f>
        <v/>
      </c>
      <c r="AW69" s="176" t="str">
        <f t="shared" ref="AW69:AW74" si="108">IF(AND(AT69=0,AT70=0,AT71=0,AT72=0,AT68=0,AT67=0,AT66=0),AQ69,"")</f>
        <v/>
      </c>
      <c r="AX69" s="176">
        <f t="shared" si="41"/>
        <v>-30075</v>
      </c>
      <c r="AY69" s="176">
        <f t="shared" si="76"/>
        <v>0</v>
      </c>
      <c r="AZ69" s="176">
        <f t="shared" si="77"/>
        <v>0</v>
      </c>
      <c r="BA69" s="176">
        <f t="shared" si="78"/>
        <v>0</v>
      </c>
      <c r="BB69" s="176">
        <f t="shared" si="42"/>
        <v>152.89384000000007</v>
      </c>
      <c r="BC69" s="176">
        <f t="shared" si="79"/>
        <v>-152.89384000000007</v>
      </c>
      <c r="BD69" s="176">
        <f t="shared" si="80"/>
        <v>0</v>
      </c>
      <c r="BE69" s="176">
        <f t="shared" si="81"/>
        <v>0</v>
      </c>
      <c r="BF69" s="176">
        <f t="shared" si="82"/>
        <v>0</v>
      </c>
      <c r="BG69" s="161">
        <v>0.64583333333333304</v>
      </c>
      <c r="BH69" s="330"/>
      <c r="BI69" s="330"/>
      <c r="BJ69" s="330"/>
      <c r="BK69" s="330"/>
      <c r="BL69" s="330"/>
      <c r="BM69" s="103"/>
      <c r="BN69" s="103"/>
      <c r="BO69" s="103"/>
      <c r="GR69" s="103"/>
      <c r="GS69" s="103"/>
      <c r="GT69" s="103"/>
      <c r="GU69" s="103"/>
      <c r="GV69" s="103"/>
    </row>
    <row r="70" spans="1:204" ht="10.050000000000001" customHeight="1" x14ac:dyDescent="0.25">
      <c r="A70" s="251">
        <v>0.65625</v>
      </c>
      <c r="B70" s="155">
        <f>'Warrant 2'!F77</f>
        <v>2260</v>
      </c>
      <c r="C70" s="155">
        <f>IF(OR('Input &amp; Findings'!$G$28='Drop Down Lists'!$E$2,'Input &amp; Findings'!$G$28='Drop Down Lists'!$E$4),SUM('Data with RTF'!F67,'Data with RTF'!T67),SUM('Data with RTF'!M67,'Data with RTF'!AA67))</f>
        <v>0</v>
      </c>
      <c r="D70" s="176" t="str">
        <f t="shared" si="28"/>
        <v/>
      </c>
      <c r="E70" s="176" t="str">
        <f t="shared" si="29"/>
        <v/>
      </c>
      <c r="F70" s="176" t="str">
        <f t="shared" si="30"/>
        <v/>
      </c>
      <c r="G70" s="176" t="str">
        <f t="shared" si="31"/>
        <v/>
      </c>
      <c r="H70" s="176">
        <f t="shared" si="32"/>
        <v>107</v>
      </c>
      <c r="I70" s="176">
        <f t="shared" si="33"/>
        <v>-10107</v>
      </c>
      <c r="J70" s="176">
        <f t="shared" si="55"/>
        <v>2260</v>
      </c>
      <c r="K70" s="176">
        <f t="shared" si="56"/>
        <v>0</v>
      </c>
      <c r="L70" s="176">
        <f t="shared" si="57"/>
        <v>0</v>
      </c>
      <c r="M70" s="176">
        <f t="shared" si="83"/>
        <v>2260</v>
      </c>
      <c r="N70" s="176">
        <f t="shared" si="84"/>
        <v>0</v>
      </c>
      <c r="O70" s="176">
        <f t="shared" si="34"/>
        <v>-10107</v>
      </c>
      <c r="P70" s="176">
        <f t="shared" si="58"/>
        <v>2260</v>
      </c>
      <c r="Q70" s="176">
        <f t="shared" si="59"/>
        <v>0</v>
      </c>
      <c r="R70" s="176">
        <f t="shared" si="60"/>
        <v>0</v>
      </c>
      <c r="S70" s="176" t="str">
        <f t="shared" si="101"/>
        <v/>
      </c>
      <c r="T70" s="176" t="str">
        <f t="shared" si="102"/>
        <v/>
      </c>
      <c r="U70" s="176">
        <f t="shared" si="35"/>
        <v>-20107</v>
      </c>
      <c r="V70" s="176">
        <f t="shared" si="61"/>
        <v>0</v>
      </c>
      <c r="W70" s="176">
        <f t="shared" si="62"/>
        <v>0</v>
      </c>
      <c r="X70" s="176">
        <f t="shared" si="63"/>
        <v>0</v>
      </c>
      <c r="Y70" s="176" t="str">
        <f t="shared" si="103"/>
        <v/>
      </c>
      <c r="Z70" s="176" t="str">
        <f t="shared" si="104"/>
        <v/>
      </c>
      <c r="AA70" s="176">
        <f t="shared" si="36"/>
        <v>-30107</v>
      </c>
      <c r="AB70" s="176">
        <f t="shared" si="64"/>
        <v>0</v>
      </c>
      <c r="AC70" s="176">
        <f t="shared" si="65"/>
        <v>0</v>
      </c>
      <c r="AD70" s="176">
        <f t="shared" si="66"/>
        <v>0</v>
      </c>
      <c r="AE70" s="176">
        <f t="shared" si="37"/>
        <v>75</v>
      </c>
      <c r="AF70" s="176">
        <f t="shared" si="38"/>
        <v>-10075</v>
      </c>
      <c r="AG70" s="176">
        <f t="shared" si="67"/>
        <v>2260</v>
      </c>
      <c r="AH70" s="176">
        <f t="shared" si="68"/>
        <v>0</v>
      </c>
      <c r="AI70" s="176">
        <f t="shared" si="69"/>
        <v>0</v>
      </c>
      <c r="AJ70" s="176">
        <f t="shared" si="88"/>
        <v>2260</v>
      </c>
      <c r="AK70" s="176">
        <f t="shared" si="89"/>
        <v>0</v>
      </c>
      <c r="AL70" s="176">
        <f t="shared" si="39"/>
        <v>-10075</v>
      </c>
      <c r="AM70" s="176">
        <f t="shared" si="70"/>
        <v>2260</v>
      </c>
      <c r="AN70" s="176">
        <f t="shared" si="71"/>
        <v>0</v>
      </c>
      <c r="AO70" s="176">
        <f t="shared" si="72"/>
        <v>0</v>
      </c>
      <c r="AP70" s="176" t="str">
        <f t="shared" si="105"/>
        <v/>
      </c>
      <c r="AQ70" s="176" t="str">
        <f t="shared" si="106"/>
        <v/>
      </c>
      <c r="AR70" s="176">
        <f t="shared" si="40"/>
        <v>-20075</v>
      </c>
      <c r="AS70" s="176">
        <f t="shared" si="73"/>
        <v>0</v>
      </c>
      <c r="AT70" s="176">
        <f t="shared" si="74"/>
        <v>0</v>
      </c>
      <c r="AU70" s="176">
        <f t="shared" si="75"/>
        <v>0</v>
      </c>
      <c r="AV70" s="176" t="str">
        <f t="shared" si="107"/>
        <v/>
      </c>
      <c r="AW70" s="176" t="str">
        <f t="shared" si="108"/>
        <v/>
      </c>
      <c r="AX70" s="176">
        <f t="shared" si="41"/>
        <v>-30075</v>
      </c>
      <c r="AY70" s="176">
        <f t="shared" si="76"/>
        <v>0</v>
      </c>
      <c r="AZ70" s="176">
        <f t="shared" si="77"/>
        <v>0</v>
      </c>
      <c r="BA70" s="176">
        <f t="shared" si="78"/>
        <v>0</v>
      </c>
      <c r="BB70" s="176">
        <f t="shared" si="42"/>
        <v>178.70763999999997</v>
      </c>
      <c r="BC70" s="176">
        <f t="shared" si="79"/>
        <v>-178.70763999999997</v>
      </c>
      <c r="BD70" s="176">
        <f t="shared" si="80"/>
        <v>0</v>
      </c>
      <c r="BE70" s="176">
        <f t="shared" si="81"/>
        <v>0</v>
      </c>
      <c r="BF70" s="176">
        <f t="shared" si="82"/>
        <v>0</v>
      </c>
      <c r="BG70" s="161">
        <v>0.65625</v>
      </c>
      <c r="BH70" s="330"/>
      <c r="BI70" s="680" t="s">
        <v>515</v>
      </c>
      <c r="BJ70" s="681"/>
      <c r="BK70" s="681"/>
      <c r="BL70" s="682"/>
      <c r="BM70" s="103"/>
      <c r="BN70" s="103"/>
      <c r="BO70" s="103"/>
      <c r="GR70" s="103"/>
      <c r="GS70" s="103"/>
      <c r="GT70" s="103"/>
      <c r="GU70" s="103"/>
      <c r="GV70" s="103"/>
    </row>
    <row r="71" spans="1:204" ht="10.050000000000001" customHeight="1" x14ac:dyDescent="0.25">
      <c r="A71" s="251">
        <v>0.66666666666666696</v>
      </c>
      <c r="B71" s="155">
        <f>'Warrant 2'!F78</f>
        <v>2311</v>
      </c>
      <c r="C71" s="155">
        <f>IF(OR('Input &amp; Findings'!$G$28='Drop Down Lists'!$E$2,'Input &amp; Findings'!$G$28='Drop Down Lists'!$E$4),SUM('Data with RTF'!F68,'Data with RTF'!T68),SUM('Data with RTF'!M68,'Data with RTF'!AA68))</f>
        <v>0</v>
      </c>
      <c r="D71" s="176" t="str">
        <f t="shared" si="28"/>
        <v/>
      </c>
      <c r="E71" s="176" t="str">
        <f t="shared" si="29"/>
        <v/>
      </c>
      <c r="F71" s="176" t="str">
        <f t="shared" si="30"/>
        <v/>
      </c>
      <c r="G71" s="176" t="str">
        <f t="shared" si="31"/>
        <v/>
      </c>
      <c r="H71" s="176">
        <f t="shared" si="32"/>
        <v>107</v>
      </c>
      <c r="I71" s="176">
        <f t="shared" si="33"/>
        <v>-10107</v>
      </c>
      <c r="J71" s="176">
        <f t="shared" ref="J71:J102" si="109">IF(I71=MAX($I$7:$I$102),B71,0)</f>
        <v>2311</v>
      </c>
      <c r="K71" s="176">
        <f t="shared" ref="K71:K102" si="110">IF(J71=MAX($J$7:$J$102),J71,0)</f>
        <v>0</v>
      </c>
      <c r="L71" s="176">
        <f t="shared" ref="L71:L102" si="111">IF(K71=MAX($K$7:$K$102),C71,0)</f>
        <v>0</v>
      </c>
      <c r="M71" s="176">
        <f t="shared" si="83"/>
        <v>2311</v>
      </c>
      <c r="N71" s="176">
        <f t="shared" si="84"/>
        <v>0</v>
      </c>
      <c r="O71" s="176">
        <f t="shared" si="34"/>
        <v>-10107</v>
      </c>
      <c r="P71" s="176">
        <f t="shared" ref="P71:P102" si="112">IF(O71=MAX($O$7:$O$102),B71,0)</f>
        <v>2311</v>
      </c>
      <c r="Q71" s="176">
        <f t="shared" ref="Q71:Q102" si="113">IF(P71=MAX($P$7:$P$102),P71,0)</f>
        <v>2311</v>
      </c>
      <c r="R71" s="176">
        <f t="shared" ref="R71:R102" si="114">IF(P71=MAX($P$7:$P$102),C71,0)</f>
        <v>0</v>
      </c>
      <c r="S71" s="176" t="str">
        <f t="shared" si="101"/>
        <v/>
      </c>
      <c r="T71" s="176" t="str">
        <f t="shared" si="102"/>
        <v/>
      </c>
      <c r="U71" s="176">
        <f t="shared" si="35"/>
        <v>-20107</v>
      </c>
      <c r="V71" s="176">
        <f t="shared" ref="V71:V102" si="115">IF(U71=MAX($U$7:$U$102),S71,0)</f>
        <v>0</v>
      </c>
      <c r="W71" s="176">
        <f t="shared" ref="W71:W102" si="116">IF(V71=MAX($V$7:$V$102),V71,0)</f>
        <v>0</v>
      </c>
      <c r="X71" s="176">
        <f t="shared" ref="X71:X102" si="117">IF(V71=MAX($V$7:$V$102),T71,0)</f>
        <v>0</v>
      </c>
      <c r="Y71" s="176" t="str">
        <f t="shared" si="103"/>
        <v/>
      </c>
      <c r="Z71" s="176" t="str">
        <f t="shared" si="104"/>
        <v/>
      </c>
      <c r="AA71" s="176">
        <f t="shared" si="36"/>
        <v>-30107</v>
      </c>
      <c r="AB71" s="176">
        <f t="shared" ref="AB71:AB102" si="118">IF(AA71=MAX($AA$7:$AA$102),Y71,0)</f>
        <v>0</v>
      </c>
      <c r="AC71" s="176">
        <f t="shared" ref="AC71:AC102" si="119">IF(AB71=MAX($AB$7:$AB$102),AB71,0)</f>
        <v>0</v>
      </c>
      <c r="AD71" s="176">
        <f t="shared" ref="AD71:AD102" si="120">IF(AB71=MAX($AB$7:$AB$102),Z71,0)</f>
        <v>0</v>
      </c>
      <c r="AE71" s="176">
        <f t="shared" si="37"/>
        <v>75</v>
      </c>
      <c r="AF71" s="176">
        <f t="shared" si="38"/>
        <v>-10075</v>
      </c>
      <c r="AG71" s="176">
        <f t="shared" ref="AG71:AG102" si="121">IF(AF71=MAX($AF$7:$AF$102),B71,0)</f>
        <v>2311</v>
      </c>
      <c r="AH71" s="176">
        <f t="shared" ref="AH71:AH102" si="122">IF(AG71=MAX($AG$7:$AG$102),AG71,0)</f>
        <v>0</v>
      </c>
      <c r="AI71" s="176">
        <f t="shared" ref="AI71:AI102" si="123">IF(AH71=MAX($AH$7:$AH$102),C71,0)</f>
        <v>0</v>
      </c>
      <c r="AJ71" s="176">
        <f t="shared" si="88"/>
        <v>2311</v>
      </c>
      <c r="AK71" s="176">
        <f t="shared" si="89"/>
        <v>0</v>
      </c>
      <c r="AL71" s="176">
        <f t="shared" si="39"/>
        <v>-10075</v>
      </c>
      <c r="AM71" s="176">
        <f t="shared" ref="AM71:AM102" si="124">IF(AL71=MAX($AL$7:$AL$102),AJ71,0)</f>
        <v>2311</v>
      </c>
      <c r="AN71" s="176">
        <f t="shared" ref="AN71:AN102" si="125">IF(AM71=MAX($AM$7:$AM$102),AM71,0)</f>
        <v>2311</v>
      </c>
      <c r="AO71" s="176">
        <f t="shared" ref="AO71:AO102" si="126">IF(AM71=MAX($AM$7:$AM$102),AK71,0)</f>
        <v>0</v>
      </c>
      <c r="AP71" s="176" t="str">
        <f t="shared" si="105"/>
        <v/>
      </c>
      <c r="AQ71" s="176" t="str">
        <f t="shared" si="106"/>
        <v/>
      </c>
      <c r="AR71" s="176">
        <f t="shared" si="40"/>
        <v>-20075</v>
      </c>
      <c r="AS71" s="176">
        <f t="shared" ref="AS71:AS102" si="127">IF(AR71=MAX($AR$7:$AR$102),AP71,0)</f>
        <v>0</v>
      </c>
      <c r="AT71" s="176">
        <f t="shared" ref="AT71:AT102" si="128">IF(AS71=MAX($AS$7:$AS$102),AS71,0)</f>
        <v>0</v>
      </c>
      <c r="AU71" s="176">
        <f t="shared" ref="AU71:AU102" si="129">IF(AS71=MAX($AS$7:$AS$102),AQ71,0)</f>
        <v>0</v>
      </c>
      <c r="AV71" s="176" t="str">
        <f t="shared" si="107"/>
        <v/>
      </c>
      <c r="AW71" s="176" t="str">
        <f t="shared" si="108"/>
        <v/>
      </c>
      <c r="AX71" s="176">
        <f t="shared" si="41"/>
        <v>-30075</v>
      </c>
      <c r="AY71" s="176">
        <f t="shared" ref="AY71:AY102" si="130">IF(AX71=MAX($AX$7:$AX$102),AV71,0)</f>
        <v>0</v>
      </c>
      <c r="AZ71" s="176">
        <f t="shared" ref="AZ71:AZ102" si="131">IF(AY71=MAX($AY$7:$AY$102),AY71,0)</f>
        <v>0</v>
      </c>
      <c r="BA71" s="176">
        <f t="shared" ref="BA71:BA102" si="132">IF(AY71=MAX($AY$7:$AY$102),AW71,0)</f>
        <v>0</v>
      </c>
      <c r="BB71" s="176">
        <f t="shared" si="42"/>
        <v>194.09749690000024</v>
      </c>
      <c r="BC71" s="176">
        <f t="shared" ref="BC71:BC102" si="133">C71-BB71</f>
        <v>-194.09749690000024</v>
      </c>
      <c r="BD71" s="176">
        <f t="shared" ref="BD71:BD102" si="134">IF(BC71=MAX($BC$7:$BC$102),B71,0)</f>
        <v>0</v>
      </c>
      <c r="BE71" s="176">
        <f t="shared" ref="BE71:BE102" si="135">IF(BD71=MAX($BD$7:$BD$102),BD71,0)</f>
        <v>0</v>
      </c>
      <c r="BF71" s="176">
        <f t="shared" ref="BF71:BF102" si="136">IF(BD71=MAX($BD$7:$BD$102),C71,0)</f>
        <v>0</v>
      </c>
      <c r="BG71" s="161">
        <v>0.66666666666666696</v>
      </c>
      <c r="BH71" s="330"/>
      <c r="BI71" s="683"/>
      <c r="BJ71" s="660"/>
      <c r="BK71" s="660"/>
      <c r="BL71" s="684"/>
      <c r="BM71" s="103"/>
      <c r="BN71" s="103"/>
      <c r="BO71" s="103"/>
      <c r="GR71" s="103"/>
      <c r="GS71" s="103"/>
      <c r="GT71" s="103"/>
      <c r="GU71" s="103"/>
      <c r="GV71" s="103"/>
    </row>
    <row r="72" spans="1:204" ht="10.050000000000001" customHeight="1" x14ac:dyDescent="0.25">
      <c r="A72" s="251">
        <v>0.67708333333333304</v>
      </c>
      <c r="B72" s="155">
        <f>'Warrant 2'!F79</f>
        <v>2425</v>
      </c>
      <c r="C72" s="155">
        <f>IF(OR('Input &amp; Findings'!$G$28='Drop Down Lists'!$E$2,'Input &amp; Findings'!$G$28='Drop Down Lists'!$E$4),SUM('Data with RTF'!F69,'Data with RTF'!T69),SUM('Data with RTF'!M69,'Data with RTF'!AA69))</f>
        <v>0</v>
      </c>
      <c r="D72" s="176" t="str">
        <f t="shared" ref="D72:D102" si="137">IF($BL$31="No",IF($C72&gt;(MAX((0.0003875)*($B72^2)-(1.02098 *$B72)+760.62,107)),"Met",""),IF($C72&gt;(MAX((0.0003875)*($B72^2)-(1.02098*$B72)+760.62,107)*$BL$37),"Met",""))</f>
        <v/>
      </c>
      <c r="E72" s="176" t="str">
        <f t="shared" ref="E72:E102" si="138">IF($C72&gt;(MAX((0.0004214)*($B72^2)-(0.86656*$B72)+491.334,75)),"Met","")</f>
        <v/>
      </c>
      <c r="F72" s="176" t="str">
        <f t="shared" ref="F72:F102" si="139">IF($BL$31="No",IF($C72&gt;(MAX((0.0002889)*($B72^2)-(1.0188*$B72)+1005.61,133)),"Met",""),IF($C72&gt;(MAX((0.0002889)*($B72^2)-(1.0188*$B72)+1005.61,133)*$BL$37),"Met",""))</f>
        <v/>
      </c>
      <c r="G72" s="176" t="str">
        <f t="shared" ref="G72:G102" si="140">IF($C72&gt;(MAX((0.0003915)*($B72^2)-(0.96162*$B72)+669.187,93)),"Met","")</f>
        <v/>
      </c>
      <c r="H72" s="176">
        <f t="shared" ref="H72:H102" si="141">IF($BL$31="No",IF(B72&lt;1100,MAX((0.0003875)*($B72^2)-(1.02098*$B72)+760.62,107),107),(IF(B72&lt;1100,MAX((0.0003875)*($B72^2)-(1.02098*$B72)+760.62,107)))*$BL$37)</f>
        <v>107</v>
      </c>
      <c r="I72" s="176">
        <f t="shared" ref="I72:I102" si="142">IF(D72="Met",C72-H72,C72-H72-10000)</f>
        <v>-10107</v>
      </c>
      <c r="J72" s="176">
        <f t="shared" si="109"/>
        <v>2425</v>
      </c>
      <c r="K72" s="176">
        <f t="shared" si="110"/>
        <v>0</v>
      </c>
      <c r="L72" s="176">
        <f t="shared" si="111"/>
        <v>0</v>
      </c>
      <c r="M72" s="176" t="str">
        <f t="shared" si="83"/>
        <v/>
      </c>
      <c r="N72" s="176" t="str">
        <f t="shared" si="84"/>
        <v/>
      </c>
      <c r="O72" s="176">
        <f t="shared" ref="O72:O102" si="143">IF(N72="",I72-10000,I72)</f>
        <v>-20107</v>
      </c>
      <c r="P72" s="176">
        <f t="shared" si="112"/>
        <v>0</v>
      </c>
      <c r="Q72" s="176">
        <f t="shared" si="113"/>
        <v>0</v>
      </c>
      <c r="R72" s="176">
        <f t="shared" si="114"/>
        <v>0</v>
      </c>
      <c r="S72" s="176" t="str">
        <f t="shared" si="101"/>
        <v/>
      </c>
      <c r="T72" s="176" t="str">
        <f t="shared" si="102"/>
        <v/>
      </c>
      <c r="U72" s="176">
        <f t="shared" ref="U72:U102" si="144">IF(T72="",O72-10000,O72)</f>
        <v>-30107</v>
      </c>
      <c r="V72" s="176">
        <f t="shared" si="115"/>
        <v>0</v>
      </c>
      <c r="W72" s="176">
        <f t="shared" si="116"/>
        <v>0</v>
      </c>
      <c r="X72" s="176">
        <f t="shared" si="117"/>
        <v>0</v>
      </c>
      <c r="Y72" s="176" t="str">
        <f t="shared" si="103"/>
        <v/>
      </c>
      <c r="Z72" s="176" t="str">
        <f t="shared" si="104"/>
        <v/>
      </c>
      <c r="AA72" s="176">
        <f t="shared" ref="AA72:AA102" si="145">IF(Z72="",U72-10000,U72)</f>
        <v>-40107</v>
      </c>
      <c r="AB72" s="176">
        <f t="shared" si="118"/>
        <v>0</v>
      </c>
      <c r="AC72" s="176">
        <f t="shared" si="119"/>
        <v>0</v>
      </c>
      <c r="AD72" s="176">
        <f t="shared" si="120"/>
        <v>0</v>
      </c>
      <c r="AE72" s="176">
        <f t="shared" ref="AE72:AE102" si="146">IF($BL$31="No",IF(B72&lt;780,MAX((0.0004214)*($B72^2)-(0.86656*$B72)+491.334,75),75),(IF(B72&lt;780,MAX((0.0004214)*($B72^2)-(0.86656*$B72)+491.334,75),75))*$BL$37)</f>
        <v>75</v>
      </c>
      <c r="AF72" s="176">
        <f t="shared" ref="AF72:AF102" si="147">IF(E72="Met",C72-AE72,C72-AE72-10000)</f>
        <v>-10075</v>
      </c>
      <c r="AG72" s="176">
        <f t="shared" si="121"/>
        <v>2425</v>
      </c>
      <c r="AH72" s="176">
        <f t="shared" si="122"/>
        <v>0</v>
      </c>
      <c r="AI72" s="176">
        <f t="shared" si="123"/>
        <v>0</v>
      </c>
      <c r="AJ72" s="176" t="str">
        <f t="shared" si="88"/>
        <v/>
      </c>
      <c r="AK72" s="176" t="str">
        <f t="shared" si="89"/>
        <v/>
      </c>
      <c r="AL72" s="176">
        <f t="shared" ref="AL72:AL102" si="148">IF(AK72="",AF72-10000,AF72)</f>
        <v>-20075</v>
      </c>
      <c r="AM72" s="176">
        <f t="shared" si="124"/>
        <v>0</v>
      </c>
      <c r="AN72" s="176">
        <f t="shared" si="125"/>
        <v>0</v>
      </c>
      <c r="AO72" s="176">
        <f t="shared" si="126"/>
        <v>0</v>
      </c>
      <c r="AP72" s="176" t="str">
        <f t="shared" si="105"/>
        <v/>
      </c>
      <c r="AQ72" s="176" t="str">
        <f t="shared" si="106"/>
        <v/>
      </c>
      <c r="AR72" s="176">
        <f t="shared" ref="AR72:AR102" si="149">IF(AQ72="",AL72-10000,AL72)</f>
        <v>-30075</v>
      </c>
      <c r="AS72" s="176">
        <f t="shared" si="127"/>
        <v>0</v>
      </c>
      <c r="AT72" s="176">
        <f t="shared" si="128"/>
        <v>0</v>
      </c>
      <c r="AU72" s="176">
        <f t="shared" si="129"/>
        <v>0</v>
      </c>
      <c r="AV72" s="176" t="str">
        <f t="shared" si="107"/>
        <v/>
      </c>
      <c r="AW72" s="176" t="str">
        <f t="shared" si="108"/>
        <v/>
      </c>
      <c r="AX72" s="176">
        <f t="shared" ref="AX72:AX102" si="150">IF(AW72="",AR72-10000,AR72)</f>
        <v>-40075</v>
      </c>
      <c r="AY72" s="176">
        <f t="shared" si="130"/>
        <v>0</v>
      </c>
      <c r="AZ72" s="176">
        <f t="shared" si="131"/>
        <v>0</v>
      </c>
      <c r="BA72" s="176">
        <f t="shared" si="132"/>
        <v>0</v>
      </c>
      <c r="BB72" s="176">
        <f t="shared" ref="BB72:BB102" si="151">MAX((0.0002889)*($B72^2)-(1.0188*$B72)+1005.61,133)</f>
        <v>233.93256250000024</v>
      </c>
      <c r="BC72" s="176">
        <f t="shared" si="133"/>
        <v>-233.93256250000024</v>
      </c>
      <c r="BD72" s="176">
        <f t="shared" si="134"/>
        <v>0</v>
      </c>
      <c r="BE72" s="176">
        <f t="shared" si="135"/>
        <v>0</v>
      </c>
      <c r="BF72" s="176">
        <f t="shared" si="136"/>
        <v>0</v>
      </c>
      <c r="BG72" s="161">
        <v>0.67708333333333304</v>
      </c>
      <c r="BH72" s="330"/>
      <c r="BI72" s="683"/>
      <c r="BJ72" s="660"/>
      <c r="BK72" s="660"/>
      <c r="BL72" s="684"/>
      <c r="BM72" s="103"/>
      <c r="BN72" s="103"/>
      <c r="BO72" s="103"/>
      <c r="GR72" s="103"/>
      <c r="GS72" s="103"/>
      <c r="GT72" s="103"/>
      <c r="GU72" s="103"/>
      <c r="GV72" s="103"/>
    </row>
    <row r="73" spans="1:204" ht="10.050000000000001" customHeight="1" x14ac:dyDescent="0.25">
      <c r="A73" s="251">
        <v>0.6875</v>
      </c>
      <c r="B73" s="155">
        <f>'Warrant 2'!F80</f>
        <v>2434</v>
      </c>
      <c r="C73" s="155">
        <f>IF(OR('Input &amp; Findings'!$G$28='Drop Down Lists'!$E$2,'Input &amp; Findings'!$G$28='Drop Down Lists'!$E$4),SUM('Data with RTF'!F70,'Data with RTF'!T70),SUM('Data with RTF'!M70,'Data with RTF'!AA70))</f>
        <v>0</v>
      </c>
      <c r="D73" s="176" t="str">
        <f t="shared" si="137"/>
        <v/>
      </c>
      <c r="E73" s="176" t="str">
        <f t="shared" si="138"/>
        <v/>
      </c>
      <c r="F73" s="176" t="str">
        <f t="shared" si="139"/>
        <v/>
      </c>
      <c r="G73" s="176" t="str">
        <f t="shared" si="140"/>
        <v/>
      </c>
      <c r="H73" s="176">
        <f t="shared" si="141"/>
        <v>107</v>
      </c>
      <c r="I73" s="176">
        <f t="shared" si="142"/>
        <v>-10107</v>
      </c>
      <c r="J73" s="176">
        <f t="shared" si="109"/>
        <v>2434</v>
      </c>
      <c r="K73" s="176">
        <f t="shared" si="110"/>
        <v>0</v>
      </c>
      <c r="L73" s="176">
        <f t="shared" si="111"/>
        <v>0</v>
      </c>
      <c r="M73" s="176" t="str">
        <f t="shared" si="83"/>
        <v/>
      </c>
      <c r="N73" s="176" t="str">
        <f t="shared" si="84"/>
        <v/>
      </c>
      <c r="O73" s="176">
        <f t="shared" si="143"/>
        <v>-20107</v>
      </c>
      <c r="P73" s="176">
        <f t="shared" si="112"/>
        <v>0</v>
      </c>
      <c r="Q73" s="176">
        <f t="shared" si="113"/>
        <v>0</v>
      </c>
      <c r="R73" s="176">
        <f t="shared" si="114"/>
        <v>0</v>
      </c>
      <c r="S73" s="176" t="str">
        <f t="shared" si="101"/>
        <v/>
      </c>
      <c r="T73" s="176" t="str">
        <f t="shared" si="102"/>
        <v/>
      </c>
      <c r="U73" s="176">
        <f t="shared" si="144"/>
        <v>-30107</v>
      </c>
      <c r="V73" s="176">
        <f t="shared" si="115"/>
        <v>0</v>
      </c>
      <c r="W73" s="176">
        <f t="shared" si="116"/>
        <v>0</v>
      </c>
      <c r="X73" s="176">
        <f t="shared" si="117"/>
        <v>0</v>
      </c>
      <c r="Y73" s="176" t="str">
        <f t="shared" si="103"/>
        <v/>
      </c>
      <c r="Z73" s="176" t="str">
        <f t="shared" si="104"/>
        <v/>
      </c>
      <c r="AA73" s="176">
        <f t="shared" si="145"/>
        <v>-40107</v>
      </c>
      <c r="AB73" s="176">
        <f t="shared" si="118"/>
        <v>0</v>
      </c>
      <c r="AC73" s="176">
        <f t="shared" si="119"/>
        <v>0</v>
      </c>
      <c r="AD73" s="176">
        <f t="shared" si="120"/>
        <v>0</v>
      </c>
      <c r="AE73" s="176">
        <f t="shared" si="146"/>
        <v>75</v>
      </c>
      <c r="AF73" s="176">
        <f t="shared" si="147"/>
        <v>-10075</v>
      </c>
      <c r="AG73" s="176">
        <f t="shared" si="121"/>
        <v>2434</v>
      </c>
      <c r="AH73" s="176">
        <f t="shared" si="122"/>
        <v>0</v>
      </c>
      <c r="AI73" s="176">
        <f t="shared" si="123"/>
        <v>0</v>
      </c>
      <c r="AJ73" s="176" t="str">
        <f t="shared" si="88"/>
        <v/>
      </c>
      <c r="AK73" s="176" t="str">
        <f t="shared" si="89"/>
        <v/>
      </c>
      <c r="AL73" s="176">
        <f t="shared" si="148"/>
        <v>-20075</v>
      </c>
      <c r="AM73" s="176">
        <f t="shared" si="124"/>
        <v>0</v>
      </c>
      <c r="AN73" s="176">
        <f t="shared" si="125"/>
        <v>0</v>
      </c>
      <c r="AO73" s="176">
        <f t="shared" si="126"/>
        <v>0</v>
      </c>
      <c r="AP73" s="176" t="str">
        <f t="shared" si="105"/>
        <v/>
      </c>
      <c r="AQ73" s="176" t="str">
        <f t="shared" si="106"/>
        <v/>
      </c>
      <c r="AR73" s="176">
        <f t="shared" si="149"/>
        <v>-30075</v>
      </c>
      <c r="AS73" s="176">
        <f t="shared" si="127"/>
        <v>0</v>
      </c>
      <c r="AT73" s="176">
        <f t="shared" si="128"/>
        <v>0</v>
      </c>
      <c r="AU73" s="176">
        <f t="shared" si="129"/>
        <v>0</v>
      </c>
      <c r="AV73" s="176" t="str">
        <f t="shared" si="107"/>
        <v/>
      </c>
      <c r="AW73" s="176" t="str">
        <f t="shared" si="108"/>
        <v/>
      </c>
      <c r="AX73" s="176">
        <f t="shared" si="150"/>
        <v>-40075</v>
      </c>
      <c r="AY73" s="176">
        <f t="shared" si="130"/>
        <v>0</v>
      </c>
      <c r="AZ73" s="176">
        <f t="shared" si="131"/>
        <v>0</v>
      </c>
      <c r="BA73" s="176">
        <f t="shared" si="132"/>
        <v>0</v>
      </c>
      <c r="BB73" s="176">
        <f t="shared" si="151"/>
        <v>237.39724839999997</v>
      </c>
      <c r="BC73" s="176">
        <f t="shared" si="133"/>
        <v>-237.39724839999997</v>
      </c>
      <c r="BD73" s="176">
        <f t="shared" si="134"/>
        <v>0</v>
      </c>
      <c r="BE73" s="176">
        <f t="shared" si="135"/>
        <v>0</v>
      </c>
      <c r="BF73" s="176">
        <f t="shared" si="136"/>
        <v>0</v>
      </c>
      <c r="BG73" s="161">
        <v>0.6875</v>
      </c>
      <c r="BH73" s="330"/>
      <c r="BI73" s="633" t="s">
        <v>512</v>
      </c>
      <c r="BJ73" s="634"/>
      <c r="BK73" s="634"/>
      <c r="BL73" s="635"/>
      <c r="BM73" s="103"/>
      <c r="BN73" s="103"/>
      <c r="BO73" s="103"/>
      <c r="GR73" s="103"/>
      <c r="GS73" s="103"/>
      <c r="GT73" s="103"/>
      <c r="GU73" s="103"/>
      <c r="GV73" s="103"/>
    </row>
    <row r="74" spans="1:204" ht="10.050000000000001" customHeight="1" x14ac:dyDescent="0.25">
      <c r="A74" s="251">
        <v>0.69791666666666696</v>
      </c>
      <c r="B74" s="155">
        <f>'Warrant 2'!F81</f>
        <v>2440</v>
      </c>
      <c r="C74" s="155">
        <f>IF(OR('Input &amp; Findings'!$G$28='Drop Down Lists'!$E$2,'Input &amp; Findings'!$G$28='Drop Down Lists'!$E$4),SUM('Data with RTF'!F71,'Data with RTF'!T71),SUM('Data with RTF'!M71,'Data with RTF'!AA71))</f>
        <v>0</v>
      </c>
      <c r="D74" s="176" t="str">
        <f t="shared" si="137"/>
        <v/>
      </c>
      <c r="E74" s="176" t="str">
        <f t="shared" si="138"/>
        <v/>
      </c>
      <c r="F74" s="176" t="str">
        <f t="shared" si="139"/>
        <v/>
      </c>
      <c r="G74" s="176" t="str">
        <f t="shared" si="140"/>
        <v/>
      </c>
      <c r="H74" s="176">
        <f t="shared" si="141"/>
        <v>107</v>
      </c>
      <c r="I74" s="176">
        <f t="shared" si="142"/>
        <v>-10107</v>
      </c>
      <c r="J74" s="176">
        <f t="shared" si="109"/>
        <v>2440</v>
      </c>
      <c r="K74" s="176">
        <f t="shared" si="110"/>
        <v>0</v>
      </c>
      <c r="L74" s="176">
        <f t="shared" si="111"/>
        <v>0</v>
      </c>
      <c r="M74" s="176" t="str">
        <f t="shared" ref="M74:M101" si="152">IF(AND(K74=0,K75=0,K76=0,K77=0,K73=0,K72=0,K71=0),B74,"")</f>
        <v/>
      </c>
      <c r="N74" s="176" t="str">
        <f t="shared" ref="N74:N101" si="153">IF(AND(K74=0,K75=0,K76=0,K77=0,K73=0,K72=0,K71=0),C74,"")</f>
        <v/>
      </c>
      <c r="O74" s="176">
        <f t="shared" si="143"/>
        <v>-20107</v>
      </c>
      <c r="P74" s="176">
        <f t="shared" si="112"/>
        <v>0</v>
      </c>
      <c r="Q74" s="176">
        <f t="shared" si="113"/>
        <v>0</v>
      </c>
      <c r="R74" s="176">
        <f t="shared" si="114"/>
        <v>0</v>
      </c>
      <c r="S74" s="176" t="str">
        <f t="shared" si="101"/>
        <v/>
      </c>
      <c r="T74" s="176" t="str">
        <f t="shared" si="102"/>
        <v/>
      </c>
      <c r="U74" s="176">
        <f t="shared" si="144"/>
        <v>-30107</v>
      </c>
      <c r="V74" s="176">
        <f t="shared" si="115"/>
        <v>0</v>
      </c>
      <c r="W74" s="176">
        <f t="shared" si="116"/>
        <v>0</v>
      </c>
      <c r="X74" s="176">
        <f t="shared" si="117"/>
        <v>0</v>
      </c>
      <c r="Y74" s="176" t="str">
        <f t="shared" si="103"/>
        <v/>
      </c>
      <c r="Z74" s="176" t="str">
        <f t="shared" si="104"/>
        <v/>
      </c>
      <c r="AA74" s="176">
        <f t="shared" si="145"/>
        <v>-40107</v>
      </c>
      <c r="AB74" s="176">
        <f t="shared" si="118"/>
        <v>0</v>
      </c>
      <c r="AC74" s="176">
        <f t="shared" si="119"/>
        <v>0</v>
      </c>
      <c r="AD74" s="176">
        <f t="shared" si="120"/>
        <v>0</v>
      </c>
      <c r="AE74" s="176">
        <f t="shared" si="146"/>
        <v>75</v>
      </c>
      <c r="AF74" s="176">
        <f t="shared" si="147"/>
        <v>-10075</v>
      </c>
      <c r="AG74" s="176">
        <f t="shared" si="121"/>
        <v>2440</v>
      </c>
      <c r="AH74" s="176">
        <f t="shared" si="122"/>
        <v>0</v>
      </c>
      <c r="AI74" s="176">
        <f t="shared" si="123"/>
        <v>0</v>
      </c>
      <c r="AJ74" s="176" t="str">
        <f t="shared" ref="AJ74:AJ101" si="154">IF(AND(AH74=0,AH75=0,AH76=0,AH77=0,AH73=0,AH72=0,AH71=0),B74,"")</f>
        <v/>
      </c>
      <c r="AK74" s="176" t="str">
        <f t="shared" ref="AK74:AK101" si="155">IF(AND(AH74=0,AH75=0,AH76=0,AH77=0,AH73=0,AH72=0,AH71=0),C74,"")</f>
        <v/>
      </c>
      <c r="AL74" s="176">
        <f t="shared" si="148"/>
        <v>-20075</v>
      </c>
      <c r="AM74" s="176">
        <f t="shared" si="124"/>
        <v>0</v>
      </c>
      <c r="AN74" s="176">
        <f t="shared" si="125"/>
        <v>0</v>
      </c>
      <c r="AO74" s="176">
        <f t="shared" si="126"/>
        <v>0</v>
      </c>
      <c r="AP74" s="176" t="str">
        <f t="shared" si="105"/>
        <v/>
      </c>
      <c r="AQ74" s="176" t="str">
        <f t="shared" si="106"/>
        <v/>
      </c>
      <c r="AR74" s="176">
        <f t="shared" si="149"/>
        <v>-30075</v>
      </c>
      <c r="AS74" s="176">
        <f t="shared" si="127"/>
        <v>0</v>
      </c>
      <c r="AT74" s="176">
        <f t="shared" si="128"/>
        <v>0</v>
      </c>
      <c r="AU74" s="176">
        <f t="shared" si="129"/>
        <v>0</v>
      </c>
      <c r="AV74" s="176" t="str">
        <f t="shared" si="107"/>
        <v/>
      </c>
      <c r="AW74" s="176" t="str">
        <f t="shared" si="108"/>
        <v/>
      </c>
      <c r="AX74" s="176">
        <f t="shared" si="150"/>
        <v>-40075</v>
      </c>
      <c r="AY74" s="176">
        <f t="shared" si="130"/>
        <v>0</v>
      </c>
      <c r="AZ74" s="176">
        <f t="shared" si="131"/>
        <v>0</v>
      </c>
      <c r="BA74" s="176">
        <f t="shared" si="132"/>
        <v>0</v>
      </c>
      <c r="BB74" s="176">
        <f t="shared" si="151"/>
        <v>239.73303999999996</v>
      </c>
      <c r="BC74" s="176">
        <f t="shared" si="133"/>
        <v>-239.73303999999996</v>
      </c>
      <c r="BD74" s="176">
        <f t="shared" si="134"/>
        <v>0</v>
      </c>
      <c r="BE74" s="176">
        <f t="shared" si="135"/>
        <v>0</v>
      </c>
      <c r="BF74" s="176">
        <f t="shared" si="136"/>
        <v>0</v>
      </c>
      <c r="BG74" s="161">
        <v>0.69791666666666696</v>
      </c>
      <c r="BH74" s="330"/>
      <c r="BI74" s="636"/>
      <c r="BJ74" s="637"/>
      <c r="BK74" s="637"/>
      <c r="BL74" s="638"/>
      <c r="BM74" s="103"/>
      <c r="BN74" s="103"/>
      <c r="BO74" s="103"/>
      <c r="GR74" s="103"/>
      <c r="GS74" s="103"/>
      <c r="GT74" s="103"/>
      <c r="GU74" s="103"/>
      <c r="GV74" s="103"/>
    </row>
    <row r="75" spans="1:204" ht="9.75" customHeight="1" x14ac:dyDescent="0.25">
      <c r="A75" s="251">
        <v>0.70833333333333304</v>
      </c>
      <c r="B75" s="155">
        <f>'Warrant 2'!F82</f>
        <v>2458</v>
      </c>
      <c r="C75" s="155">
        <f>IF(OR('Input &amp; Findings'!$G$28='Drop Down Lists'!$E$2,'Input &amp; Findings'!$G$28='Drop Down Lists'!$E$4),SUM('Data with RTF'!F72,'Data with RTF'!T72),SUM('Data with RTF'!M72,'Data with RTF'!AA72))</f>
        <v>0</v>
      </c>
      <c r="D75" s="176" t="str">
        <f t="shared" si="137"/>
        <v/>
      </c>
      <c r="E75" s="176" t="str">
        <f t="shared" si="138"/>
        <v/>
      </c>
      <c r="F75" s="176" t="str">
        <f t="shared" si="139"/>
        <v/>
      </c>
      <c r="G75" s="176" t="str">
        <f t="shared" si="140"/>
        <v/>
      </c>
      <c r="H75" s="176">
        <f t="shared" si="141"/>
        <v>107</v>
      </c>
      <c r="I75" s="176">
        <f t="shared" si="142"/>
        <v>-10107</v>
      </c>
      <c r="J75" s="176">
        <f t="shared" si="109"/>
        <v>2458</v>
      </c>
      <c r="K75" s="176">
        <f t="shared" si="110"/>
        <v>2458</v>
      </c>
      <c r="L75" s="176">
        <f t="shared" si="111"/>
        <v>0</v>
      </c>
      <c r="M75" s="176" t="str">
        <f t="shared" si="152"/>
        <v/>
      </c>
      <c r="N75" s="176" t="str">
        <f t="shared" si="153"/>
        <v/>
      </c>
      <c r="O75" s="176">
        <f t="shared" si="143"/>
        <v>-20107</v>
      </c>
      <c r="P75" s="176">
        <f t="shared" si="112"/>
        <v>0</v>
      </c>
      <c r="Q75" s="176">
        <f t="shared" si="113"/>
        <v>0</v>
      </c>
      <c r="R75" s="176">
        <f t="shared" si="114"/>
        <v>0</v>
      </c>
      <c r="S75" s="176" t="str">
        <f t="shared" si="53"/>
        <v/>
      </c>
      <c r="T75" s="176" t="str">
        <f t="shared" ref="T75:T99" si="156">IF(AND(Q75=0,Q76=0,Q77=0,Q78=0,Q74=0,Q73=0,Q72=0),N75,"")</f>
        <v/>
      </c>
      <c r="U75" s="176">
        <f t="shared" si="144"/>
        <v>-30107</v>
      </c>
      <c r="V75" s="176">
        <f t="shared" si="115"/>
        <v>0</v>
      </c>
      <c r="W75" s="176">
        <f t="shared" si="116"/>
        <v>0</v>
      </c>
      <c r="X75" s="176">
        <f t="shared" si="117"/>
        <v>0</v>
      </c>
      <c r="Y75" s="176" t="str">
        <f t="shared" ref="Y75:Y99" si="157">IF(AND(W75=0,W76=0,W77=0,W78=0,W74=0,W73=0,W72=0),S75,"")</f>
        <v/>
      </c>
      <c r="Z75" s="176" t="str">
        <f t="shared" ref="Z75:Z99" si="158">IF(AND(W75=0,W76=0,W77=0,W78=0,W74=0,W73=0,W72=0),T75,"")</f>
        <v/>
      </c>
      <c r="AA75" s="176">
        <f t="shared" si="145"/>
        <v>-40107</v>
      </c>
      <c r="AB75" s="176">
        <f t="shared" si="118"/>
        <v>0</v>
      </c>
      <c r="AC75" s="176">
        <f t="shared" si="119"/>
        <v>0</v>
      </c>
      <c r="AD75" s="176">
        <f t="shared" si="120"/>
        <v>0</v>
      </c>
      <c r="AE75" s="176">
        <f t="shared" si="146"/>
        <v>75</v>
      </c>
      <c r="AF75" s="176">
        <f t="shared" si="147"/>
        <v>-10075</v>
      </c>
      <c r="AG75" s="176">
        <f t="shared" si="121"/>
        <v>2458</v>
      </c>
      <c r="AH75" s="176">
        <f t="shared" si="122"/>
        <v>2458</v>
      </c>
      <c r="AI75" s="176">
        <f t="shared" si="123"/>
        <v>0</v>
      </c>
      <c r="AJ75" s="176" t="str">
        <f t="shared" si="154"/>
        <v/>
      </c>
      <c r="AK75" s="176" t="str">
        <f t="shared" si="155"/>
        <v/>
      </c>
      <c r="AL75" s="176">
        <f t="shared" si="148"/>
        <v>-20075</v>
      </c>
      <c r="AM75" s="176">
        <f t="shared" si="124"/>
        <v>0</v>
      </c>
      <c r="AN75" s="176">
        <f t="shared" si="125"/>
        <v>0</v>
      </c>
      <c r="AO75" s="176">
        <f t="shared" si="126"/>
        <v>0</v>
      </c>
      <c r="AP75" s="176" t="str">
        <f t="shared" si="54"/>
        <v/>
      </c>
      <c r="AQ75" s="176" t="str">
        <f t="shared" ref="AQ75:AQ99" si="159">IF(AND(AN75=0,AN76=0,AN77=0,AN78=0,AN74=0,AN73=0,AN72=0),AK75,"")</f>
        <v/>
      </c>
      <c r="AR75" s="176">
        <f t="shared" si="149"/>
        <v>-30075</v>
      </c>
      <c r="AS75" s="176">
        <f t="shared" si="127"/>
        <v>0</v>
      </c>
      <c r="AT75" s="176">
        <f t="shared" si="128"/>
        <v>0</v>
      </c>
      <c r="AU75" s="176">
        <f t="shared" si="129"/>
        <v>0</v>
      </c>
      <c r="AV75" s="176" t="str">
        <f t="shared" ref="AV75:AV99" si="160">IF(AND(AT75=0,AT76=0,AT77=0,AT78=0,AT74=0,AT73=0,AT72=0),AP75,"")</f>
        <v/>
      </c>
      <c r="AW75" s="176" t="str">
        <f t="shared" ref="AW75:AW99" si="161">IF(AND(AT75=0,AT76=0,AT77=0,AT78=0,AT74=0,AT73=0,AT72=0),AQ75,"")</f>
        <v/>
      </c>
      <c r="AX75" s="176">
        <f t="shared" si="150"/>
        <v>-40075</v>
      </c>
      <c r="AY75" s="176">
        <f t="shared" si="130"/>
        <v>0</v>
      </c>
      <c r="AZ75" s="176">
        <f t="shared" si="131"/>
        <v>0</v>
      </c>
      <c r="BA75" s="176">
        <f t="shared" si="132"/>
        <v>0</v>
      </c>
      <c r="BB75" s="176">
        <f t="shared" si="151"/>
        <v>246.86521959999993</v>
      </c>
      <c r="BC75" s="176">
        <f t="shared" si="133"/>
        <v>-246.86521959999993</v>
      </c>
      <c r="BD75" s="176">
        <f t="shared" si="134"/>
        <v>0</v>
      </c>
      <c r="BE75" s="176">
        <f t="shared" si="135"/>
        <v>0</v>
      </c>
      <c r="BF75" s="176">
        <f t="shared" si="136"/>
        <v>0</v>
      </c>
      <c r="BG75" s="161">
        <v>0.70833333333333304</v>
      </c>
      <c r="BH75" s="330"/>
      <c r="BI75" s="653" t="s">
        <v>99</v>
      </c>
      <c r="BJ75" s="665" t="s">
        <v>513</v>
      </c>
      <c r="BK75" s="665" t="s">
        <v>700</v>
      </c>
      <c r="BL75" s="668" t="s">
        <v>701</v>
      </c>
      <c r="BM75" s="103"/>
      <c r="BN75" s="103"/>
      <c r="BO75" s="103"/>
      <c r="GR75" s="103"/>
      <c r="GS75" s="103"/>
      <c r="GT75" s="103"/>
      <c r="GU75" s="103"/>
      <c r="GV75" s="103"/>
    </row>
    <row r="76" spans="1:204" ht="10.050000000000001" customHeight="1" x14ac:dyDescent="0.25">
      <c r="A76" s="251">
        <v>0.71875</v>
      </c>
      <c r="B76" s="155">
        <f>'Warrant 2'!F83</f>
        <v>2332</v>
      </c>
      <c r="C76" s="155">
        <f>IF(OR('Input &amp; Findings'!$G$28='Drop Down Lists'!$E$2,'Input &amp; Findings'!$G$28='Drop Down Lists'!$E$4),SUM('Data with RTF'!F73,'Data with RTF'!T73),SUM('Data with RTF'!M73,'Data with RTF'!AA73))</f>
        <v>0</v>
      </c>
      <c r="D76" s="176" t="str">
        <f t="shared" si="137"/>
        <v/>
      </c>
      <c r="E76" s="176" t="str">
        <f t="shared" si="138"/>
        <v/>
      </c>
      <c r="F76" s="176" t="str">
        <f t="shared" si="139"/>
        <v/>
      </c>
      <c r="G76" s="176" t="str">
        <f t="shared" si="140"/>
        <v/>
      </c>
      <c r="H76" s="176">
        <f t="shared" si="141"/>
        <v>107</v>
      </c>
      <c r="I76" s="176">
        <f t="shared" si="142"/>
        <v>-10107</v>
      </c>
      <c r="J76" s="176">
        <f t="shared" si="109"/>
        <v>2332</v>
      </c>
      <c r="K76" s="176">
        <f t="shared" si="110"/>
        <v>0</v>
      </c>
      <c r="L76" s="176">
        <f t="shared" si="111"/>
        <v>0</v>
      </c>
      <c r="M76" s="176" t="str">
        <f t="shared" si="152"/>
        <v/>
      </c>
      <c r="N76" s="176" t="str">
        <f t="shared" si="153"/>
        <v/>
      </c>
      <c r="O76" s="176">
        <f t="shared" si="143"/>
        <v>-20107</v>
      </c>
      <c r="P76" s="176">
        <f t="shared" si="112"/>
        <v>0</v>
      </c>
      <c r="Q76" s="176">
        <f t="shared" si="113"/>
        <v>0</v>
      </c>
      <c r="R76" s="176">
        <f t="shared" si="114"/>
        <v>0</v>
      </c>
      <c r="S76" s="176" t="str">
        <f t="shared" ref="S76:S101" si="162">IF(AND(Q76=0,Q77=0,Q78=0,Q79=0,Q75=0,Q74=0,Q73=0),M76,"")</f>
        <v/>
      </c>
      <c r="T76" s="176" t="str">
        <f t="shared" si="156"/>
        <v/>
      </c>
      <c r="U76" s="176">
        <f t="shared" si="144"/>
        <v>-30107</v>
      </c>
      <c r="V76" s="176">
        <f t="shared" si="115"/>
        <v>0</v>
      </c>
      <c r="W76" s="176">
        <f t="shared" si="116"/>
        <v>0</v>
      </c>
      <c r="X76" s="176">
        <f t="shared" si="117"/>
        <v>0</v>
      </c>
      <c r="Y76" s="176" t="str">
        <f t="shared" si="157"/>
        <v/>
      </c>
      <c r="Z76" s="176" t="str">
        <f t="shared" si="158"/>
        <v/>
      </c>
      <c r="AA76" s="176">
        <f t="shared" si="145"/>
        <v>-40107</v>
      </c>
      <c r="AB76" s="176">
        <f t="shared" si="118"/>
        <v>0</v>
      </c>
      <c r="AC76" s="176">
        <f t="shared" si="119"/>
        <v>0</v>
      </c>
      <c r="AD76" s="176">
        <f t="shared" si="120"/>
        <v>0</v>
      </c>
      <c r="AE76" s="176">
        <f t="shared" si="146"/>
        <v>75</v>
      </c>
      <c r="AF76" s="176">
        <f t="shared" si="147"/>
        <v>-10075</v>
      </c>
      <c r="AG76" s="176">
        <f t="shared" si="121"/>
        <v>2332</v>
      </c>
      <c r="AH76" s="176">
        <f t="shared" si="122"/>
        <v>0</v>
      </c>
      <c r="AI76" s="176">
        <f t="shared" si="123"/>
        <v>0</v>
      </c>
      <c r="AJ76" s="176" t="str">
        <f t="shared" si="154"/>
        <v/>
      </c>
      <c r="AK76" s="176" t="str">
        <f t="shared" si="155"/>
        <v/>
      </c>
      <c r="AL76" s="176">
        <f t="shared" si="148"/>
        <v>-20075</v>
      </c>
      <c r="AM76" s="176">
        <f t="shared" si="124"/>
        <v>0</v>
      </c>
      <c r="AN76" s="176">
        <f t="shared" si="125"/>
        <v>0</v>
      </c>
      <c r="AO76" s="176">
        <f t="shared" si="126"/>
        <v>0</v>
      </c>
      <c r="AP76" s="176" t="str">
        <f t="shared" ref="AP76:AP101" si="163">IF(AND(AN76=0,AN77=0,AN78=0,AN79=0,AN75=0,AN74=0,AN73=0),AJ76,"")</f>
        <v/>
      </c>
      <c r="AQ76" s="176" t="str">
        <f t="shared" si="159"/>
        <v/>
      </c>
      <c r="AR76" s="176">
        <f t="shared" si="149"/>
        <v>-30075</v>
      </c>
      <c r="AS76" s="176">
        <f t="shared" si="127"/>
        <v>0</v>
      </c>
      <c r="AT76" s="176">
        <f t="shared" si="128"/>
        <v>0</v>
      </c>
      <c r="AU76" s="176">
        <f t="shared" si="129"/>
        <v>0</v>
      </c>
      <c r="AV76" s="176" t="str">
        <f t="shared" si="160"/>
        <v/>
      </c>
      <c r="AW76" s="176" t="str">
        <f t="shared" si="161"/>
        <v/>
      </c>
      <c r="AX76" s="176">
        <f t="shared" si="150"/>
        <v>-40075</v>
      </c>
      <c r="AY76" s="176">
        <f t="shared" si="130"/>
        <v>0</v>
      </c>
      <c r="AZ76" s="176">
        <f t="shared" si="131"/>
        <v>0</v>
      </c>
      <c r="BA76" s="176">
        <f t="shared" si="132"/>
        <v>0</v>
      </c>
      <c r="BB76" s="176">
        <f t="shared" si="151"/>
        <v>200.87131360000024</v>
      </c>
      <c r="BC76" s="176">
        <f t="shared" si="133"/>
        <v>-200.87131360000024</v>
      </c>
      <c r="BD76" s="176">
        <f t="shared" si="134"/>
        <v>0</v>
      </c>
      <c r="BE76" s="176">
        <f t="shared" si="135"/>
        <v>0</v>
      </c>
      <c r="BF76" s="176">
        <f t="shared" si="136"/>
        <v>0</v>
      </c>
      <c r="BG76" s="161">
        <v>0.71875</v>
      </c>
      <c r="BH76" s="330"/>
      <c r="BI76" s="654"/>
      <c r="BJ76" s="666"/>
      <c r="BK76" s="666"/>
      <c r="BL76" s="669"/>
      <c r="BM76" s="103"/>
      <c r="BN76" s="103"/>
      <c r="BO76" s="103"/>
      <c r="GR76" s="103"/>
      <c r="GS76" s="103"/>
      <c r="GT76" s="103"/>
      <c r="GU76" s="103"/>
      <c r="GV76" s="103"/>
    </row>
    <row r="77" spans="1:204" ht="10.050000000000001" customHeight="1" x14ac:dyDescent="0.25">
      <c r="A77" s="251">
        <v>0.72916666666666696</v>
      </c>
      <c r="B77" s="155">
        <f>'Warrant 2'!F84</f>
        <v>2162</v>
      </c>
      <c r="C77" s="155">
        <f>IF(OR('Input &amp; Findings'!$G$28='Drop Down Lists'!$E$2,'Input &amp; Findings'!$G$28='Drop Down Lists'!$E$4),SUM('Data with RTF'!F74,'Data with RTF'!T74),SUM('Data with RTF'!M74,'Data with RTF'!AA74))</f>
        <v>0</v>
      </c>
      <c r="D77" s="176" t="str">
        <f t="shared" si="137"/>
        <v/>
      </c>
      <c r="E77" s="176" t="str">
        <f t="shared" si="138"/>
        <v/>
      </c>
      <c r="F77" s="176" t="str">
        <f t="shared" si="139"/>
        <v/>
      </c>
      <c r="G77" s="176" t="str">
        <f t="shared" si="140"/>
        <v/>
      </c>
      <c r="H77" s="176">
        <f t="shared" si="141"/>
        <v>107</v>
      </c>
      <c r="I77" s="176">
        <f t="shared" si="142"/>
        <v>-10107</v>
      </c>
      <c r="J77" s="176">
        <f t="shared" si="109"/>
        <v>2162</v>
      </c>
      <c r="K77" s="176">
        <f t="shared" si="110"/>
        <v>0</v>
      </c>
      <c r="L77" s="176">
        <f t="shared" si="111"/>
        <v>0</v>
      </c>
      <c r="M77" s="176" t="str">
        <f t="shared" si="152"/>
        <v/>
      </c>
      <c r="N77" s="176" t="str">
        <f t="shared" si="153"/>
        <v/>
      </c>
      <c r="O77" s="176">
        <f t="shared" si="143"/>
        <v>-20107</v>
      </c>
      <c r="P77" s="176">
        <f t="shared" si="112"/>
        <v>0</v>
      </c>
      <c r="Q77" s="176">
        <f t="shared" si="113"/>
        <v>0</v>
      </c>
      <c r="R77" s="176">
        <f t="shared" si="114"/>
        <v>0</v>
      </c>
      <c r="S77" s="176" t="str">
        <f t="shared" si="162"/>
        <v/>
      </c>
      <c r="T77" s="176" t="str">
        <f t="shared" si="156"/>
        <v/>
      </c>
      <c r="U77" s="176">
        <f t="shared" si="144"/>
        <v>-30107</v>
      </c>
      <c r="V77" s="176">
        <f t="shared" si="115"/>
        <v>0</v>
      </c>
      <c r="W77" s="176">
        <f t="shared" si="116"/>
        <v>0</v>
      </c>
      <c r="X77" s="176">
        <f t="shared" si="117"/>
        <v>0</v>
      </c>
      <c r="Y77" s="176" t="str">
        <f t="shared" si="157"/>
        <v/>
      </c>
      <c r="Z77" s="176" t="str">
        <f t="shared" si="158"/>
        <v/>
      </c>
      <c r="AA77" s="176">
        <f t="shared" si="145"/>
        <v>-40107</v>
      </c>
      <c r="AB77" s="176">
        <f t="shared" si="118"/>
        <v>0</v>
      </c>
      <c r="AC77" s="176">
        <f t="shared" si="119"/>
        <v>0</v>
      </c>
      <c r="AD77" s="176">
        <f t="shared" si="120"/>
        <v>0</v>
      </c>
      <c r="AE77" s="176">
        <f t="shared" si="146"/>
        <v>75</v>
      </c>
      <c r="AF77" s="176">
        <f t="shared" si="147"/>
        <v>-10075</v>
      </c>
      <c r="AG77" s="176">
        <f t="shared" si="121"/>
        <v>2162</v>
      </c>
      <c r="AH77" s="176">
        <f t="shared" si="122"/>
        <v>0</v>
      </c>
      <c r="AI77" s="176">
        <f t="shared" si="123"/>
        <v>0</v>
      </c>
      <c r="AJ77" s="176" t="str">
        <f t="shared" si="154"/>
        <v/>
      </c>
      <c r="AK77" s="176" t="str">
        <f t="shared" si="155"/>
        <v/>
      </c>
      <c r="AL77" s="176">
        <f t="shared" si="148"/>
        <v>-20075</v>
      </c>
      <c r="AM77" s="176">
        <f t="shared" si="124"/>
        <v>0</v>
      </c>
      <c r="AN77" s="176">
        <f t="shared" si="125"/>
        <v>0</v>
      </c>
      <c r="AO77" s="176">
        <f t="shared" si="126"/>
        <v>0</v>
      </c>
      <c r="AP77" s="176" t="str">
        <f t="shared" si="163"/>
        <v/>
      </c>
      <c r="AQ77" s="176" t="str">
        <f t="shared" si="159"/>
        <v/>
      </c>
      <c r="AR77" s="176">
        <f t="shared" si="149"/>
        <v>-30075</v>
      </c>
      <c r="AS77" s="176">
        <f t="shared" si="127"/>
        <v>0</v>
      </c>
      <c r="AT77" s="176">
        <f t="shared" si="128"/>
        <v>0</v>
      </c>
      <c r="AU77" s="176">
        <f t="shared" si="129"/>
        <v>0</v>
      </c>
      <c r="AV77" s="176" t="str">
        <f t="shared" si="160"/>
        <v/>
      </c>
      <c r="AW77" s="176" t="str">
        <f t="shared" si="161"/>
        <v/>
      </c>
      <c r="AX77" s="176">
        <f t="shared" si="150"/>
        <v>-40075</v>
      </c>
      <c r="AY77" s="176">
        <f t="shared" si="130"/>
        <v>0</v>
      </c>
      <c r="AZ77" s="176">
        <f t="shared" si="131"/>
        <v>0</v>
      </c>
      <c r="BA77" s="176">
        <f t="shared" si="132"/>
        <v>0</v>
      </c>
      <c r="BB77" s="176">
        <f t="shared" si="151"/>
        <v>153.35349159999998</v>
      </c>
      <c r="BC77" s="176">
        <f t="shared" si="133"/>
        <v>-153.35349159999998</v>
      </c>
      <c r="BD77" s="176">
        <f t="shared" si="134"/>
        <v>0</v>
      </c>
      <c r="BE77" s="176">
        <f t="shared" si="135"/>
        <v>0</v>
      </c>
      <c r="BF77" s="176">
        <f t="shared" si="136"/>
        <v>0</v>
      </c>
      <c r="BG77" s="161">
        <v>0.72916666666666696</v>
      </c>
      <c r="BH77" s="330"/>
      <c r="BI77" s="655"/>
      <c r="BJ77" s="667"/>
      <c r="BK77" s="667"/>
      <c r="BL77" s="670"/>
      <c r="BM77" s="103"/>
      <c r="BN77" s="103"/>
      <c r="BO77" s="103"/>
      <c r="GR77" s="103"/>
      <c r="GS77" s="103"/>
      <c r="GT77" s="103"/>
      <c r="GU77" s="103"/>
      <c r="GV77" s="103"/>
    </row>
    <row r="78" spans="1:204" ht="10.050000000000001" customHeight="1" x14ac:dyDescent="0.25">
      <c r="A78" s="251">
        <v>0.73958333333333304</v>
      </c>
      <c r="B78" s="155">
        <f>'Warrant 2'!F85</f>
        <v>1974</v>
      </c>
      <c r="C78" s="155">
        <f>IF(OR('Input &amp; Findings'!$G$28='Drop Down Lists'!$E$2,'Input &amp; Findings'!$G$28='Drop Down Lists'!$E$4),SUM('Data with RTF'!F75,'Data with RTF'!T75),SUM('Data with RTF'!M75,'Data with RTF'!AA75))</f>
        <v>0</v>
      </c>
      <c r="D78" s="176" t="str">
        <f t="shared" si="137"/>
        <v/>
      </c>
      <c r="E78" s="176" t="str">
        <f t="shared" si="138"/>
        <v/>
      </c>
      <c r="F78" s="176" t="str">
        <f t="shared" si="139"/>
        <v/>
      </c>
      <c r="G78" s="176" t="str">
        <f t="shared" si="140"/>
        <v/>
      </c>
      <c r="H78" s="176">
        <f t="shared" si="141"/>
        <v>107</v>
      </c>
      <c r="I78" s="176">
        <f t="shared" si="142"/>
        <v>-10107</v>
      </c>
      <c r="J78" s="176">
        <f t="shared" si="109"/>
        <v>1974</v>
      </c>
      <c r="K78" s="176">
        <f t="shared" si="110"/>
        <v>0</v>
      </c>
      <c r="L78" s="176">
        <f t="shared" si="111"/>
        <v>0</v>
      </c>
      <c r="M78" s="176" t="str">
        <f t="shared" si="152"/>
        <v/>
      </c>
      <c r="N78" s="176" t="str">
        <f t="shared" si="153"/>
        <v/>
      </c>
      <c r="O78" s="176">
        <f t="shared" si="143"/>
        <v>-20107</v>
      </c>
      <c r="P78" s="176">
        <f t="shared" si="112"/>
        <v>0</v>
      </c>
      <c r="Q78" s="176">
        <f t="shared" si="113"/>
        <v>0</v>
      </c>
      <c r="R78" s="176">
        <f t="shared" si="114"/>
        <v>0</v>
      </c>
      <c r="S78" s="176" t="str">
        <f t="shared" si="162"/>
        <v/>
      </c>
      <c r="T78" s="176" t="str">
        <f t="shared" si="156"/>
        <v/>
      </c>
      <c r="U78" s="176">
        <f t="shared" si="144"/>
        <v>-30107</v>
      </c>
      <c r="V78" s="176">
        <f t="shared" si="115"/>
        <v>0</v>
      </c>
      <c r="W78" s="176">
        <f t="shared" si="116"/>
        <v>0</v>
      </c>
      <c r="X78" s="176">
        <f t="shared" si="117"/>
        <v>0</v>
      </c>
      <c r="Y78" s="176" t="str">
        <f t="shared" si="157"/>
        <v/>
      </c>
      <c r="Z78" s="176" t="str">
        <f t="shared" si="158"/>
        <v/>
      </c>
      <c r="AA78" s="176">
        <f t="shared" si="145"/>
        <v>-40107</v>
      </c>
      <c r="AB78" s="176">
        <f t="shared" si="118"/>
        <v>0</v>
      </c>
      <c r="AC78" s="176">
        <f t="shared" si="119"/>
        <v>0</v>
      </c>
      <c r="AD78" s="176">
        <f t="shared" si="120"/>
        <v>0</v>
      </c>
      <c r="AE78" s="176">
        <f t="shared" si="146"/>
        <v>75</v>
      </c>
      <c r="AF78" s="176">
        <f t="shared" si="147"/>
        <v>-10075</v>
      </c>
      <c r="AG78" s="176">
        <f t="shared" si="121"/>
        <v>1974</v>
      </c>
      <c r="AH78" s="176">
        <f t="shared" si="122"/>
        <v>0</v>
      </c>
      <c r="AI78" s="176">
        <f t="shared" si="123"/>
        <v>0</v>
      </c>
      <c r="AJ78" s="176" t="str">
        <f t="shared" si="154"/>
        <v/>
      </c>
      <c r="AK78" s="176" t="str">
        <f t="shared" si="155"/>
        <v/>
      </c>
      <c r="AL78" s="176">
        <f t="shared" si="148"/>
        <v>-20075</v>
      </c>
      <c r="AM78" s="176">
        <f t="shared" si="124"/>
        <v>0</v>
      </c>
      <c r="AN78" s="176">
        <f t="shared" si="125"/>
        <v>0</v>
      </c>
      <c r="AO78" s="176">
        <f t="shared" si="126"/>
        <v>0</v>
      </c>
      <c r="AP78" s="176" t="str">
        <f t="shared" si="163"/>
        <v/>
      </c>
      <c r="AQ78" s="176" t="str">
        <f t="shared" si="159"/>
        <v/>
      </c>
      <c r="AR78" s="176">
        <f t="shared" si="149"/>
        <v>-30075</v>
      </c>
      <c r="AS78" s="176">
        <f t="shared" si="127"/>
        <v>0</v>
      </c>
      <c r="AT78" s="176">
        <f t="shared" si="128"/>
        <v>0</v>
      </c>
      <c r="AU78" s="176">
        <f t="shared" si="129"/>
        <v>0</v>
      </c>
      <c r="AV78" s="176" t="str">
        <f t="shared" si="160"/>
        <v/>
      </c>
      <c r="AW78" s="176" t="str">
        <f t="shared" si="161"/>
        <v/>
      </c>
      <c r="AX78" s="176">
        <f t="shared" si="150"/>
        <v>-40075</v>
      </c>
      <c r="AY78" s="176">
        <f t="shared" si="130"/>
        <v>0</v>
      </c>
      <c r="AZ78" s="176">
        <f t="shared" si="131"/>
        <v>0</v>
      </c>
      <c r="BA78" s="176">
        <f t="shared" si="132"/>
        <v>0</v>
      </c>
      <c r="BB78" s="176">
        <f t="shared" si="151"/>
        <v>133</v>
      </c>
      <c r="BC78" s="176">
        <f t="shared" si="133"/>
        <v>-133</v>
      </c>
      <c r="BD78" s="176">
        <f t="shared" si="134"/>
        <v>1974</v>
      </c>
      <c r="BE78" s="176">
        <f t="shared" si="135"/>
        <v>0</v>
      </c>
      <c r="BF78" s="176">
        <f t="shared" si="136"/>
        <v>0</v>
      </c>
      <c r="BG78" s="161">
        <v>0.73958333333333304</v>
      </c>
      <c r="BH78" s="330"/>
      <c r="BI78" s="675">
        <f>VLOOKUP(MAX(BE7:BE102),$B$7:$BG$102,58,FALSE)</f>
        <v>0.63541666666666696</v>
      </c>
      <c r="BJ78" s="677">
        <f>BI78+0.041666667</f>
        <v>0.67708333366666695</v>
      </c>
      <c r="BK78" s="671">
        <f>MAX(BE7:BE102)</f>
        <v>2048</v>
      </c>
      <c r="BL78" s="673">
        <f>MAX(BF7:BF102)</f>
        <v>0</v>
      </c>
      <c r="BM78" s="103"/>
      <c r="BN78" s="103"/>
      <c r="BO78" s="103"/>
      <c r="GR78" s="103"/>
      <c r="GS78" s="103"/>
      <c r="GT78" s="103"/>
      <c r="GU78" s="103"/>
      <c r="GV78" s="103"/>
    </row>
    <row r="79" spans="1:204" ht="10.050000000000001" customHeight="1" thickBot="1" x14ac:dyDescent="0.3">
      <c r="A79" s="251">
        <v>0.75</v>
      </c>
      <c r="B79" s="155">
        <f>'Warrant 2'!F86</f>
        <v>1812</v>
      </c>
      <c r="C79" s="155">
        <f>IF(OR('Input &amp; Findings'!$G$28='Drop Down Lists'!$E$2,'Input &amp; Findings'!$G$28='Drop Down Lists'!$E$4),SUM('Data with RTF'!F76,'Data with RTF'!T76),SUM('Data with RTF'!M76,'Data with RTF'!AA76))</f>
        <v>0</v>
      </c>
      <c r="D79" s="176" t="str">
        <f t="shared" si="137"/>
        <v/>
      </c>
      <c r="E79" s="176" t="str">
        <f t="shared" si="138"/>
        <v/>
      </c>
      <c r="F79" s="176" t="str">
        <f t="shared" si="139"/>
        <v/>
      </c>
      <c r="G79" s="176" t="str">
        <f t="shared" si="140"/>
        <v/>
      </c>
      <c r="H79" s="176">
        <f t="shared" si="141"/>
        <v>107</v>
      </c>
      <c r="I79" s="176">
        <f t="shared" si="142"/>
        <v>-10107</v>
      </c>
      <c r="J79" s="176">
        <f t="shared" si="109"/>
        <v>1812</v>
      </c>
      <c r="K79" s="176">
        <f t="shared" si="110"/>
        <v>0</v>
      </c>
      <c r="L79" s="176">
        <f t="shared" si="111"/>
        <v>0</v>
      </c>
      <c r="M79" s="176">
        <f t="shared" si="152"/>
        <v>1812</v>
      </c>
      <c r="N79" s="176">
        <f t="shared" si="153"/>
        <v>0</v>
      </c>
      <c r="O79" s="176">
        <f t="shared" si="143"/>
        <v>-10107</v>
      </c>
      <c r="P79" s="176">
        <f t="shared" si="112"/>
        <v>1812</v>
      </c>
      <c r="Q79" s="176">
        <f t="shared" si="113"/>
        <v>0</v>
      </c>
      <c r="R79" s="176">
        <f t="shared" si="114"/>
        <v>0</v>
      </c>
      <c r="S79" s="176">
        <f t="shared" si="162"/>
        <v>1812</v>
      </c>
      <c r="T79" s="176">
        <f t="shared" si="156"/>
        <v>0</v>
      </c>
      <c r="U79" s="176">
        <f t="shared" si="144"/>
        <v>-10107</v>
      </c>
      <c r="V79" s="176">
        <f t="shared" si="115"/>
        <v>1812</v>
      </c>
      <c r="W79" s="176">
        <f t="shared" si="116"/>
        <v>0</v>
      </c>
      <c r="X79" s="176">
        <f t="shared" si="117"/>
        <v>0</v>
      </c>
      <c r="Y79" s="176">
        <f t="shared" si="157"/>
        <v>1812</v>
      </c>
      <c r="Z79" s="176">
        <f t="shared" si="158"/>
        <v>0</v>
      </c>
      <c r="AA79" s="176">
        <f t="shared" si="145"/>
        <v>-10107</v>
      </c>
      <c r="AB79" s="176">
        <f t="shared" si="118"/>
        <v>1812</v>
      </c>
      <c r="AC79" s="176">
        <f t="shared" si="119"/>
        <v>0</v>
      </c>
      <c r="AD79" s="176">
        <f t="shared" si="120"/>
        <v>0</v>
      </c>
      <c r="AE79" s="176">
        <f t="shared" si="146"/>
        <v>75</v>
      </c>
      <c r="AF79" s="176">
        <f t="shared" si="147"/>
        <v>-10075</v>
      </c>
      <c r="AG79" s="176">
        <f t="shared" si="121"/>
        <v>1812</v>
      </c>
      <c r="AH79" s="176">
        <f t="shared" si="122"/>
        <v>0</v>
      </c>
      <c r="AI79" s="176">
        <f t="shared" si="123"/>
        <v>0</v>
      </c>
      <c r="AJ79" s="176">
        <f t="shared" si="154"/>
        <v>1812</v>
      </c>
      <c r="AK79" s="176">
        <f t="shared" si="155"/>
        <v>0</v>
      </c>
      <c r="AL79" s="176">
        <f t="shared" si="148"/>
        <v>-10075</v>
      </c>
      <c r="AM79" s="176">
        <f t="shared" si="124"/>
        <v>1812</v>
      </c>
      <c r="AN79" s="176">
        <f t="shared" si="125"/>
        <v>0</v>
      </c>
      <c r="AO79" s="176">
        <f t="shared" si="126"/>
        <v>0</v>
      </c>
      <c r="AP79" s="176">
        <f t="shared" si="163"/>
        <v>1812</v>
      </c>
      <c r="AQ79" s="176">
        <f t="shared" si="159"/>
        <v>0</v>
      </c>
      <c r="AR79" s="176">
        <f t="shared" si="149"/>
        <v>-10075</v>
      </c>
      <c r="AS79" s="176">
        <f t="shared" si="127"/>
        <v>1812</v>
      </c>
      <c r="AT79" s="176">
        <f t="shared" si="128"/>
        <v>0</v>
      </c>
      <c r="AU79" s="176">
        <f t="shared" si="129"/>
        <v>0</v>
      </c>
      <c r="AV79" s="176">
        <f t="shared" si="160"/>
        <v>1812</v>
      </c>
      <c r="AW79" s="176">
        <f t="shared" si="161"/>
        <v>0</v>
      </c>
      <c r="AX79" s="176">
        <f t="shared" si="150"/>
        <v>-10075</v>
      </c>
      <c r="AY79" s="176">
        <f t="shared" si="130"/>
        <v>1812</v>
      </c>
      <c r="AZ79" s="176">
        <f t="shared" si="131"/>
        <v>0</v>
      </c>
      <c r="BA79" s="176">
        <f t="shared" si="132"/>
        <v>0</v>
      </c>
      <c r="BB79" s="176">
        <f t="shared" si="151"/>
        <v>133</v>
      </c>
      <c r="BC79" s="176">
        <f t="shared" si="133"/>
        <v>-133</v>
      </c>
      <c r="BD79" s="176">
        <f t="shared" si="134"/>
        <v>1812</v>
      </c>
      <c r="BE79" s="176">
        <f t="shared" si="135"/>
        <v>0</v>
      </c>
      <c r="BF79" s="176">
        <f t="shared" si="136"/>
        <v>0</v>
      </c>
      <c r="BG79" s="161">
        <v>0.75</v>
      </c>
      <c r="BH79" s="330"/>
      <c r="BI79" s="676"/>
      <c r="BJ79" s="678"/>
      <c r="BK79" s="672"/>
      <c r="BL79" s="674"/>
      <c r="BM79" s="103"/>
      <c r="BN79" s="103"/>
      <c r="BO79" s="103"/>
      <c r="GR79" s="103"/>
      <c r="GS79" s="103"/>
      <c r="GT79" s="103"/>
      <c r="GU79" s="103"/>
      <c r="GV79" s="103"/>
    </row>
    <row r="80" spans="1:204" ht="10.050000000000001" customHeight="1" x14ac:dyDescent="0.25">
      <c r="A80" s="251">
        <v>0.76041666666666696</v>
      </c>
      <c r="B80" s="155">
        <f>'Warrant 2'!F87</f>
        <v>1320</v>
      </c>
      <c r="C80" s="155">
        <f>IF(OR('Input &amp; Findings'!$G$28='Drop Down Lists'!$E$2,'Input &amp; Findings'!$G$28='Drop Down Lists'!$E$4),SUM('Data with RTF'!F77,'Data with RTF'!T77),SUM('Data with RTF'!M77,'Data with RTF'!AA77))</f>
        <v>0</v>
      </c>
      <c r="D80" s="176" t="str">
        <f t="shared" si="137"/>
        <v/>
      </c>
      <c r="E80" s="176" t="str">
        <f t="shared" si="138"/>
        <v/>
      </c>
      <c r="F80" s="176" t="str">
        <f t="shared" si="139"/>
        <v/>
      </c>
      <c r="G80" s="176" t="str">
        <f t="shared" si="140"/>
        <v/>
      </c>
      <c r="H80" s="176">
        <f t="shared" si="141"/>
        <v>107</v>
      </c>
      <c r="I80" s="176">
        <f t="shared" si="142"/>
        <v>-10107</v>
      </c>
      <c r="J80" s="176">
        <f t="shared" si="109"/>
        <v>1320</v>
      </c>
      <c r="K80" s="176">
        <f t="shared" si="110"/>
        <v>0</v>
      </c>
      <c r="L80" s="176">
        <f t="shared" si="111"/>
        <v>0</v>
      </c>
      <c r="M80" s="176">
        <f t="shared" si="152"/>
        <v>1320</v>
      </c>
      <c r="N80" s="176">
        <f t="shared" si="153"/>
        <v>0</v>
      </c>
      <c r="O80" s="176">
        <f t="shared" si="143"/>
        <v>-10107</v>
      </c>
      <c r="P80" s="176">
        <f t="shared" si="112"/>
        <v>1320</v>
      </c>
      <c r="Q80" s="176">
        <f t="shared" si="113"/>
        <v>0</v>
      </c>
      <c r="R80" s="176">
        <f t="shared" si="114"/>
        <v>0</v>
      </c>
      <c r="S80" s="176">
        <f t="shared" si="162"/>
        <v>1320</v>
      </c>
      <c r="T80" s="176">
        <f t="shared" si="156"/>
        <v>0</v>
      </c>
      <c r="U80" s="176">
        <f t="shared" si="144"/>
        <v>-10107</v>
      </c>
      <c r="V80" s="176">
        <f t="shared" si="115"/>
        <v>1320</v>
      </c>
      <c r="W80" s="176">
        <f t="shared" si="116"/>
        <v>0</v>
      </c>
      <c r="X80" s="176">
        <f t="shared" si="117"/>
        <v>0</v>
      </c>
      <c r="Y80" s="176">
        <f t="shared" si="157"/>
        <v>1320</v>
      </c>
      <c r="Z80" s="176">
        <f t="shared" si="158"/>
        <v>0</v>
      </c>
      <c r="AA80" s="176">
        <f t="shared" si="145"/>
        <v>-10107</v>
      </c>
      <c r="AB80" s="176">
        <f t="shared" si="118"/>
        <v>1320</v>
      </c>
      <c r="AC80" s="176">
        <f t="shared" si="119"/>
        <v>0</v>
      </c>
      <c r="AD80" s="176">
        <f t="shared" si="120"/>
        <v>0</v>
      </c>
      <c r="AE80" s="176">
        <f t="shared" si="146"/>
        <v>75</v>
      </c>
      <c r="AF80" s="176">
        <f t="shared" si="147"/>
        <v>-10075</v>
      </c>
      <c r="AG80" s="176">
        <f t="shared" si="121"/>
        <v>1320</v>
      </c>
      <c r="AH80" s="176">
        <f t="shared" si="122"/>
        <v>0</v>
      </c>
      <c r="AI80" s="176">
        <f t="shared" si="123"/>
        <v>0</v>
      </c>
      <c r="AJ80" s="176">
        <f t="shared" si="154"/>
        <v>1320</v>
      </c>
      <c r="AK80" s="176">
        <f t="shared" si="155"/>
        <v>0</v>
      </c>
      <c r="AL80" s="176">
        <f t="shared" si="148"/>
        <v>-10075</v>
      </c>
      <c r="AM80" s="176">
        <f t="shared" si="124"/>
        <v>1320</v>
      </c>
      <c r="AN80" s="176">
        <f t="shared" si="125"/>
        <v>0</v>
      </c>
      <c r="AO80" s="176">
        <f t="shared" si="126"/>
        <v>0</v>
      </c>
      <c r="AP80" s="176">
        <f t="shared" si="163"/>
        <v>1320</v>
      </c>
      <c r="AQ80" s="176">
        <f t="shared" si="159"/>
        <v>0</v>
      </c>
      <c r="AR80" s="176">
        <f t="shared" si="149"/>
        <v>-10075</v>
      </c>
      <c r="AS80" s="176">
        <f t="shared" si="127"/>
        <v>1320</v>
      </c>
      <c r="AT80" s="176">
        <f t="shared" si="128"/>
        <v>0</v>
      </c>
      <c r="AU80" s="176">
        <f t="shared" si="129"/>
        <v>0</v>
      </c>
      <c r="AV80" s="176">
        <f t="shared" si="160"/>
        <v>1320</v>
      </c>
      <c r="AW80" s="176">
        <f t="shared" si="161"/>
        <v>0</v>
      </c>
      <c r="AX80" s="176">
        <f t="shared" si="150"/>
        <v>-10075</v>
      </c>
      <c r="AY80" s="176">
        <f t="shared" si="130"/>
        <v>1320</v>
      </c>
      <c r="AZ80" s="176">
        <f t="shared" si="131"/>
        <v>0</v>
      </c>
      <c r="BA80" s="176">
        <f t="shared" si="132"/>
        <v>0</v>
      </c>
      <c r="BB80" s="176">
        <f t="shared" si="151"/>
        <v>164.17336000000012</v>
      </c>
      <c r="BC80" s="176">
        <f t="shared" si="133"/>
        <v>-164.17336000000012</v>
      </c>
      <c r="BD80" s="176">
        <f t="shared" si="134"/>
        <v>0</v>
      </c>
      <c r="BE80" s="176">
        <f t="shared" si="135"/>
        <v>0</v>
      </c>
      <c r="BF80" s="176">
        <f t="shared" si="136"/>
        <v>0</v>
      </c>
      <c r="BG80" s="161">
        <v>0.76041666666666696</v>
      </c>
      <c r="BH80" s="330"/>
      <c r="BI80" s="103"/>
      <c r="BJ80" s="103"/>
      <c r="BK80" s="103"/>
      <c r="BL80" s="103"/>
      <c r="BM80" s="103"/>
      <c r="BN80" s="103"/>
      <c r="BO80" s="103"/>
      <c r="GR80" s="103"/>
      <c r="GS80" s="103"/>
      <c r="GT80" s="103"/>
      <c r="GU80" s="103"/>
      <c r="GV80" s="103"/>
    </row>
    <row r="81" spans="1:204" ht="10.050000000000001" customHeight="1" x14ac:dyDescent="0.25">
      <c r="A81" s="251">
        <v>0.77083333333333304</v>
      </c>
      <c r="B81" s="155">
        <f>'Warrant 2'!F88</f>
        <v>871</v>
      </c>
      <c r="C81" s="155">
        <f>IF(OR('Input &amp; Findings'!$G$28='Drop Down Lists'!$E$2,'Input &amp; Findings'!$G$28='Drop Down Lists'!$E$4),SUM('Data with RTF'!F78,'Data with RTF'!T78),SUM('Data with RTF'!M78,'Data with RTF'!AA78))</f>
        <v>0</v>
      </c>
      <c r="D81" s="176" t="str">
        <f t="shared" si="137"/>
        <v/>
      </c>
      <c r="E81" s="176" t="str">
        <f t="shared" si="138"/>
        <v/>
      </c>
      <c r="F81" s="176" t="str">
        <f t="shared" si="139"/>
        <v/>
      </c>
      <c r="G81" s="176" t="str">
        <f t="shared" si="140"/>
        <v/>
      </c>
      <c r="H81" s="176">
        <f t="shared" si="141"/>
        <v>165.31980749999991</v>
      </c>
      <c r="I81" s="176">
        <f t="shared" si="142"/>
        <v>-10165.3198075</v>
      </c>
      <c r="J81" s="176">
        <f t="shared" si="109"/>
        <v>0</v>
      </c>
      <c r="K81" s="176">
        <f t="shared" si="110"/>
        <v>0</v>
      </c>
      <c r="L81" s="176">
        <f t="shared" si="111"/>
        <v>0</v>
      </c>
      <c r="M81" s="176">
        <f t="shared" si="152"/>
        <v>871</v>
      </c>
      <c r="N81" s="176">
        <f t="shared" si="153"/>
        <v>0</v>
      </c>
      <c r="O81" s="176">
        <f t="shared" si="143"/>
        <v>-10165.3198075</v>
      </c>
      <c r="P81" s="176">
        <f t="shared" si="112"/>
        <v>0</v>
      </c>
      <c r="Q81" s="176">
        <f t="shared" si="113"/>
        <v>0</v>
      </c>
      <c r="R81" s="176">
        <f t="shared" si="114"/>
        <v>0</v>
      </c>
      <c r="S81" s="176">
        <f t="shared" si="162"/>
        <v>871</v>
      </c>
      <c r="T81" s="176">
        <f t="shared" si="156"/>
        <v>0</v>
      </c>
      <c r="U81" s="176">
        <f t="shared" si="144"/>
        <v>-10165.3198075</v>
      </c>
      <c r="V81" s="176">
        <f t="shared" si="115"/>
        <v>0</v>
      </c>
      <c r="W81" s="176">
        <f t="shared" si="116"/>
        <v>0</v>
      </c>
      <c r="X81" s="176">
        <f t="shared" si="117"/>
        <v>0</v>
      </c>
      <c r="Y81" s="176">
        <f t="shared" si="157"/>
        <v>871</v>
      </c>
      <c r="Z81" s="176">
        <f t="shared" si="158"/>
        <v>0</v>
      </c>
      <c r="AA81" s="176">
        <f t="shared" si="145"/>
        <v>-10165.3198075</v>
      </c>
      <c r="AB81" s="176">
        <f t="shared" si="118"/>
        <v>0</v>
      </c>
      <c r="AC81" s="176">
        <f t="shared" si="119"/>
        <v>0</v>
      </c>
      <c r="AD81" s="176">
        <f t="shared" si="120"/>
        <v>0</v>
      </c>
      <c r="AE81" s="176">
        <f t="shared" si="146"/>
        <v>75</v>
      </c>
      <c r="AF81" s="176">
        <f t="shared" si="147"/>
        <v>-10075</v>
      </c>
      <c r="AG81" s="176">
        <f t="shared" si="121"/>
        <v>871</v>
      </c>
      <c r="AH81" s="176">
        <f t="shared" si="122"/>
        <v>0</v>
      </c>
      <c r="AI81" s="176">
        <f t="shared" si="123"/>
        <v>0</v>
      </c>
      <c r="AJ81" s="176">
        <f t="shared" si="154"/>
        <v>871</v>
      </c>
      <c r="AK81" s="176">
        <f t="shared" si="155"/>
        <v>0</v>
      </c>
      <c r="AL81" s="176">
        <f t="shared" si="148"/>
        <v>-10075</v>
      </c>
      <c r="AM81" s="176">
        <f t="shared" si="124"/>
        <v>871</v>
      </c>
      <c r="AN81" s="176">
        <f t="shared" si="125"/>
        <v>0</v>
      </c>
      <c r="AO81" s="176">
        <f t="shared" si="126"/>
        <v>0</v>
      </c>
      <c r="AP81" s="176">
        <f t="shared" si="163"/>
        <v>871</v>
      </c>
      <c r="AQ81" s="176">
        <f t="shared" si="159"/>
        <v>0</v>
      </c>
      <c r="AR81" s="176">
        <f t="shared" si="149"/>
        <v>-10075</v>
      </c>
      <c r="AS81" s="176">
        <f t="shared" si="127"/>
        <v>871</v>
      </c>
      <c r="AT81" s="176">
        <f t="shared" si="128"/>
        <v>0</v>
      </c>
      <c r="AU81" s="176">
        <f t="shared" si="129"/>
        <v>0</v>
      </c>
      <c r="AV81" s="176">
        <f t="shared" si="160"/>
        <v>871</v>
      </c>
      <c r="AW81" s="176">
        <f t="shared" si="161"/>
        <v>0</v>
      </c>
      <c r="AX81" s="176">
        <f t="shared" si="150"/>
        <v>-10075</v>
      </c>
      <c r="AY81" s="176">
        <f t="shared" si="130"/>
        <v>871</v>
      </c>
      <c r="AZ81" s="176">
        <f t="shared" si="131"/>
        <v>0</v>
      </c>
      <c r="BA81" s="176">
        <f t="shared" si="132"/>
        <v>0</v>
      </c>
      <c r="BB81" s="176">
        <f t="shared" si="151"/>
        <v>337.4065849000001</v>
      </c>
      <c r="BC81" s="176">
        <f t="shared" si="133"/>
        <v>-337.4065849000001</v>
      </c>
      <c r="BD81" s="176">
        <f t="shared" si="134"/>
        <v>0</v>
      </c>
      <c r="BE81" s="176">
        <f t="shared" si="135"/>
        <v>0</v>
      </c>
      <c r="BF81" s="176">
        <f t="shared" si="136"/>
        <v>0</v>
      </c>
      <c r="BG81" s="161">
        <v>0.77083333333333304</v>
      </c>
      <c r="BH81" s="330"/>
      <c r="BI81" s="656" t="s">
        <v>556</v>
      </c>
      <c r="BJ81" s="657"/>
      <c r="BK81" s="658"/>
      <c r="BL81" s="650">
        <f>COUNTIF(D7:D102,"Met")</f>
        <v>0</v>
      </c>
      <c r="BM81" s="103"/>
      <c r="BN81" s="103"/>
      <c r="BO81" s="103"/>
      <c r="GR81" s="103"/>
      <c r="GS81" s="103"/>
      <c r="GT81" s="103"/>
      <c r="GU81" s="103"/>
      <c r="GV81" s="103"/>
    </row>
    <row r="82" spans="1:204" ht="10.5" customHeight="1" x14ac:dyDescent="0.25">
      <c r="A82" s="251">
        <v>0.78125</v>
      </c>
      <c r="B82" s="155">
        <f>'Warrant 2'!F89</f>
        <v>428</v>
      </c>
      <c r="C82" s="155">
        <f>IF(OR('Input &amp; Findings'!$G$28='Drop Down Lists'!$E$2,'Input &amp; Findings'!$G$28='Drop Down Lists'!$E$4),SUM('Data with RTF'!F79,'Data with RTF'!T79),SUM('Data with RTF'!M79,'Data with RTF'!AA79))</f>
        <v>0</v>
      </c>
      <c r="D82" s="176" t="str">
        <f t="shared" si="137"/>
        <v/>
      </c>
      <c r="E82" s="176" t="str">
        <f t="shared" si="138"/>
        <v/>
      </c>
      <c r="F82" s="176" t="str">
        <f t="shared" si="139"/>
        <v/>
      </c>
      <c r="G82" s="176" t="str">
        <f t="shared" si="140"/>
        <v/>
      </c>
      <c r="H82" s="176">
        <f t="shared" si="141"/>
        <v>394.62436000000002</v>
      </c>
      <c r="I82" s="176">
        <f t="shared" si="142"/>
        <v>-10394.62436</v>
      </c>
      <c r="J82" s="176">
        <f t="shared" si="109"/>
        <v>0</v>
      </c>
      <c r="K82" s="176">
        <f t="shared" si="110"/>
        <v>0</v>
      </c>
      <c r="L82" s="176">
        <f t="shared" si="111"/>
        <v>0</v>
      </c>
      <c r="M82" s="176">
        <f t="shared" si="152"/>
        <v>428</v>
      </c>
      <c r="N82" s="176">
        <f t="shared" si="153"/>
        <v>0</v>
      </c>
      <c r="O82" s="176">
        <f t="shared" si="143"/>
        <v>-10394.62436</v>
      </c>
      <c r="P82" s="176">
        <f t="shared" si="112"/>
        <v>0</v>
      </c>
      <c r="Q82" s="176">
        <f t="shared" si="113"/>
        <v>0</v>
      </c>
      <c r="R82" s="176">
        <f t="shared" si="114"/>
        <v>0</v>
      </c>
      <c r="S82" s="176">
        <f t="shared" si="162"/>
        <v>428</v>
      </c>
      <c r="T82" s="176">
        <f t="shared" si="156"/>
        <v>0</v>
      </c>
      <c r="U82" s="176">
        <f t="shared" si="144"/>
        <v>-10394.62436</v>
      </c>
      <c r="V82" s="176">
        <f t="shared" si="115"/>
        <v>0</v>
      </c>
      <c r="W82" s="176">
        <f t="shared" si="116"/>
        <v>0</v>
      </c>
      <c r="X82" s="176">
        <f t="shared" si="117"/>
        <v>0</v>
      </c>
      <c r="Y82" s="176">
        <f t="shared" si="157"/>
        <v>428</v>
      </c>
      <c r="Z82" s="176">
        <f t="shared" si="158"/>
        <v>0</v>
      </c>
      <c r="AA82" s="176">
        <f t="shared" si="145"/>
        <v>-10394.62436</v>
      </c>
      <c r="AB82" s="176">
        <f t="shared" si="118"/>
        <v>0</v>
      </c>
      <c r="AC82" s="176">
        <f t="shared" si="119"/>
        <v>0</v>
      </c>
      <c r="AD82" s="176">
        <f t="shared" si="120"/>
        <v>0</v>
      </c>
      <c r="AE82" s="176">
        <f t="shared" si="146"/>
        <v>197.64005760000003</v>
      </c>
      <c r="AF82" s="176">
        <f t="shared" si="147"/>
        <v>-10197.6400576</v>
      </c>
      <c r="AG82" s="176">
        <f t="shared" si="121"/>
        <v>0</v>
      </c>
      <c r="AH82" s="176">
        <f t="shared" si="122"/>
        <v>0</v>
      </c>
      <c r="AI82" s="176">
        <f t="shared" si="123"/>
        <v>0</v>
      </c>
      <c r="AJ82" s="176">
        <f t="shared" si="154"/>
        <v>428</v>
      </c>
      <c r="AK82" s="176">
        <f t="shared" si="155"/>
        <v>0</v>
      </c>
      <c r="AL82" s="176">
        <f t="shared" si="148"/>
        <v>-10197.6400576</v>
      </c>
      <c r="AM82" s="176">
        <f t="shared" si="124"/>
        <v>0</v>
      </c>
      <c r="AN82" s="176">
        <f t="shared" si="125"/>
        <v>0</v>
      </c>
      <c r="AO82" s="176">
        <f t="shared" si="126"/>
        <v>0</v>
      </c>
      <c r="AP82" s="176">
        <f t="shared" si="163"/>
        <v>428</v>
      </c>
      <c r="AQ82" s="176">
        <f t="shared" si="159"/>
        <v>0</v>
      </c>
      <c r="AR82" s="176">
        <f t="shared" si="149"/>
        <v>-10197.6400576</v>
      </c>
      <c r="AS82" s="176">
        <f t="shared" si="127"/>
        <v>0</v>
      </c>
      <c r="AT82" s="176">
        <f t="shared" si="128"/>
        <v>0</v>
      </c>
      <c r="AU82" s="176">
        <f t="shared" si="129"/>
        <v>0</v>
      </c>
      <c r="AV82" s="176">
        <f t="shared" si="160"/>
        <v>428</v>
      </c>
      <c r="AW82" s="176">
        <f t="shared" si="161"/>
        <v>0</v>
      </c>
      <c r="AX82" s="176">
        <f t="shared" si="150"/>
        <v>-10197.6400576</v>
      </c>
      <c r="AY82" s="176">
        <f t="shared" si="130"/>
        <v>0</v>
      </c>
      <c r="AZ82" s="176">
        <f t="shared" si="131"/>
        <v>0</v>
      </c>
      <c r="BA82" s="176">
        <f t="shared" si="132"/>
        <v>0</v>
      </c>
      <c r="BB82" s="176">
        <f t="shared" si="151"/>
        <v>622.48545760000002</v>
      </c>
      <c r="BC82" s="176">
        <f t="shared" si="133"/>
        <v>-622.48545760000002</v>
      </c>
      <c r="BD82" s="176">
        <f t="shared" si="134"/>
        <v>0</v>
      </c>
      <c r="BE82" s="176">
        <f t="shared" si="135"/>
        <v>0</v>
      </c>
      <c r="BF82" s="176">
        <f t="shared" si="136"/>
        <v>0</v>
      </c>
      <c r="BG82" s="161">
        <v>0.78125</v>
      </c>
      <c r="BH82" s="330"/>
      <c r="BI82" s="659"/>
      <c r="BJ82" s="660"/>
      <c r="BK82" s="661"/>
      <c r="BL82" s="651"/>
      <c r="BM82" s="103"/>
      <c r="BN82" s="103"/>
      <c r="BO82" s="103"/>
      <c r="GR82" s="103"/>
      <c r="GS82" s="103"/>
      <c r="GT82" s="103"/>
      <c r="GU82" s="103"/>
      <c r="GV82" s="103"/>
    </row>
    <row r="83" spans="1:204" ht="10.050000000000001" customHeight="1" x14ac:dyDescent="0.25">
      <c r="A83" s="251">
        <v>0.79166666666666696</v>
      </c>
      <c r="B83" s="155">
        <f>'Warrant 2'!F90</f>
        <v>0</v>
      </c>
      <c r="C83" s="155">
        <f>IF(OR('Input &amp; Findings'!$G$28='Drop Down Lists'!$E$2,'Input &amp; Findings'!$G$28='Drop Down Lists'!$E$4),SUM('Data with RTF'!F80,'Data with RTF'!T80),SUM('Data with RTF'!M80,'Data with RTF'!AA80))</f>
        <v>0</v>
      </c>
      <c r="D83" s="176" t="str">
        <f t="shared" si="137"/>
        <v/>
      </c>
      <c r="E83" s="176" t="str">
        <f t="shared" si="138"/>
        <v/>
      </c>
      <c r="F83" s="176" t="str">
        <f t="shared" si="139"/>
        <v/>
      </c>
      <c r="G83" s="176" t="str">
        <f t="shared" si="140"/>
        <v/>
      </c>
      <c r="H83" s="176">
        <f t="shared" si="141"/>
        <v>760.62</v>
      </c>
      <c r="I83" s="176">
        <f t="shared" si="142"/>
        <v>-10760.62</v>
      </c>
      <c r="J83" s="176">
        <f t="shared" si="109"/>
        <v>0</v>
      </c>
      <c r="K83" s="176">
        <f t="shared" si="110"/>
        <v>0</v>
      </c>
      <c r="L83" s="176">
        <f t="shared" si="111"/>
        <v>0</v>
      </c>
      <c r="M83" s="176">
        <f t="shared" si="152"/>
        <v>0</v>
      </c>
      <c r="N83" s="176">
        <f t="shared" si="153"/>
        <v>0</v>
      </c>
      <c r="O83" s="176">
        <f t="shared" si="143"/>
        <v>-10760.62</v>
      </c>
      <c r="P83" s="176">
        <f t="shared" si="112"/>
        <v>0</v>
      </c>
      <c r="Q83" s="176">
        <f t="shared" si="113"/>
        <v>0</v>
      </c>
      <c r="R83" s="176">
        <f t="shared" si="114"/>
        <v>0</v>
      </c>
      <c r="S83" s="176">
        <f t="shared" si="162"/>
        <v>0</v>
      </c>
      <c r="T83" s="176">
        <f t="shared" si="156"/>
        <v>0</v>
      </c>
      <c r="U83" s="176">
        <f t="shared" si="144"/>
        <v>-10760.62</v>
      </c>
      <c r="V83" s="176">
        <f t="shared" si="115"/>
        <v>0</v>
      </c>
      <c r="W83" s="176">
        <f t="shared" si="116"/>
        <v>0</v>
      </c>
      <c r="X83" s="176">
        <f t="shared" si="117"/>
        <v>0</v>
      </c>
      <c r="Y83" s="176">
        <f t="shared" si="157"/>
        <v>0</v>
      </c>
      <c r="Z83" s="176">
        <f t="shared" si="158"/>
        <v>0</v>
      </c>
      <c r="AA83" s="176">
        <f t="shared" si="145"/>
        <v>-10760.62</v>
      </c>
      <c r="AB83" s="176">
        <f t="shared" si="118"/>
        <v>0</v>
      </c>
      <c r="AC83" s="176">
        <f t="shared" si="119"/>
        <v>0</v>
      </c>
      <c r="AD83" s="176">
        <f t="shared" si="120"/>
        <v>0</v>
      </c>
      <c r="AE83" s="176">
        <f t="shared" si="146"/>
        <v>491.334</v>
      </c>
      <c r="AF83" s="176">
        <f t="shared" si="147"/>
        <v>-10491.334000000001</v>
      </c>
      <c r="AG83" s="176">
        <f t="shared" si="121"/>
        <v>0</v>
      </c>
      <c r="AH83" s="176">
        <f t="shared" si="122"/>
        <v>0</v>
      </c>
      <c r="AI83" s="176">
        <f t="shared" si="123"/>
        <v>0</v>
      </c>
      <c r="AJ83" s="176">
        <f t="shared" si="154"/>
        <v>0</v>
      </c>
      <c r="AK83" s="176">
        <f t="shared" si="155"/>
        <v>0</v>
      </c>
      <c r="AL83" s="176">
        <f t="shared" si="148"/>
        <v>-10491.334000000001</v>
      </c>
      <c r="AM83" s="176">
        <f t="shared" si="124"/>
        <v>0</v>
      </c>
      <c r="AN83" s="176">
        <f t="shared" si="125"/>
        <v>0</v>
      </c>
      <c r="AO83" s="176">
        <f t="shared" si="126"/>
        <v>0</v>
      </c>
      <c r="AP83" s="176">
        <f t="shared" si="163"/>
        <v>0</v>
      </c>
      <c r="AQ83" s="176">
        <f t="shared" si="159"/>
        <v>0</v>
      </c>
      <c r="AR83" s="176">
        <f t="shared" si="149"/>
        <v>-10491.334000000001</v>
      </c>
      <c r="AS83" s="176">
        <f t="shared" si="127"/>
        <v>0</v>
      </c>
      <c r="AT83" s="176">
        <f t="shared" si="128"/>
        <v>0</v>
      </c>
      <c r="AU83" s="176">
        <f t="shared" si="129"/>
        <v>0</v>
      </c>
      <c r="AV83" s="176">
        <f t="shared" si="160"/>
        <v>0</v>
      </c>
      <c r="AW83" s="176">
        <f t="shared" si="161"/>
        <v>0</v>
      </c>
      <c r="AX83" s="176">
        <f t="shared" si="150"/>
        <v>-10491.334000000001</v>
      </c>
      <c r="AY83" s="176">
        <f t="shared" si="130"/>
        <v>0</v>
      </c>
      <c r="AZ83" s="176">
        <f t="shared" si="131"/>
        <v>0</v>
      </c>
      <c r="BA83" s="176">
        <f t="shared" si="132"/>
        <v>0</v>
      </c>
      <c r="BB83" s="176">
        <f t="shared" si="151"/>
        <v>1005.61</v>
      </c>
      <c r="BC83" s="176">
        <f t="shared" si="133"/>
        <v>-1005.61</v>
      </c>
      <c r="BD83" s="176">
        <f t="shared" si="134"/>
        <v>0</v>
      </c>
      <c r="BE83" s="176">
        <f t="shared" si="135"/>
        <v>0</v>
      </c>
      <c r="BF83" s="176">
        <f t="shared" si="136"/>
        <v>0</v>
      </c>
      <c r="BG83" s="161">
        <v>0.79166666666666696</v>
      </c>
      <c r="BH83" s="330"/>
      <c r="BI83" s="662"/>
      <c r="BJ83" s="663"/>
      <c r="BK83" s="664"/>
      <c r="BL83" s="652"/>
      <c r="BM83" s="103"/>
      <c r="BN83" s="103"/>
      <c r="BO83" s="103"/>
      <c r="GR83" s="103"/>
      <c r="GS83" s="103"/>
      <c r="GT83" s="103"/>
      <c r="GU83" s="103"/>
      <c r="GV83" s="103"/>
    </row>
    <row r="84" spans="1:204" ht="10.050000000000001" customHeight="1" x14ac:dyDescent="0.25">
      <c r="A84" s="251">
        <v>0.80208333333333304</v>
      </c>
      <c r="B84" s="155">
        <f>'Warrant 2'!F91</f>
        <v>0</v>
      </c>
      <c r="C84" s="155">
        <f>IF(OR('Input &amp; Findings'!$G$28='Drop Down Lists'!$E$2,'Input &amp; Findings'!$G$28='Drop Down Lists'!$E$4),SUM('Data with RTF'!F81,'Data with RTF'!T81),SUM('Data with RTF'!M81,'Data with RTF'!AA81))</f>
        <v>0</v>
      </c>
      <c r="D84" s="176" t="str">
        <f t="shared" si="137"/>
        <v/>
      </c>
      <c r="E84" s="176" t="str">
        <f t="shared" si="138"/>
        <v/>
      </c>
      <c r="F84" s="176" t="str">
        <f t="shared" si="139"/>
        <v/>
      </c>
      <c r="G84" s="176" t="str">
        <f t="shared" si="140"/>
        <v/>
      </c>
      <c r="H84" s="176">
        <f t="shared" si="141"/>
        <v>760.62</v>
      </c>
      <c r="I84" s="176">
        <f t="shared" si="142"/>
        <v>-10760.62</v>
      </c>
      <c r="J84" s="176">
        <f t="shared" si="109"/>
        <v>0</v>
      </c>
      <c r="K84" s="176">
        <f t="shared" si="110"/>
        <v>0</v>
      </c>
      <c r="L84" s="176">
        <f t="shared" si="111"/>
        <v>0</v>
      </c>
      <c r="M84" s="176">
        <f t="shared" si="152"/>
        <v>0</v>
      </c>
      <c r="N84" s="176">
        <f t="shared" si="153"/>
        <v>0</v>
      </c>
      <c r="O84" s="176">
        <f t="shared" si="143"/>
        <v>-10760.62</v>
      </c>
      <c r="P84" s="176">
        <f t="shared" si="112"/>
        <v>0</v>
      </c>
      <c r="Q84" s="176">
        <f t="shared" si="113"/>
        <v>0</v>
      </c>
      <c r="R84" s="176">
        <f t="shared" si="114"/>
        <v>0</v>
      </c>
      <c r="S84" s="176">
        <f t="shared" si="162"/>
        <v>0</v>
      </c>
      <c r="T84" s="176">
        <f t="shared" si="156"/>
        <v>0</v>
      </c>
      <c r="U84" s="176">
        <f t="shared" si="144"/>
        <v>-10760.62</v>
      </c>
      <c r="V84" s="176">
        <f t="shared" si="115"/>
        <v>0</v>
      </c>
      <c r="W84" s="176">
        <f t="shared" si="116"/>
        <v>0</v>
      </c>
      <c r="X84" s="176">
        <f t="shared" si="117"/>
        <v>0</v>
      </c>
      <c r="Y84" s="176">
        <f t="shared" si="157"/>
        <v>0</v>
      </c>
      <c r="Z84" s="176">
        <f t="shared" si="158"/>
        <v>0</v>
      </c>
      <c r="AA84" s="176">
        <f t="shared" si="145"/>
        <v>-10760.62</v>
      </c>
      <c r="AB84" s="176">
        <f t="shared" si="118"/>
        <v>0</v>
      </c>
      <c r="AC84" s="176">
        <f t="shared" si="119"/>
        <v>0</v>
      </c>
      <c r="AD84" s="176">
        <f t="shared" si="120"/>
        <v>0</v>
      </c>
      <c r="AE84" s="176">
        <f t="shared" si="146"/>
        <v>491.334</v>
      </c>
      <c r="AF84" s="176">
        <f t="shared" si="147"/>
        <v>-10491.334000000001</v>
      </c>
      <c r="AG84" s="176">
        <f t="shared" si="121"/>
        <v>0</v>
      </c>
      <c r="AH84" s="176">
        <f t="shared" si="122"/>
        <v>0</v>
      </c>
      <c r="AI84" s="176">
        <f t="shared" si="123"/>
        <v>0</v>
      </c>
      <c r="AJ84" s="176">
        <f t="shared" si="154"/>
        <v>0</v>
      </c>
      <c r="AK84" s="176">
        <f t="shared" si="155"/>
        <v>0</v>
      </c>
      <c r="AL84" s="176">
        <f t="shared" si="148"/>
        <v>-10491.334000000001</v>
      </c>
      <c r="AM84" s="176">
        <f t="shared" si="124"/>
        <v>0</v>
      </c>
      <c r="AN84" s="176">
        <f t="shared" si="125"/>
        <v>0</v>
      </c>
      <c r="AO84" s="176">
        <f t="shared" si="126"/>
        <v>0</v>
      </c>
      <c r="AP84" s="176">
        <f t="shared" si="163"/>
        <v>0</v>
      </c>
      <c r="AQ84" s="176">
        <f t="shared" si="159"/>
        <v>0</v>
      </c>
      <c r="AR84" s="176">
        <f t="shared" si="149"/>
        <v>-10491.334000000001</v>
      </c>
      <c r="AS84" s="176">
        <f t="shared" si="127"/>
        <v>0</v>
      </c>
      <c r="AT84" s="176">
        <f t="shared" si="128"/>
        <v>0</v>
      </c>
      <c r="AU84" s="176">
        <f t="shared" si="129"/>
        <v>0</v>
      </c>
      <c r="AV84" s="176">
        <f t="shared" si="160"/>
        <v>0</v>
      </c>
      <c r="AW84" s="176">
        <f t="shared" si="161"/>
        <v>0</v>
      </c>
      <c r="AX84" s="176">
        <f t="shared" si="150"/>
        <v>-10491.334000000001</v>
      </c>
      <c r="AY84" s="176">
        <f t="shared" si="130"/>
        <v>0</v>
      </c>
      <c r="AZ84" s="176">
        <f t="shared" si="131"/>
        <v>0</v>
      </c>
      <c r="BA84" s="176">
        <f t="shared" si="132"/>
        <v>0</v>
      </c>
      <c r="BB84" s="176">
        <f t="shared" si="151"/>
        <v>1005.61</v>
      </c>
      <c r="BC84" s="176">
        <f t="shared" si="133"/>
        <v>-1005.61</v>
      </c>
      <c r="BD84" s="176">
        <f t="shared" si="134"/>
        <v>0</v>
      </c>
      <c r="BE84" s="176">
        <f t="shared" si="135"/>
        <v>0</v>
      </c>
      <c r="BF84" s="176">
        <f t="shared" si="136"/>
        <v>0</v>
      </c>
      <c r="BG84" s="161">
        <v>0.80208333333333304</v>
      </c>
      <c r="BH84" s="330"/>
      <c r="BI84" s="103"/>
      <c r="BJ84" s="103"/>
      <c r="BK84" s="103"/>
      <c r="BL84" s="103"/>
      <c r="BM84" s="103"/>
      <c r="BN84" s="103"/>
      <c r="BO84" s="103"/>
      <c r="GR84" s="103"/>
      <c r="GS84" s="103"/>
      <c r="GT84" s="103"/>
      <c r="GU84" s="103"/>
      <c r="GV84" s="103"/>
    </row>
    <row r="85" spans="1:204" ht="10.050000000000001" customHeight="1" x14ac:dyDescent="0.25">
      <c r="A85" s="251">
        <v>0.8125</v>
      </c>
      <c r="B85" s="155">
        <f>'Warrant 2'!F92</f>
        <v>0</v>
      </c>
      <c r="C85" s="155">
        <f>IF(OR('Input &amp; Findings'!$G$28='Drop Down Lists'!$E$2,'Input &amp; Findings'!$G$28='Drop Down Lists'!$E$4),SUM('Data with RTF'!F82,'Data with RTF'!T82),SUM('Data with RTF'!M82,'Data with RTF'!AA82))</f>
        <v>0</v>
      </c>
      <c r="D85" s="176" t="str">
        <f t="shared" si="137"/>
        <v/>
      </c>
      <c r="E85" s="176" t="str">
        <f t="shared" si="138"/>
        <v/>
      </c>
      <c r="F85" s="176" t="str">
        <f t="shared" si="139"/>
        <v/>
      </c>
      <c r="G85" s="176" t="str">
        <f t="shared" si="140"/>
        <v/>
      </c>
      <c r="H85" s="176">
        <f t="shared" si="141"/>
        <v>760.62</v>
      </c>
      <c r="I85" s="176">
        <f t="shared" si="142"/>
        <v>-10760.62</v>
      </c>
      <c r="J85" s="176">
        <f t="shared" si="109"/>
        <v>0</v>
      </c>
      <c r="K85" s="176">
        <f t="shared" si="110"/>
        <v>0</v>
      </c>
      <c r="L85" s="176">
        <f t="shared" si="111"/>
        <v>0</v>
      </c>
      <c r="M85" s="176">
        <f t="shared" si="152"/>
        <v>0</v>
      </c>
      <c r="N85" s="176">
        <f t="shared" si="153"/>
        <v>0</v>
      </c>
      <c r="O85" s="176">
        <f t="shared" si="143"/>
        <v>-10760.62</v>
      </c>
      <c r="P85" s="176">
        <f t="shared" si="112"/>
        <v>0</v>
      </c>
      <c r="Q85" s="176">
        <f t="shared" si="113"/>
        <v>0</v>
      </c>
      <c r="R85" s="176">
        <f t="shared" si="114"/>
        <v>0</v>
      </c>
      <c r="S85" s="176">
        <f t="shared" si="162"/>
        <v>0</v>
      </c>
      <c r="T85" s="176">
        <f t="shared" si="156"/>
        <v>0</v>
      </c>
      <c r="U85" s="176">
        <f t="shared" si="144"/>
        <v>-10760.62</v>
      </c>
      <c r="V85" s="176">
        <f t="shared" si="115"/>
        <v>0</v>
      </c>
      <c r="W85" s="176">
        <f t="shared" si="116"/>
        <v>0</v>
      </c>
      <c r="X85" s="176">
        <f t="shared" si="117"/>
        <v>0</v>
      </c>
      <c r="Y85" s="176">
        <f t="shared" si="157"/>
        <v>0</v>
      </c>
      <c r="Z85" s="176">
        <f t="shared" si="158"/>
        <v>0</v>
      </c>
      <c r="AA85" s="176">
        <f t="shared" si="145"/>
        <v>-10760.62</v>
      </c>
      <c r="AB85" s="176">
        <f t="shared" si="118"/>
        <v>0</v>
      </c>
      <c r="AC85" s="176">
        <f t="shared" si="119"/>
        <v>0</v>
      </c>
      <c r="AD85" s="176">
        <f t="shared" si="120"/>
        <v>0</v>
      </c>
      <c r="AE85" s="176">
        <f t="shared" si="146"/>
        <v>491.334</v>
      </c>
      <c r="AF85" s="176">
        <f t="shared" si="147"/>
        <v>-10491.334000000001</v>
      </c>
      <c r="AG85" s="176">
        <f t="shared" si="121"/>
        <v>0</v>
      </c>
      <c r="AH85" s="176">
        <f t="shared" si="122"/>
        <v>0</v>
      </c>
      <c r="AI85" s="176">
        <f t="shared" si="123"/>
        <v>0</v>
      </c>
      <c r="AJ85" s="176">
        <f t="shared" si="154"/>
        <v>0</v>
      </c>
      <c r="AK85" s="176">
        <f t="shared" si="155"/>
        <v>0</v>
      </c>
      <c r="AL85" s="176">
        <f t="shared" si="148"/>
        <v>-10491.334000000001</v>
      </c>
      <c r="AM85" s="176">
        <f t="shared" si="124"/>
        <v>0</v>
      </c>
      <c r="AN85" s="176">
        <f t="shared" si="125"/>
        <v>0</v>
      </c>
      <c r="AO85" s="176">
        <f t="shared" si="126"/>
        <v>0</v>
      </c>
      <c r="AP85" s="176">
        <f t="shared" si="163"/>
        <v>0</v>
      </c>
      <c r="AQ85" s="176">
        <f t="shared" si="159"/>
        <v>0</v>
      </c>
      <c r="AR85" s="176">
        <f t="shared" si="149"/>
        <v>-10491.334000000001</v>
      </c>
      <c r="AS85" s="176">
        <f t="shared" si="127"/>
        <v>0</v>
      </c>
      <c r="AT85" s="176">
        <f t="shared" si="128"/>
        <v>0</v>
      </c>
      <c r="AU85" s="176">
        <f t="shared" si="129"/>
        <v>0</v>
      </c>
      <c r="AV85" s="176">
        <f t="shared" si="160"/>
        <v>0</v>
      </c>
      <c r="AW85" s="176">
        <f t="shared" si="161"/>
        <v>0</v>
      </c>
      <c r="AX85" s="176">
        <f t="shared" si="150"/>
        <v>-10491.334000000001</v>
      </c>
      <c r="AY85" s="176">
        <f t="shared" si="130"/>
        <v>0</v>
      </c>
      <c r="AZ85" s="176">
        <f t="shared" si="131"/>
        <v>0</v>
      </c>
      <c r="BA85" s="176">
        <f t="shared" si="132"/>
        <v>0</v>
      </c>
      <c r="BB85" s="176">
        <f t="shared" si="151"/>
        <v>1005.61</v>
      </c>
      <c r="BC85" s="176">
        <f t="shared" si="133"/>
        <v>-1005.61</v>
      </c>
      <c r="BD85" s="176">
        <f t="shared" si="134"/>
        <v>0</v>
      </c>
      <c r="BE85" s="176">
        <f t="shared" si="135"/>
        <v>0</v>
      </c>
      <c r="BF85" s="176">
        <f t="shared" si="136"/>
        <v>0</v>
      </c>
      <c r="BG85" s="161">
        <v>0.8125</v>
      </c>
      <c r="BH85" s="330"/>
      <c r="BI85" s="656" t="s">
        <v>557</v>
      </c>
      <c r="BJ85" s="657"/>
      <c r="BK85" s="658"/>
      <c r="BL85" s="650">
        <f>COUNTIF(D11:D104,"Met")</f>
        <v>0</v>
      </c>
      <c r="BM85" s="103"/>
      <c r="BN85" s="103"/>
      <c r="BO85" s="103"/>
      <c r="GR85" s="103"/>
      <c r="GS85" s="103"/>
      <c r="GT85" s="103"/>
      <c r="GU85" s="103"/>
      <c r="GV85" s="103"/>
    </row>
    <row r="86" spans="1:204" ht="9.75" customHeight="1" x14ac:dyDescent="0.25">
      <c r="A86" s="251">
        <v>0.82291666666666696</v>
      </c>
      <c r="B86" s="155">
        <f>'Warrant 2'!F93</f>
        <v>0</v>
      </c>
      <c r="C86" s="155">
        <f>IF(OR('Input &amp; Findings'!$G$28='Drop Down Lists'!$E$2,'Input &amp; Findings'!$G$28='Drop Down Lists'!$E$4),SUM('Data with RTF'!F83,'Data with RTF'!T83),SUM('Data with RTF'!M83,'Data with RTF'!AA83))</f>
        <v>0</v>
      </c>
      <c r="D86" s="176" t="str">
        <f t="shared" si="137"/>
        <v/>
      </c>
      <c r="E86" s="176" t="str">
        <f t="shared" si="138"/>
        <v/>
      </c>
      <c r="F86" s="176" t="str">
        <f t="shared" si="139"/>
        <v/>
      </c>
      <c r="G86" s="176" t="str">
        <f t="shared" si="140"/>
        <v/>
      </c>
      <c r="H86" s="176">
        <f t="shared" si="141"/>
        <v>760.62</v>
      </c>
      <c r="I86" s="176">
        <f t="shared" si="142"/>
        <v>-10760.62</v>
      </c>
      <c r="J86" s="176">
        <f t="shared" si="109"/>
        <v>0</v>
      </c>
      <c r="K86" s="176">
        <f t="shared" si="110"/>
        <v>0</v>
      </c>
      <c r="L86" s="176">
        <f t="shared" si="111"/>
        <v>0</v>
      </c>
      <c r="M86" s="176">
        <f t="shared" si="152"/>
        <v>0</v>
      </c>
      <c r="N86" s="176">
        <f t="shared" si="153"/>
        <v>0</v>
      </c>
      <c r="O86" s="176">
        <f t="shared" si="143"/>
        <v>-10760.62</v>
      </c>
      <c r="P86" s="176">
        <f t="shared" si="112"/>
        <v>0</v>
      </c>
      <c r="Q86" s="176">
        <f t="shared" si="113"/>
        <v>0</v>
      </c>
      <c r="R86" s="176">
        <f t="shared" si="114"/>
        <v>0</v>
      </c>
      <c r="S86" s="176">
        <f t="shared" si="162"/>
        <v>0</v>
      </c>
      <c r="T86" s="176">
        <f t="shared" si="156"/>
        <v>0</v>
      </c>
      <c r="U86" s="176">
        <f t="shared" si="144"/>
        <v>-10760.62</v>
      </c>
      <c r="V86" s="176">
        <f t="shared" si="115"/>
        <v>0</v>
      </c>
      <c r="W86" s="176">
        <f t="shared" si="116"/>
        <v>0</v>
      </c>
      <c r="X86" s="176">
        <f t="shared" si="117"/>
        <v>0</v>
      </c>
      <c r="Y86" s="176">
        <f t="shared" si="157"/>
        <v>0</v>
      </c>
      <c r="Z86" s="176">
        <f t="shared" si="158"/>
        <v>0</v>
      </c>
      <c r="AA86" s="176">
        <f t="shared" si="145"/>
        <v>-10760.62</v>
      </c>
      <c r="AB86" s="176">
        <f t="shared" si="118"/>
        <v>0</v>
      </c>
      <c r="AC86" s="176">
        <f t="shared" si="119"/>
        <v>0</v>
      </c>
      <c r="AD86" s="176">
        <f t="shared" si="120"/>
        <v>0</v>
      </c>
      <c r="AE86" s="176">
        <f t="shared" si="146"/>
        <v>491.334</v>
      </c>
      <c r="AF86" s="176">
        <f t="shared" si="147"/>
        <v>-10491.334000000001</v>
      </c>
      <c r="AG86" s="176">
        <f t="shared" si="121"/>
        <v>0</v>
      </c>
      <c r="AH86" s="176">
        <f t="shared" si="122"/>
        <v>0</v>
      </c>
      <c r="AI86" s="176">
        <f t="shared" si="123"/>
        <v>0</v>
      </c>
      <c r="AJ86" s="176">
        <f t="shared" si="154"/>
        <v>0</v>
      </c>
      <c r="AK86" s="176">
        <f t="shared" si="155"/>
        <v>0</v>
      </c>
      <c r="AL86" s="176">
        <f t="shared" si="148"/>
        <v>-10491.334000000001</v>
      </c>
      <c r="AM86" s="176">
        <f t="shared" si="124"/>
        <v>0</v>
      </c>
      <c r="AN86" s="176">
        <f t="shared" si="125"/>
        <v>0</v>
      </c>
      <c r="AO86" s="176">
        <f t="shared" si="126"/>
        <v>0</v>
      </c>
      <c r="AP86" s="176">
        <f t="shared" si="163"/>
        <v>0</v>
      </c>
      <c r="AQ86" s="176">
        <f t="shared" si="159"/>
        <v>0</v>
      </c>
      <c r="AR86" s="176">
        <f t="shared" si="149"/>
        <v>-10491.334000000001</v>
      </c>
      <c r="AS86" s="176">
        <f t="shared" si="127"/>
        <v>0</v>
      </c>
      <c r="AT86" s="176">
        <f t="shared" si="128"/>
        <v>0</v>
      </c>
      <c r="AU86" s="176">
        <f t="shared" si="129"/>
        <v>0</v>
      </c>
      <c r="AV86" s="176">
        <f t="shared" si="160"/>
        <v>0</v>
      </c>
      <c r="AW86" s="176">
        <f t="shared" si="161"/>
        <v>0</v>
      </c>
      <c r="AX86" s="176">
        <f t="shared" si="150"/>
        <v>-10491.334000000001</v>
      </c>
      <c r="AY86" s="176">
        <f t="shared" si="130"/>
        <v>0</v>
      </c>
      <c r="AZ86" s="176">
        <f t="shared" si="131"/>
        <v>0</v>
      </c>
      <c r="BA86" s="176">
        <f t="shared" si="132"/>
        <v>0</v>
      </c>
      <c r="BB86" s="176">
        <f t="shared" si="151"/>
        <v>1005.61</v>
      </c>
      <c r="BC86" s="176">
        <f t="shared" si="133"/>
        <v>-1005.61</v>
      </c>
      <c r="BD86" s="176">
        <f t="shared" si="134"/>
        <v>0</v>
      </c>
      <c r="BE86" s="176">
        <f t="shared" si="135"/>
        <v>0</v>
      </c>
      <c r="BF86" s="176">
        <f t="shared" si="136"/>
        <v>0</v>
      </c>
      <c r="BG86" s="161">
        <v>0.82291666666666696</v>
      </c>
      <c r="BH86" s="330"/>
      <c r="BI86" s="659"/>
      <c r="BJ86" s="660"/>
      <c r="BK86" s="661"/>
      <c r="BL86" s="651"/>
      <c r="BM86" s="103"/>
      <c r="BN86" s="103"/>
      <c r="BO86" s="103"/>
      <c r="GR86" s="103"/>
      <c r="GS86" s="103"/>
      <c r="GT86" s="103"/>
      <c r="GU86" s="103"/>
      <c r="GV86" s="103"/>
    </row>
    <row r="87" spans="1:204" ht="10.050000000000001" customHeight="1" x14ac:dyDescent="0.25">
      <c r="A87" s="251">
        <v>0.83333333333333304</v>
      </c>
      <c r="B87" s="155">
        <f>'Warrant 2'!F94</f>
        <v>0</v>
      </c>
      <c r="C87" s="155">
        <f>IF(OR('Input &amp; Findings'!$G$28='Drop Down Lists'!$E$2,'Input &amp; Findings'!$G$28='Drop Down Lists'!$E$4),SUM('Data with RTF'!F84,'Data with RTF'!T84),SUM('Data with RTF'!M84,'Data with RTF'!AA84))</f>
        <v>0</v>
      </c>
      <c r="D87" s="176" t="str">
        <f t="shared" si="137"/>
        <v/>
      </c>
      <c r="E87" s="176" t="str">
        <f t="shared" si="138"/>
        <v/>
      </c>
      <c r="F87" s="176" t="str">
        <f t="shared" si="139"/>
        <v/>
      </c>
      <c r="G87" s="176" t="str">
        <f t="shared" si="140"/>
        <v/>
      </c>
      <c r="H87" s="176">
        <f t="shared" si="141"/>
        <v>760.62</v>
      </c>
      <c r="I87" s="176">
        <f t="shared" si="142"/>
        <v>-10760.62</v>
      </c>
      <c r="J87" s="176">
        <f t="shared" si="109"/>
        <v>0</v>
      </c>
      <c r="K87" s="176">
        <f t="shared" si="110"/>
        <v>0</v>
      </c>
      <c r="L87" s="176">
        <f t="shared" si="111"/>
        <v>0</v>
      </c>
      <c r="M87" s="176">
        <f t="shared" si="152"/>
        <v>0</v>
      </c>
      <c r="N87" s="176">
        <f t="shared" si="153"/>
        <v>0</v>
      </c>
      <c r="O87" s="176">
        <f t="shared" si="143"/>
        <v>-10760.62</v>
      </c>
      <c r="P87" s="176">
        <f t="shared" si="112"/>
        <v>0</v>
      </c>
      <c r="Q87" s="176">
        <f t="shared" si="113"/>
        <v>0</v>
      </c>
      <c r="R87" s="176">
        <f t="shared" si="114"/>
        <v>0</v>
      </c>
      <c r="S87" s="176">
        <f t="shared" si="162"/>
        <v>0</v>
      </c>
      <c r="T87" s="176">
        <f t="shared" si="156"/>
        <v>0</v>
      </c>
      <c r="U87" s="176">
        <f t="shared" si="144"/>
        <v>-10760.62</v>
      </c>
      <c r="V87" s="176">
        <f t="shared" si="115"/>
        <v>0</v>
      </c>
      <c r="W87" s="176">
        <f t="shared" si="116"/>
        <v>0</v>
      </c>
      <c r="X87" s="176">
        <f t="shared" si="117"/>
        <v>0</v>
      </c>
      <c r="Y87" s="176">
        <f t="shared" si="157"/>
        <v>0</v>
      </c>
      <c r="Z87" s="176">
        <f t="shared" si="158"/>
        <v>0</v>
      </c>
      <c r="AA87" s="176">
        <f t="shared" si="145"/>
        <v>-10760.62</v>
      </c>
      <c r="AB87" s="176">
        <f t="shared" si="118"/>
        <v>0</v>
      </c>
      <c r="AC87" s="176">
        <f t="shared" si="119"/>
        <v>0</v>
      </c>
      <c r="AD87" s="176">
        <f t="shared" si="120"/>
        <v>0</v>
      </c>
      <c r="AE87" s="176">
        <f t="shared" si="146"/>
        <v>491.334</v>
      </c>
      <c r="AF87" s="176">
        <f t="shared" si="147"/>
        <v>-10491.334000000001</v>
      </c>
      <c r="AG87" s="176">
        <f t="shared" si="121"/>
        <v>0</v>
      </c>
      <c r="AH87" s="176">
        <f t="shared" si="122"/>
        <v>0</v>
      </c>
      <c r="AI87" s="176">
        <f t="shared" si="123"/>
        <v>0</v>
      </c>
      <c r="AJ87" s="176">
        <f t="shared" si="154"/>
        <v>0</v>
      </c>
      <c r="AK87" s="176">
        <f t="shared" si="155"/>
        <v>0</v>
      </c>
      <c r="AL87" s="176">
        <f t="shared" si="148"/>
        <v>-10491.334000000001</v>
      </c>
      <c r="AM87" s="176">
        <f t="shared" si="124"/>
        <v>0</v>
      </c>
      <c r="AN87" s="176">
        <f t="shared" si="125"/>
        <v>0</v>
      </c>
      <c r="AO87" s="176">
        <f t="shared" si="126"/>
        <v>0</v>
      </c>
      <c r="AP87" s="176">
        <f t="shared" si="163"/>
        <v>0</v>
      </c>
      <c r="AQ87" s="176">
        <f t="shared" si="159"/>
        <v>0</v>
      </c>
      <c r="AR87" s="176">
        <f t="shared" si="149"/>
        <v>-10491.334000000001</v>
      </c>
      <c r="AS87" s="176">
        <f t="shared" si="127"/>
        <v>0</v>
      </c>
      <c r="AT87" s="176">
        <f t="shared" si="128"/>
        <v>0</v>
      </c>
      <c r="AU87" s="176">
        <f t="shared" si="129"/>
        <v>0</v>
      </c>
      <c r="AV87" s="176">
        <f t="shared" si="160"/>
        <v>0</v>
      </c>
      <c r="AW87" s="176">
        <f t="shared" si="161"/>
        <v>0</v>
      </c>
      <c r="AX87" s="176">
        <f t="shared" si="150"/>
        <v>-10491.334000000001</v>
      </c>
      <c r="AY87" s="176">
        <f t="shared" si="130"/>
        <v>0</v>
      </c>
      <c r="AZ87" s="176">
        <f t="shared" si="131"/>
        <v>0</v>
      </c>
      <c r="BA87" s="176">
        <f t="shared" si="132"/>
        <v>0</v>
      </c>
      <c r="BB87" s="176">
        <f t="shared" si="151"/>
        <v>1005.61</v>
      </c>
      <c r="BC87" s="176">
        <f t="shared" si="133"/>
        <v>-1005.61</v>
      </c>
      <c r="BD87" s="176">
        <f t="shared" si="134"/>
        <v>0</v>
      </c>
      <c r="BE87" s="176">
        <f t="shared" si="135"/>
        <v>0</v>
      </c>
      <c r="BF87" s="176">
        <f t="shared" si="136"/>
        <v>0</v>
      </c>
      <c r="BG87" s="161">
        <v>0.83333333333333304</v>
      </c>
      <c r="BH87" s="330"/>
      <c r="BI87" s="662"/>
      <c r="BJ87" s="663"/>
      <c r="BK87" s="664"/>
      <c r="BL87" s="652"/>
      <c r="BM87" s="103"/>
      <c r="BN87" s="103"/>
      <c r="BO87" s="103"/>
      <c r="GR87" s="103"/>
      <c r="GS87" s="103"/>
      <c r="GT87" s="103"/>
      <c r="GU87" s="103"/>
      <c r="GV87" s="103"/>
    </row>
    <row r="88" spans="1:204" ht="10.050000000000001" hidden="1" customHeight="1" x14ac:dyDescent="0.25">
      <c r="A88" s="251">
        <v>0.84375</v>
      </c>
      <c r="B88" s="155">
        <f>'Warrant 2'!F95</f>
        <v>0</v>
      </c>
      <c r="C88" s="155">
        <f>IF(OR('Input &amp; Findings'!$G$28='Drop Down Lists'!$E$2,'Input &amp; Findings'!$G$28='Drop Down Lists'!$E$4),SUM('Data with RTF'!F85,'Data with RTF'!T85),SUM('Data with RTF'!M85,'Data with RTF'!AA85))</f>
        <v>0</v>
      </c>
      <c r="D88" s="176" t="str">
        <f t="shared" si="137"/>
        <v/>
      </c>
      <c r="E88" s="176" t="str">
        <f t="shared" si="138"/>
        <v/>
      </c>
      <c r="F88" s="176" t="str">
        <f t="shared" si="139"/>
        <v/>
      </c>
      <c r="G88" s="176" t="str">
        <f t="shared" si="140"/>
        <v/>
      </c>
      <c r="H88" s="176">
        <f t="shared" si="141"/>
        <v>760.62</v>
      </c>
      <c r="I88" s="176">
        <f t="shared" si="142"/>
        <v>-10760.62</v>
      </c>
      <c r="J88" s="176">
        <f t="shared" si="109"/>
        <v>0</v>
      </c>
      <c r="K88" s="176">
        <f t="shared" si="110"/>
        <v>0</v>
      </c>
      <c r="L88" s="176">
        <f t="shared" si="111"/>
        <v>0</v>
      </c>
      <c r="M88" s="176">
        <f t="shared" si="152"/>
        <v>0</v>
      </c>
      <c r="N88" s="176">
        <f t="shared" si="153"/>
        <v>0</v>
      </c>
      <c r="O88" s="176">
        <f t="shared" si="143"/>
        <v>-10760.62</v>
      </c>
      <c r="P88" s="176">
        <f t="shared" si="112"/>
        <v>0</v>
      </c>
      <c r="Q88" s="176">
        <f t="shared" si="113"/>
        <v>0</v>
      </c>
      <c r="R88" s="176">
        <f t="shared" si="114"/>
        <v>0</v>
      </c>
      <c r="S88" s="176">
        <f t="shared" si="162"/>
        <v>0</v>
      </c>
      <c r="T88" s="176">
        <f t="shared" si="156"/>
        <v>0</v>
      </c>
      <c r="U88" s="176">
        <f t="shared" si="144"/>
        <v>-10760.62</v>
      </c>
      <c r="V88" s="176">
        <f t="shared" si="115"/>
        <v>0</v>
      </c>
      <c r="W88" s="176">
        <f t="shared" si="116"/>
        <v>0</v>
      </c>
      <c r="X88" s="176">
        <f t="shared" si="117"/>
        <v>0</v>
      </c>
      <c r="Y88" s="176">
        <f t="shared" si="157"/>
        <v>0</v>
      </c>
      <c r="Z88" s="176">
        <f t="shared" si="158"/>
        <v>0</v>
      </c>
      <c r="AA88" s="176">
        <f t="shared" si="145"/>
        <v>-10760.62</v>
      </c>
      <c r="AB88" s="176">
        <f t="shared" si="118"/>
        <v>0</v>
      </c>
      <c r="AC88" s="176">
        <f t="shared" si="119"/>
        <v>0</v>
      </c>
      <c r="AD88" s="176">
        <f t="shared" si="120"/>
        <v>0</v>
      </c>
      <c r="AE88" s="176">
        <f t="shared" si="146"/>
        <v>491.334</v>
      </c>
      <c r="AF88" s="176">
        <f t="shared" si="147"/>
        <v>-10491.334000000001</v>
      </c>
      <c r="AG88" s="176">
        <f t="shared" si="121"/>
        <v>0</v>
      </c>
      <c r="AH88" s="176">
        <f t="shared" si="122"/>
        <v>0</v>
      </c>
      <c r="AI88" s="176">
        <f t="shared" si="123"/>
        <v>0</v>
      </c>
      <c r="AJ88" s="176">
        <f t="shared" si="154"/>
        <v>0</v>
      </c>
      <c r="AK88" s="176">
        <f t="shared" si="155"/>
        <v>0</v>
      </c>
      <c r="AL88" s="176">
        <f t="shared" si="148"/>
        <v>-10491.334000000001</v>
      </c>
      <c r="AM88" s="176">
        <f t="shared" si="124"/>
        <v>0</v>
      </c>
      <c r="AN88" s="176">
        <f t="shared" si="125"/>
        <v>0</v>
      </c>
      <c r="AO88" s="176">
        <f t="shared" si="126"/>
        <v>0</v>
      </c>
      <c r="AP88" s="176">
        <f t="shared" si="163"/>
        <v>0</v>
      </c>
      <c r="AQ88" s="176">
        <f t="shared" si="159"/>
        <v>0</v>
      </c>
      <c r="AR88" s="176">
        <f t="shared" si="149"/>
        <v>-10491.334000000001</v>
      </c>
      <c r="AS88" s="176">
        <f t="shared" si="127"/>
        <v>0</v>
      </c>
      <c r="AT88" s="176">
        <f t="shared" si="128"/>
        <v>0</v>
      </c>
      <c r="AU88" s="176">
        <f t="shared" si="129"/>
        <v>0</v>
      </c>
      <c r="AV88" s="176">
        <f t="shared" si="160"/>
        <v>0</v>
      </c>
      <c r="AW88" s="176">
        <f t="shared" si="161"/>
        <v>0</v>
      </c>
      <c r="AX88" s="176">
        <f t="shared" si="150"/>
        <v>-10491.334000000001</v>
      </c>
      <c r="AY88" s="176">
        <f t="shared" si="130"/>
        <v>0</v>
      </c>
      <c r="AZ88" s="176">
        <f t="shared" si="131"/>
        <v>0</v>
      </c>
      <c r="BA88" s="176">
        <f t="shared" si="132"/>
        <v>0</v>
      </c>
      <c r="BB88" s="176">
        <f t="shared" si="151"/>
        <v>1005.61</v>
      </c>
      <c r="BC88" s="176">
        <f t="shared" si="133"/>
        <v>-1005.61</v>
      </c>
      <c r="BD88" s="176">
        <f t="shared" si="134"/>
        <v>0</v>
      </c>
      <c r="BE88" s="176">
        <f t="shared" si="135"/>
        <v>0</v>
      </c>
      <c r="BF88" s="176">
        <f t="shared" si="136"/>
        <v>0</v>
      </c>
      <c r="BG88" s="161">
        <v>0.84375</v>
      </c>
      <c r="BH88" s="330"/>
      <c r="BI88" s="330"/>
      <c r="BJ88" s="330"/>
      <c r="BK88" s="330"/>
      <c r="BL88" s="330"/>
      <c r="BM88" s="103"/>
      <c r="BN88" s="103"/>
      <c r="BO88" s="103"/>
      <c r="GR88" s="103"/>
      <c r="GS88" s="103"/>
      <c r="GT88" s="103"/>
      <c r="GU88" s="103"/>
      <c r="GV88" s="103"/>
    </row>
    <row r="89" spans="1:204" ht="10.050000000000001" hidden="1" customHeight="1" x14ac:dyDescent="0.25">
      <c r="A89" s="251">
        <v>0.85416666666666696</v>
      </c>
      <c r="B89" s="155">
        <f>'Warrant 2'!F96</f>
        <v>0</v>
      </c>
      <c r="C89" s="155">
        <f>IF(OR('Input &amp; Findings'!$G$28='Drop Down Lists'!$E$2,'Input &amp; Findings'!$G$28='Drop Down Lists'!$E$4),SUM('Data with RTF'!F86,'Data with RTF'!T86),SUM('Data with RTF'!M86,'Data with RTF'!AA86))</f>
        <v>0</v>
      </c>
      <c r="D89" s="176" t="str">
        <f t="shared" si="137"/>
        <v/>
      </c>
      <c r="E89" s="176" t="str">
        <f t="shared" si="138"/>
        <v/>
      </c>
      <c r="F89" s="176" t="str">
        <f t="shared" si="139"/>
        <v/>
      </c>
      <c r="G89" s="176" t="str">
        <f t="shared" si="140"/>
        <v/>
      </c>
      <c r="H89" s="176">
        <f t="shared" si="141"/>
        <v>760.62</v>
      </c>
      <c r="I89" s="176">
        <f t="shared" si="142"/>
        <v>-10760.62</v>
      </c>
      <c r="J89" s="176">
        <f t="shared" si="109"/>
        <v>0</v>
      </c>
      <c r="K89" s="176">
        <f t="shared" si="110"/>
        <v>0</v>
      </c>
      <c r="L89" s="176">
        <f t="shared" si="111"/>
        <v>0</v>
      </c>
      <c r="M89" s="176">
        <f t="shared" si="152"/>
        <v>0</v>
      </c>
      <c r="N89" s="176">
        <f t="shared" si="153"/>
        <v>0</v>
      </c>
      <c r="O89" s="176">
        <f t="shared" si="143"/>
        <v>-10760.62</v>
      </c>
      <c r="P89" s="176">
        <f t="shared" si="112"/>
        <v>0</v>
      </c>
      <c r="Q89" s="176">
        <f t="shared" si="113"/>
        <v>0</v>
      </c>
      <c r="R89" s="176">
        <f t="shared" si="114"/>
        <v>0</v>
      </c>
      <c r="S89" s="176">
        <f t="shared" si="162"/>
        <v>0</v>
      </c>
      <c r="T89" s="176">
        <f t="shared" si="156"/>
        <v>0</v>
      </c>
      <c r="U89" s="176">
        <f t="shared" si="144"/>
        <v>-10760.62</v>
      </c>
      <c r="V89" s="176">
        <f t="shared" si="115"/>
        <v>0</v>
      </c>
      <c r="W89" s="176">
        <f t="shared" si="116"/>
        <v>0</v>
      </c>
      <c r="X89" s="176">
        <f t="shared" si="117"/>
        <v>0</v>
      </c>
      <c r="Y89" s="176">
        <f t="shared" si="157"/>
        <v>0</v>
      </c>
      <c r="Z89" s="176">
        <f t="shared" si="158"/>
        <v>0</v>
      </c>
      <c r="AA89" s="176">
        <f t="shared" si="145"/>
        <v>-10760.62</v>
      </c>
      <c r="AB89" s="176">
        <f t="shared" si="118"/>
        <v>0</v>
      </c>
      <c r="AC89" s="176">
        <f t="shared" si="119"/>
        <v>0</v>
      </c>
      <c r="AD89" s="176">
        <f t="shared" si="120"/>
        <v>0</v>
      </c>
      <c r="AE89" s="176">
        <f t="shared" si="146"/>
        <v>491.334</v>
      </c>
      <c r="AF89" s="176">
        <f t="shared" si="147"/>
        <v>-10491.334000000001</v>
      </c>
      <c r="AG89" s="176">
        <f t="shared" si="121"/>
        <v>0</v>
      </c>
      <c r="AH89" s="176">
        <f t="shared" si="122"/>
        <v>0</v>
      </c>
      <c r="AI89" s="176">
        <f t="shared" si="123"/>
        <v>0</v>
      </c>
      <c r="AJ89" s="176">
        <f t="shared" si="154"/>
        <v>0</v>
      </c>
      <c r="AK89" s="176">
        <f t="shared" si="155"/>
        <v>0</v>
      </c>
      <c r="AL89" s="176">
        <f t="shared" si="148"/>
        <v>-10491.334000000001</v>
      </c>
      <c r="AM89" s="176">
        <f t="shared" si="124"/>
        <v>0</v>
      </c>
      <c r="AN89" s="176">
        <f t="shared" si="125"/>
        <v>0</v>
      </c>
      <c r="AO89" s="176">
        <f t="shared" si="126"/>
        <v>0</v>
      </c>
      <c r="AP89" s="176">
        <f t="shared" si="163"/>
        <v>0</v>
      </c>
      <c r="AQ89" s="176">
        <f t="shared" si="159"/>
        <v>0</v>
      </c>
      <c r="AR89" s="176">
        <f t="shared" si="149"/>
        <v>-10491.334000000001</v>
      </c>
      <c r="AS89" s="176">
        <f t="shared" si="127"/>
        <v>0</v>
      </c>
      <c r="AT89" s="176">
        <f t="shared" si="128"/>
        <v>0</v>
      </c>
      <c r="AU89" s="176">
        <f t="shared" si="129"/>
        <v>0</v>
      </c>
      <c r="AV89" s="176">
        <f t="shared" si="160"/>
        <v>0</v>
      </c>
      <c r="AW89" s="176">
        <f t="shared" si="161"/>
        <v>0</v>
      </c>
      <c r="AX89" s="176">
        <f t="shared" si="150"/>
        <v>-10491.334000000001</v>
      </c>
      <c r="AY89" s="176">
        <f t="shared" si="130"/>
        <v>0</v>
      </c>
      <c r="AZ89" s="176">
        <f t="shared" si="131"/>
        <v>0</v>
      </c>
      <c r="BA89" s="176">
        <f t="shared" si="132"/>
        <v>0</v>
      </c>
      <c r="BB89" s="176">
        <f t="shared" si="151"/>
        <v>1005.61</v>
      </c>
      <c r="BC89" s="176">
        <f t="shared" si="133"/>
        <v>-1005.61</v>
      </c>
      <c r="BD89" s="176">
        <f t="shared" si="134"/>
        <v>0</v>
      </c>
      <c r="BE89" s="176">
        <f t="shared" si="135"/>
        <v>0</v>
      </c>
      <c r="BF89" s="176">
        <f t="shared" si="136"/>
        <v>0</v>
      </c>
      <c r="BG89" s="161">
        <v>0.85416666666666696</v>
      </c>
      <c r="BH89" s="330"/>
      <c r="BI89" s="330"/>
      <c r="BJ89" s="330"/>
      <c r="BK89" s="330"/>
      <c r="BL89" s="330"/>
      <c r="BM89" s="103"/>
      <c r="BN89" s="103"/>
      <c r="BO89" s="103"/>
      <c r="GR89" s="103"/>
      <c r="GS89" s="103"/>
      <c r="GT89" s="103"/>
      <c r="GU89" s="103"/>
      <c r="GV89" s="103"/>
    </row>
    <row r="90" spans="1:204" ht="10.050000000000001" hidden="1" customHeight="1" x14ac:dyDescent="0.25">
      <c r="A90" s="251">
        <v>0.86458333333333304</v>
      </c>
      <c r="B90" s="155">
        <f>'Warrant 2'!F97</f>
        <v>0</v>
      </c>
      <c r="C90" s="155">
        <f>IF(OR('Input &amp; Findings'!$G$28='Drop Down Lists'!$E$2,'Input &amp; Findings'!$G$28='Drop Down Lists'!$E$4),SUM('Data with RTF'!F87,'Data with RTF'!T87),SUM('Data with RTF'!M87,'Data with RTF'!AA87))</f>
        <v>0</v>
      </c>
      <c r="D90" s="176" t="str">
        <f t="shared" si="137"/>
        <v/>
      </c>
      <c r="E90" s="176" t="str">
        <f t="shared" si="138"/>
        <v/>
      </c>
      <c r="F90" s="176" t="str">
        <f t="shared" si="139"/>
        <v/>
      </c>
      <c r="G90" s="176" t="str">
        <f t="shared" si="140"/>
        <v/>
      </c>
      <c r="H90" s="176">
        <f t="shared" si="141"/>
        <v>760.62</v>
      </c>
      <c r="I90" s="176">
        <f t="shared" si="142"/>
        <v>-10760.62</v>
      </c>
      <c r="J90" s="176">
        <f t="shared" si="109"/>
        <v>0</v>
      </c>
      <c r="K90" s="176">
        <f t="shared" si="110"/>
        <v>0</v>
      </c>
      <c r="L90" s="176">
        <f t="shared" si="111"/>
        <v>0</v>
      </c>
      <c r="M90" s="176">
        <f t="shared" si="152"/>
        <v>0</v>
      </c>
      <c r="N90" s="176">
        <f t="shared" si="153"/>
        <v>0</v>
      </c>
      <c r="O90" s="176">
        <f t="shared" si="143"/>
        <v>-10760.62</v>
      </c>
      <c r="P90" s="176">
        <f t="shared" si="112"/>
        <v>0</v>
      </c>
      <c r="Q90" s="176">
        <f t="shared" si="113"/>
        <v>0</v>
      </c>
      <c r="R90" s="176">
        <f t="shared" si="114"/>
        <v>0</v>
      </c>
      <c r="S90" s="176">
        <f t="shared" si="162"/>
        <v>0</v>
      </c>
      <c r="T90" s="176">
        <f t="shared" si="156"/>
        <v>0</v>
      </c>
      <c r="U90" s="176">
        <f t="shared" si="144"/>
        <v>-10760.62</v>
      </c>
      <c r="V90" s="176">
        <f t="shared" si="115"/>
        <v>0</v>
      </c>
      <c r="W90" s="176">
        <f t="shared" si="116"/>
        <v>0</v>
      </c>
      <c r="X90" s="176">
        <f t="shared" si="117"/>
        <v>0</v>
      </c>
      <c r="Y90" s="176">
        <f t="shared" si="157"/>
        <v>0</v>
      </c>
      <c r="Z90" s="176">
        <f t="shared" si="158"/>
        <v>0</v>
      </c>
      <c r="AA90" s="176">
        <f t="shared" si="145"/>
        <v>-10760.62</v>
      </c>
      <c r="AB90" s="176">
        <f t="shared" si="118"/>
        <v>0</v>
      </c>
      <c r="AC90" s="176">
        <f t="shared" si="119"/>
        <v>0</v>
      </c>
      <c r="AD90" s="176">
        <f t="shared" si="120"/>
        <v>0</v>
      </c>
      <c r="AE90" s="176">
        <f t="shared" si="146"/>
        <v>491.334</v>
      </c>
      <c r="AF90" s="176">
        <f t="shared" si="147"/>
        <v>-10491.334000000001</v>
      </c>
      <c r="AG90" s="176">
        <f t="shared" si="121"/>
        <v>0</v>
      </c>
      <c r="AH90" s="176">
        <f t="shared" si="122"/>
        <v>0</v>
      </c>
      <c r="AI90" s="176">
        <f t="shared" si="123"/>
        <v>0</v>
      </c>
      <c r="AJ90" s="176">
        <f t="shared" si="154"/>
        <v>0</v>
      </c>
      <c r="AK90" s="176">
        <f t="shared" si="155"/>
        <v>0</v>
      </c>
      <c r="AL90" s="176">
        <f t="shared" si="148"/>
        <v>-10491.334000000001</v>
      </c>
      <c r="AM90" s="176">
        <f t="shared" si="124"/>
        <v>0</v>
      </c>
      <c r="AN90" s="176">
        <f t="shared" si="125"/>
        <v>0</v>
      </c>
      <c r="AO90" s="176">
        <f t="shared" si="126"/>
        <v>0</v>
      </c>
      <c r="AP90" s="176">
        <f t="shared" si="163"/>
        <v>0</v>
      </c>
      <c r="AQ90" s="176">
        <f t="shared" si="159"/>
        <v>0</v>
      </c>
      <c r="AR90" s="176">
        <f t="shared" si="149"/>
        <v>-10491.334000000001</v>
      </c>
      <c r="AS90" s="176">
        <f t="shared" si="127"/>
        <v>0</v>
      </c>
      <c r="AT90" s="176">
        <f t="shared" si="128"/>
        <v>0</v>
      </c>
      <c r="AU90" s="176">
        <f t="shared" si="129"/>
        <v>0</v>
      </c>
      <c r="AV90" s="176">
        <f t="shared" si="160"/>
        <v>0</v>
      </c>
      <c r="AW90" s="176">
        <f t="shared" si="161"/>
        <v>0</v>
      </c>
      <c r="AX90" s="176">
        <f t="shared" si="150"/>
        <v>-10491.334000000001</v>
      </c>
      <c r="AY90" s="176">
        <f t="shared" si="130"/>
        <v>0</v>
      </c>
      <c r="AZ90" s="176">
        <f t="shared" si="131"/>
        <v>0</v>
      </c>
      <c r="BA90" s="176">
        <f t="shared" si="132"/>
        <v>0</v>
      </c>
      <c r="BB90" s="176">
        <f t="shared" si="151"/>
        <v>1005.61</v>
      </c>
      <c r="BC90" s="176">
        <f t="shared" si="133"/>
        <v>-1005.61</v>
      </c>
      <c r="BD90" s="176">
        <f t="shared" si="134"/>
        <v>0</v>
      </c>
      <c r="BE90" s="176">
        <f t="shared" si="135"/>
        <v>0</v>
      </c>
      <c r="BF90" s="176">
        <f t="shared" si="136"/>
        <v>0</v>
      </c>
      <c r="BG90" s="161">
        <v>0.86458333333333304</v>
      </c>
      <c r="BH90" s="330"/>
      <c r="BI90" s="330"/>
      <c r="BJ90" s="330"/>
      <c r="BK90" s="330"/>
      <c r="BL90" s="330"/>
      <c r="BM90" s="103"/>
      <c r="BN90" s="103"/>
      <c r="BO90" s="103"/>
      <c r="GR90" s="103"/>
      <c r="GS90" s="103"/>
      <c r="GT90" s="103"/>
      <c r="GU90" s="103"/>
      <c r="GV90" s="103"/>
    </row>
    <row r="91" spans="1:204" ht="10.050000000000001" hidden="1" customHeight="1" x14ac:dyDescent="0.25">
      <c r="A91" s="251">
        <v>0.875</v>
      </c>
      <c r="B91" s="155">
        <f>'Warrant 2'!F98</f>
        <v>0</v>
      </c>
      <c r="C91" s="155">
        <f>IF(OR('Input &amp; Findings'!$G$28='Drop Down Lists'!$E$2,'Input &amp; Findings'!$G$28='Drop Down Lists'!$E$4),SUM('Data with RTF'!F88,'Data with RTF'!T88),SUM('Data with RTF'!M88,'Data with RTF'!AA88))</f>
        <v>0</v>
      </c>
      <c r="D91" s="176" t="str">
        <f t="shared" si="137"/>
        <v/>
      </c>
      <c r="E91" s="176" t="str">
        <f t="shared" si="138"/>
        <v/>
      </c>
      <c r="F91" s="176" t="str">
        <f t="shared" si="139"/>
        <v/>
      </c>
      <c r="G91" s="176" t="str">
        <f t="shared" si="140"/>
        <v/>
      </c>
      <c r="H91" s="176">
        <f t="shared" si="141"/>
        <v>760.62</v>
      </c>
      <c r="I91" s="176">
        <f t="shared" si="142"/>
        <v>-10760.62</v>
      </c>
      <c r="J91" s="176">
        <f t="shared" si="109"/>
        <v>0</v>
      </c>
      <c r="K91" s="176">
        <f t="shared" si="110"/>
        <v>0</v>
      </c>
      <c r="L91" s="176">
        <f t="shared" si="111"/>
        <v>0</v>
      </c>
      <c r="M91" s="176">
        <f t="shared" si="152"/>
        <v>0</v>
      </c>
      <c r="N91" s="176">
        <f t="shared" si="153"/>
        <v>0</v>
      </c>
      <c r="O91" s="176">
        <f t="shared" si="143"/>
        <v>-10760.62</v>
      </c>
      <c r="P91" s="176">
        <f t="shared" si="112"/>
        <v>0</v>
      </c>
      <c r="Q91" s="176">
        <f t="shared" si="113"/>
        <v>0</v>
      </c>
      <c r="R91" s="176">
        <f t="shared" si="114"/>
        <v>0</v>
      </c>
      <c r="S91" s="176">
        <f t="shared" si="162"/>
        <v>0</v>
      </c>
      <c r="T91" s="176">
        <f t="shared" si="156"/>
        <v>0</v>
      </c>
      <c r="U91" s="176">
        <f t="shared" si="144"/>
        <v>-10760.62</v>
      </c>
      <c r="V91" s="176">
        <f t="shared" si="115"/>
        <v>0</v>
      </c>
      <c r="W91" s="176">
        <f t="shared" si="116"/>
        <v>0</v>
      </c>
      <c r="X91" s="176">
        <f t="shared" si="117"/>
        <v>0</v>
      </c>
      <c r="Y91" s="176">
        <f t="shared" si="157"/>
        <v>0</v>
      </c>
      <c r="Z91" s="176">
        <f t="shared" si="158"/>
        <v>0</v>
      </c>
      <c r="AA91" s="176">
        <f t="shared" si="145"/>
        <v>-10760.62</v>
      </c>
      <c r="AB91" s="176">
        <f t="shared" si="118"/>
        <v>0</v>
      </c>
      <c r="AC91" s="176">
        <f t="shared" si="119"/>
        <v>0</v>
      </c>
      <c r="AD91" s="176">
        <f t="shared" si="120"/>
        <v>0</v>
      </c>
      <c r="AE91" s="176">
        <f t="shared" si="146"/>
        <v>491.334</v>
      </c>
      <c r="AF91" s="176">
        <f t="shared" si="147"/>
        <v>-10491.334000000001</v>
      </c>
      <c r="AG91" s="176">
        <f t="shared" si="121"/>
        <v>0</v>
      </c>
      <c r="AH91" s="176">
        <f t="shared" si="122"/>
        <v>0</v>
      </c>
      <c r="AI91" s="176">
        <f t="shared" si="123"/>
        <v>0</v>
      </c>
      <c r="AJ91" s="176">
        <f t="shared" si="154"/>
        <v>0</v>
      </c>
      <c r="AK91" s="176">
        <f t="shared" si="155"/>
        <v>0</v>
      </c>
      <c r="AL91" s="176">
        <f t="shared" si="148"/>
        <v>-10491.334000000001</v>
      </c>
      <c r="AM91" s="176">
        <f t="shared" si="124"/>
        <v>0</v>
      </c>
      <c r="AN91" s="176">
        <f t="shared" si="125"/>
        <v>0</v>
      </c>
      <c r="AO91" s="176">
        <f t="shared" si="126"/>
        <v>0</v>
      </c>
      <c r="AP91" s="176">
        <f t="shared" si="163"/>
        <v>0</v>
      </c>
      <c r="AQ91" s="176">
        <f t="shared" si="159"/>
        <v>0</v>
      </c>
      <c r="AR91" s="176">
        <f t="shared" si="149"/>
        <v>-10491.334000000001</v>
      </c>
      <c r="AS91" s="176">
        <f t="shared" si="127"/>
        <v>0</v>
      </c>
      <c r="AT91" s="176">
        <f t="shared" si="128"/>
        <v>0</v>
      </c>
      <c r="AU91" s="176">
        <f t="shared" si="129"/>
        <v>0</v>
      </c>
      <c r="AV91" s="176">
        <f t="shared" si="160"/>
        <v>0</v>
      </c>
      <c r="AW91" s="176">
        <f t="shared" si="161"/>
        <v>0</v>
      </c>
      <c r="AX91" s="176">
        <f t="shared" si="150"/>
        <v>-10491.334000000001</v>
      </c>
      <c r="AY91" s="176">
        <f t="shared" si="130"/>
        <v>0</v>
      </c>
      <c r="AZ91" s="176">
        <f t="shared" si="131"/>
        <v>0</v>
      </c>
      <c r="BA91" s="176">
        <f t="shared" si="132"/>
        <v>0</v>
      </c>
      <c r="BB91" s="176">
        <f t="shared" si="151"/>
        <v>1005.61</v>
      </c>
      <c r="BC91" s="176">
        <f t="shared" si="133"/>
        <v>-1005.61</v>
      </c>
      <c r="BD91" s="176">
        <f t="shared" si="134"/>
        <v>0</v>
      </c>
      <c r="BE91" s="176">
        <f t="shared" si="135"/>
        <v>0</v>
      </c>
      <c r="BF91" s="176">
        <f t="shared" si="136"/>
        <v>0</v>
      </c>
      <c r="BG91" s="161">
        <v>0.875</v>
      </c>
      <c r="BH91" s="330"/>
      <c r="BI91" s="330"/>
      <c r="BJ91" s="330"/>
      <c r="BK91" s="330"/>
      <c r="BL91" s="330"/>
      <c r="BM91" s="103"/>
      <c r="BN91" s="103"/>
      <c r="BO91" s="103"/>
      <c r="GR91" s="103"/>
      <c r="GS91" s="103"/>
      <c r="GT91" s="103"/>
      <c r="GU91" s="103"/>
      <c r="GV91" s="103"/>
    </row>
    <row r="92" spans="1:204" ht="10.050000000000001" hidden="1" customHeight="1" x14ac:dyDescent="0.25">
      <c r="A92" s="251">
        <v>0.88541666666666696</v>
      </c>
      <c r="B92" s="155">
        <f>'Warrant 2'!F99</f>
        <v>0</v>
      </c>
      <c r="C92" s="155">
        <f>IF(OR('Input &amp; Findings'!$G$28='Drop Down Lists'!$E$2,'Input &amp; Findings'!$G$28='Drop Down Lists'!$E$4),SUM('Data with RTF'!F89,'Data with RTF'!T89),SUM('Data with RTF'!M89,'Data with RTF'!AA89))</f>
        <v>0</v>
      </c>
      <c r="D92" s="176" t="str">
        <f t="shared" si="137"/>
        <v/>
      </c>
      <c r="E92" s="176" t="str">
        <f t="shared" si="138"/>
        <v/>
      </c>
      <c r="F92" s="176" t="str">
        <f t="shared" si="139"/>
        <v/>
      </c>
      <c r="G92" s="176" t="str">
        <f t="shared" si="140"/>
        <v/>
      </c>
      <c r="H92" s="176">
        <f t="shared" si="141"/>
        <v>760.62</v>
      </c>
      <c r="I92" s="176">
        <f t="shared" si="142"/>
        <v>-10760.62</v>
      </c>
      <c r="J92" s="176">
        <f t="shared" si="109"/>
        <v>0</v>
      </c>
      <c r="K92" s="176">
        <f t="shared" si="110"/>
        <v>0</v>
      </c>
      <c r="L92" s="176">
        <f t="shared" si="111"/>
        <v>0</v>
      </c>
      <c r="M92" s="176">
        <f t="shared" si="152"/>
        <v>0</v>
      </c>
      <c r="N92" s="176">
        <f t="shared" si="153"/>
        <v>0</v>
      </c>
      <c r="O92" s="176">
        <f t="shared" si="143"/>
        <v>-10760.62</v>
      </c>
      <c r="P92" s="176">
        <f t="shared" si="112"/>
        <v>0</v>
      </c>
      <c r="Q92" s="176">
        <f t="shared" si="113"/>
        <v>0</v>
      </c>
      <c r="R92" s="176">
        <f t="shared" si="114"/>
        <v>0</v>
      </c>
      <c r="S92" s="176">
        <f t="shared" si="162"/>
        <v>0</v>
      </c>
      <c r="T92" s="176">
        <f t="shared" si="156"/>
        <v>0</v>
      </c>
      <c r="U92" s="176">
        <f t="shared" si="144"/>
        <v>-10760.62</v>
      </c>
      <c r="V92" s="176">
        <f t="shared" si="115"/>
        <v>0</v>
      </c>
      <c r="W92" s="176">
        <f t="shared" si="116"/>
        <v>0</v>
      </c>
      <c r="X92" s="176">
        <f t="shared" si="117"/>
        <v>0</v>
      </c>
      <c r="Y92" s="176">
        <f t="shared" si="157"/>
        <v>0</v>
      </c>
      <c r="Z92" s="176">
        <f t="shared" si="158"/>
        <v>0</v>
      </c>
      <c r="AA92" s="176">
        <f t="shared" si="145"/>
        <v>-10760.62</v>
      </c>
      <c r="AB92" s="176">
        <f t="shared" si="118"/>
        <v>0</v>
      </c>
      <c r="AC92" s="176">
        <f t="shared" si="119"/>
        <v>0</v>
      </c>
      <c r="AD92" s="176">
        <f t="shared" si="120"/>
        <v>0</v>
      </c>
      <c r="AE92" s="176">
        <f t="shared" si="146"/>
        <v>491.334</v>
      </c>
      <c r="AF92" s="176">
        <f t="shared" si="147"/>
        <v>-10491.334000000001</v>
      </c>
      <c r="AG92" s="176">
        <f t="shared" si="121"/>
        <v>0</v>
      </c>
      <c r="AH92" s="176">
        <f t="shared" si="122"/>
        <v>0</v>
      </c>
      <c r="AI92" s="176">
        <f t="shared" si="123"/>
        <v>0</v>
      </c>
      <c r="AJ92" s="176">
        <f t="shared" si="154"/>
        <v>0</v>
      </c>
      <c r="AK92" s="176">
        <f t="shared" si="155"/>
        <v>0</v>
      </c>
      <c r="AL92" s="176">
        <f t="shared" si="148"/>
        <v>-10491.334000000001</v>
      </c>
      <c r="AM92" s="176">
        <f t="shared" si="124"/>
        <v>0</v>
      </c>
      <c r="AN92" s="176">
        <f t="shared" si="125"/>
        <v>0</v>
      </c>
      <c r="AO92" s="176">
        <f t="shared" si="126"/>
        <v>0</v>
      </c>
      <c r="AP92" s="176">
        <f t="shared" si="163"/>
        <v>0</v>
      </c>
      <c r="AQ92" s="176">
        <f t="shared" si="159"/>
        <v>0</v>
      </c>
      <c r="AR92" s="176">
        <f t="shared" si="149"/>
        <v>-10491.334000000001</v>
      </c>
      <c r="AS92" s="176">
        <f t="shared" si="127"/>
        <v>0</v>
      </c>
      <c r="AT92" s="176">
        <f t="shared" si="128"/>
        <v>0</v>
      </c>
      <c r="AU92" s="176">
        <f t="shared" si="129"/>
        <v>0</v>
      </c>
      <c r="AV92" s="176">
        <f t="shared" si="160"/>
        <v>0</v>
      </c>
      <c r="AW92" s="176">
        <f t="shared" si="161"/>
        <v>0</v>
      </c>
      <c r="AX92" s="176">
        <f t="shared" si="150"/>
        <v>-10491.334000000001</v>
      </c>
      <c r="AY92" s="176">
        <f t="shared" si="130"/>
        <v>0</v>
      </c>
      <c r="AZ92" s="176">
        <f t="shared" si="131"/>
        <v>0</v>
      </c>
      <c r="BA92" s="176">
        <f t="shared" si="132"/>
        <v>0</v>
      </c>
      <c r="BB92" s="176">
        <f t="shared" si="151"/>
        <v>1005.61</v>
      </c>
      <c r="BC92" s="176">
        <f t="shared" si="133"/>
        <v>-1005.61</v>
      </c>
      <c r="BD92" s="176">
        <f t="shared" si="134"/>
        <v>0</v>
      </c>
      <c r="BE92" s="176">
        <f t="shared" si="135"/>
        <v>0</v>
      </c>
      <c r="BF92" s="176">
        <f t="shared" si="136"/>
        <v>0</v>
      </c>
      <c r="BG92" s="161">
        <v>0.88541666666666696</v>
      </c>
      <c r="BH92" s="330"/>
      <c r="BI92" s="330"/>
      <c r="BJ92" s="330"/>
      <c r="BK92" s="330"/>
      <c r="BL92" s="330"/>
      <c r="BM92" s="103"/>
      <c r="BN92" s="103"/>
      <c r="BO92" s="103"/>
      <c r="GR92" s="103"/>
      <c r="GS92" s="103"/>
      <c r="GT92" s="103"/>
      <c r="GU92" s="103"/>
      <c r="GV92" s="103"/>
    </row>
    <row r="93" spans="1:204" ht="10.050000000000001" hidden="1" customHeight="1" x14ac:dyDescent="0.25">
      <c r="A93" s="251">
        <v>0.89583333333333304</v>
      </c>
      <c r="B93" s="155">
        <f>'Warrant 2'!F100</f>
        <v>0</v>
      </c>
      <c r="C93" s="155">
        <f>IF(OR('Input &amp; Findings'!$G$28='Drop Down Lists'!$E$2,'Input &amp; Findings'!$G$28='Drop Down Lists'!$E$4),SUM('Data with RTF'!F90,'Data with RTF'!T90),SUM('Data with RTF'!M90,'Data with RTF'!AA90))</f>
        <v>0</v>
      </c>
      <c r="D93" s="176" t="str">
        <f t="shared" si="137"/>
        <v/>
      </c>
      <c r="E93" s="176" t="str">
        <f t="shared" si="138"/>
        <v/>
      </c>
      <c r="F93" s="176" t="str">
        <f t="shared" si="139"/>
        <v/>
      </c>
      <c r="G93" s="176" t="str">
        <f t="shared" si="140"/>
        <v/>
      </c>
      <c r="H93" s="176">
        <f t="shared" si="141"/>
        <v>760.62</v>
      </c>
      <c r="I93" s="176">
        <f t="shared" si="142"/>
        <v>-10760.62</v>
      </c>
      <c r="J93" s="176">
        <f t="shared" si="109"/>
        <v>0</v>
      </c>
      <c r="K93" s="176">
        <f t="shared" si="110"/>
        <v>0</v>
      </c>
      <c r="L93" s="176">
        <f t="shared" si="111"/>
        <v>0</v>
      </c>
      <c r="M93" s="176">
        <f t="shared" si="152"/>
        <v>0</v>
      </c>
      <c r="N93" s="176">
        <f t="shared" si="153"/>
        <v>0</v>
      </c>
      <c r="O93" s="176">
        <f t="shared" si="143"/>
        <v>-10760.62</v>
      </c>
      <c r="P93" s="176">
        <f t="shared" si="112"/>
        <v>0</v>
      </c>
      <c r="Q93" s="176">
        <f t="shared" si="113"/>
        <v>0</v>
      </c>
      <c r="R93" s="176">
        <f t="shared" si="114"/>
        <v>0</v>
      </c>
      <c r="S93" s="176">
        <f t="shared" si="162"/>
        <v>0</v>
      </c>
      <c r="T93" s="176">
        <f t="shared" si="156"/>
        <v>0</v>
      </c>
      <c r="U93" s="176">
        <f t="shared" si="144"/>
        <v>-10760.62</v>
      </c>
      <c r="V93" s="176">
        <f t="shared" si="115"/>
        <v>0</v>
      </c>
      <c r="W93" s="176">
        <f t="shared" si="116"/>
        <v>0</v>
      </c>
      <c r="X93" s="176">
        <f t="shared" si="117"/>
        <v>0</v>
      </c>
      <c r="Y93" s="176">
        <f t="shared" si="157"/>
        <v>0</v>
      </c>
      <c r="Z93" s="176">
        <f t="shared" si="158"/>
        <v>0</v>
      </c>
      <c r="AA93" s="176">
        <f t="shared" si="145"/>
        <v>-10760.62</v>
      </c>
      <c r="AB93" s="176">
        <f t="shared" si="118"/>
        <v>0</v>
      </c>
      <c r="AC93" s="176">
        <f t="shared" si="119"/>
        <v>0</v>
      </c>
      <c r="AD93" s="176">
        <f t="shared" si="120"/>
        <v>0</v>
      </c>
      <c r="AE93" s="176">
        <f t="shared" si="146"/>
        <v>491.334</v>
      </c>
      <c r="AF93" s="176">
        <f t="shared" si="147"/>
        <v>-10491.334000000001</v>
      </c>
      <c r="AG93" s="176">
        <f t="shared" si="121"/>
        <v>0</v>
      </c>
      <c r="AH93" s="176">
        <f t="shared" si="122"/>
        <v>0</v>
      </c>
      <c r="AI93" s="176">
        <f t="shared" si="123"/>
        <v>0</v>
      </c>
      <c r="AJ93" s="176">
        <f t="shared" si="154"/>
        <v>0</v>
      </c>
      <c r="AK93" s="176">
        <f t="shared" si="155"/>
        <v>0</v>
      </c>
      <c r="AL93" s="176">
        <f t="shared" si="148"/>
        <v>-10491.334000000001</v>
      </c>
      <c r="AM93" s="176">
        <f t="shared" si="124"/>
        <v>0</v>
      </c>
      <c r="AN93" s="176">
        <f t="shared" si="125"/>
        <v>0</v>
      </c>
      <c r="AO93" s="176">
        <f t="shared" si="126"/>
        <v>0</v>
      </c>
      <c r="AP93" s="176">
        <f t="shared" si="163"/>
        <v>0</v>
      </c>
      <c r="AQ93" s="176">
        <f t="shared" si="159"/>
        <v>0</v>
      </c>
      <c r="AR93" s="176">
        <f t="shared" si="149"/>
        <v>-10491.334000000001</v>
      </c>
      <c r="AS93" s="176">
        <f t="shared" si="127"/>
        <v>0</v>
      </c>
      <c r="AT93" s="176">
        <f t="shared" si="128"/>
        <v>0</v>
      </c>
      <c r="AU93" s="176">
        <f t="shared" si="129"/>
        <v>0</v>
      </c>
      <c r="AV93" s="176">
        <f t="shared" si="160"/>
        <v>0</v>
      </c>
      <c r="AW93" s="176">
        <f t="shared" si="161"/>
        <v>0</v>
      </c>
      <c r="AX93" s="176">
        <f t="shared" si="150"/>
        <v>-10491.334000000001</v>
      </c>
      <c r="AY93" s="176">
        <f t="shared" si="130"/>
        <v>0</v>
      </c>
      <c r="AZ93" s="176">
        <f t="shared" si="131"/>
        <v>0</v>
      </c>
      <c r="BA93" s="176">
        <f t="shared" si="132"/>
        <v>0</v>
      </c>
      <c r="BB93" s="176">
        <f t="shared" si="151"/>
        <v>1005.61</v>
      </c>
      <c r="BC93" s="176">
        <f t="shared" si="133"/>
        <v>-1005.61</v>
      </c>
      <c r="BD93" s="176">
        <f t="shared" si="134"/>
        <v>0</v>
      </c>
      <c r="BE93" s="176">
        <f t="shared" si="135"/>
        <v>0</v>
      </c>
      <c r="BF93" s="176">
        <f t="shared" si="136"/>
        <v>0</v>
      </c>
      <c r="BG93" s="161">
        <v>0.89583333333333304</v>
      </c>
      <c r="BH93" s="330"/>
      <c r="BI93" s="330"/>
      <c r="BJ93" s="330"/>
      <c r="BK93" s="330"/>
      <c r="BL93" s="330"/>
      <c r="BM93" s="103"/>
      <c r="BN93" s="103"/>
      <c r="BO93" s="103"/>
      <c r="GR93" s="103"/>
      <c r="GS93" s="103"/>
      <c r="GT93" s="103"/>
      <c r="GU93" s="103"/>
      <c r="GV93" s="103"/>
    </row>
    <row r="94" spans="1:204" ht="10.050000000000001" hidden="1" customHeight="1" x14ac:dyDescent="0.25">
      <c r="A94" s="251">
        <v>0.90625</v>
      </c>
      <c r="B94" s="155">
        <f>'Warrant 2'!F101</f>
        <v>0</v>
      </c>
      <c r="C94" s="155">
        <f>IF(OR('Input &amp; Findings'!$G$28='Drop Down Lists'!$E$2,'Input &amp; Findings'!$G$28='Drop Down Lists'!$E$4),SUM('Data with RTF'!F91,'Data with RTF'!T91),SUM('Data with RTF'!M91,'Data with RTF'!AA91))</f>
        <v>0</v>
      </c>
      <c r="D94" s="176" t="str">
        <f t="shared" si="137"/>
        <v/>
      </c>
      <c r="E94" s="176" t="str">
        <f t="shared" si="138"/>
        <v/>
      </c>
      <c r="F94" s="176" t="str">
        <f t="shared" si="139"/>
        <v/>
      </c>
      <c r="G94" s="176" t="str">
        <f t="shared" si="140"/>
        <v/>
      </c>
      <c r="H94" s="176">
        <f t="shared" si="141"/>
        <v>760.62</v>
      </c>
      <c r="I94" s="176">
        <f t="shared" si="142"/>
        <v>-10760.62</v>
      </c>
      <c r="J94" s="176">
        <f t="shared" si="109"/>
        <v>0</v>
      </c>
      <c r="K94" s="176">
        <f t="shared" si="110"/>
        <v>0</v>
      </c>
      <c r="L94" s="176">
        <f t="shared" si="111"/>
        <v>0</v>
      </c>
      <c r="M94" s="176">
        <f t="shared" si="152"/>
        <v>0</v>
      </c>
      <c r="N94" s="176">
        <f t="shared" si="153"/>
        <v>0</v>
      </c>
      <c r="O94" s="176">
        <f t="shared" si="143"/>
        <v>-10760.62</v>
      </c>
      <c r="P94" s="176">
        <f t="shared" si="112"/>
        <v>0</v>
      </c>
      <c r="Q94" s="176">
        <f t="shared" si="113"/>
        <v>0</v>
      </c>
      <c r="R94" s="176">
        <f t="shared" si="114"/>
        <v>0</v>
      </c>
      <c r="S94" s="176">
        <f t="shared" si="162"/>
        <v>0</v>
      </c>
      <c r="T94" s="176">
        <f t="shared" si="156"/>
        <v>0</v>
      </c>
      <c r="U94" s="176">
        <f t="shared" si="144"/>
        <v>-10760.62</v>
      </c>
      <c r="V94" s="176">
        <f t="shared" si="115"/>
        <v>0</v>
      </c>
      <c r="W94" s="176">
        <f t="shared" si="116"/>
        <v>0</v>
      </c>
      <c r="X94" s="176">
        <f t="shared" si="117"/>
        <v>0</v>
      </c>
      <c r="Y94" s="176">
        <f t="shared" si="157"/>
        <v>0</v>
      </c>
      <c r="Z94" s="176">
        <f t="shared" si="158"/>
        <v>0</v>
      </c>
      <c r="AA94" s="176">
        <f t="shared" si="145"/>
        <v>-10760.62</v>
      </c>
      <c r="AB94" s="176">
        <f t="shared" si="118"/>
        <v>0</v>
      </c>
      <c r="AC94" s="176">
        <f t="shared" si="119"/>
        <v>0</v>
      </c>
      <c r="AD94" s="176">
        <f t="shared" si="120"/>
        <v>0</v>
      </c>
      <c r="AE94" s="176">
        <f t="shared" si="146"/>
        <v>491.334</v>
      </c>
      <c r="AF94" s="176">
        <f t="shared" si="147"/>
        <v>-10491.334000000001</v>
      </c>
      <c r="AG94" s="176">
        <f t="shared" si="121"/>
        <v>0</v>
      </c>
      <c r="AH94" s="176">
        <f t="shared" si="122"/>
        <v>0</v>
      </c>
      <c r="AI94" s="176">
        <f t="shared" si="123"/>
        <v>0</v>
      </c>
      <c r="AJ94" s="176">
        <f t="shared" si="154"/>
        <v>0</v>
      </c>
      <c r="AK94" s="176">
        <f t="shared" si="155"/>
        <v>0</v>
      </c>
      <c r="AL94" s="176">
        <f t="shared" si="148"/>
        <v>-10491.334000000001</v>
      </c>
      <c r="AM94" s="176">
        <f t="shared" si="124"/>
        <v>0</v>
      </c>
      <c r="AN94" s="176">
        <f t="shared" si="125"/>
        <v>0</v>
      </c>
      <c r="AO94" s="176">
        <f t="shared" si="126"/>
        <v>0</v>
      </c>
      <c r="AP94" s="176">
        <f t="shared" si="163"/>
        <v>0</v>
      </c>
      <c r="AQ94" s="176">
        <f t="shared" si="159"/>
        <v>0</v>
      </c>
      <c r="AR94" s="176">
        <f t="shared" si="149"/>
        <v>-10491.334000000001</v>
      </c>
      <c r="AS94" s="176">
        <f t="shared" si="127"/>
        <v>0</v>
      </c>
      <c r="AT94" s="176">
        <f t="shared" si="128"/>
        <v>0</v>
      </c>
      <c r="AU94" s="176">
        <f t="shared" si="129"/>
        <v>0</v>
      </c>
      <c r="AV94" s="176">
        <f t="shared" si="160"/>
        <v>0</v>
      </c>
      <c r="AW94" s="176">
        <f t="shared" si="161"/>
        <v>0</v>
      </c>
      <c r="AX94" s="176">
        <f t="shared" si="150"/>
        <v>-10491.334000000001</v>
      </c>
      <c r="AY94" s="176">
        <f t="shared" si="130"/>
        <v>0</v>
      </c>
      <c r="AZ94" s="176">
        <f t="shared" si="131"/>
        <v>0</v>
      </c>
      <c r="BA94" s="176">
        <f t="shared" si="132"/>
        <v>0</v>
      </c>
      <c r="BB94" s="176">
        <f t="shared" si="151"/>
        <v>1005.61</v>
      </c>
      <c r="BC94" s="176">
        <f t="shared" si="133"/>
        <v>-1005.61</v>
      </c>
      <c r="BD94" s="176">
        <f t="shared" si="134"/>
        <v>0</v>
      </c>
      <c r="BE94" s="176">
        <f t="shared" si="135"/>
        <v>0</v>
      </c>
      <c r="BF94" s="176">
        <f t="shared" si="136"/>
        <v>0</v>
      </c>
      <c r="BG94" s="161">
        <v>0.90625</v>
      </c>
      <c r="BH94" s="330"/>
      <c r="BI94" s="330"/>
      <c r="BJ94" s="330"/>
      <c r="BK94" s="330"/>
      <c r="BL94" s="330"/>
      <c r="BM94" s="103"/>
      <c r="BN94" s="103"/>
      <c r="BO94" s="103"/>
      <c r="GR94" s="103"/>
      <c r="GS94" s="103"/>
      <c r="GT94" s="103"/>
      <c r="GU94" s="103"/>
      <c r="GV94" s="103"/>
    </row>
    <row r="95" spans="1:204" ht="10.050000000000001" hidden="1" customHeight="1" x14ac:dyDescent="0.25">
      <c r="A95" s="161">
        <v>0.91666666666666696</v>
      </c>
      <c r="B95" s="155">
        <f>'Warrant 2'!F102</f>
        <v>0</v>
      </c>
      <c r="C95" s="155">
        <f>IF(OR('Input &amp; Findings'!$G$28='Drop Down Lists'!$E$2,'Input &amp; Findings'!$G$28='Drop Down Lists'!$E$4),SUM('Data with RTF'!F92,'Data with RTF'!T92),SUM('Data with RTF'!M92,'Data with RTF'!AA92))</f>
        <v>0</v>
      </c>
      <c r="D95" s="176" t="str">
        <f t="shared" si="137"/>
        <v/>
      </c>
      <c r="E95" s="176" t="str">
        <f t="shared" si="138"/>
        <v/>
      </c>
      <c r="F95" s="176" t="str">
        <f t="shared" si="139"/>
        <v/>
      </c>
      <c r="G95" s="176" t="str">
        <f t="shared" si="140"/>
        <v/>
      </c>
      <c r="H95" s="176">
        <f t="shared" si="141"/>
        <v>760.62</v>
      </c>
      <c r="I95" s="176">
        <f t="shared" si="142"/>
        <v>-10760.62</v>
      </c>
      <c r="J95" s="176">
        <f t="shared" si="109"/>
        <v>0</v>
      </c>
      <c r="K95" s="176">
        <f t="shared" si="110"/>
        <v>0</v>
      </c>
      <c r="L95" s="176">
        <f t="shared" si="111"/>
        <v>0</v>
      </c>
      <c r="M95" s="176">
        <f t="shared" si="152"/>
        <v>0</v>
      </c>
      <c r="N95" s="176">
        <f t="shared" si="153"/>
        <v>0</v>
      </c>
      <c r="O95" s="176">
        <f t="shared" si="143"/>
        <v>-10760.62</v>
      </c>
      <c r="P95" s="176">
        <f t="shared" si="112"/>
        <v>0</v>
      </c>
      <c r="Q95" s="176">
        <f t="shared" si="113"/>
        <v>0</v>
      </c>
      <c r="R95" s="176">
        <f t="shared" si="114"/>
        <v>0</v>
      </c>
      <c r="S95" s="176">
        <f t="shared" si="162"/>
        <v>0</v>
      </c>
      <c r="T95" s="176">
        <f t="shared" si="156"/>
        <v>0</v>
      </c>
      <c r="U95" s="176">
        <f t="shared" si="144"/>
        <v>-10760.62</v>
      </c>
      <c r="V95" s="176">
        <f t="shared" si="115"/>
        <v>0</v>
      </c>
      <c r="W95" s="176">
        <f t="shared" si="116"/>
        <v>0</v>
      </c>
      <c r="X95" s="176">
        <f t="shared" si="117"/>
        <v>0</v>
      </c>
      <c r="Y95" s="176">
        <f t="shared" si="157"/>
        <v>0</v>
      </c>
      <c r="Z95" s="176">
        <f t="shared" si="158"/>
        <v>0</v>
      </c>
      <c r="AA95" s="176">
        <f t="shared" si="145"/>
        <v>-10760.62</v>
      </c>
      <c r="AB95" s="176">
        <f t="shared" si="118"/>
        <v>0</v>
      </c>
      <c r="AC95" s="176">
        <f t="shared" si="119"/>
        <v>0</v>
      </c>
      <c r="AD95" s="176">
        <f t="shared" si="120"/>
        <v>0</v>
      </c>
      <c r="AE95" s="176">
        <f t="shared" si="146"/>
        <v>491.334</v>
      </c>
      <c r="AF95" s="176">
        <f t="shared" si="147"/>
        <v>-10491.334000000001</v>
      </c>
      <c r="AG95" s="176">
        <f t="shared" si="121"/>
        <v>0</v>
      </c>
      <c r="AH95" s="176">
        <f t="shared" si="122"/>
        <v>0</v>
      </c>
      <c r="AI95" s="176">
        <f t="shared" si="123"/>
        <v>0</v>
      </c>
      <c r="AJ95" s="176">
        <f t="shared" si="154"/>
        <v>0</v>
      </c>
      <c r="AK95" s="176">
        <f t="shared" si="155"/>
        <v>0</v>
      </c>
      <c r="AL95" s="176">
        <f t="shared" si="148"/>
        <v>-10491.334000000001</v>
      </c>
      <c r="AM95" s="176">
        <f t="shared" si="124"/>
        <v>0</v>
      </c>
      <c r="AN95" s="176">
        <f t="shared" si="125"/>
        <v>0</v>
      </c>
      <c r="AO95" s="176">
        <f t="shared" si="126"/>
        <v>0</v>
      </c>
      <c r="AP95" s="176">
        <f t="shared" si="163"/>
        <v>0</v>
      </c>
      <c r="AQ95" s="176">
        <f t="shared" si="159"/>
        <v>0</v>
      </c>
      <c r="AR95" s="176">
        <f t="shared" si="149"/>
        <v>-10491.334000000001</v>
      </c>
      <c r="AS95" s="176">
        <f t="shared" si="127"/>
        <v>0</v>
      </c>
      <c r="AT95" s="176">
        <f t="shared" si="128"/>
        <v>0</v>
      </c>
      <c r="AU95" s="176">
        <f t="shared" si="129"/>
        <v>0</v>
      </c>
      <c r="AV95" s="176">
        <f t="shared" si="160"/>
        <v>0</v>
      </c>
      <c r="AW95" s="176">
        <f t="shared" si="161"/>
        <v>0</v>
      </c>
      <c r="AX95" s="176">
        <f t="shared" si="150"/>
        <v>-10491.334000000001</v>
      </c>
      <c r="AY95" s="176">
        <f t="shared" si="130"/>
        <v>0</v>
      </c>
      <c r="AZ95" s="176">
        <f t="shared" si="131"/>
        <v>0</v>
      </c>
      <c r="BA95" s="176">
        <f t="shared" si="132"/>
        <v>0</v>
      </c>
      <c r="BB95" s="176">
        <f t="shared" si="151"/>
        <v>1005.61</v>
      </c>
      <c r="BC95" s="176">
        <f t="shared" si="133"/>
        <v>-1005.61</v>
      </c>
      <c r="BD95" s="176">
        <f t="shared" si="134"/>
        <v>0</v>
      </c>
      <c r="BE95" s="176">
        <f t="shared" si="135"/>
        <v>0</v>
      </c>
      <c r="BF95" s="176">
        <f t="shared" si="136"/>
        <v>0</v>
      </c>
      <c r="BG95" s="161">
        <v>0.91666666666666696</v>
      </c>
      <c r="BH95" s="330"/>
      <c r="BI95" s="330"/>
      <c r="BJ95" s="330"/>
      <c r="BK95" s="330"/>
      <c r="BL95" s="330"/>
      <c r="BM95" s="103"/>
      <c r="BN95" s="103"/>
      <c r="BO95" s="103"/>
      <c r="GR95" s="103"/>
      <c r="GS95" s="103"/>
      <c r="GT95" s="103"/>
      <c r="GU95" s="103"/>
      <c r="GV95" s="103"/>
    </row>
    <row r="96" spans="1:204" ht="10.050000000000001" hidden="1" customHeight="1" x14ac:dyDescent="0.25">
      <c r="A96" s="161">
        <v>0.92708333333333304</v>
      </c>
      <c r="B96" s="155">
        <f>'Warrant 2'!F103</f>
        <v>0</v>
      </c>
      <c r="C96" s="155">
        <f>IF(OR('Input &amp; Findings'!$G$28='Drop Down Lists'!$E$2,'Input &amp; Findings'!$G$28='Drop Down Lists'!$E$4),SUM('Data with RTF'!F93,'Data with RTF'!T93),SUM('Data with RTF'!M93,'Data with RTF'!AA93))</f>
        <v>0</v>
      </c>
      <c r="D96" s="176" t="str">
        <f t="shared" si="137"/>
        <v/>
      </c>
      <c r="E96" s="176" t="str">
        <f t="shared" si="138"/>
        <v/>
      </c>
      <c r="F96" s="176" t="str">
        <f t="shared" si="139"/>
        <v/>
      </c>
      <c r="G96" s="176" t="str">
        <f t="shared" si="140"/>
        <v/>
      </c>
      <c r="H96" s="176">
        <f t="shared" si="141"/>
        <v>760.62</v>
      </c>
      <c r="I96" s="176">
        <f t="shared" si="142"/>
        <v>-10760.62</v>
      </c>
      <c r="J96" s="176">
        <f t="shared" si="109"/>
        <v>0</v>
      </c>
      <c r="K96" s="176">
        <f t="shared" si="110"/>
        <v>0</v>
      </c>
      <c r="L96" s="176">
        <f t="shared" si="111"/>
        <v>0</v>
      </c>
      <c r="M96" s="176">
        <f t="shared" si="152"/>
        <v>0</v>
      </c>
      <c r="N96" s="176">
        <f t="shared" si="153"/>
        <v>0</v>
      </c>
      <c r="O96" s="176">
        <f t="shared" si="143"/>
        <v>-10760.62</v>
      </c>
      <c r="P96" s="176">
        <f t="shared" si="112"/>
        <v>0</v>
      </c>
      <c r="Q96" s="176">
        <f t="shared" si="113"/>
        <v>0</v>
      </c>
      <c r="R96" s="176">
        <f t="shared" si="114"/>
        <v>0</v>
      </c>
      <c r="S96" s="176">
        <f t="shared" si="162"/>
        <v>0</v>
      </c>
      <c r="T96" s="176">
        <f t="shared" si="156"/>
        <v>0</v>
      </c>
      <c r="U96" s="176">
        <f t="shared" si="144"/>
        <v>-10760.62</v>
      </c>
      <c r="V96" s="176">
        <f t="shared" si="115"/>
        <v>0</v>
      </c>
      <c r="W96" s="176">
        <f t="shared" si="116"/>
        <v>0</v>
      </c>
      <c r="X96" s="176">
        <f t="shared" si="117"/>
        <v>0</v>
      </c>
      <c r="Y96" s="176">
        <f t="shared" si="157"/>
        <v>0</v>
      </c>
      <c r="Z96" s="176">
        <f t="shared" si="158"/>
        <v>0</v>
      </c>
      <c r="AA96" s="176">
        <f t="shared" si="145"/>
        <v>-10760.62</v>
      </c>
      <c r="AB96" s="176">
        <f t="shared" si="118"/>
        <v>0</v>
      </c>
      <c r="AC96" s="176">
        <f t="shared" si="119"/>
        <v>0</v>
      </c>
      <c r="AD96" s="176">
        <f t="shared" si="120"/>
        <v>0</v>
      </c>
      <c r="AE96" s="176">
        <f t="shared" si="146"/>
        <v>491.334</v>
      </c>
      <c r="AF96" s="176">
        <f t="shared" si="147"/>
        <v>-10491.334000000001</v>
      </c>
      <c r="AG96" s="176">
        <f t="shared" si="121"/>
        <v>0</v>
      </c>
      <c r="AH96" s="176">
        <f t="shared" si="122"/>
        <v>0</v>
      </c>
      <c r="AI96" s="176">
        <f t="shared" si="123"/>
        <v>0</v>
      </c>
      <c r="AJ96" s="176">
        <f t="shared" si="154"/>
        <v>0</v>
      </c>
      <c r="AK96" s="176">
        <f t="shared" si="155"/>
        <v>0</v>
      </c>
      <c r="AL96" s="176">
        <f t="shared" si="148"/>
        <v>-10491.334000000001</v>
      </c>
      <c r="AM96" s="176">
        <f t="shared" si="124"/>
        <v>0</v>
      </c>
      <c r="AN96" s="176">
        <f t="shared" si="125"/>
        <v>0</v>
      </c>
      <c r="AO96" s="176">
        <f t="shared" si="126"/>
        <v>0</v>
      </c>
      <c r="AP96" s="176">
        <f t="shared" si="163"/>
        <v>0</v>
      </c>
      <c r="AQ96" s="176">
        <f t="shared" si="159"/>
        <v>0</v>
      </c>
      <c r="AR96" s="176">
        <f t="shared" si="149"/>
        <v>-10491.334000000001</v>
      </c>
      <c r="AS96" s="176">
        <f t="shared" si="127"/>
        <v>0</v>
      </c>
      <c r="AT96" s="176">
        <f t="shared" si="128"/>
        <v>0</v>
      </c>
      <c r="AU96" s="176">
        <f t="shared" si="129"/>
        <v>0</v>
      </c>
      <c r="AV96" s="176">
        <f t="shared" si="160"/>
        <v>0</v>
      </c>
      <c r="AW96" s="176">
        <f t="shared" si="161"/>
        <v>0</v>
      </c>
      <c r="AX96" s="176">
        <f t="shared" si="150"/>
        <v>-10491.334000000001</v>
      </c>
      <c r="AY96" s="176">
        <f t="shared" si="130"/>
        <v>0</v>
      </c>
      <c r="AZ96" s="176">
        <f t="shared" si="131"/>
        <v>0</v>
      </c>
      <c r="BA96" s="176">
        <f t="shared" si="132"/>
        <v>0</v>
      </c>
      <c r="BB96" s="176">
        <f t="shared" si="151"/>
        <v>1005.61</v>
      </c>
      <c r="BC96" s="176">
        <f t="shared" si="133"/>
        <v>-1005.61</v>
      </c>
      <c r="BD96" s="176">
        <f t="shared" si="134"/>
        <v>0</v>
      </c>
      <c r="BE96" s="176">
        <f t="shared" si="135"/>
        <v>0</v>
      </c>
      <c r="BF96" s="176">
        <f t="shared" si="136"/>
        <v>0</v>
      </c>
      <c r="BG96" s="161">
        <v>0.92708333333333304</v>
      </c>
      <c r="BH96" s="330"/>
      <c r="BI96" s="330"/>
      <c r="BJ96" s="330"/>
      <c r="BK96" s="330"/>
      <c r="BL96" s="330"/>
      <c r="BM96" s="103"/>
      <c r="BN96" s="103"/>
      <c r="BO96" s="103"/>
      <c r="GR96" s="103"/>
      <c r="GS96" s="103"/>
      <c r="GT96" s="103"/>
      <c r="GU96" s="103"/>
      <c r="GV96" s="103"/>
    </row>
    <row r="97" spans="1:204" ht="10.050000000000001" hidden="1" customHeight="1" x14ac:dyDescent="0.25">
      <c r="A97" s="161">
        <v>0.9375</v>
      </c>
      <c r="B97" s="155">
        <f>'Warrant 2'!F104</f>
        <v>0</v>
      </c>
      <c r="C97" s="155">
        <f>IF(OR('Input &amp; Findings'!$G$28='Drop Down Lists'!$E$2,'Input &amp; Findings'!$G$28='Drop Down Lists'!$E$4),SUM('Data with RTF'!F94,'Data with RTF'!T94),SUM('Data with RTF'!M94,'Data with RTF'!AA94))</f>
        <v>0</v>
      </c>
      <c r="D97" s="176" t="str">
        <f t="shared" si="137"/>
        <v/>
      </c>
      <c r="E97" s="176" t="str">
        <f t="shared" si="138"/>
        <v/>
      </c>
      <c r="F97" s="176" t="str">
        <f t="shared" si="139"/>
        <v/>
      </c>
      <c r="G97" s="176" t="str">
        <f t="shared" si="140"/>
        <v/>
      </c>
      <c r="H97" s="176">
        <f t="shared" si="141"/>
        <v>760.62</v>
      </c>
      <c r="I97" s="176">
        <f t="shared" si="142"/>
        <v>-10760.62</v>
      </c>
      <c r="J97" s="176">
        <f t="shared" si="109"/>
        <v>0</v>
      </c>
      <c r="K97" s="176">
        <f t="shared" si="110"/>
        <v>0</v>
      </c>
      <c r="L97" s="176">
        <f t="shared" si="111"/>
        <v>0</v>
      </c>
      <c r="M97" s="176">
        <f t="shared" si="152"/>
        <v>0</v>
      </c>
      <c r="N97" s="176">
        <f t="shared" si="153"/>
        <v>0</v>
      </c>
      <c r="O97" s="176">
        <f t="shared" si="143"/>
        <v>-10760.62</v>
      </c>
      <c r="P97" s="176">
        <f t="shared" si="112"/>
        <v>0</v>
      </c>
      <c r="Q97" s="176">
        <f t="shared" si="113"/>
        <v>0</v>
      </c>
      <c r="R97" s="176">
        <f t="shared" si="114"/>
        <v>0</v>
      </c>
      <c r="S97" s="176">
        <f t="shared" si="162"/>
        <v>0</v>
      </c>
      <c r="T97" s="176">
        <f t="shared" si="156"/>
        <v>0</v>
      </c>
      <c r="U97" s="176">
        <f t="shared" si="144"/>
        <v>-10760.62</v>
      </c>
      <c r="V97" s="176">
        <f t="shared" si="115"/>
        <v>0</v>
      </c>
      <c r="W97" s="176">
        <f t="shared" si="116"/>
        <v>0</v>
      </c>
      <c r="X97" s="176">
        <f t="shared" si="117"/>
        <v>0</v>
      </c>
      <c r="Y97" s="176">
        <f t="shared" si="157"/>
        <v>0</v>
      </c>
      <c r="Z97" s="176">
        <f t="shared" si="158"/>
        <v>0</v>
      </c>
      <c r="AA97" s="176">
        <f t="shared" si="145"/>
        <v>-10760.62</v>
      </c>
      <c r="AB97" s="176">
        <f t="shared" si="118"/>
        <v>0</v>
      </c>
      <c r="AC97" s="176">
        <f t="shared" si="119"/>
        <v>0</v>
      </c>
      <c r="AD97" s="176">
        <f t="shared" si="120"/>
        <v>0</v>
      </c>
      <c r="AE97" s="176">
        <f t="shared" si="146"/>
        <v>491.334</v>
      </c>
      <c r="AF97" s="176">
        <f t="shared" si="147"/>
        <v>-10491.334000000001</v>
      </c>
      <c r="AG97" s="176">
        <f t="shared" si="121"/>
        <v>0</v>
      </c>
      <c r="AH97" s="176">
        <f t="shared" si="122"/>
        <v>0</v>
      </c>
      <c r="AI97" s="176">
        <f t="shared" si="123"/>
        <v>0</v>
      </c>
      <c r="AJ97" s="176">
        <f t="shared" si="154"/>
        <v>0</v>
      </c>
      <c r="AK97" s="176">
        <f t="shared" si="155"/>
        <v>0</v>
      </c>
      <c r="AL97" s="176">
        <f t="shared" si="148"/>
        <v>-10491.334000000001</v>
      </c>
      <c r="AM97" s="176">
        <f t="shared" si="124"/>
        <v>0</v>
      </c>
      <c r="AN97" s="176">
        <f t="shared" si="125"/>
        <v>0</v>
      </c>
      <c r="AO97" s="176">
        <f t="shared" si="126"/>
        <v>0</v>
      </c>
      <c r="AP97" s="176">
        <f t="shared" si="163"/>
        <v>0</v>
      </c>
      <c r="AQ97" s="176">
        <f t="shared" si="159"/>
        <v>0</v>
      </c>
      <c r="AR97" s="176">
        <f t="shared" si="149"/>
        <v>-10491.334000000001</v>
      </c>
      <c r="AS97" s="176">
        <f t="shared" si="127"/>
        <v>0</v>
      </c>
      <c r="AT97" s="176">
        <f t="shared" si="128"/>
        <v>0</v>
      </c>
      <c r="AU97" s="176">
        <f t="shared" si="129"/>
        <v>0</v>
      </c>
      <c r="AV97" s="176">
        <f t="shared" si="160"/>
        <v>0</v>
      </c>
      <c r="AW97" s="176">
        <f t="shared" si="161"/>
        <v>0</v>
      </c>
      <c r="AX97" s="176">
        <f t="shared" si="150"/>
        <v>-10491.334000000001</v>
      </c>
      <c r="AY97" s="176">
        <f t="shared" si="130"/>
        <v>0</v>
      </c>
      <c r="AZ97" s="176">
        <f t="shared" si="131"/>
        <v>0</v>
      </c>
      <c r="BA97" s="176">
        <f t="shared" si="132"/>
        <v>0</v>
      </c>
      <c r="BB97" s="176">
        <f t="shared" si="151"/>
        <v>1005.61</v>
      </c>
      <c r="BC97" s="176">
        <f t="shared" si="133"/>
        <v>-1005.61</v>
      </c>
      <c r="BD97" s="176">
        <f t="shared" si="134"/>
        <v>0</v>
      </c>
      <c r="BE97" s="176">
        <f t="shared" si="135"/>
        <v>0</v>
      </c>
      <c r="BF97" s="176">
        <f t="shared" si="136"/>
        <v>0</v>
      </c>
      <c r="BG97" s="161">
        <v>0.9375</v>
      </c>
      <c r="BH97" s="330"/>
      <c r="BI97" s="330"/>
      <c r="BJ97" s="330"/>
      <c r="BK97" s="330"/>
      <c r="BL97" s="330"/>
      <c r="BM97" s="298"/>
      <c r="BN97" s="103"/>
      <c r="BO97" s="103"/>
      <c r="GR97" s="103"/>
      <c r="GS97" s="103"/>
      <c r="GT97" s="103"/>
      <c r="GU97" s="103"/>
      <c r="GV97" s="103"/>
    </row>
    <row r="98" spans="1:204" ht="10.050000000000001" hidden="1" customHeight="1" x14ac:dyDescent="0.25">
      <c r="A98" s="161">
        <v>0.94791666666666696</v>
      </c>
      <c r="B98" s="155">
        <f>'Warrant 2'!F105</f>
        <v>0</v>
      </c>
      <c r="C98" s="155">
        <f>IF(OR('Input &amp; Findings'!$G$28='Drop Down Lists'!$E$2,'Input &amp; Findings'!$G$28='Drop Down Lists'!$E$4),SUM('Data with RTF'!F95,'Data with RTF'!T95),SUM('Data with RTF'!M95,'Data with RTF'!AA95))</f>
        <v>0</v>
      </c>
      <c r="D98" s="176" t="str">
        <f t="shared" si="137"/>
        <v/>
      </c>
      <c r="E98" s="176" t="str">
        <f t="shared" si="138"/>
        <v/>
      </c>
      <c r="F98" s="176" t="str">
        <f t="shared" si="139"/>
        <v/>
      </c>
      <c r="G98" s="176" t="str">
        <f t="shared" si="140"/>
        <v/>
      </c>
      <c r="H98" s="176">
        <f t="shared" si="141"/>
        <v>760.62</v>
      </c>
      <c r="I98" s="176">
        <f t="shared" si="142"/>
        <v>-10760.62</v>
      </c>
      <c r="J98" s="176">
        <f t="shared" si="109"/>
        <v>0</v>
      </c>
      <c r="K98" s="176">
        <f t="shared" si="110"/>
        <v>0</v>
      </c>
      <c r="L98" s="176">
        <f t="shared" si="111"/>
        <v>0</v>
      </c>
      <c r="M98" s="176">
        <f t="shared" si="152"/>
        <v>0</v>
      </c>
      <c r="N98" s="176">
        <f t="shared" si="153"/>
        <v>0</v>
      </c>
      <c r="O98" s="176">
        <f t="shared" si="143"/>
        <v>-10760.62</v>
      </c>
      <c r="P98" s="176">
        <f t="shared" si="112"/>
        <v>0</v>
      </c>
      <c r="Q98" s="176">
        <f t="shared" si="113"/>
        <v>0</v>
      </c>
      <c r="R98" s="176">
        <f t="shared" si="114"/>
        <v>0</v>
      </c>
      <c r="S98" s="176">
        <f t="shared" si="162"/>
        <v>0</v>
      </c>
      <c r="T98" s="176">
        <f t="shared" si="156"/>
        <v>0</v>
      </c>
      <c r="U98" s="176">
        <f t="shared" si="144"/>
        <v>-10760.62</v>
      </c>
      <c r="V98" s="176">
        <f t="shared" si="115"/>
        <v>0</v>
      </c>
      <c r="W98" s="176">
        <f t="shared" si="116"/>
        <v>0</v>
      </c>
      <c r="X98" s="176">
        <f t="shared" si="117"/>
        <v>0</v>
      </c>
      <c r="Y98" s="176">
        <f t="shared" si="157"/>
        <v>0</v>
      </c>
      <c r="Z98" s="176">
        <f t="shared" si="158"/>
        <v>0</v>
      </c>
      <c r="AA98" s="176">
        <f t="shared" si="145"/>
        <v>-10760.62</v>
      </c>
      <c r="AB98" s="176">
        <f t="shared" si="118"/>
        <v>0</v>
      </c>
      <c r="AC98" s="176">
        <f t="shared" si="119"/>
        <v>0</v>
      </c>
      <c r="AD98" s="176">
        <f t="shared" si="120"/>
        <v>0</v>
      </c>
      <c r="AE98" s="176">
        <f t="shared" si="146"/>
        <v>491.334</v>
      </c>
      <c r="AF98" s="176">
        <f t="shared" si="147"/>
        <v>-10491.334000000001</v>
      </c>
      <c r="AG98" s="176">
        <f t="shared" si="121"/>
        <v>0</v>
      </c>
      <c r="AH98" s="176">
        <f t="shared" si="122"/>
        <v>0</v>
      </c>
      <c r="AI98" s="176">
        <f t="shared" si="123"/>
        <v>0</v>
      </c>
      <c r="AJ98" s="176">
        <f t="shared" si="154"/>
        <v>0</v>
      </c>
      <c r="AK98" s="176">
        <f t="shared" si="155"/>
        <v>0</v>
      </c>
      <c r="AL98" s="176">
        <f t="shared" si="148"/>
        <v>-10491.334000000001</v>
      </c>
      <c r="AM98" s="176">
        <f t="shared" si="124"/>
        <v>0</v>
      </c>
      <c r="AN98" s="176">
        <f t="shared" si="125"/>
        <v>0</v>
      </c>
      <c r="AO98" s="176">
        <f t="shared" si="126"/>
        <v>0</v>
      </c>
      <c r="AP98" s="176">
        <f t="shared" si="163"/>
        <v>0</v>
      </c>
      <c r="AQ98" s="176">
        <f t="shared" si="159"/>
        <v>0</v>
      </c>
      <c r="AR98" s="176">
        <f t="shared" si="149"/>
        <v>-10491.334000000001</v>
      </c>
      <c r="AS98" s="176">
        <f t="shared" si="127"/>
        <v>0</v>
      </c>
      <c r="AT98" s="176">
        <f t="shared" si="128"/>
        <v>0</v>
      </c>
      <c r="AU98" s="176">
        <f t="shared" si="129"/>
        <v>0</v>
      </c>
      <c r="AV98" s="176">
        <f t="shared" si="160"/>
        <v>0</v>
      </c>
      <c r="AW98" s="176">
        <f t="shared" si="161"/>
        <v>0</v>
      </c>
      <c r="AX98" s="176">
        <f t="shared" si="150"/>
        <v>-10491.334000000001</v>
      </c>
      <c r="AY98" s="176">
        <f t="shared" si="130"/>
        <v>0</v>
      </c>
      <c r="AZ98" s="176">
        <f t="shared" si="131"/>
        <v>0</v>
      </c>
      <c r="BA98" s="176">
        <f t="shared" si="132"/>
        <v>0</v>
      </c>
      <c r="BB98" s="176">
        <f t="shared" si="151"/>
        <v>1005.61</v>
      </c>
      <c r="BC98" s="176">
        <f t="shared" si="133"/>
        <v>-1005.61</v>
      </c>
      <c r="BD98" s="176">
        <f t="shared" si="134"/>
        <v>0</v>
      </c>
      <c r="BE98" s="176">
        <f t="shared" si="135"/>
        <v>0</v>
      </c>
      <c r="BF98" s="176">
        <f t="shared" si="136"/>
        <v>0</v>
      </c>
      <c r="BG98" s="161">
        <v>0.94791666666666696</v>
      </c>
      <c r="BH98" s="330"/>
      <c r="BI98" s="330"/>
      <c r="BJ98" s="330"/>
      <c r="BK98" s="330"/>
      <c r="BL98" s="330"/>
      <c r="BM98" s="302"/>
      <c r="BN98" s="103"/>
      <c r="BO98" s="103"/>
      <c r="GR98" s="103"/>
      <c r="GS98" s="103"/>
      <c r="GT98" s="103"/>
      <c r="GU98" s="103"/>
      <c r="GV98" s="103"/>
    </row>
    <row r="99" spans="1:204" ht="10.050000000000001" hidden="1" customHeight="1" x14ac:dyDescent="0.25">
      <c r="A99" s="161">
        <v>0.95833333333333304</v>
      </c>
      <c r="B99" s="155">
        <f>'Warrant 2'!F106</f>
        <v>0</v>
      </c>
      <c r="C99" s="155">
        <f>IF(OR('Input &amp; Findings'!$G$28='Drop Down Lists'!$E$2,'Input &amp; Findings'!$G$28='Drop Down Lists'!$E$4),SUM('Data with RTF'!F96,'Data with RTF'!T96),SUM('Data with RTF'!M96,'Data with RTF'!AA96))</f>
        <v>0</v>
      </c>
      <c r="D99" s="176" t="str">
        <f t="shared" si="137"/>
        <v/>
      </c>
      <c r="E99" s="176" t="str">
        <f t="shared" si="138"/>
        <v/>
      </c>
      <c r="F99" s="176" t="str">
        <f t="shared" si="139"/>
        <v/>
      </c>
      <c r="G99" s="176" t="str">
        <f t="shared" si="140"/>
        <v/>
      </c>
      <c r="H99" s="176">
        <f t="shared" si="141"/>
        <v>760.62</v>
      </c>
      <c r="I99" s="176">
        <f t="shared" si="142"/>
        <v>-10760.62</v>
      </c>
      <c r="J99" s="176">
        <f t="shared" si="109"/>
        <v>0</v>
      </c>
      <c r="K99" s="176">
        <f t="shared" si="110"/>
        <v>0</v>
      </c>
      <c r="L99" s="176">
        <f t="shared" si="111"/>
        <v>0</v>
      </c>
      <c r="M99" s="176">
        <f t="shared" si="152"/>
        <v>0</v>
      </c>
      <c r="N99" s="176">
        <f t="shared" si="153"/>
        <v>0</v>
      </c>
      <c r="O99" s="176">
        <f t="shared" si="143"/>
        <v>-10760.62</v>
      </c>
      <c r="P99" s="176">
        <f t="shared" si="112"/>
        <v>0</v>
      </c>
      <c r="Q99" s="176">
        <f t="shared" si="113"/>
        <v>0</v>
      </c>
      <c r="R99" s="176">
        <f t="shared" si="114"/>
        <v>0</v>
      </c>
      <c r="S99" s="176">
        <f t="shared" si="162"/>
        <v>0</v>
      </c>
      <c r="T99" s="176">
        <f t="shared" si="156"/>
        <v>0</v>
      </c>
      <c r="U99" s="176">
        <f t="shared" si="144"/>
        <v>-10760.62</v>
      </c>
      <c r="V99" s="176">
        <f t="shared" si="115"/>
        <v>0</v>
      </c>
      <c r="W99" s="176">
        <f t="shared" si="116"/>
        <v>0</v>
      </c>
      <c r="X99" s="176">
        <f t="shared" si="117"/>
        <v>0</v>
      </c>
      <c r="Y99" s="176">
        <f t="shared" si="157"/>
        <v>0</v>
      </c>
      <c r="Z99" s="176">
        <f t="shared" si="158"/>
        <v>0</v>
      </c>
      <c r="AA99" s="176">
        <f t="shared" si="145"/>
        <v>-10760.62</v>
      </c>
      <c r="AB99" s="176">
        <f t="shared" si="118"/>
        <v>0</v>
      </c>
      <c r="AC99" s="176">
        <f t="shared" si="119"/>
        <v>0</v>
      </c>
      <c r="AD99" s="176">
        <f t="shared" si="120"/>
        <v>0</v>
      </c>
      <c r="AE99" s="176">
        <f t="shared" si="146"/>
        <v>491.334</v>
      </c>
      <c r="AF99" s="176">
        <f t="shared" si="147"/>
        <v>-10491.334000000001</v>
      </c>
      <c r="AG99" s="176">
        <f t="shared" si="121"/>
        <v>0</v>
      </c>
      <c r="AH99" s="176">
        <f t="shared" si="122"/>
        <v>0</v>
      </c>
      <c r="AI99" s="176">
        <f t="shared" si="123"/>
        <v>0</v>
      </c>
      <c r="AJ99" s="176">
        <f t="shared" si="154"/>
        <v>0</v>
      </c>
      <c r="AK99" s="176">
        <f t="shared" si="155"/>
        <v>0</v>
      </c>
      <c r="AL99" s="176">
        <f t="shared" si="148"/>
        <v>-10491.334000000001</v>
      </c>
      <c r="AM99" s="176">
        <f t="shared" si="124"/>
        <v>0</v>
      </c>
      <c r="AN99" s="176">
        <f t="shared" si="125"/>
        <v>0</v>
      </c>
      <c r="AO99" s="176">
        <f t="shared" si="126"/>
        <v>0</v>
      </c>
      <c r="AP99" s="176">
        <f t="shared" si="163"/>
        <v>0</v>
      </c>
      <c r="AQ99" s="176">
        <f t="shared" si="159"/>
        <v>0</v>
      </c>
      <c r="AR99" s="176">
        <f t="shared" si="149"/>
        <v>-10491.334000000001</v>
      </c>
      <c r="AS99" s="176">
        <f t="shared" si="127"/>
        <v>0</v>
      </c>
      <c r="AT99" s="176">
        <f t="shared" si="128"/>
        <v>0</v>
      </c>
      <c r="AU99" s="176">
        <f t="shared" si="129"/>
        <v>0</v>
      </c>
      <c r="AV99" s="176">
        <f t="shared" si="160"/>
        <v>0</v>
      </c>
      <c r="AW99" s="176">
        <f t="shared" si="161"/>
        <v>0</v>
      </c>
      <c r="AX99" s="176">
        <f t="shared" si="150"/>
        <v>-10491.334000000001</v>
      </c>
      <c r="AY99" s="176">
        <f t="shared" si="130"/>
        <v>0</v>
      </c>
      <c r="AZ99" s="176">
        <f t="shared" si="131"/>
        <v>0</v>
      </c>
      <c r="BA99" s="176">
        <f t="shared" si="132"/>
        <v>0</v>
      </c>
      <c r="BB99" s="176">
        <f t="shared" si="151"/>
        <v>1005.61</v>
      </c>
      <c r="BC99" s="176">
        <f t="shared" si="133"/>
        <v>-1005.61</v>
      </c>
      <c r="BD99" s="176">
        <f t="shared" si="134"/>
        <v>0</v>
      </c>
      <c r="BE99" s="176">
        <f t="shared" si="135"/>
        <v>0</v>
      </c>
      <c r="BF99" s="176">
        <f t="shared" si="136"/>
        <v>0</v>
      </c>
      <c r="BG99" s="161">
        <v>0.95833333333333304</v>
      </c>
      <c r="BH99" s="330"/>
      <c r="BI99" s="330"/>
      <c r="BJ99" s="330"/>
      <c r="BK99" s="330"/>
      <c r="BL99" s="330"/>
      <c r="BM99" s="302"/>
      <c r="BN99" s="103"/>
      <c r="BO99" s="103"/>
      <c r="GR99" s="103"/>
      <c r="GS99" s="103"/>
      <c r="GT99" s="103"/>
      <c r="GU99" s="103"/>
      <c r="GV99" s="103"/>
    </row>
    <row r="100" spans="1:204" ht="10.050000000000001" hidden="1" customHeight="1" x14ac:dyDescent="0.25">
      <c r="A100" s="161">
        <v>0.96875</v>
      </c>
      <c r="B100" s="155">
        <f>'Warrant 2'!F107</f>
        <v>0</v>
      </c>
      <c r="C100" s="155">
        <f>IF(OR('Input &amp; Findings'!$G$28='Drop Down Lists'!$E$2,'Input &amp; Findings'!$G$28='Drop Down Lists'!$E$4),SUM('Data with RTF'!F97,'Data with RTF'!T97),SUM('Data with RTF'!M97,'Data with RTF'!AA97))</f>
        <v>0</v>
      </c>
      <c r="D100" s="176" t="str">
        <f t="shared" si="137"/>
        <v/>
      </c>
      <c r="E100" s="176" t="str">
        <f t="shared" si="138"/>
        <v/>
      </c>
      <c r="F100" s="176" t="str">
        <f t="shared" si="139"/>
        <v/>
      </c>
      <c r="G100" s="176" t="str">
        <f t="shared" si="140"/>
        <v/>
      </c>
      <c r="H100" s="176">
        <f t="shared" si="141"/>
        <v>760.62</v>
      </c>
      <c r="I100" s="176">
        <f t="shared" si="142"/>
        <v>-10760.62</v>
      </c>
      <c r="J100" s="176">
        <f t="shared" si="109"/>
        <v>0</v>
      </c>
      <c r="K100" s="176">
        <f t="shared" si="110"/>
        <v>0</v>
      </c>
      <c r="L100" s="176">
        <f t="shared" si="111"/>
        <v>0</v>
      </c>
      <c r="M100" s="176">
        <f t="shared" si="152"/>
        <v>0</v>
      </c>
      <c r="N100" s="176">
        <f t="shared" si="153"/>
        <v>0</v>
      </c>
      <c r="O100" s="176">
        <f t="shared" si="143"/>
        <v>-10760.62</v>
      </c>
      <c r="P100" s="176">
        <f t="shared" si="112"/>
        <v>0</v>
      </c>
      <c r="Q100" s="176">
        <f t="shared" si="113"/>
        <v>0</v>
      </c>
      <c r="R100" s="176">
        <f t="shared" si="114"/>
        <v>0</v>
      </c>
      <c r="S100" s="176">
        <f t="shared" si="162"/>
        <v>0</v>
      </c>
      <c r="T100" s="176">
        <f>IF(AND(Q100=0,Q101=0,Q102=0,P103=0,Q99=0,Q98=0,Q97=0),N100,"")</f>
        <v>0</v>
      </c>
      <c r="U100" s="176">
        <f t="shared" si="144"/>
        <v>-10760.62</v>
      </c>
      <c r="V100" s="176">
        <f t="shared" si="115"/>
        <v>0</v>
      </c>
      <c r="W100" s="176">
        <f t="shared" si="116"/>
        <v>0</v>
      </c>
      <c r="X100" s="176">
        <f t="shared" si="117"/>
        <v>0</v>
      </c>
      <c r="Y100" s="176">
        <f>IF(AND(W100=0,W101=0,W102=0,V103=0,W99=0,W98=0,W97=0),S100,"")</f>
        <v>0</v>
      </c>
      <c r="Z100" s="176">
        <f>IF(AND(W100=0,W101=0,W102=0,V103=0,W99=0,W98=0,W97=0),T100,"")</f>
        <v>0</v>
      </c>
      <c r="AA100" s="176">
        <f t="shared" si="145"/>
        <v>-10760.62</v>
      </c>
      <c r="AB100" s="176">
        <f t="shared" si="118"/>
        <v>0</v>
      </c>
      <c r="AC100" s="176">
        <f t="shared" si="119"/>
        <v>0</v>
      </c>
      <c r="AD100" s="176">
        <f t="shared" si="120"/>
        <v>0</v>
      </c>
      <c r="AE100" s="176">
        <f t="shared" si="146"/>
        <v>491.334</v>
      </c>
      <c r="AF100" s="176">
        <f t="shared" si="147"/>
        <v>-10491.334000000001</v>
      </c>
      <c r="AG100" s="176">
        <f t="shared" si="121"/>
        <v>0</v>
      </c>
      <c r="AH100" s="176">
        <f t="shared" si="122"/>
        <v>0</v>
      </c>
      <c r="AI100" s="176">
        <f t="shared" si="123"/>
        <v>0</v>
      </c>
      <c r="AJ100" s="176">
        <f t="shared" si="154"/>
        <v>0</v>
      </c>
      <c r="AK100" s="176">
        <f t="shared" si="155"/>
        <v>0</v>
      </c>
      <c r="AL100" s="176">
        <f t="shared" si="148"/>
        <v>-10491.334000000001</v>
      </c>
      <c r="AM100" s="176">
        <f t="shared" si="124"/>
        <v>0</v>
      </c>
      <c r="AN100" s="176">
        <f t="shared" si="125"/>
        <v>0</v>
      </c>
      <c r="AO100" s="176">
        <f t="shared" si="126"/>
        <v>0</v>
      </c>
      <c r="AP100" s="176">
        <f t="shared" si="163"/>
        <v>0</v>
      </c>
      <c r="AQ100" s="176">
        <f>IF(AND(AN100=0,AN101=0,AN102=0,AM103=0,AN99=0,AN98=0,AN97=0),AK100,"")</f>
        <v>0</v>
      </c>
      <c r="AR100" s="176">
        <f t="shared" si="149"/>
        <v>-10491.334000000001</v>
      </c>
      <c r="AS100" s="176">
        <f t="shared" si="127"/>
        <v>0</v>
      </c>
      <c r="AT100" s="176">
        <f t="shared" si="128"/>
        <v>0</v>
      </c>
      <c r="AU100" s="176">
        <f t="shared" si="129"/>
        <v>0</v>
      </c>
      <c r="AV100" s="176">
        <f>IF(AND(AT100=0,AT101=0,AT102=0,AS103=0,AT99=0,AT98=0,AT97=0),AP100,"")</f>
        <v>0</v>
      </c>
      <c r="AW100" s="176">
        <f>IF(AND(AT100=0,AT101=0,AT102=0,AS103=0,AT99=0,AT98=0,AT97=0),AQ100,"")</f>
        <v>0</v>
      </c>
      <c r="AX100" s="176">
        <f t="shared" si="150"/>
        <v>-10491.334000000001</v>
      </c>
      <c r="AY100" s="176">
        <f t="shared" si="130"/>
        <v>0</v>
      </c>
      <c r="AZ100" s="176">
        <f t="shared" si="131"/>
        <v>0</v>
      </c>
      <c r="BA100" s="176">
        <f t="shared" si="132"/>
        <v>0</v>
      </c>
      <c r="BB100" s="176">
        <f t="shared" si="151"/>
        <v>1005.61</v>
      </c>
      <c r="BC100" s="176">
        <f t="shared" si="133"/>
        <v>-1005.61</v>
      </c>
      <c r="BD100" s="176">
        <f t="shared" si="134"/>
        <v>0</v>
      </c>
      <c r="BE100" s="176">
        <f t="shared" si="135"/>
        <v>0</v>
      </c>
      <c r="BF100" s="176">
        <f t="shared" si="136"/>
        <v>0</v>
      </c>
      <c r="BG100" s="161">
        <v>0.96875</v>
      </c>
      <c r="BH100" s="330"/>
      <c r="BI100" s="330"/>
      <c r="BJ100" s="330"/>
      <c r="BK100" s="330"/>
      <c r="BL100" s="330"/>
      <c r="BM100" s="302"/>
      <c r="BN100" s="103"/>
      <c r="BO100" s="103"/>
      <c r="GR100" s="103"/>
      <c r="GS100" s="103"/>
      <c r="GT100" s="103"/>
      <c r="GU100" s="103"/>
      <c r="GV100" s="103"/>
    </row>
    <row r="101" spans="1:204" ht="10.050000000000001" hidden="1" customHeight="1" x14ac:dyDescent="0.25">
      <c r="A101" s="161">
        <v>0.97916666666666696</v>
      </c>
      <c r="B101" s="155">
        <f>'Warrant 2'!F108</f>
        <v>0</v>
      </c>
      <c r="C101" s="155">
        <f>IF(OR('Input &amp; Findings'!$G$28='Drop Down Lists'!$E$2,'Input &amp; Findings'!$G$28='Drop Down Lists'!$E$4),SUM('Data with RTF'!F98,'Data with RTF'!T98),SUM('Data with RTF'!M98,'Data with RTF'!AA98))</f>
        <v>0</v>
      </c>
      <c r="D101" s="176" t="str">
        <f t="shared" si="137"/>
        <v/>
      </c>
      <c r="E101" s="176" t="str">
        <f t="shared" si="138"/>
        <v/>
      </c>
      <c r="F101" s="176" t="str">
        <f t="shared" si="139"/>
        <v/>
      </c>
      <c r="G101" s="176" t="str">
        <f t="shared" si="140"/>
        <v/>
      </c>
      <c r="H101" s="176">
        <f t="shared" si="141"/>
        <v>760.62</v>
      </c>
      <c r="I101" s="176">
        <f t="shared" si="142"/>
        <v>-10760.62</v>
      </c>
      <c r="J101" s="176">
        <f t="shared" si="109"/>
        <v>0</v>
      </c>
      <c r="K101" s="176">
        <f t="shared" si="110"/>
        <v>0</v>
      </c>
      <c r="L101" s="176">
        <f t="shared" si="111"/>
        <v>0</v>
      </c>
      <c r="M101" s="176">
        <f t="shared" si="152"/>
        <v>0</v>
      </c>
      <c r="N101" s="176">
        <f t="shared" si="153"/>
        <v>0</v>
      </c>
      <c r="O101" s="176">
        <f t="shared" si="143"/>
        <v>-10760.62</v>
      </c>
      <c r="P101" s="176">
        <f t="shared" si="112"/>
        <v>0</v>
      </c>
      <c r="Q101" s="176">
        <f t="shared" si="113"/>
        <v>0</v>
      </c>
      <c r="R101" s="176">
        <f t="shared" si="114"/>
        <v>0</v>
      </c>
      <c r="S101" s="176">
        <f t="shared" si="162"/>
        <v>0</v>
      </c>
      <c r="T101" s="176">
        <f>IF(AND(Q101=0,Q102=0,P103=0,P104=0,Q100=0,Q99=0,Q98=0),N101,"")</f>
        <v>0</v>
      </c>
      <c r="U101" s="176">
        <f t="shared" si="144"/>
        <v>-10760.62</v>
      </c>
      <c r="V101" s="176">
        <f t="shared" si="115"/>
        <v>0</v>
      </c>
      <c r="W101" s="176">
        <f t="shared" si="116"/>
        <v>0</v>
      </c>
      <c r="X101" s="176">
        <f t="shared" si="117"/>
        <v>0</v>
      </c>
      <c r="Y101" s="176">
        <f>IF(AND(W101=0,W102=0,V103=0,V104=0,W100=0,W99=0,W98=0),S101,"")</f>
        <v>0</v>
      </c>
      <c r="Z101" s="176">
        <f>IF(AND(W101=0,W102=0,V103=0,V104=0,W100=0,W99=0,W98=0),T101,"")</f>
        <v>0</v>
      </c>
      <c r="AA101" s="176">
        <f t="shared" si="145"/>
        <v>-10760.62</v>
      </c>
      <c r="AB101" s="176">
        <f t="shared" si="118"/>
        <v>0</v>
      </c>
      <c r="AC101" s="176">
        <f t="shared" si="119"/>
        <v>0</v>
      </c>
      <c r="AD101" s="176">
        <f t="shared" si="120"/>
        <v>0</v>
      </c>
      <c r="AE101" s="176">
        <f t="shared" si="146"/>
        <v>491.334</v>
      </c>
      <c r="AF101" s="176">
        <f t="shared" si="147"/>
        <v>-10491.334000000001</v>
      </c>
      <c r="AG101" s="176">
        <f t="shared" si="121"/>
        <v>0</v>
      </c>
      <c r="AH101" s="176">
        <f t="shared" si="122"/>
        <v>0</v>
      </c>
      <c r="AI101" s="176">
        <f t="shared" si="123"/>
        <v>0</v>
      </c>
      <c r="AJ101" s="176">
        <f t="shared" si="154"/>
        <v>0</v>
      </c>
      <c r="AK101" s="176">
        <f t="shared" si="155"/>
        <v>0</v>
      </c>
      <c r="AL101" s="176">
        <f t="shared" si="148"/>
        <v>-10491.334000000001</v>
      </c>
      <c r="AM101" s="176">
        <f t="shared" si="124"/>
        <v>0</v>
      </c>
      <c r="AN101" s="176">
        <f t="shared" si="125"/>
        <v>0</v>
      </c>
      <c r="AO101" s="176">
        <f t="shared" si="126"/>
        <v>0</v>
      </c>
      <c r="AP101" s="176">
        <f t="shared" si="163"/>
        <v>0</v>
      </c>
      <c r="AQ101" s="176">
        <f>IF(AND(AN101=0,AN102=0,AM103=0,AM104=0,AN100=0,AN99=0,AN98=0),AK101,"")</f>
        <v>0</v>
      </c>
      <c r="AR101" s="176">
        <f t="shared" si="149"/>
        <v>-10491.334000000001</v>
      </c>
      <c r="AS101" s="176">
        <f t="shared" si="127"/>
        <v>0</v>
      </c>
      <c r="AT101" s="176">
        <f t="shared" si="128"/>
        <v>0</v>
      </c>
      <c r="AU101" s="176">
        <f t="shared" si="129"/>
        <v>0</v>
      </c>
      <c r="AV101" s="176">
        <f>IF(AND(AT101=0,AT102=0,AS103=0,AS104=0,AT100=0,AT99=0,AT98=0),AP101,"")</f>
        <v>0</v>
      </c>
      <c r="AW101" s="176">
        <f>IF(AND(AT101=0,AT102=0,AS103=0,AS104=0,AT100=0,AT99=0,AT98=0),AQ101,"")</f>
        <v>0</v>
      </c>
      <c r="AX101" s="176">
        <f t="shared" si="150"/>
        <v>-10491.334000000001</v>
      </c>
      <c r="AY101" s="176">
        <f t="shared" si="130"/>
        <v>0</v>
      </c>
      <c r="AZ101" s="176">
        <f t="shared" si="131"/>
        <v>0</v>
      </c>
      <c r="BA101" s="176">
        <f t="shared" si="132"/>
        <v>0</v>
      </c>
      <c r="BB101" s="176">
        <f t="shared" si="151"/>
        <v>1005.61</v>
      </c>
      <c r="BC101" s="176">
        <f t="shared" si="133"/>
        <v>-1005.61</v>
      </c>
      <c r="BD101" s="176">
        <f t="shared" si="134"/>
        <v>0</v>
      </c>
      <c r="BE101" s="176">
        <f t="shared" si="135"/>
        <v>0</v>
      </c>
      <c r="BF101" s="176">
        <f t="shared" si="136"/>
        <v>0</v>
      </c>
      <c r="BG101" s="161">
        <v>0.97916666666666696</v>
      </c>
      <c r="BH101" s="330"/>
      <c r="BI101" s="330"/>
      <c r="BJ101" s="330"/>
      <c r="BK101" s="330"/>
      <c r="BL101" s="330"/>
      <c r="BM101" s="302"/>
      <c r="BN101" s="103"/>
      <c r="BO101" s="103"/>
      <c r="GR101" s="103"/>
      <c r="GS101" s="103"/>
      <c r="GT101" s="103"/>
      <c r="GU101" s="103"/>
      <c r="GV101" s="103"/>
    </row>
    <row r="102" spans="1:204" ht="10.050000000000001" hidden="1" customHeight="1" x14ac:dyDescent="0.25">
      <c r="A102" s="161">
        <v>0.98958333333333304</v>
      </c>
      <c r="B102" s="155">
        <f>'Warrant 2'!F109</f>
        <v>0</v>
      </c>
      <c r="C102" s="155">
        <f>IF(OR('Input &amp; Findings'!$G$28='Drop Down Lists'!$E$2,'Input &amp; Findings'!$G$28='Drop Down Lists'!$E$4),SUM('Data with RTF'!F99,'Data with RTF'!T99),SUM('Data with RTF'!M99,'Data with RTF'!AA99))</f>
        <v>0</v>
      </c>
      <c r="D102" s="176" t="str">
        <f t="shared" si="137"/>
        <v/>
      </c>
      <c r="E102" s="176" t="str">
        <f t="shared" si="138"/>
        <v/>
      </c>
      <c r="F102" s="176" t="str">
        <f t="shared" si="139"/>
        <v/>
      </c>
      <c r="G102" s="176" t="str">
        <f t="shared" si="140"/>
        <v/>
      </c>
      <c r="H102" s="176">
        <f t="shared" si="141"/>
        <v>760.62</v>
      </c>
      <c r="I102" s="176">
        <f t="shared" si="142"/>
        <v>-10760.62</v>
      </c>
      <c r="J102" s="176">
        <f t="shared" si="109"/>
        <v>0</v>
      </c>
      <c r="K102" s="176">
        <f t="shared" si="110"/>
        <v>0</v>
      </c>
      <c r="L102" s="176">
        <f t="shared" si="111"/>
        <v>0</v>
      </c>
      <c r="M102" s="176">
        <f>IF(AND(K102=0,K103=0,K104=0,J126=0,K101=0,K100=0,K99=0),B102,"")</f>
        <v>0</v>
      </c>
      <c r="N102" s="176">
        <f>IF(AND(K102=0,K103=0,K104=0,J126=0,K101=0,K100=0,K99=0),C102,"")</f>
        <v>0</v>
      </c>
      <c r="O102" s="176">
        <f t="shared" si="143"/>
        <v>-10760.62</v>
      </c>
      <c r="P102" s="176">
        <f t="shared" si="112"/>
        <v>0</v>
      </c>
      <c r="Q102" s="176">
        <f t="shared" si="113"/>
        <v>0</v>
      </c>
      <c r="R102" s="176">
        <f t="shared" si="114"/>
        <v>0</v>
      </c>
      <c r="S102" s="176">
        <f>IF(AND(Q102=0,Q103=0,Q104=0,P126=0,Q101=0,Q100=0,Q99=0),M102,"")</f>
        <v>0</v>
      </c>
      <c r="T102" s="176">
        <f>IF(AND(Q102=0,P103=0,P104=0,O126=0,Q101=0,Q100=0,Q99=0),N102,"")</f>
        <v>0</v>
      </c>
      <c r="U102" s="176">
        <f t="shared" si="144"/>
        <v>-10760.62</v>
      </c>
      <c r="V102" s="176">
        <f t="shared" si="115"/>
        <v>0</v>
      </c>
      <c r="W102" s="176">
        <f t="shared" si="116"/>
        <v>0</v>
      </c>
      <c r="X102" s="176">
        <f t="shared" si="117"/>
        <v>0</v>
      </c>
      <c r="Y102" s="176">
        <f>IF(AND(W102=0,V103=0,V104=0,U126=0,W101=0,W100=0,W99=0),S102,"")</f>
        <v>0</v>
      </c>
      <c r="Z102" s="176">
        <f>IF(AND(W102=0,V103=0,V104=0,U126=0,W101=0,W100=0,W99=0),T102,"")</f>
        <v>0</v>
      </c>
      <c r="AA102" s="176">
        <f t="shared" si="145"/>
        <v>-10760.62</v>
      </c>
      <c r="AB102" s="176">
        <f t="shared" si="118"/>
        <v>0</v>
      </c>
      <c r="AC102" s="176">
        <f t="shared" si="119"/>
        <v>0</v>
      </c>
      <c r="AD102" s="176">
        <f t="shared" si="120"/>
        <v>0</v>
      </c>
      <c r="AE102" s="176">
        <f t="shared" si="146"/>
        <v>491.334</v>
      </c>
      <c r="AF102" s="176">
        <f t="shared" si="147"/>
        <v>-10491.334000000001</v>
      </c>
      <c r="AG102" s="176">
        <f t="shared" si="121"/>
        <v>0</v>
      </c>
      <c r="AH102" s="176">
        <f t="shared" si="122"/>
        <v>0</v>
      </c>
      <c r="AI102" s="176">
        <f t="shared" si="123"/>
        <v>0</v>
      </c>
      <c r="AJ102" s="176">
        <f>IF(AND(AH102=0,AH103=0,AH104=0,AG126=0,AH101=0,AH100=0,AH99=0),B102,"")</f>
        <v>0</v>
      </c>
      <c r="AK102" s="176">
        <f>IF(AND(AH102=0,AH103=0,AH104=0,AG126=0,AH101=0,AH100=0,AH99=0),C102,"")</f>
        <v>0</v>
      </c>
      <c r="AL102" s="176">
        <f t="shared" si="148"/>
        <v>-10491.334000000001</v>
      </c>
      <c r="AM102" s="176">
        <f t="shared" si="124"/>
        <v>0</v>
      </c>
      <c r="AN102" s="176">
        <f t="shared" si="125"/>
        <v>0</v>
      </c>
      <c r="AO102" s="176">
        <f t="shared" si="126"/>
        <v>0</v>
      </c>
      <c r="AP102" s="176">
        <f>IF(AND(AN102=0,AN103=0,AN104=0,AM126=0,AN101=0,AN100=0,AN99=0),AJ102,"")</f>
        <v>0</v>
      </c>
      <c r="AQ102" s="176">
        <f>IF(AND(AN102=0,AM103=0,AM104=0,AL126=0,AN101=0,AN100=0,AN99=0),AK102,"")</f>
        <v>0</v>
      </c>
      <c r="AR102" s="176">
        <f t="shared" si="149"/>
        <v>-10491.334000000001</v>
      </c>
      <c r="AS102" s="176">
        <f t="shared" si="127"/>
        <v>0</v>
      </c>
      <c r="AT102" s="176">
        <f t="shared" si="128"/>
        <v>0</v>
      </c>
      <c r="AU102" s="176">
        <f t="shared" si="129"/>
        <v>0</v>
      </c>
      <c r="AV102" s="176">
        <f>IF(AND(AT102=0,AS103=0,AS104=0,AR126=0,AT101=0,AT100=0,AT99=0),AP102,"")</f>
        <v>0</v>
      </c>
      <c r="AW102" s="176">
        <f>IF(AND(AT102=0,AS103=0,AS104=0,AR126=0,AT101=0,AT100=0,AT99=0),AQ102,"")</f>
        <v>0</v>
      </c>
      <c r="AX102" s="176">
        <f t="shared" si="150"/>
        <v>-10491.334000000001</v>
      </c>
      <c r="AY102" s="176">
        <f t="shared" si="130"/>
        <v>0</v>
      </c>
      <c r="AZ102" s="176">
        <f t="shared" si="131"/>
        <v>0</v>
      </c>
      <c r="BA102" s="176">
        <f t="shared" si="132"/>
        <v>0</v>
      </c>
      <c r="BB102" s="176">
        <f t="shared" si="151"/>
        <v>1005.61</v>
      </c>
      <c r="BC102" s="176">
        <f t="shared" si="133"/>
        <v>-1005.61</v>
      </c>
      <c r="BD102" s="176">
        <f t="shared" si="134"/>
        <v>0</v>
      </c>
      <c r="BE102" s="176">
        <f t="shared" si="135"/>
        <v>0</v>
      </c>
      <c r="BF102" s="176">
        <f t="shared" si="136"/>
        <v>0</v>
      </c>
      <c r="BG102" s="161">
        <v>0.98958333333333304</v>
      </c>
      <c r="BH102" s="330"/>
      <c r="BI102" s="330"/>
      <c r="BJ102" s="330"/>
      <c r="BK102" s="330"/>
      <c r="BL102" s="330"/>
      <c r="BM102" s="103"/>
      <c r="BN102" s="103"/>
      <c r="BO102" s="103"/>
      <c r="GR102" s="103"/>
      <c r="GS102" s="103"/>
      <c r="GT102" s="103"/>
      <c r="GU102" s="103"/>
      <c r="GV102" s="103"/>
    </row>
    <row r="103" spans="1:204" ht="10.050000000000001" customHeight="1" x14ac:dyDescent="0.25">
      <c r="A103" s="103"/>
      <c r="B103" s="330"/>
      <c r="C103" s="330"/>
      <c r="D103" s="176"/>
      <c r="E103" s="103"/>
      <c r="F103" s="176"/>
      <c r="G103" s="103"/>
      <c r="H103" s="220"/>
      <c r="I103" s="219"/>
      <c r="J103" s="103"/>
      <c r="K103" s="103"/>
      <c r="L103" s="103"/>
      <c r="M103" s="103"/>
      <c r="N103" s="103"/>
      <c r="O103" s="103"/>
      <c r="P103" s="103"/>
      <c r="Q103" s="103"/>
      <c r="R103" s="103"/>
      <c r="S103" s="103"/>
      <c r="T103" s="103"/>
      <c r="U103" s="103"/>
      <c r="V103" s="103"/>
      <c r="W103" s="103"/>
      <c r="X103" s="103"/>
      <c r="Y103" s="103"/>
      <c r="Z103" s="103"/>
      <c r="AA103" s="103"/>
      <c r="AB103" s="103"/>
      <c r="AC103" s="103"/>
      <c r="AD103" s="219"/>
      <c r="AE103" s="220"/>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330"/>
      <c r="BI103" s="330"/>
      <c r="BJ103" s="330"/>
      <c r="BK103" s="330"/>
      <c r="BL103" s="330"/>
      <c r="BM103" s="298"/>
      <c r="BN103" s="103"/>
      <c r="BO103" s="103"/>
      <c r="GR103" s="103"/>
      <c r="GS103" s="103"/>
      <c r="GT103" s="103"/>
      <c r="GU103" s="103"/>
      <c r="GV103" s="103"/>
    </row>
    <row r="104" spans="1:204" ht="10.050000000000001" customHeight="1" x14ac:dyDescent="0.25">
      <c r="A104" s="103"/>
      <c r="B104" s="330"/>
      <c r="C104" s="330"/>
      <c r="D104" s="103"/>
      <c r="E104" s="103"/>
      <c r="F104" s="103"/>
      <c r="G104" s="103"/>
      <c r="H104" s="218"/>
      <c r="I104" s="116"/>
      <c r="J104" s="116"/>
      <c r="K104" s="103"/>
      <c r="L104" s="103"/>
      <c r="M104" s="103"/>
      <c r="N104" s="103"/>
      <c r="O104" s="103"/>
      <c r="P104" s="103"/>
      <c r="Q104" s="103"/>
      <c r="R104" s="103"/>
      <c r="S104" s="103"/>
      <c r="T104" s="103"/>
      <c r="U104" s="103"/>
      <c r="V104" s="103"/>
      <c r="W104" s="103"/>
      <c r="X104" s="103"/>
      <c r="Y104" s="103"/>
      <c r="Z104" s="103"/>
      <c r="AA104" s="103"/>
      <c r="AB104" s="103"/>
      <c r="AC104" s="103"/>
      <c r="AD104" s="103"/>
      <c r="AE104" s="28"/>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330"/>
      <c r="BI104" s="330"/>
      <c r="BJ104" s="330"/>
      <c r="BK104" s="330"/>
      <c r="BL104" s="330"/>
      <c r="BM104" s="302"/>
      <c r="BN104" s="103"/>
      <c r="BO104" s="103"/>
      <c r="GR104" s="103"/>
      <c r="GS104" s="103"/>
      <c r="GT104" s="103"/>
      <c r="GU104" s="103"/>
      <c r="GV104" s="103"/>
    </row>
    <row r="105" spans="1:204" ht="10.050000000000001" customHeight="1" x14ac:dyDescent="0.25">
      <c r="A105" s="103"/>
      <c r="B105" s="330"/>
      <c r="C105" s="330"/>
      <c r="BH105" s="330"/>
      <c r="BI105" s="330"/>
      <c r="BJ105" s="330"/>
      <c r="BK105" s="330"/>
      <c r="BL105" s="330"/>
      <c r="BM105" s="302"/>
      <c r="BN105" s="103"/>
      <c r="BO105" s="103"/>
      <c r="GR105" s="103"/>
      <c r="GS105" s="103"/>
      <c r="GT105" s="103"/>
      <c r="GU105" s="103"/>
      <c r="GV105" s="103"/>
    </row>
    <row r="106" spans="1:204" ht="10.050000000000001"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302"/>
      <c r="BN106" s="103"/>
      <c r="BO106" s="103"/>
      <c r="GR106" s="103"/>
      <c r="GS106" s="103"/>
      <c r="GT106" s="103"/>
      <c r="GU106" s="103"/>
      <c r="GV106" s="103"/>
    </row>
    <row r="107" spans="1:204" ht="10.050000000000001" customHeight="1" x14ac:dyDescent="0.2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302"/>
      <c r="BN107" s="103"/>
      <c r="BO107" s="103"/>
      <c r="GR107" s="103"/>
      <c r="GS107" s="103"/>
      <c r="GT107" s="103"/>
      <c r="GU107" s="103"/>
      <c r="GV107" s="103"/>
    </row>
    <row r="108" spans="1:204" ht="10.050000000000001"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GR108" s="103"/>
      <c r="GS108" s="103"/>
      <c r="GT108" s="103"/>
      <c r="GU108" s="103"/>
      <c r="GV108" s="103"/>
    </row>
    <row r="109" spans="1:204" ht="10.050000000000001"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GR109" s="103"/>
      <c r="GS109" s="103"/>
      <c r="GT109" s="103"/>
      <c r="GU109" s="103"/>
      <c r="GV109" s="103"/>
    </row>
    <row r="110" spans="1:204" ht="10.050000000000001" customHeight="1" x14ac:dyDescent="0.2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GR110" s="103"/>
      <c r="GS110" s="103"/>
      <c r="GT110" s="103"/>
      <c r="GU110" s="103"/>
      <c r="GV110" s="103"/>
    </row>
    <row r="111" spans="1:204" ht="10.050000000000001"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GR111" s="103"/>
      <c r="GS111" s="103"/>
      <c r="GT111" s="103"/>
      <c r="GU111" s="103"/>
      <c r="GV111" s="103"/>
    </row>
    <row r="112" spans="1:204" ht="10.050000000000001"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GR112" s="103"/>
      <c r="GS112" s="103"/>
      <c r="GT112" s="103"/>
      <c r="GU112" s="103"/>
      <c r="GV112" s="103"/>
    </row>
    <row r="113" spans="1:204" ht="10.050000000000001" customHeight="1" x14ac:dyDescent="0.2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GR113" s="103"/>
      <c r="GS113" s="103"/>
      <c r="GT113" s="103"/>
      <c r="GU113" s="103"/>
      <c r="GV113" s="103"/>
    </row>
    <row r="114" spans="1:204" ht="10.050000000000001"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GR114" s="103"/>
      <c r="GS114" s="103"/>
      <c r="GT114" s="103"/>
      <c r="GU114" s="103"/>
      <c r="GV114" s="103"/>
    </row>
    <row r="115" spans="1:204" ht="10.050000000000001"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GR115" s="103"/>
      <c r="GS115" s="103"/>
      <c r="GT115" s="103"/>
      <c r="GU115" s="103"/>
      <c r="GV115" s="103"/>
    </row>
    <row r="116" spans="1:204" ht="10.050000000000001" customHeight="1" x14ac:dyDescent="0.2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GR116" s="103"/>
      <c r="GS116" s="103"/>
      <c r="GT116" s="103"/>
      <c r="GU116" s="103"/>
      <c r="GV116" s="103"/>
    </row>
    <row r="117" spans="1:204" ht="10.050000000000001"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GR117" s="103"/>
      <c r="GS117" s="103"/>
      <c r="GT117" s="103"/>
      <c r="GU117" s="103"/>
      <c r="GV117" s="103"/>
    </row>
    <row r="118" spans="1:204" ht="10.050000000000001"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GR118" s="103"/>
      <c r="GS118" s="103"/>
      <c r="GT118" s="103"/>
      <c r="GU118" s="103"/>
      <c r="GV118" s="103"/>
    </row>
    <row r="119" spans="1:204" ht="10.050000000000001" customHeight="1" x14ac:dyDescent="0.2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GR119" s="103"/>
      <c r="GS119" s="103"/>
      <c r="GT119" s="103"/>
      <c r="GU119" s="103"/>
      <c r="GV119" s="103"/>
    </row>
    <row r="120" spans="1:204" ht="10.050000000000001" customHeight="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GR120" s="103"/>
      <c r="GS120" s="103"/>
      <c r="GT120" s="103"/>
      <c r="GU120" s="103"/>
      <c r="GV120" s="103"/>
    </row>
    <row r="121" spans="1:204" ht="10.050000000000001" customHeight="1" x14ac:dyDescent="0.2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GR121" s="103"/>
      <c r="GS121" s="103"/>
      <c r="GT121" s="103"/>
      <c r="GU121" s="103"/>
      <c r="GV121" s="103"/>
    </row>
    <row r="122" spans="1:204" ht="10.050000000000001" customHeight="1" x14ac:dyDescent="0.2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GR122" s="103"/>
      <c r="GS122" s="103"/>
      <c r="GT122" s="103"/>
      <c r="GU122" s="103"/>
      <c r="GV122" s="103"/>
    </row>
    <row r="123" spans="1:204" ht="10.050000000000001" customHeight="1" x14ac:dyDescent="0.2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GR123" s="103"/>
      <c r="GS123" s="103"/>
      <c r="GT123" s="103"/>
      <c r="GU123" s="103"/>
      <c r="GV123" s="103"/>
    </row>
    <row r="124" spans="1:204" ht="10.050000000000001" customHeight="1" x14ac:dyDescent="0.2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GR124" s="103"/>
      <c r="GS124" s="103"/>
      <c r="GT124" s="103"/>
      <c r="GU124" s="103"/>
      <c r="GV124" s="103"/>
    </row>
    <row r="125" spans="1:204" ht="10.050000000000001" customHeight="1" x14ac:dyDescent="0.2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GR125" s="103"/>
      <c r="GS125" s="103"/>
      <c r="GT125" s="103"/>
      <c r="GU125" s="103"/>
      <c r="GV125" s="103"/>
    </row>
    <row r="126" spans="1:204" ht="10.050000000000001" customHeight="1" x14ac:dyDescent="0.2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GR126" s="103"/>
      <c r="GS126" s="103"/>
      <c r="GT126" s="103"/>
      <c r="GU126" s="103"/>
      <c r="GV126" s="103"/>
    </row>
    <row r="127" spans="1:204" ht="10.050000000000001" customHeight="1" x14ac:dyDescent="0.2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GR127" s="103"/>
      <c r="GS127" s="103"/>
      <c r="GT127" s="103"/>
      <c r="GU127" s="103"/>
      <c r="GV127" s="103"/>
    </row>
    <row r="128" spans="1:204" ht="10.050000000000001"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GR128" s="103"/>
      <c r="GS128" s="103"/>
      <c r="GT128" s="103"/>
      <c r="GU128" s="103"/>
      <c r="GV128" s="103"/>
    </row>
    <row r="129" spans="1:204" ht="10.050000000000001" customHeight="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GR129" s="103"/>
      <c r="GS129" s="103"/>
      <c r="GT129" s="103"/>
      <c r="GU129" s="103"/>
      <c r="GV129" s="103"/>
    </row>
    <row r="130" spans="1:204" ht="10.050000000000001"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GR130" s="103"/>
      <c r="GS130" s="103"/>
      <c r="GT130" s="103"/>
      <c r="GU130" s="103"/>
      <c r="GV130" s="103"/>
    </row>
    <row r="131" spans="1:204"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GR131" s="103"/>
      <c r="GS131" s="103"/>
      <c r="GT131" s="103"/>
      <c r="GU131" s="103"/>
      <c r="GV131" s="103"/>
    </row>
    <row r="132" spans="1:204"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GR132" s="103"/>
      <c r="GS132" s="103"/>
      <c r="GT132" s="103"/>
      <c r="GU132" s="103"/>
      <c r="GV132" s="103"/>
    </row>
    <row r="133" spans="1:204"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GR133" s="103"/>
      <c r="GS133" s="103"/>
      <c r="GT133" s="103"/>
      <c r="GU133" s="103"/>
      <c r="GV133" s="103"/>
    </row>
    <row r="134" spans="1:204"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GR134" s="103"/>
      <c r="GS134" s="103"/>
      <c r="GT134" s="103"/>
      <c r="GU134" s="103"/>
      <c r="GV134" s="103"/>
    </row>
    <row r="135" spans="1:204"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GR135" s="103"/>
      <c r="GS135" s="103"/>
      <c r="GT135" s="103"/>
      <c r="GU135" s="103"/>
      <c r="GV135" s="103"/>
    </row>
    <row r="136" spans="1:204"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GR136" s="103"/>
      <c r="GS136" s="103"/>
      <c r="GT136" s="103"/>
      <c r="GU136" s="103"/>
      <c r="GV136" s="103"/>
    </row>
    <row r="137" spans="1:204"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GR137" s="103"/>
      <c r="GS137" s="103"/>
      <c r="GT137" s="103"/>
      <c r="GU137" s="103"/>
      <c r="GV137" s="103"/>
    </row>
    <row r="138" spans="1:204"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GR138" s="103"/>
      <c r="GS138" s="103"/>
      <c r="GT138" s="103"/>
      <c r="GU138" s="103"/>
      <c r="GV138" s="103"/>
    </row>
    <row r="139" spans="1:204"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GR139" s="103"/>
      <c r="GS139" s="103"/>
      <c r="GT139" s="103"/>
      <c r="GU139" s="103"/>
      <c r="GV139" s="103"/>
    </row>
    <row r="140" spans="1:204"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GR140" s="103"/>
      <c r="GS140" s="103"/>
      <c r="GT140" s="103"/>
      <c r="GU140" s="103"/>
      <c r="GV140" s="103"/>
    </row>
    <row r="141" spans="1:204"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GR141" s="103"/>
      <c r="GS141" s="103"/>
      <c r="GT141" s="103"/>
      <c r="GU141" s="103"/>
      <c r="GV141" s="103"/>
    </row>
    <row r="142" spans="1:204"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GR142" s="103"/>
      <c r="GS142" s="103"/>
      <c r="GT142" s="103"/>
      <c r="GU142" s="103"/>
      <c r="GV142" s="103"/>
    </row>
    <row r="143" spans="1:204"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28"/>
      <c r="BM143" s="28"/>
      <c r="BN143" s="103"/>
      <c r="BO143" s="103"/>
      <c r="GR143" s="103"/>
      <c r="GS143" s="103"/>
      <c r="GT143" s="103"/>
      <c r="GU143" s="103"/>
      <c r="GV143" s="103"/>
    </row>
    <row r="144" spans="1:204"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28"/>
      <c r="BM144" s="28"/>
      <c r="BN144" s="103"/>
      <c r="BO144" s="103"/>
      <c r="GR144" s="103"/>
      <c r="GS144" s="103"/>
      <c r="GT144" s="103"/>
      <c r="GU144" s="103"/>
      <c r="GV144" s="103"/>
    </row>
    <row r="145" spans="1:204"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28"/>
      <c r="BM145" s="28"/>
      <c r="BN145" s="103"/>
      <c r="BO145" s="103"/>
      <c r="GR145" s="103"/>
      <c r="GS145" s="103"/>
      <c r="GT145" s="103"/>
      <c r="GU145" s="103"/>
      <c r="GV145" s="103"/>
    </row>
    <row r="146" spans="1:204"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28"/>
      <c r="BM146" s="28"/>
      <c r="BN146" s="103"/>
      <c r="BO146" s="103"/>
      <c r="GR146" s="103"/>
      <c r="GS146" s="103"/>
      <c r="GT146" s="103"/>
      <c r="GU146" s="103"/>
      <c r="GV146" s="103"/>
    </row>
    <row r="147" spans="1:204"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28"/>
      <c r="BM147" s="28"/>
      <c r="BN147" s="103"/>
      <c r="BO147" s="103"/>
      <c r="GR147" s="103"/>
      <c r="GS147" s="103"/>
      <c r="GT147" s="103"/>
      <c r="GU147" s="103"/>
      <c r="GV147" s="103"/>
    </row>
    <row r="148" spans="1:204"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28"/>
      <c r="BM148" s="28"/>
      <c r="BN148" s="103"/>
      <c r="BO148" s="103"/>
      <c r="GR148" s="103"/>
      <c r="GS148" s="103"/>
      <c r="GT148" s="103"/>
      <c r="GU148" s="103"/>
      <c r="GV148" s="103"/>
    </row>
    <row r="149" spans="1:204"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GR149" s="103"/>
      <c r="GS149" s="103"/>
      <c r="GT149" s="103"/>
      <c r="GU149" s="103"/>
      <c r="GV149" s="103"/>
    </row>
    <row r="150" spans="1:204"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GR150" s="103"/>
      <c r="GS150" s="103"/>
      <c r="GT150" s="103"/>
      <c r="GU150" s="103"/>
      <c r="GV150" s="103"/>
    </row>
    <row r="151" spans="1:204"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GR151" s="103"/>
      <c r="GS151" s="103"/>
      <c r="GT151" s="103"/>
      <c r="GU151" s="103"/>
      <c r="GV151" s="103"/>
    </row>
    <row r="152" spans="1:204"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GR152" s="103"/>
      <c r="GS152" s="103"/>
      <c r="GT152" s="103"/>
      <c r="GU152" s="103"/>
      <c r="GV152" s="103"/>
    </row>
    <row r="153" spans="1:204"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GR153" s="103"/>
      <c r="GS153" s="103"/>
      <c r="GT153" s="103"/>
      <c r="GU153" s="103"/>
      <c r="GV153" s="103"/>
    </row>
    <row r="154" spans="1:204"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GR154" s="103"/>
      <c r="GS154" s="103"/>
      <c r="GT154" s="103"/>
      <c r="GU154" s="103"/>
      <c r="GV154" s="103"/>
    </row>
    <row r="155" spans="1:204"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GR155" s="103"/>
      <c r="GS155" s="103"/>
      <c r="GT155" s="103"/>
      <c r="GU155" s="103"/>
      <c r="GV155" s="103"/>
    </row>
    <row r="156" spans="1:204"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GR156" s="103"/>
      <c r="GS156" s="103"/>
      <c r="GT156" s="103"/>
      <c r="GU156" s="103"/>
      <c r="GV156" s="103"/>
    </row>
    <row r="157" spans="1:204"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GR157" s="103"/>
      <c r="GS157" s="103"/>
      <c r="GT157" s="103"/>
      <c r="GU157" s="103"/>
      <c r="GV157" s="103"/>
    </row>
    <row r="158" spans="1:204"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GR158" s="103"/>
      <c r="GS158" s="103"/>
      <c r="GT158" s="103"/>
      <c r="GU158" s="103"/>
      <c r="GV158" s="103"/>
    </row>
    <row r="159" spans="1:204"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GR159" s="103"/>
      <c r="GS159" s="103"/>
      <c r="GT159" s="103"/>
      <c r="GU159" s="103"/>
      <c r="GV159" s="103"/>
    </row>
    <row r="160" spans="1:204"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GR160" s="103"/>
      <c r="GS160" s="103"/>
      <c r="GT160" s="103"/>
      <c r="GU160" s="103"/>
      <c r="GV160" s="103"/>
    </row>
    <row r="161" spans="1:204"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GR161" s="103"/>
      <c r="GS161" s="103"/>
      <c r="GT161" s="103"/>
      <c r="GU161" s="103"/>
      <c r="GV161" s="103"/>
    </row>
    <row r="162" spans="1:204"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GR162" s="103"/>
      <c r="GS162" s="103"/>
      <c r="GT162" s="103"/>
      <c r="GU162" s="103"/>
      <c r="GV162" s="103"/>
    </row>
    <row r="163" spans="1:204"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GR163" s="103"/>
      <c r="GS163" s="103"/>
      <c r="GT163" s="103"/>
      <c r="GU163" s="103"/>
      <c r="GV163" s="103"/>
    </row>
    <row r="164" spans="1:204"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GR164" s="103"/>
      <c r="GS164" s="103"/>
      <c r="GT164" s="103"/>
      <c r="GU164" s="103"/>
      <c r="GV164" s="103"/>
    </row>
    <row r="165" spans="1:204"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GR165" s="103"/>
      <c r="GS165" s="103"/>
      <c r="GT165" s="103"/>
      <c r="GU165" s="103"/>
      <c r="GV165" s="103"/>
    </row>
    <row r="166" spans="1:204"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GR166" s="103"/>
      <c r="GS166" s="103"/>
      <c r="GT166" s="103"/>
      <c r="GU166" s="103"/>
      <c r="GV166" s="103"/>
    </row>
    <row r="167" spans="1:204"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GR167" s="103"/>
      <c r="GS167" s="103"/>
      <c r="GT167" s="103"/>
      <c r="GU167" s="103"/>
      <c r="GV167" s="103"/>
    </row>
    <row r="168" spans="1:204"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GR168" s="103"/>
      <c r="GS168" s="103"/>
      <c r="GT168" s="103"/>
      <c r="GU168" s="103"/>
      <c r="GV168" s="103"/>
    </row>
    <row r="169" spans="1:204"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GR169" s="103"/>
      <c r="GS169" s="103"/>
      <c r="GT169" s="103"/>
      <c r="GU169" s="103"/>
      <c r="GV169" s="103"/>
    </row>
    <row r="170" spans="1:204"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GR170" s="103"/>
      <c r="GS170" s="103"/>
      <c r="GT170" s="103"/>
      <c r="GU170" s="103"/>
      <c r="GV170" s="103"/>
    </row>
    <row r="171" spans="1:204"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GR171" s="103"/>
      <c r="GS171" s="103"/>
      <c r="GT171" s="103"/>
      <c r="GU171" s="103"/>
      <c r="GV171" s="103"/>
    </row>
    <row r="172" spans="1:204"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GR172" s="103"/>
      <c r="GS172" s="103"/>
      <c r="GT172" s="103"/>
      <c r="GU172" s="103"/>
      <c r="GV172" s="103"/>
    </row>
    <row r="173" spans="1:204"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GR173" s="103"/>
      <c r="GS173" s="103"/>
      <c r="GT173" s="103"/>
      <c r="GU173" s="103"/>
      <c r="GV173" s="103"/>
    </row>
    <row r="174" spans="1:204"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GR174" s="103"/>
      <c r="GS174" s="103"/>
      <c r="GT174" s="103"/>
      <c r="GU174" s="103"/>
      <c r="GV174" s="103"/>
    </row>
    <row r="175" spans="1:204"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GR175" s="103"/>
      <c r="GS175" s="103"/>
      <c r="GT175" s="103"/>
      <c r="GU175" s="103"/>
      <c r="GV175" s="103"/>
    </row>
    <row r="176" spans="1:204"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GR176" s="103"/>
      <c r="GS176" s="103"/>
      <c r="GT176" s="103"/>
      <c r="GU176" s="103"/>
      <c r="GV176" s="103"/>
    </row>
    <row r="177" spans="1:204"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GR177" s="103"/>
      <c r="GS177" s="103"/>
      <c r="GT177" s="103"/>
      <c r="GU177" s="103"/>
      <c r="GV177" s="103"/>
    </row>
    <row r="178" spans="1:204"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GR178" s="103"/>
      <c r="GS178" s="103"/>
      <c r="GT178" s="103"/>
      <c r="GU178" s="103"/>
      <c r="GV178" s="103"/>
    </row>
    <row r="179" spans="1:204"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GR179" s="103"/>
      <c r="GS179" s="103"/>
      <c r="GT179" s="103"/>
      <c r="GU179" s="103"/>
      <c r="GV179" s="103"/>
    </row>
    <row r="180" spans="1:204"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GR180" s="103"/>
      <c r="GS180" s="103"/>
      <c r="GT180" s="103"/>
      <c r="GU180" s="103"/>
      <c r="GV180" s="103"/>
    </row>
    <row r="181" spans="1:204"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GR181" s="103"/>
      <c r="GS181" s="103"/>
      <c r="GT181" s="103"/>
      <c r="GU181" s="103"/>
      <c r="GV181" s="103"/>
    </row>
    <row r="182" spans="1:204"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GR182" s="103"/>
      <c r="GS182" s="103"/>
      <c r="GT182" s="103"/>
      <c r="GU182" s="103"/>
      <c r="GV182" s="103"/>
    </row>
    <row r="183" spans="1:204" s="103" customFormat="1" x14ac:dyDescent="0.25"/>
    <row r="184" spans="1:204" s="103" customFormat="1" x14ac:dyDescent="0.25"/>
    <row r="185" spans="1:204" s="103" customFormat="1" x14ac:dyDescent="0.25"/>
    <row r="186" spans="1:204" s="103" customFormat="1" x14ac:dyDescent="0.25"/>
    <row r="187" spans="1:204" s="103" customFormat="1" x14ac:dyDescent="0.25"/>
    <row r="188" spans="1:204" s="103" customFormat="1" x14ac:dyDescent="0.25"/>
    <row r="189" spans="1:204" s="103" customFormat="1" x14ac:dyDescent="0.25"/>
    <row r="190" spans="1:204" s="103" customFormat="1" x14ac:dyDescent="0.25"/>
    <row r="191" spans="1:204" s="103" customFormat="1" x14ac:dyDescent="0.25"/>
    <row r="192" spans="1:204" s="103" customFormat="1" x14ac:dyDescent="0.25"/>
    <row r="193" s="103" customFormat="1" x14ac:dyDescent="0.25"/>
    <row r="194" s="103" customFormat="1" x14ac:dyDescent="0.25"/>
    <row r="195" s="103" customFormat="1" x14ac:dyDescent="0.25"/>
    <row r="196" s="103" customFormat="1" x14ac:dyDescent="0.25"/>
    <row r="197" s="103" customFormat="1" x14ac:dyDescent="0.25"/>
    <row r="198" s="103" customFormat="1" x14ac:dyDescent="0.25"/>
    <row r="199" s="103" customFormat="1" x14ac:dyDescent="0.25"/>
    <row r="200" s="103" customFormat="1" x14ac:dyDescent="0.25"/>
    <row r="201" s="103" customFormat="1" x14ac:dyDescent="0.25"/>
    <row r="202" s="103" customFormat="1" x14ac:dyDescent="0.25"/>
    <row r="203" s="103" customFormat="1" x14ac:dyDescent="0.25"/>
    <row r="204" s="103" customFormat="1" x14ac:dyDescent="0.25"/>
    <row r="205" s="103" customFormat="1" x14ac:dyDescent="0.25"/>
    <row r="206" s="103" customFormat="1" x14ac:dyDescent="0.25"/>
    <row r="207" s="103" customFormat="1" x14ac:dyDescent="0.25"/>
    <row r="208" s="103" customFormat="1" x14ac:dyDescent="0.25"/>
    <row r="209" s="103" customFormat="1" x14ac:dyDescent="0.25"/>
    <row r="210" s="103" customFormat="1" x14ac:dyDescent="0.25"/>
    <row r="211" s="103" customFormat="1" x14ac:dyDescent="0.25"/>
    <row r="212" s="103" customFormat="1" x14ac:dyDescent="0.25"/>
    <row r="213" s="103" customFormat="1" x14ac:dyDescent="0.25"/>
    <row r="214" s="103" customFormat="1" x14ac:dyDescent="0.25"/>
    <row r="215" s="103" customFormat="1" x14ac:dyDescent="0.25"/>
    <row r="216" s="103" customFormat="1" x14ac:dyDescent="0.25"/>
    <row r="217" s="103" customFormat="1" x14ac:dyDescent="0.25"/>
    <row r="218" s="103" customFormat="1" x14ac:dyDescent="0.25"/>
    <row r="219" s="103" customFormat="1" x14ac:dyDescent="0.25"/>
    <row r="220" s="103" customFormat="1" x14ac:dyDescent="0.25"/>
    <row r="221" s="103" customFormat="1" x14ac:dyDescent="0.25"/>
    <row r="222" s="103" customFormat="1" x14ac:dyDescent="0.25"/>
    <row r="223" s="103" customFormat="1" x14ac:dyDescent="0.25"/>
    <row r="224" s="103" customFormat="1" x14ac:dyDescent="0.25"/>
    <row r="225" s="103" customFormat="1" x14ac:dyDescent="0.25"/>
    <row r="226" s="103" customFormat="1" x14ac:dyDescent="0.25"/>
    <row r="227" s="103" customFormat="1" x14ac:dyDescent="0.25"/>
    <row r="228" s="103" customFormat="1" x14ac:dyDescent="0.25"/>
    <row r="229" s="103" customFormat="1" x14ac:dyDescent="0.25"/>
    <row r="230" s="103" customFormat="1" x14ac:dyDescent="0.25"/>
    <row r="231" s="103" customFormat="1" x14ac:dyDescent="0.25"/>
    <row r="232" s="103" customFormat="1" x14ac:dyDescent="0.25"/>
    <row r="233" s="103" customFormat="1" x14ac:dyDescent="0.25"/>
    <row r="234" s="103" customFormat="1" x14ac:dyDescent="0.25"/>
    <row r="235" s="103" customFormat="1" x14ac:dyDescent="0.25"/>
    <row r="236" s="103" customFormat="1" x14ac:dyDescent="0.25"/>
    <row r="237" s="103" customFormat="1" x14ac:dyDescent="0.25"/>
    <row r="238" s="103" customFormat="1" x14ac:dyDescent="0.25"/>
    <row r="239" s="103" customFormat="1" x14ac:dyDescent="0.25"/>
    <row r="240" s="103" customFormat="1" x14ac:dyDescent="0.25"/>
    <row r="241" s="103" customFormat="1" x14ac:dyDescent="0.25"/>
    <row r="242" s="103" customFormat="1" x14ac:dyDescent="0.25"/>
    <row r="243" s="103" customFormat="1" x14ac:dyDescent="0.25"/>
    <row r="244" s="103" customFormat="1" x14ac:dyDescent="0.25"/>
    <row r="245" s="103" customFormat="1" x14ac:dyDescent="0.25"/>
    <row r="246" s="103" customFormat="1" x14ac:dyDescent="0.25"/>
    <row r="247" s="103" customFormat="1" x14ac:dyDescent="0.25"/>
    <row r="248" s="103" customFormat="1" x14ac:dyDescent="0.25"/>
    <row r="249" s="103" customFormat="1" x14ac:dyDescent="0.25"/>
    <row r="250" s="103" customFormat="1" x14ac:dyDescent="0.25"/>
    <row r="251" s="103" customFormat="1" x14ac:dyDescent="0.25"/>
    <row r="252" s="103" customFormat="1" x14ac:dyDescent="0.25"/>
    <row r="253" s="103" customFormat="1" x14ac:dyDescent="0.25"/>
    <row r="254" s="103" customFormat="1" x14ac:dyDescent="0.25"/>
    <row r="255" s="103" customFormat="1" x14ac:dyDescent="0.25"/>
    <row r="256" s="103" customFormat="1" x14ac:dyDescent="0.25"/>
    <row r="257" s="103" customFormat="1" x14ac:dyDescent="0.25"/>
    <row r="258" s="103" customFormat="1" x14ac:dyDescent="0.25"/>
    <row r="259" s="103" customFormat="1" x14ac:dyDescent="0.25"/>
    <row r="260" s="103" customFormat="1" x14ac:dyDescent="0.25"/>
    <row r="261" s="103" customFormat="1" x14ac:dyDescent="0.25"/>
    <row r="262" s="103" customFormat="1" x14ac:dyDescent="0.25"/>
    <row r="263" s="103" customFormat="1" x14ac:dyDescent="0.25"/>
    <row r="264" s="103" customFormat="1" x14ac:dyDescent="0.25"/>
    <row r="265" s="103" customFormat="1" x14ac:dyDescent="0.25"/>
    <row r="266" s="103" customFormat="1" x14ac:dyDescent="0.25"/>
    <row r="267" s="103" customFormat="1" x14ac:dyDescent="0.25"/>
    <row r="268" s="103" customFormat="1" x14ac:dyDescent="0.25"/>
    <row r="269" s="103" customFormat="1" x14ac:dyDescent="0.25"/>
    <row r="270" s="103" customFormat="1" x14ac:dyDescent="0.25"/>
    <row r="271" s="103" customFormat="1" x14ac:dyDescent="0.25"/>
    <row r="272" s="103" customFormat="1" x14ac:dyDescent="0.25"/>
    <row r="273" s="103" customFormat="1" x14ac:dyDescent="0.25"/>
    <row r="274" s="103" customFormat="1" x14ac:dyDescent="0.25"/>
    <row r="275" s="103" customFormat="1" x14ac:dyDescent="0.25"/>
    <row r="276" s="103" customFormat="1" x14ac:dyDescent="0.25"/>
    <row r="277" s="103" customFormat="1" x14ac:dyDescent="0.25"/>
    <row r="278" s="103" customFormat="1" x14ac:dyDescent="0.25"/>
    <row r="279" s="103" customFormat="1" ht="12.75" customHeight="1" x14ac:dyDescent="0.25"/>
    <row r="280" s="103" customFormat="1" x14ac:dyDescent="0.25"/>
    <row r="281" s="103" customFormat="1" x14ac:dyDescent="0.25"/>
    <row r="282" s="103" customFormat="1" x14ac:dyDescent="0.25"/>
    <row r="283" s="103" customFormat="1" x14ac:dyDescent="0.25"/>
    <row r="284" s="103" customFormat="1" x14ac:dyDescent="0.25"/>
    <row r="285" s="103" customFormat="1" x14ac:dyDescent="0.25"/>
    <row r="286" s="103" customFormat="1" x14ac:dyDescent="0.25"/>
    <row r="287" s="103" customFormat="1" x14ac:dyDescent="0.25"/>
    <row r="288" s="103" customFormat="1" x14ac:dyDescent="0.25"/>
    <row r="289" s="103" customFormat="1" x14ac:dyDescent="0.25"/>
    <row r="290" s="103" customFormat="1" ht="12.75" customHeight="1" x14ac:dyDescent="0.25"/>
    <row r="291" s="103" customFormat="1" x14ac:dyDescent="0.25"/>
    <row r="292" s="103" customFormat="1" x14ac:dyDescent="0.25"/>
    <row r="293" s="103" customFormat="1" x14ac:dyDescent="0.25"/>
    <row r="294" s="103" customFormat="1" ht="12.75" customHeight="1" x14ac:dyDescent="0.25"/>
    <row r="295" s="103" customFormat="1" x14ac:dyDescent="0.25"/>
    <row r="296" s="103" customFormat="1" x14ac:dyDescent="0.25"/>
    <row r="297" s="103" customFormat="1" x14ac:dyDescent="0.25"/>
    <row r="298" s="103" customFormat="1" x14ac:dyDescent="0.25"/>
    <row r="299" s="103" customFormat="1" x14ac:dyDescent="0.25"/>
    <row r="300" s="103" customFormat="1" x14ac:dyDescent="0.25"/>
    <row r="301" s="103" customFormat="1" x14ac:dyDescent="0.25"/>
    <row r="302" s="103" customFormat="1" x14ac:dyDescent="0.25"/>
    <row r="303" s="103" customFormat="1" x14ac:dyDescent="0.25"/>
    <row r="304" s="103" customFormat="1" x14ac:dyDescent="0.25"/>
    <row r="305" s="103" customFormat="1" x14ac:dyDescent="0.25"/>
    <row r="306" s="103" customFormat="1" x14ac:dyDescent="0.25"/>
    <row r="307" s="103" customFormat="1" x14ac:dyDescent="0.25"/>
    <row r="308" s="103" customFormat="1" x14ac:dyDescent="0.25"/>
    <row r="309" s="103" customFormat="1" x14ac:dyDescent="0.25"/>
    <row r="310" s="103" customFormat="1" x14ac:dyDescent="0.25"/>
    <row r="311" s="103" customFormat="1" x14ac:dyDescent="0.25"/>
    <row r="312" s="103" customFormat="1" x14ac:dyDescent="0.25"/>
    <row r="313" s="103" customFormat="1" x14ac:dyDescent="0.25"/>
    <row r="314" s="103" customFormat="1" x14ac:dyDescent="0.25"/>
    <row r="315" s="103" customFormat="1" x14ac:dyDescent="0.25"/>
    <row r="316" s="103" customFormat="1" x14ac:dyDescent="0.25"/>
    <row r="317" s="103" customFormat="1" x14ac:dyDescent="0.25"/>
    <row r="318" s="103" customFormat="1" x14ac:dyDescent="0.25"/>
    <row r="319" s="103" customFormat="1" x14ac:dyDescent="0.25"/>
    <row r="320" s="103" customFormat="1" x14ac:dyDescent="0.25"/>
    <row r="321" s="103" customFormat="1" x14ac:dyDescent="0.25"/>
    <row r="322" s="103" customFormat="1" x14ac:dyDescent="0.25"/>
    <row r="323" s="103" customFormat="1" x14ac:dyDescent="0.25"/>
    <row r="324" s="103" customFormat="1" x14ac:dyDescent="0.25"/>
    <row r="325" s="103" customFormat="1" x14ac:dyDescent="0.25"/>
    <row r="326" s="103" customFormat="1" x14ac:dyDescent="0.25"/>
    <row r="327" s="103" customFormat="1" x14ac:dyDescent="0.25"/>
    <row r="328" s="103" customFormat="1" x14ac:dyDescent="0.25"/>
    <row r="329" s="103" customFormat="1" x14ac:dyDescent="0.25"/>
    <row r="330" s="103" customFormat="1" x14ac:dyDescent="0.25"/>
    <row r="331" s="103" customFormat="1" x14ac:dyDescent="0.25"/>
    <row r="332" s="103" customFormat="1" x14ac:dyDescent="0.25"/>
    <row r="333" s="103" customFormat="1" x14ac:dyDescent="0.25"/>
    <row r="334" s="103" customFormat="1" x14ac:dyDescent="0.25"/>
    <row r="335" s="103" customFormat="1" x14ac:dyDescent="0.25"/>
    <row r="336" s="103" customFormat="1" x14ac:dyDescent="0.25"/>
    <row r="337" s="103" customFormat="1" x14ac:dyDescent="0.25"/>
    <row r="338" s="103" customFormat="1" x14ac:dyDescent="0.25"/>
    <row r="339" s="103" customFormat="1" x14ac:dyDescent="0.25"/>
    <row r="340" s="103" customFormat="1" x14ac:dyDescent="0.25"/>
    <row r="341" s="103" customFormat="1" x14ac:dyDescent="0.25"/>
    <row r="342" s="103" customFormat="1" x14ac:dyDescent="0.25"/>
    <row r="343" s="103" customFormat="1" x14ac:dyDescent="0.25"/>
    <row r="344" s="103" customFormat="1" x14ac:dyDescent="0.25"/>
    <row r="345" s="103" customFormat="1" x14ac:dyDescent="0.25"/>
    <row r="346" s="103" customFormat="1" x14ac:dyDescent="0.25"/>
    <row r="347" s="103" customFormat="1" x14ac:dyDescent="0.25"/>
    <row r="348" s="103" customFormat="1" x14ac:dyDescent="0.25"/>
    <row r="349" s="103" customFormat="1" x14ac:dyDescent="0.25"/>
    <row r="350" s="103" customFormat="1" x14ac:dyDescent="0.25"/>
    <row r="351" s="103" customFormat="1" x14ac:dyDescent="0.25"/>
    <row r="352" s="103" customFormat="1" x14ac:dyDescent="0.25"/>
    <row r="353" s="103" customFormat="1" x14ac:dyDescent="0.25"/>
    <row r="354" s="103" customFormat="1" x14ac:dyDescent="0.25"/>
    <row r="355" s="103" customFormat="1" x14ac:dyDescent="0.25"/>
    <row r="356" s="103" customFormat="1" x14ac:dyDescent="0.25"/>
    <row r="357" s="103" customFormat="1" x14ac:dyDescent="0.25"/>
    <row r="358" s="103" customFormat="1" x14ac:dyDescent="0.25"/>
    <row r="359" s="103" customFormat="1" x14ac:dyDescent="0.25"/>
    <row r="360" s="103" customFormat="1" x14ac:dyDescent="0.25"/>
    <row r="361" s="103" customFormat="1" x14ac:dyDescent="0.25"/>
    <row r="362" s="103" customFormat="1" x14ac:dyDescent="0.25"/>
    <row r="363" s="103" customFormat="1" x14ac:dyDescent="0.25"/>
    <row r="364" s="103" customFormat="1" x14ac:dyDescent="0.25"/>
    <row r="365" s="103" customFormat="1" x14ac:dyDescent="0.25"/>
    <row r="366" s="103" customFormat="1" x14ac:dyDescent="0.25"/>
    <row r="367" s="103" customFormat="1" x14ac:dyDescent="0.25"/>
    <row r="368" s="103" customFormat="1" x14ac:dyDescent="0.25"/>
    <row r="369" s="103" customFormat="1" x14ac:dyDescent="0.25"/>
    <row r="370" s="103" customFormat="1" x14ac:dyDescent="0.25"/>
    <row r="371" s="103" customFormat="1" x14ac:dyDescent="0.25"/>
    <row r="372" s="103" customFormat="1" x14ac:dyDescent="0.25"/>
    <row r="373" s="103" customFormat="1" x14ac:dyDescent="0.25"/>
    <row r="374" s="103" customFormat="1" x14ac:dyDescent="0.25"/>
    <row r="375" s="103" customFormat="1" x14ac:dyDescent="0.25"/>
    <row r="376" s="103" customFormat="1" x14ac:dyDescent="0.25"/>
    <row r="377" s="103" customFormat="1" x14ac:dyDescent="0.25"/>
    <row r="378" s="103" customFormat="1" x14ac:dyDescent="0.25"/>
    <row r="379" s="103" customFormat="1" x14ac:dyDescent="0.25"/>
    <row r="380" s="103" customFormat="1" x14ac:dyDescent="0.25"/>
    <row r="381" s="103" customFormat="1" x14ac:dyDescent="0.25"/>
    <row r="382" s="103" customFormat="1" x14ac:dyDescent="0.25"/>
    <row r="383" s="103" customFormat="1" x14ac:dyDescent="0.25"/>
    <row r="384" s="103" customFormat="1" x14ac:dyDescent="0.25"/>
    <row r="385" s="103" customFormat="1" x14ac:dyDescent="0.25"/>
    <row r="386" s="103" customFormat="1" x14ac:dyDescent="0.25"/>
    <row r="387" s="103" customFormat="1" x14ac:dyDescent="0.25"/>
    <row r="388" s="103" customFormat="1" x14ac:dyDescent="0.25"/>
    <row r="389" s="103" customFormat="1" x14ac:dyDescent="0.25"/>
    <row r="390" s="103" customFormat="1" x14ac:dyDescent="0.25"/>
    <row r="391" s="103" customFormat="1" x14ac:dyDescent="0.25"/>
    <row r="392" s="103" customFormat="1" x14ac:dyDescent="0.25"/>
    <row r="393" s="103" customFormat="1" x14ac:dyDescent="0.25"/>
    <row r="394" s="103" customFormat="1" x14ac:dyDescent="0.25"/>
    <row r="395" s="103" customFormat="1" x14ac:dyDescent="0.25"/>
    <row r="396" s="103" customFormat="1" x14ac:dyDescent="0.25"/>
    <row r="397" s="103" customFormat="1" x14ac:dyDescent="0.25"/>
    <row r="398" s="103" customFormat="1" x14ac:dyDescent="0.25"/>
    <row r="399" s="103" customFormat="1" x14ac:dyDescent="0.25"/>
    <row r="400" s="103" customFormat="1" x14ac:dyDescent="0.25"/>
    <row r="401" s="103" customFormat="1" x14ac:dyDescent="0.25"/>
    <row r="402" s="103" customFormat="1" x14ac:dyDescent="0.25"/>
    <row r="403" s="103" customFormat="1" x14ac:dyDescent="0.25"/>
    <row r="404" s="103" customFormat="1" x14ac:dyDescent="0.25"/>
    <row r="405" s="103" customFormat="1" x14ac:dyDescent="0.25"/>
    <row r="406" s="103" customFormat="1" x14ac:dyDescent="0.25"/>
    <row r="407" s="103" customFormat="1" x14ac:dyDescent="0.25"/>
    <row r="408" s="103" customFormat="1" x14ac:dyDescent="0.25"/>
    <row r="409" s="103" customFormat="1" x14ac:dyDescent="0.25"/>
    <row r="410" s="103" customFormat="1" x14ac:dyDescent="0.25"/>
    <row r="411" s="103" customFormat="1" x14ac:dyDescent="0.25"/>
    <row r="412" s="103" customFormat="1" x14ac:dyDescent="0.25"/>
    <row r="413" s="103" customFormat="1" x14ac:dyDescent="0.25"/>
    <row r="414" s="103" customFormat="1" x14ac:dyDescent="0.25"/>
    <row r="415" s="103" customFormat="1" x14ac:dyDescent="0.25"/>
    <row r="416" s="103" customFormat="1" x14ac:dyDescent="0.25"/>
    <row r="417" s="103" customFormat="1" x14ac:dyDescent="0.25"/>
    <row r="418" s="103" customFormat="1" x14ac:dyDescent="0.25"/>
    <row r="419" s="103" customFormat="1" x14ac:dyDescent="0.25"/>
    <row r="420" s="103" customFormat="1" x14ac:dyDescent="0.25"/>
    <row r="421" s="103" customFormat="1" x14ac:dyDescent="0.25"/>
    <row r="422" s="103" customFormat="1" x14ac:dyDescent="0.25"/>
    <row r="423" s="103" customFormat="1" x14ac:dyDescent="0.25"/>
    <row r="424" s="103" customFormat="1" x14ac:dyDescent="0.25"/>
    <row r="425" s="103" customFormat="1" x14ac:dyDescent="0.25"/>
    <row r="426" s="103" customFormat="1" x14ac:dyDescent="0.25"/>
    <row r="427" s="103" customFormat="1" x14ac:dyDescent="0.25"/>
    <row r="428" s="103" customFormat="1" x14ac:dyDescent="0.25"/>
    <row r="429" s="103" customFormat="1" x14ac:dyDescent="0.25"/>
    <row r="430" s="103" customFormat="1" x14ac:dyDescent="0.25"/>
    <row r="431" s="103" customFormat="1" x14ac:dyDescent="0.25"/>
    <row r="432" s="103" customFormat="1" x14ac:dyDescent="0.25"/>
    <row r="433" s="103" customFormat="1" x14ac:dyDescent="0.25"/>
    <row r="434" s="103" customFormat="1" x14ac:dyDescent="0.25"/>
    <row r="435" s="103" customFormat="1" x14ac:dyDescent="0.25"/>
    <row r="436" s="103" customFormat="1" x14ac:dyDescent="0.25"/>
    <row r="437" s="103" customFormat="1" x14ac:dyDescent="0.25"/>
    <row r="438" s="103" customFormat="1" x14ac:dyDescent="0.25"/>
    <row r="439" s="103" customFormat="1" x14ac:dyDescent="0.25"/>
    <row r="440" s="103" customFormat="1" x14ac:dyDescent="0.25"/>
    <row r="441" s="103" customFormat="1" x14ac:dyDescent="0.25"/>
    <row r="442" s="103" customFormat="1" x14ac:dyDescent="0.25"/>
    <row r="443" s="103" customFormat="1" x14ac:dyDescent="0.25"/>
    <row r="444" s="103" customFormat="1" x14ac:dyDescent="0.25"/>
    <row r="445" s="103" customFormat="1" x14ac:dyDescent="0.25"/>
    <row r="446" s="103" customFormat="1" x14ac:dyDescent="0.25"/>
    <row r="447" s="103" customFormat="1" x14ac:dyDescent="0.25"/>
    <row r="448" s="103" customFormat="1" x14ac:dyDescent="0.25"/>
    <row r="449" s="103" customFormat="1" x14ac:dyDescent="0.25"/>
    <row r="450" s="103" customFormat="1" x14ac:dyDescent="0.25"/>
    <row r="451" s="103" customFormat="1" x14ac:dyDescent="0.25"/>
    <row r="452" s="103" customFormat="1" x14ac:dyDescent="0.25"/>
    <row r="453" s="103" customFormat="1" x14ac:dyDescent="0.25"/>
    <row r="454" s="103" customFormat="1" x14ac:dyDescent="0.25"/>
    <row r="455" s="103" customFormat="1" x14ac:dyDescent="0.25"/>
    <row r="456" s="103" customFormat="1" x14ac:dyDescent="0.25"/>
    <row r="457" s="103" customFormat="1" x14ac:dyDescent="0.25"/>
    <row r="458" s="103" customFormat="1" x14ac:dyDescent="0.25"/>
    <row r="459" s="103" customFormat="1" x14ac:dyDescent="0.25"/>
    <row r="460" s="103" customFormat="1" x14ac:dyDescent="0.25"/>
    <row r="461" s="103" customFormat="1" x14ac:dyDescent="0.25"/>
    <row r="462" s="103" customFormat="1" x14ac:dyDescent="0.25"/>
    <row r="463" s="103" customFormat="1" x14ac:dyDescent="0.25"/>
    <row r="464" s="103" customFormat="1" x14ac:dyDescent="0.25"/>
    <row r="465" s="103" customFormat="1" x14ac:dyDescent="0.25"/>
    <row r="466" s="103" customFormat="1" x14ac:dyDescent="0.25"/>
    <row r="467" s="103" customFormat="1" x14ac:dyDescent="0.25"/>
    <row r="468" s="103" customFormat="1" x14ac:dyDescent="0.25"/>
    <row r="469" s="103" customFormat="1" x14ac:dyDescent="0.25"/>
    <row r="470" s="103" customFormat="1" x14ac:dyDescent="0.25"/>
    <row r="471" s="103" customFormat="1" x14ac:dyDescent="0.25"/>
    <row r="472" s="103" customFormat="1" x14ac:dyDescent="0.25"/>
    <row r="473" s="103" customFormat="1" x14ac:dyDescent="0.25"/>
    <row r="474" s="103" customFormat="1" x14ac:dyDescent="0.25"/>
    <row r="475" s="103" customFormat="1" x14ac:dyDescent="0.25"/>
    <row r="476" s="103" customFormat="1" x14ac:dyDescent="0.25"/>
    <row r="477" s="103" customFormat="1" x14ac:dyDescent="0.25"/>
    <row r="478" s="103" customFormat="1" x14ac:dyDescent="0.25"/>
    <row r="479" s="103" customFormat="1" x14ac:dyDescent="0.25"/>
    <row r="480" s="103" customFormat="1" x14ac:dyDescent="0.25"/>
    <row r="481" s="103" customFormat="1" x14ac:dyDescent="0.25"/>
    <row r="482" s="103" customFormat="1" x14ac:dyDescent="0.25"/>
    <row r="483" s="103" customFormat="1" x14ac:dyDescent="0.25"/>
    <row r="484" s="103" customFormat="1" x14ac:dyDescent="0.25"/>
    <row r="485" s="103" customFormat="1" x14ac:dyDescent="0.25"/>
    <row r="486" s="103" customFormat="1" x14ac:dyDescent="0.25"/>
    <row r="487" s="103" customFormat="1" x14ac:dyDescent="0.25"/>
    <row r="488" s="103" customFormat="1" x14ac:dyDescent="0.25"/>
    <row r="489" s="103" customFormat="1" x14ac:dyDescent="0.25"/>
    <row r="490" s="103" customFormat="1" x14ac:dyDescent="0.25"/>
    <row r="491" s="103" customFormat="1" x14ac:dyDescent="0.25"/>
    <row r="492" s="103" customFormat="1" x14ac:dyDescent="0.25"/>
    <row r="493" s="103" customFormat="1" x14ac:dyDescent="0.25"/>
    <row r="494" s="103" customFormat="1" x14ac:dyDescent="0.25"/>
    <row r="495" s="103" customFormat="1" x14ac:dyDescent="0.25"/>
    <row r="496" s="103" customFormat="1" x14ac:dyDescent="0.25"/>
    <row r="497" s="103" customFormat="1" x14ac:dyDescent="0.25"/>
    <row r="498" s="103" customFormat="1" x14ac:dyDescent="0.25"/>
    <row r="499" s="103" customFormat="1" x14ac:dyDescent="0.25"/>
    <row r="500" s="103" customFormat="1" x14ac:dyDescent="0.25"/>
    <row r="501" s="103" customFormat="1" x14ac:dyDescent="0.25"/>
    <row r="502" s="103" customFormat="1" x14ac:dyDescent="0.25"/>
    <row r="503" s="103" customFormat="1" x14ac:dyDescent="0.25"/>
    <row r="504" s="103" customFormat="1" x14ac:dyDescent="0.25"/>
    <row r="505" s="103" customFormat="1" x14ac:dyDescent="0.25"/>
    <row r="506" s="103" customFormat="1" x14ac:dyDescent="0.25"/>
    <row r="507" s="103" customFormat="1" x14ac:dyDescent="0.25"/>
    <row r="508" s="103" customFormat="1" x14ac:dyDescent="0.25"/>
    <row r="509" s="103" customFormat="1" x14ac:dyDescent="0.25"/>
    <row r="510" s="103" customFormat="1" x14ac:dyDescent="0.25"/>
    <row r="511" s="103" customFormat="1" x14ac:dyDescent="0.25"/>
    <row r="512" s="103" customFormat="1" x14ac:dyDescent="0.25"/>
    <row r="513" s="103" customFormat="1" x14ac:dyDescent="0.25"/>
    <row r="514" s="103" customFormat="1" x14ac:dyDescent="0.25"/>
    <row r="515" s="103" customFormat="1" x14ac:dyDescent="0.25"/>
    <row r="516" s="103" customFormat="1" x14ac:dyDescent="0.25"/>
    <row r="517" s="103" customFormat="1" x14ac:dyDescent="0.25"/>
    <row r="518" s="103" customFormat="1" x14ac:dyDescent="0.25"/>
    <row r="519" s="103" customFormat="1" x14ac:dyDescent="0.25"/>
    <row r="520" s="103" customFormat="1" x14ac:dyDescent="0.25"/>
    <row r="521" s="103" customFormat="1" x14ac:dyDescent="0.25"/>
    <row r="522" s="103" customFormat="1" x14ac:dyDescent="0.25"/>
    <row r="523" s="103" customFormat="1" x14ac:dyDescent="0.25"/>
    <row r="524" s="103" customFormat="1" x14ac:dyDescent="0.25"/>
    <row r="525" s="103" customFormat="1" x14ac:dyDescent="0.25"/>
    <row r="526" s="103" customFormat="1" x14ac:dyDescent="0.25"/>
    <row r="527" s="103" customFormat="1" x14ac:dyDescent="0.25"/>
    <row r="528" s="103" customFormat="1" x14ac:dyDescent="0.25"/>
    <row r="529" s="103" customFormat="1" x14ac:dyDescent="0.25"/>
    <row r="530" s="103" customFormat="1" x14ac:dyDescent="0.25"/>
    <row r="531" s="103" customFormat="1" x14ac:dyDescent="0.25"/>
    <row r="532" s="103" customFormat="1" x14ac:dyDescent="0.25"/>
    <row r="533" s="103" customFormat="1" x14ac:dyDescent="0.25"/>
    <row r="534" s="103" customFormat="1" x14ac:dyDescent="0.25"/>
    <row r="535" s="103" customFormat="1" x14ac:dyDescent="0.25"/>
    <row r="536" s="103" customFormat="1" x14ac:dyDescent="0.25"/>
    <row r="537" s="103" customFormat="1" x14ac:dyDescent="0.25"/>
    <row r="538" s="103" customFormat="1" x14ac:dyDescent="0.25"/>
    <row r="539" s="103" customFormat="1" x14ac:dyDescent="0.25"/>
    <row r="540" s="103" customFormat="1" x14ac:dyDescent="0.25"/>
    <row r="541" s="103" customFormat="1" x14ac:dyDescent="0.25"/>
    <row r="542" s="103" customFormat="1" x14ac:dyDescent="0.25"/>
    <row r="543" s="103" customFormat="1" x14ac:dyDescent="0.25"/>
    <row r="544" s="103" customFormat="1" x14ac:dyDescent="0.25"/>
    <row r="545" s="103" customFormat="1" x14ac:dyDescent="0.25"/>
    <row r="546" s="103" customFormat="1" x14ac:dyDescent="0.25"/>
    <row r="547" s="103" customFormat="1" x14ac:dyDescent="0.25"/>
    <row r="548" s="103" customFormat="1" x14ac:dyDescent="0.25"/>
    <row r="549" s="103" customFormat="1" x14ac:dyDescent="0.25"/>
    <row r="550" s="103" customFormat="1" x14ac:dyDescent="0.25"/>
    <row r="551" s="103" customFormat="1" x14ac:dyDescent="0.25"/>
    <row r="552" s="103" customFormat="1" x14ac:dyDescent="0.25"/>
    <row r="553" s="103" customFormat="1" x14ac:dyDescent="0.25"/>
    <row r="554" s="103" customFormat="1" x14ac:dyDescent="0.25"/>
    <row r="555" s="103" customFormat="1" x14ac:dyDescent="0.25"/>
    <row r="556" s="103" customFormat="1" x14ac:dyDescent="0.25"/>
    <row r="557" s="103" customFormat="1" x14ac:dyDescent="0.25"/>
    <row r="558" s="103" customFormat="1" x14ac:dyDescent="0.25"/>
    <row r="559" s="103" customFormat="1" x14ac:dyDescent="0.25"/>
    <row r="560" s="103" customFormat="1" x14ac:dyDescent="0.25"/>
    <row r="561" s="103" customFormat="1" x14ac:dyDescent="0.25"/>
    <row r="562" s="103" customFormat="1" x14ac:dyDescent="0.25"/>
    <row r="563" s="103" customFormat="1" x14ac:dyDescent="0.25"/>
    <row r="564" s="103" customFormat="1" x14ac:dyDescent="0.25"/>
    <row r="565" s="103" customFormat="1" x14ac:dyDescent="0.25"/>
    <row r="566" s="103" customFormat="1" x14ac:dyDescent="0.25"/>
    <row r="567" s="103" customFormat="1" x14ac:dyDescent="0.25"/>
    <row r="568" s="103" customFormat="1" x14ac:dyDescent="0.25"/>
    <row r="569" s="103" customFormat="1" x14ac:dyDescent="0.25"/>
    <row r="570" s="103" customFormat="1" x14ac:dyDescent="0.25"/>
    <row r="571" s="103" customFormat="1" x14ac:dyDescent="0.25"/>
    <row r="572" s="103" customFormat="1" x14ac:dyDescent="0.25"/>
    <row r="573" s="103" customFormat="1" x14ac:dyDescent="0.25"/>
    <row r="574" s="103" customFormat="1" x14ac:dyDescent="0.25"/>
    <row r="575" s="103" customFormat="1" x14ac:dyDescent="0.25"/>
    <row r="576" s="103" customFormat="1" x14ac:dyDescent="0.25"/>
    <row r="577" s="103" customFormat="1" x14ac:dyDescent="0.25"/>
    <row r="578" s="103" customFormat="1" x14ac:dyDescent="0.25"/>
    <row r="579" s="103" customFormat="1" x14ac:dyDescent="0.25"/>
    <row r="580" s="103" customFormat="1" x14ac:dyDescent="0.25"/>
    <row r="581" s="103" customFormat="1" x14ac:dyDescent="0.25"/>
    <row r="582" s="103" customFormat="1" x14ac:dyDescent="0.25"/>
    <row r="583" s="103" customFormat="1" x14ac:dyDescent="0.25"/>
    <row r="584" s="103" customFormat="1" x14ac:dyDescent="0.25"/>
    <row r="585" s="103" customFormat="1" x14ac:dyDescent="0.25"/>
    <row r="586" s="103" customFormat="1" x14ac:dyDescent="0.25"/>
    <row r="587" s="103" customFormat="1" x14ac:dyDescent="0.25"/>
    <row r="588" s="103" customFormat="1" x14ac:dyDescent="0.25"/>
    <row r="589" s="103" customFormat="1" x14ac:dyDescent="0.25"/>
    <row r="590" s="103" customFormat="1" x14ac:dyDescent="0.25"/>
    <row r="591" s="103" customFormat="1" x14ac:dyDescent="0.25"/>
    <row r="592" s="103" customFormat="1" x14ac:dyDescent="0.25"/>
    <row r="593" s="103" customFormat="1" x14ac:dyDescent="0.25"/>
    <row r="594" s="103" customFormat="1" x14ac:dyDescent="0.25"/>
    <row r="595" s="103" customFormat="1" x14ac:dyDescent="0.25"/>
    <row r="596" s="103" customFormat="1" x14ac:dyDescent="0.25"/>
    <row r="597" s="103" customFormat="1" x14ac:dyDescent="0.25"/>
    <row r="598" s="103" customFormat="1" x14ac:dyDescent="0.25"/>
    <row r="599" s="103" customFormat="1" x14ac:dyDescent="0.25"/>
    <row r="600" s="103" customFormat="1" x14ac:dyDescent="0.25"/>
    <row r="601" s="103" customFormat="1" x14ac:dyDescent="0.25"/>
    <row r="602" s="103" customFormat="1" x14ac:dyDescent="0.25"/>
    <row r="603" s="103" customFormat="1" x14ac:dyDescent="0.25"/>
    <row r="604" s="103" customFormat="1" x14ac:dyDescent="0.25"/>
    <row r="605" s="103" customFormat="1" x14ac:dyDescent="0.25"/>
    <row r="606" s="103" customFormat="1" x14ac:dyDescent="0.25"/>
    <row r="607" s="103" customFormat="1" x14ac:dyDescent="0.25"/>
    <row r="608" s="103" customFormat="1" x14ac:dyDescent="0.25"/>
    <row r="609" s="103" customFormat="1" x14ac:dyDescent="0.25"/>
    <row r="610" s="103" customFormat="1" x14ac:dyDescent="0.25"/>
    <row r="611" s="103" customFormat="1" x14ac:dyDescent="0.25"/>
    <row r="612" s="103" customFormat="1" x14ac:dyDescent="0.25"/>
    <row r="613" s="103" customFormat="1" x14ac:dyDescent="0.25"/>
    <row r="614" s="103" customFormat="1" x14ac:dyDescent="0.25"/>
    <row r="615" s="103" customFormat="1" x14ac:dyDescent="0.25"/>
    <row r="616" s="103" customFormat="1" x14ac:dyDescent="0.25"/>
    <row r="617" s="103" customFormat="1" x14ac:dyDescent="0.25"/>
    <row r="618" s="103" customFormat="1" x14ac:dyDescent="0.25"/>
    <row r="619" s="103" customFormat="1" x14ac:dyDescent="0.25"/>
    <row r="620" s="103" customFormat="1" x14ac:dyDescent="0.25"/>
    <row r="621" s="103" customFormat="1" x14ac:dyDescent="0.25"/>
    <row r="622" s="103" customFormat="1" x14ac:dyDescent="0.25"/>
    <row r="623" s="103" customFormat="1" x14ac:dyDescent="0.25"/>
    <row r="624" s="103" customFormat="1" x14ac:dyDescent="0.25"/>
    <row r="625" s="103" customFormat="1" x14ac:dyDescent="0.25"/>
    <row r="626" s="103" customFormat="1" x14ac:dyDescent="0.25"/>
    <row r="627" s="103" customFormat="1" x14ac:dyDescent="0.25"/>
    <row r="628" s="103" customFormat="1" x14ac:dyDescent="0.25"/>
    <row r="629" s="103" customFormat="1" x14ac:dyDescent="0.25"/>
    <row r="630" s="103" customFormat="1" x14ac:dyDescent="0.25"/>
    <row r="631" s="103" customFormat="1" x14ac:dyDescent="0.25"/>
    <row r="632" s="103" customFormat="1" x14ac:dyDescent="0.25"/>
    <row r="633" s="103" customFormat="1" x14ac:dyDescent="0.25"/>
    <row r="634" s="103" customFormat="1" x14ac:dyDescent="0.25"/>
    <row r="635" s="103" customFormat="1" x14ac:dyDescent="0.25"/>
    <row r="636" s="103" customFormat="1" x14ac:dyDescent="0.25"/>
    <row r="637" s="103" customFormat="1" x14ac:dyDescent="0.25"/>
    <row r="638" s="103" customFormat="1" x14ac:dyDescent="0.25"/>
    <row r="639" s="103" customFormat="1" x14ac:dyDescent="0.25"/>
    <row r="640" s="103" customFormat="1" x14ac:dyDescent="0.25"/>
    <row r="641" s="103" customFormat="1" x14ac:dyDescent="0.25"/>
    <row r="642" s="103" customFormat="1" x14ac:dyDescent="0.25"/>
    <row r="643" s="103" customFormat="1" x14ac:dyDescent="0.25"/>
    <row r="644" s="103" customFormat="1" x14ac:dyDescent="0.25"/>
    <row r="645" s="103" customFormat="1" x14ac:dyDescent="0.25"/>
    <row r="646" s="103" customFormat="1" x14ac:dyDescent="0.25"/>
    <row r="647" s="103" customFormat="1" x14ac:dyDescent="0.25"/>
    <row r="648" s="103" customFormat="1" x14ac:dyDescent="0.25"/>
    <row r="649" s="103" customFormat="1" x14ac:dyDescent="0.25"/>
    <row r="650" s="103" customFormat="1" x14ac:dyDescent="0.25"/>
    <row r="651" s="103" customFormat="1" x14ac:dyDescent="0.25"/>
    <row r="652" s="103" customFormat="1" x14ac:dyDescent="0.25"/>
    <row r="653" s="103" customFormat="1" x14ac:dyDescent="0.25"/>
    <row r="654" s="103" customFormat="1" x14ac:dyDescent="0.25"/>
    <row r="655" s="103" customFormat="1" x14ac:dyDescent="0.25"/>
    <row r="656" s="103" customFormat="1" x14ac:dyDescent="0.25"/>
    <row r="657" s="103" customFormat="1" x14ac:dyDescent="0.25"/>
    <row r="658" s="103" customFormat="1" x14ac:dyDescent="0.25"/>
    <row r="659" s="103" customFormat="1" x14ac:dyDescent="0.25"/>
    <row r="660" s="103" customFormat="1" x14ac:dyDescent="0.25"/>
    <row r="661" s="103" customFormat="1" x14ac:dyDescent="0.25"/>
    <row r="662" s="103" customFormat="1" x14ac:dyDescent="0.25"/>
    <row r="663" s="103" customFormat="1" x14ac:dyDescent="0.25"/>
    <row r="664" s="103" customFormat="1" x14ac:dyDescent="0.25"/>
    <row r="665" s="103" customFormat="1" x14ac:dyDescent="0.25"/>
    <row r="666" s="103" customFormat="1" x14ac:dyDescent="0.25"/>
    <row r="667" s="103" customFormat="1" x14ac:dyDescent="0.25"/>
    <row r="668" s="103" customFormat="1" x14ac:dyDescent="0.25"/>
    <row r="669" s="103" customFormat="1" x14ac:dyDescent="0.25"/>
    <row r="670" s="103" customFormat="1" x14ac:dyDescent="0.25"/>
    <row r="671" s="103" customFormat="1" x14ac:dyDescent="0.25"/>
    <row r="672" s="103" customFormat="1" x14ac:dyDescent="0.25"/>
    <row r="673" s="103" customFormat="1" x14ac:dyDescent="0.25"/>
    <row r="674" s="103" customFormat="1" x14ac:dyDescent="0.25"/>
    <row r="675" s="103" customFormat="1" x14ac:dyDescent="0.25"/>
    <row r="676" s="103" customFormat="1" x14ac:dyDescent="0.25"/>
    <row r="677" s="103" customFormat="1" x14ac:dyDescent="0.25"/>
    <row r="678" s="103" customFormat="1" x14ac:dyDescent="0.25"/>
    <row r="679" s="103" customFormat="1" x14ac:dyDescent="0.25"/>
    <row r="680" s="103" customFormat="1" x14ac:dyDescent="0.25"/>
    <row r="681" s="103" customFormat="1" x14ac:dyDescent="0.25"/>
    <row r="682" s="103" customFormat="1" x14ac:dyDescent="0.25"/>
    <row r="683" s="103" customFormat="1" x14ac:dyDescent="0.25"/>
    <row r="684" s="103" customFormat="1" x14ac:dyDescent="0.25"/>
    <row r="685" s="103" customFormat="1" x14ac:dyDescent="0.25"/>
    <row r="686" s="103" customFormat="1" x14ac:dyDescent="0.25"/>
    <row r="687" s="103" customFormat="1" x14ac:dyDescent="0.25"/>
    <row r="688" s="103" customFormat="1" x14ac:dyDescent="0.25"/>
    <row r="689" s="103" customFormat="1" x14ac:dyDescent="0.25"/>
    <row r="690" s="103" customFormat="1" x14ac:dyDescent="0.25"/>
    <row r="691" s="103" customFormat="1" x14ac:dyDescent="0.25"/>
    <row r="692" s="103" customFormat="1" x14ac:dyDescent="0.25"/>
    <row r="693" s="103" customFormat="1" x14ac:dyDescent="0.25"/>
    <row r="694" s="103" customFormat="1" x14ac:dyDescent="0.25"/>
    <row r="695" s="103" customFormat="1" x14ac:dyDescent="0.25"/>
    <row r="696" s="103" customFormat="1" x14ac:dyDescent="0.25"/>
    <row r="697" s="103" customFormat="1" x14ac:dyDescent="0.25"/>
    <row r="698" s="103" customFormat="1" x14ac:dyDescent="0.25"/>
    <row r="699" s="103" customFormat="1" x14ac:dyDescent="0.25"/>
    <row r="700" s="103" customFormat="1" x14ac:dyDescent="0.25"/>
    <row r="701" s="103" customFormat="1" x14ac:dyDescent="0.25"/>
    <row r="702" s="103" customFormat="1" x14ac:dyDescent="0.25"/>
    <row r="703" s="103" customFormat="1" x14ac:dyDescent="0.25"/>
    <row r="704" s="103" customFormat="1" x14ac:dyDescent="0.25"/>
    <row r="705" s="103" customFormat="1" x14ac:dyDescent="0.25"/>
    <row r="706" s="103" customFormat="1" x14ac:dyDescent="0.25"/>
    <row r="707" s="103" customFormat="1" x14ac:dyDescent="0.25"/>
    <row r="708" s="103" customFormat="1" x14ac:dyDescent="0.25"/>
    <row r="709" s="103" customFormat="1" x14ac:dyDescent="0.25"/>
    <row r="710" s="103" customFormat="1" x14ac:dyDescent="0.25"/>
    <row r="711" s="103" customFormat="1" x14ac:dyDescent="0.25"/>
    <row r="712" s="103" customFormat="1" x14ac:dyDescent="0.25"/>
    <row r="713" s="103" customFormat="1" x14ac:dyDescent="0.25"/>
    <row r="714" s="103" customFormat="1" x14ac:dyDescent="0.25"/>
    <row r="715" s="103" customFormat="1" x14ac:dyDescent="0.25"/>
    <row r="716" s="103" customFormat="1" x14ac:dyDescent="0.25"/>
    <row r="717" s="103" customFormat="1" x14ac:dyDescent="0.25"/>
    <row r="718" s="103" customFormat="1" x14ac:dyDescent="0.25"/>
    <row r="719" s="103" customFormat="1" x14ac:dyDescent="0.25"/>
    <row r="720" s="103" customFormat="1" x14ac:dyDescent="0.25"/>
    <row r="721" s="103" customFormat="1" x14ac:dyDescent="0.25"/>
    <row r="722" s="103" customFormat="1" x14ac:dyDescent="0.25"/>
    <row r="723" s="103" customFormat="1" x14ac:dyDescent="0.25"/>
    <row r="724" s="103" customFormat="1" x14ac:dyDescent="0.25"/>
    <row r="725" s="103" customFormat="1" x14ac:dyDescent="0.25"/>
    <row r="726" s="103" customFormat="1" x14ac:dyDescent="0.25"/>
    <row r="727" s="103" customFormat="1" x14ac:dyDescent="0.25"/>
    <row r="728" s="103" customFormat="1" x14ac:dyDescent="0.25"/>
    <row r="729" s="103" customFormat="1" x14ac:dyDescent="0.25"/>
    <row r="730" s="103" customFormat="1" x14ac:dyDescent="0.25"/>
    <row r="731" s="103" customFormat="1" x14ac:dyDescent="0.25"/>
    <row r="732" s="103" customFormat="1" x14ac:dyDescent="0.25"/>
    <row r="733" s="103" customFormat="1" x14ac:dyDescent="0.25"/>
    <row r="734" s="103" customFormat="1" x14ac:dyDescent="0.25"/>
    <row r="735" s="103" customFormat="1" x14ac:dyDescent="0.25"/>
    <row r="736" s="103" customFormat="1" x14ac:dyDescent="0.25"/>
    <row r="737" s="103" customFormat="1" x14ac:dyDescent="0.25"/>
    <row r="738" s="103" customFormat="1" x14ac:dyDescent="0.25"/>
    <row r="739" s="103" customFormat="1" x14ac:dyDescent="0.25"/>
    <row r="740" s="103" customFormat="1" x14ac:dyDescent="0.25"/>
    <row r="741" s="103" customFormat="1" x14ac:dyDescent="0.25"/>
    <row r="742" s="103" customFormat="1" x14ac:dyDescent="0.25"/>
    <row r="743" s="103" customFormat="1" x14ac:dyDescent="0.25"/>
    <row r="744" s="103" customFormat="1" x14ac:dyDescent="0.25"/>
    <row r="745" s="103" customFormat="1" x14ac:dyDescent="0.25"/>
    <row r="746" s="103" customFormat="1" x14ac:dyDescent="0.25"/>
    <row r="747" s="103" customFormat="1" x14ac:dyDescent="0.25"/>
    <row r="748" s="103" customFormat="1" x14ac:dyDescent="0.25"/>
    <row r="749" s="103" customFormat="1" x14ac:dyDescent="0.25"/>
    <row r="750" s="103" customFormat="1" x14ac:dyDescent="0.25"/>
    <row r="751" s="103" customFormat="1" x14ac:dyDescent="0.25"/>
    <row r="752" s="103" customFormat="1" x14ac:dyDescent="0.25"/>
    <row r="753" s="103" customFormat="1" x14ac:dyDescent="0.25"/>
    <row r="754" s="103" customFormat="1" x14ac:dyDescent="0.25"/>
    <row r="755" s="103" customFormat="1" x14ac:dyDescent="0.25"/>
    <row r="756" s="103" customFormat="1" x14ac:dyDescent="0.25"/>
    <row r="757" s="103" customFormat="1" x14ac:dyDescent="0.25"/>
    <row r="758" s="103" customFormat="1" x14ac:dyDescent="0.25"/>
    <row r="759" s="103" customFormat="1" x14ac:dyDescent="0.25"/>
    <row r="760" s="103" customFormat="1" x14ac:dyDescent="0.25"/>
    <row r="761" s="103" customFormat="1" x14ac:dyDescent="0.25"/>
    <row r="762" s="103" customFormat="1" x14ac:dyDescent="0.25"/>
    <row r="763" s="103" customFormat="1" x14ac:dyDescent="0.25"/>
    <row r="764" s="103" customFormat="1" x14ac:dyDescent="0.25"/>
    <row r="765" s="103" customFormat="1" x14ac:dyDescent="0.25"/>
    <row r="766" s="103" customFormat="1" x14ac:dyDescent="0.25"/>
    <row r="767" s="103" customFormat="1" x14ac:dyDescent="0.25"/>
    <row r="768" s="103" customFormat="1" x14ac:dyDescent="0.25"/>
    <row r="769" s="103" customFormat="1" x14ac:dyDescent="0.25"/>
    <row r="770" s="103" customFormat="1" x14ac:dyDescent="0.25"/>
    <row r="771" s="103" customFormat="1" x14ac:dyDescent="0.25"/>
    <row r="772" s="103" customFormat="1" x14ac:dyDescent="0.25"/>
    <row r="773" s="103" customFormat="1" x14ac:dyDescent="0.25"/>
    <row r="774" s="103" customFormat="1" x14ac:dyDescent="0.25"/>
    <row r="775" s="103" customFormat="1" x14ac:dyDescent="0.25"/>
    <row r="776" s="103" customFormat="1" x14ac:dyDescent="0.25"/>
    <row r="777" s="103" customFormat="1" x14ac:dyDescent="0.25"/>
    <row r="778" s="103" customFormat="1" x14ac:dyDescent="0.25"/>
    <row r="779" s="103" customFormat="1" x14ac:dyDescent="0.25"/>
    <row r="780" s="103" customFormat="1" x14ac:dyDescent="0.25"/>
    <row r="781" s="103" customFormat="1" x14ac:dyDescent="0.25"/>
    <row r="782" s="103" customFormat="1" x14ac:dyDescent="0.25"/>
    <row r="783" s="103" customFormat="1" x14ac:dyDescent="0.25"/>
    <row r="784" s="103" customFormat="1" x14ac:dyDescent="0.25"/>
    <row r="785" s="103" customFormat="1" x14ac:dyDescent="0.25"/>
    <row r="786" s="103" customFormat="1" x14ac:dyDescent="0.25"/>
    <row r="787" s="103" customFormat="1" x14ac:dyDescent="0.25"/>
    <row r="788" s="103" customFormat="1" x14ac:dyDescent="0.25"/>
    <row r="789" s="103" customFormat="1" x14ac:dyDescent="0.25"/>
    <row r="790" s="103" customFormat="1" x14ac:dyDescent="0.25"/>
    <row r="791" s="103" customFormat="1" x14ac:dyDescent="0.25"/>
    <row r="792" s="103" customFormat="1" x14ac:dyDescent="0.25"/>
    <row r="793" s="103" customFormat="1" x14ac:dyDescent="0.25"/>
    <row r="794" s="103" customFormat="1" x14ac:dyDescent="0.25"/>
    <row r="795" s="103" customFormat="1" x14ac:dyDescent="0.25"/>
    <row r="796" s="103" customFormat="1" x14ac:dyDescent="0.25"/>
    <row r="797" s="103" customFormat="1" x14ac:dyDescent="0.25"/>
    <row r="798" s="103" customFormat="1" x14ac:dyDescent="0.25"/>
    <row r="799" s="103" customFormat="1" x14ac:dyDescent="0.25"/>
    <row r="800" s="103" customFormat="1" x14ac:dyDescent="0.25"/>
    <row r="801" s="103" customFormat="1" x14ac:dyDescent="0.25"/>
    <row r="802" s="103" customFormat="1" x14ac:dyDescent="0.25"/>
    <row r="803" s="103" customFormat="1" x14ac:dyDescent="0.25"/>
    <row r="804" s="103" customFormat="1" x14ac:dyDescent="0.25"/>
    <row r="805" s="103" customFormat="1" x14ac:dyDescent="0.25"/>
    <row r="806" s="103" customFormat="1" x14ac:dyDescent="0.25"/>
    <row r="807" s="103" customFormat="1" x14ac:dyDescent="0.25"/>
    <row r="808" s="103" customFormat="1" x14ac:dyDescent="0.25"/>
    <row r="809" s="103" customFormat="1" x14ac:dyDescent="0.25"/>
    <row r="810" s="103" customFormat="1" x14ac:dyDescent="0.25"/>
    <row r="811" s="103" customFormat="1" x14ac:dyDescent="0.25"/>
    <row r="812" s="103" customFormat="1" x14ac:dyDescent="0.25"/>
    <row r="813" s="103" customFormat="1" x14ac:dyDescent="0.25"/>
    <row r="814" s="103" customFormat="1" x14ac:dyDescent="0.25"/>
    <row r="815" s="103" customFormat="1" x14ac:dyDescent="0.25"/>
    <row r="816" s="103" customFormat="1" x14ac:dyDescent="0.25"/>
    <row r="817" s="103" customFormat="1" x14ac:dyDescent="0.25"/>
    <row r="818" s="103" customFormat="1" x14ac:dyDescent="0.25"/>
    <row r="819" s="103" customFormat="1" x14ac:dyDescent="0.25"/>
    <row r="820" s="103" customFormat="1" x14ac:dyDescent="0.25"/>
    <row r="821" s="103" customFormat="1" x14ac:dyDescent="0.25"/>
    <row r="822" s="103" customFormat="1" x14ac:dyDescent="0.25"/>
    <row r="823" s="103" customFormat="1" x14ac:dyDescent="0.25"/>
    <row r="824" s="103" customFormat="1" x14ac:dyDescent="0.25"/>
    <row r="825" s="103" customFormat="1" x14ac:dyDescent="0.25"/>
    <row r="826" s="103" customFormat="1" x14ac:dyDescent="0.25"/>
    <row r="827" s="103" customFormat="1" x14ac:dyDescent="0.25"/>
    <row r="828" s="103" customFormat="1" x14ac:dyDescent="0.25"/>
    <row r="829" s="103" customFormat="1" x14ac:dyDescent="0.25"/>
    <row r="830" s="103" customFormat="1" x14ac:dyDescent="0.25"/>
    <row r="831" s="103" customFormat="1" x14ac:dyDescent="0.25"/>
    <row r="832" s="103" customFormat="1" x14ac:dyDescent="0.25"/>
    <row r="833" s="103" customFormat="1" x14ac:dyDescent="0.25"/>
    <row r="834" s="103" customFormat="1" x14ac:dyDescent="0.25"/>
    <row r="835" s="103" customFormat="1" x14ac:dyDescent="0.25"/>
    <row r="836" s="103" customFormat="1" x14ac:dyDescent="0.25"/>
    <row r="837" s="103" customFormat="1" x14ac:dyDescent="0.25"/>
    <row r="838" s="103" customFormat="1" x14ac:dyDescent="0.25"/>
    <row r="839" s="103" customFormat="1" x14ac:dyDescent="0.25"/>
    <row r="840" s="103" customFormat="1" x14ac:dyDescent="0.25"/>
    <row r="841" s="103" customFormat="1" x14ac:dyDescent="0.25"/>
    <row r="842" s="103" customFormat="1" x14ac:dyDescent="0.25"/>
    <row r="843" s="103" customFormat="1" x14ac:dyDescent="0.25"/>
    <row r="844" s="103" customFormat="1" x14ac:dyDescent="0.25"/>
    <row r="845" s="103" customFormat="1" x14ac:dyDescent="0.25"/>
    <row r="846" s="103" customFormat="1" x14ac:dyDescent="0.25"/>
    <row r="847" s="103" customFormat="1" x14ac:dyDescent="0.25"/>
    <row r="848" s="103" customFormat="1" x14ac:dyDescent="0.25"/>
    <row r="849" s="103" customFormat="1" x14ac:dyDescent="0.25"/>
    <row r="850" s="103" customFormat="1" x14ac:dyDescent="0.25"/>
    <row r="851" s="103" customFormat="1" x14ac:dyDescent="0.25"/>
    <row r="852" s="103" customFormat="1" x14ac:dyDescent="0.25"/>
    <row r="853" s="103" customFormat="1" x14ac:dyDescent="0.25"/>
    <row r="854" s="103" customFormat="1" x14ac:dyDescent="0.25"/>
    <row r="855" s="103" customFormat="1" x14ac:dyDescent="0.25"/>
    <row r="856" s="103" customFormat="1" x14ac:dyDescent="0.25"/>
    <row r="857" s="103" customFormat="1" x14ac:dyDescent="0.25"/>
    <row r="858" s="103" customFormat="1" x14ac:dyDescent="0.25"/>
    <row r="859" s="103" customFormat="1" x14ac:dyDescent="0.25"/>
    <row r="860" s="103" customFormat="1" x14ac:dyDescent="0.25"/>
    <row r="861" s="103" customFormat="1" x14ac:dyDescent="0.25"/>
    <row r="862" s="103" customFormat="1" x14ac:dyDescent="0.25"/>
    <row r="863" s="103" customFormat="1" x14ac:dyDescent="0.25"/>
    <row r="864" s="103" customFormat="1" x14ac:dyDescent="0.25"/>
    <row r="865" s="103" customFormat="1" x14ac:dyDescent="0.25"/>
    <row r="866" s="103" customFormat="1" x14ac:dyDescent="0.25"/>
    <row r="867" s="103" customFormat="1" x14ac:dyDescent="0.25"/>
    <row r="868" s="103" customFormat="1" x14ac:dyDescent="0.25"/>
    <row r="869" s="103" customFormat="1" x14ac:dyDescent="0.25"/>
    <row r="870" s="103" customFormat="1" x14ac:dyDescent="0.25"/>
    <row r="871" s="103" customFormat="1" x14ac:dyDescent="0.25"/>
    <row r="872" s="103" customFormat="1" x14ac:dyDescent="0.25"/>
    <row r="873" s="103" customFormat="1" x14ac:dyDescent="0.25"/>
    <row r="874" s="103" customFormat="1" x14ac:dyDescent="0.25"/>
    <row r="875" s="103" customFormat="1" x14ac:dyDescent="0.25"/>
    <row r="876" s="103" customFormat="1" x14ac:dyDescent="0.25"/>
    <row r="877" s="103" customFormat="1" x14ac:dyDescent="0.25"/>
    <row r="878" s="103" customFormat="1" x14ac:dyDescent="0.25"/>
    <row r="879" s="103" customFormat="1" x14ac:dyDescent="0.25"/>
    <row r="880" s="103" customFormat="1" x14ac:dyDescent="0.25"/>
    <row r="881" s="103" customFormat="1" x14ac:dyDescent="0.25"/>
    <row r="882" s="103" customFormat="1" x14ac:dyDescent="0.25"/>
    <row r="883" s="103" customFormat="1" x14ac:dyDescent="0.25"/>
    <row r="884" s="103" customFormat="1" x14ac:dyDescent="0.25"/>
    <row r="885" s="103" customFormat="1" x14ac:dyDescent="0.25"/>
    <row r="886" s="103" customFormat="1" x14ac:dyDescent="0.25"/>
    <row r="887" s="103" customFormat="1" x14ac:dyDescent="0.25"/>
    <row r="888" s="103" customFormat="1" x14ac:dyDescent="0.25"/>
    <row r="889" s="103" customFormat="1" x14ac:dyDescent="0.25"/>
    <row r="890" s="103" customFormat="1" x14ac:dyDescent="0.25"/>
    <row r="891" s="103" customFormat="1" x14ac:dyDescent="0.25"/>
    <row r="892" s="103" customFormat="1" x14ac:dyDescent="0.25"/>
    <row r="893" s="103" customFormat="1" x14ac:dyDescent="0.25"/>
    <row r="894" s="103" customFormat="1" x14ac:dyDescent="0.25"/>
    <row r="895" s="103" customFormat="1" x14ac:dyDescent="0.25"/>
    <row r="896" s="103" customFormat="1" x14ac:dyDescent="0.25"/>
    <row r="897" s="103" customFormat="1" x14ac:dyDescent="0.25"/>
    <row r="898" s="103" customFormat="1" x14ac:dyDescent="0.25"/>
    <row r="899" s="103" customFormat="1" x14ac:dyDescent="0.25"/>
    <row r="900" s="103" customFormat="1" x14ac:dyDescent="0.25"/>
    <row r="901" s="103" customFormat="1" x14ac:dyDescent="0.25"/>
    <row r="902" s="103" customFormat="1" x14ac:dyDescent="0.25"/>
    <row r="903" s="103" customFormat="1" x14ac:dyDescent="0.25"/>
    <row r="904" s="103" customFormat="1" x14ac:dyDescent="0.25"/>
    <row r="905" s="103" customFormat="1" x14ac:dyDescent="0.25"/>
    <row r="906" s="103" customFormat="1" x14ac:dyDescent="0.25"/>
    <row r="907" s="103" customFormat="1" x14ac:dyDescent="0.25"/>
    <row r="908" s="103" customFormat="1" x14ac:dyDescent="0.25"/>
    <row r="909" s="103" customFormat="1" x14ac:dyDescent="0.25"/>
    <row r="910" s="103" customFormat="1" x14ac:dyDescent="0.25"/>
    <row r="911" s="103" customFormat="1" x14ac:dyDescent="0.25"/>
    <row r="912" s="103" customFormat="1" x14ac:dyDescent="0.25"/>
    <row r="913" s="103" customFormat="1" x14ac:dyDescent="0.25"/>
    <row r="914" s="103" customFormat="1" x14ac:dyDescent="0.25"/>
    <row r="915" s="103" customFormat="1" x14ac:dyDescent="0.25"/>
    <row r="916" s="103" customFormat="1" x14ac:dyDescent="0.25"/>
    <row r="917" s="103" customFormat="1" x14ac:dyDescent="0.25"/>
    <row r="918" s="103" customFormat="1" x14ac:dyDescent="0.25"/>
    <row r="919" s="103" customFormat="1" x14ac:dyDescent="0.25"/>
    <row r="920" s="103" customFormat="1" x14ac:dyDescent="0.25"/>
    <row r="921" s="103" customFormat="1" x14ac:dyDescent="0.25"/>
    <row r="922" s="103" customFormat="1" x14ac:dyDescent="0.25"/>
    <row r="923" s="103" customFormat="1" x14ac:dyDescent="0.25"/>
    <row r="924" s="103" customFormat="1" x14ac:dyDescent="0.25"/>
    <row r="925" s="103" customFormat="1" x14ac:dyDescent="0.25"/>
    <row r="926" s="103" customFormat="1" x14ac:dyDescent="0.25"/>
    <row r="927" s="103" customFormat="1" x14ac:dyDescent="0.25"/>
    <row r="928" s="103" customFormat="1" x14ac:dyDescent="0.25"/>
    <row r="929" s="103" customFormat="1" x14ac:dyDescent="0.25"/>
    <row r="930" s="103" customFormat="1" x14ac:dyDescent="0.25"/>
    <row r="931" s="103" customFormat="1" x14ac:dyDescent="0.25"/>
    <row r="932" s="103" customFormat="1" x14ac:dyDescent="0.25"/>
    <row r="933" s="103" customFormat="1" x14ac:dyDescent="0.25"/>
    <row r="934" s="103" customFormat="1" x14ac:dyDescent="0.25"/>
    <row r="935" s="103" customFormat="1" x14ac:dyDescent="0.25"/>
    <row r="936" s="103" customFormat="1" x14ac:dyDescent="0.25"/>
    <row r="937" s="103" customFormat="1" x14ac:dyDescent="0.25"/>
    <row r="938" s="103" customFormat="1" x14ac:dyDescent="0.25"/>
    <row r="939" s="103" customFormat="1" x14ac:dyDescent="0.25"/>
    <row r="940" s="103" customFormat="1" x14ac:dyDescent="0.25"/>
    <row r="941" s="103" customFormat="1" x14ac:dyDescent="0.25"/>
    <row r="942" s="103" customFormat="1" x14ac:dyDescent="0.25"/>
    <row r="943" s="103" customFormat="1" x14ac:dyDescent="0.25"/>
    <row r="944" s="103" customFormat="1" x14ac:dyDescent="0.25"/>
    <row r="945" s="103" customFormat="1" x14ac:dyDescent="0.25"/>
    <row r="946" s="103" customFormat="1" x14ac:dyDescent="0.25"/>
    <row r="947" s="103" customFormat="1" x14ac:dyDescent="0.25"/>
    <row r="948" s="103" customFormat="1" x14ac:dyDescent="0.25"/>
    <row r="949" s="103" customFormat="1" x14ac:dyDescent="0.25"/>
    <row r="950" s="103" customFormat="1" x14ac:dyDescent="0.25"/>
    <row r="951" s="103" customFormat="1" x14ac:dyDescent="0.25"/>
    <row r="952" s="103" customFormat="1" x14ac:dyDescent="0.25"/>
    <row r="953" s="103" customFormat="1" x14ac:dyDescent="0.25"/>
    <row r="954" s="103" customFormat="1" x14ac:dyDescent="0.25"/>
    <row r="955" s="103" customFormat="1" x14ac:dyDescent="0.25"/>
    <row r="956" s="103" customFormat="1" x14ac:dyDescent="0.25"/>
    <row r="957" s="103" customFormat="1" x14ac:dyDescent="0.25"/>
    <row r="958" s="103" customFormat="1" x14ac:dyDescent="0.25"/>
    <row r="959" s="103" customFormat="1" x14ac:dyDescent="0.25"/>
    <row r="960" s="103" customFormat="1" x14ac:dyDescent="0.25"/>
    <row r="961" s="103" customFormat="1" x14ac:dyDescent="0.25"/>
    <row r="962" s="103" customFormat="1" x14ac:dyDescent="0.25"/>
    <row r="963" s="103" customFormat="1" x14ac:dyDescent="0.25"/>
    <row r="964" s="103" customFormat="1" x14ac:dyDescent="0.25"/>
    <row r="965" s="103" customFormat="1" x14ac:dyDescent="0.25"/>
    <row r="966" s="103" customFormat="1" x14ac:dyDescent="0.25"/>
    <row r="967" s="103" customFormat="1" x14ac:dyDescent="0.25"/>
    <row r="968" s="103" customFormat="1" x14ac:dyDescent="0.25"/>
    <row r="969" s="103" customFormat="1" x14ac:dyDescent="0.25"/>
    <row r="970" s="103" customFormat="1" x14ac:dyDescent="0.25"/>
    <row r="971" s="103" customFormat="1" x14ac:dyDescent="0.25"/>
    <row r="972" s="103" customFormat="1" x14ac:dyDescent="0.25"/>
    <row r="973" s="103" customFormat="1" x14ac:dyDescent="0.25"/>
    <row r="974" s="103" customFormat="1" x14ac:dyDescent="0.25"/>
    <row r="975" s="103" customFormat="1" x14ac:dyDescent="0.25"/>
    <row r="976" s="103" customFormat="1" x14ac:dyDescent="0.25"/>
    <row r="977" s="103" customFormat="1" x14ac:dyDescent="0.25"/>
    <row r="978" s="103" customFormat="1" x14ac:dyDescent="0.25"/>
    <row r="979" s="103" customFormat="1" x14ac:dyDescent="0.25"/>
    <row r="980" s="103" customFormat="1" x14ac:dyDescent="0.25"/>
    <row r="981" s="103" customFormat="1" x14ac:dyDescent="0.25"/>
    <row r="982" s="103" customFormat="1" x14ac:dyDescent="0.25"/>
    <row r="983" s="103" customFormat="1" x14ac:dyDescent="0.25"/>
    <row r="984" s="103" customFormat="1" x14ac:dyDescent="0.25"/>
    <row r="985" s="103" customFormat="1" x14ac:dyDescent="0.25"/>
    <row r="986" s="103" customFormat="1" x14ac:dyDescent="0.25"/>
    <row r="987" s="103" customFormat="1" x14ac:dyDescent="0.25"/>
    <row r="988" s="103" customFormat="1" x14ac:dyDescent="0.25"/>
    <row r="989" s="103" customFormat="1" x14ac:dyDescent="0.25"/>
    <row r="990" s="103" customFormat="1" x14ac:dyDescent="0.25"/>
    <row r="991" s="103" customFormat="1" x14ac:dyDescent="0.25"/>
    <row r="992" s="103" customFormat="1" x14ac:dyDescent="0.25"/>
    <row r="993" s="103" customFormat="1" x14ac:dyDescent="0.25"/>
    <row r="994" s="103" customFormat="1" x14ac:dyDescent="0.25"/>
    <row r="995" s="103" customFormat="1" x14ac:dyDescent="0.25"/>
    <row r="996" s="103" customFormat="1" x14ac:dyDescent="0.25"/>
    <row r="997" s="103" customFormat="1" x14ac:dyDescent="0.25"/>
    <row r="998" s="103" customFormat="1" x14ac:dyDescent="0.25"/>
    <row r="999" s="103" customFormat="1" x14ac:dyDescent="0.25"/>
    <row r="1000" s="103" customFormat="1" x14ac:dyDescent="0.25"/>
    <row r="1001" s="103" customFormat="1" x14ac:dyDescent="0.25"/>
    <row r="1002" s="103" customFormat="1" x14ac:dyDescent="0.25"/>
    <row r="1003" s="103" customFormat="1" x14ac:dyDescent="0.25"/>
    <row r="1004" s="103" customFormat="1" x14ac:dyDescent="0.25"/>
    <row r="1005" s="103" customFormat="1" x14ac:dyDescent="0.25"/>
    <row r="1006" s="103" customFormat="1" x14ac:dyDescent="0.25"/>
    <row r="1007" s="103" customFormat="1" x14ac:dyDescent="0.25"/>
    <row r="1008" s="103" customFormat="1" x14ac:dyDescent="0.25"/>
    <row r="1009" s="103" customFormat="1" x14ac:dyDescent="0.25"/>
    <row r="1010" s="103" customFormat="1" x14ac:dyDescent="0.25"/>
    <row r="1011" s="103" customFormat="1" x14ac:dyDescent="0.25"/>
    <row r="1012" s="103" customFormat="1" x14ac:dyDescent="0.25"/>
    <row r="1013" s="103" customFormat="1" x14ac:dyDescent="0.25"/>
    <row r="1014" s="103" customFormat="1" x14ac:dyDescent="0.25"/>
    <row r="1015" s="103" customFormat="1" x14ac:dyDescent="0.25"/>
    <row r="1016" s="103" customFormat="1" x14ac:dyDescent="0.25"/>
    <row r="1017" s="103" customFormat="1" x14ac:dyDescent="0.25"/>
    <row r="1018" s="103" customFormat="1" x14ac:dyDescent="0.25"/>
    <row r="1019" s="103" customFormat="1" x14ac:dyDescent="0.25"/>
    <row r="1020" s="103" customFormat="1" x14ac:dyDescent="0.25"/>
    <row r="1021" s="103" customFormat="1" x14ac:dyDescent="0.25"/>
    <row r="1022" s="103" customFormat="1" x14ac:dyDescent="0.25"/>
    <row r="1023" s="103" customFormat="1" x14ac:dyDescent="0.25"/>
    <row r="1024" s="103" customFormat="1" x14ac:dyDescent="0.25"/>
    <row r="1025" s="103" customFormat="1" x14ac:dyDescent="0.25"/>
    <row r="1026" s="103" customFormat="1" x14ac:dyDescent="0.25"/>
    <row r="1027" s="103" customFormat="1" x14ac:dyDescent="0.25"/>
    <row r="1028" s="103" customFormat="1" x14ac:dyDescent="0.25"/>
    <row r="1029" s="103" customFormat="1" x14ac:dyDescent="0.25"/>
    <row r="1030" s="103" customFormat="1" x14ac:dyDescent="0.25"/>
    <row r="1031" s="103" customFormat="1" x14ac:dyDescent="0.25"/>
    <row r="1032" s="103" customFormat="1" x14ac:dyDescent="0.25"/>
    <row r="1033" s="103" customFormat="1" x14ac:dyDescent="0.25"/>
    <row r="1034" s="103" customFormat="1" x14ac:dyDescent="0.25"/>
    <row r="1035" s="103" customFormat="1" x14ac:dyDescent="0.25"/>
    <row r="1036" s="103" customFormat="1" x14ac:dyDescent="0.25"/>
    <row r="1037" s="103" customFormat="1" x14ac:dyDescent="0.25"/>
    <row r="1038" s="103" customFormat="1" x14ac:dyDescent="0.25"/>
    <row r="1039" s="103" customFormat="1" x14ac:dyDescent="0.25"/>
    <row r="1040" s="103" customFormat="1" x14ac:dyDescent="0.25"/>
    <row r="1041" s="103" customFormat="1" x14ac:dyDescent="0.25"/>
    <row r="1042" s="103" customFormat="1" x14ac:dyDescent="0.25"/>
    <row r="1043" s="103" customFormat="1" x14ac:dyDescent="0.25"/>
    <row r="1044" s="103" customFormat="1" x14ac:dyDescent="0.25"/>
    <row r="1045" s="103" customFormat="1" x14ac:dyDescent="0.25"/>
    <row r="1046" s="103" customFormat="1" x14ac:dyDescent="0.25"/>
    <row r="1047" s="103" customFormat="1" x14ac:dyDescent="0.25"/>
    <row r="1048" s="103" customFormat="1" x14ac:dyDescent="0.25"/>
    <row r="1049" s="103" customFormat="1" x14ac:dyDescent="0.25"/>
    <row r="1050" s="103" customFormat="1" x14ac:dyDescent="0.25"/>
    <row r="1051" s="103" customFormat="1" x14ac:dyDescent="0.25"/>
    <row r="1052" s="103" customFormat="1" x14ac:dyDescent="0.25"/>
    <row r="1053" s="103" customFormat="1" x14ac:dyDescent="0.25"/>
    <row r="1054" s="103" customFormat="1" x14ac:dyDescent="0.25"/>
    <row r="1055" s="103" customFormat="1" x14ac:dyDescent="0.25"/>
    <row r="1056" s="103" customFormat="1" x14ac:dyDescent="0.25"/>
    <row r="1057" s="103" customFormat="1" x14ac:dyDescent="0.25"/>
    <row r="1058" s="103" customFormat="1" x14ac:dyDescent="0.25"/>
    <row r="1059" s="103" customFormat="1" x14ac:dyDescent="0.25"/>
    <row r="1060" s="103" customFormat="1" x14ac:dyDescent="0.25"/>
    <row r="1061" s="103" customFormat="1" x14ac:dyDescent="0.25"/>
    <row r="1062" s="103" customFormat="1" x14ac:dyDescent="0.25"/>
    <row r="1063" s="103" customFormat="1" x14ac:dyDescent="0.25"/>
    <row r="1064" s="103" customFormat="1" x14ac:dyDescent="0.25"/>
    <row r="1065" s="103" customFormat="1" x14ac:dyDescent="0.25"/>
    <row r="1066" s="103" customFormat="1" x14ac:dyDescent="0.25"/>
    <row r="1067" s="103" customFormat="1" x14ac:dyDescent="0.25"/>
    <row r="1068" s="103" customFormat="1" x14ac:dyDescent="0.25"/>
    <row r="1069" s="103" customFormat="1" x14ac:dyDescent="0.25"/>
    <row r="1070" s="103" customFormat="1" x14ac:dyDescent="0.25"/>
    <row r="1071" s="103" customFormat="1" x14ac:dyDescent="0.25"/>
    <row r="1072" s="103" customFormat="1" x14ac:dyDescent="0.25"/>
    <row r="1073" s="103" customFormat="1" x14ac:dyDescent="0.25"/>
    <row r="1074" s="103" customFormat="1" x14ac:dyDescent="0.25"/>
    <row r="1075" s="103" customFormat="1" x14ac:dyDescent="0.25"/>
    <row r="1076" s="103" customFormat="1" x14ac:dyDescent="0.25"/>
    <row r="1077" s="103" customFormat="1" x14ac:dyDescent="0.25"/>
    <row r="1078" s="103" customFormat="1" x14ac:dyDescent="0.25"/>
    <row r="1079" s="103" customFormat="1" x14ac:dyDescent="0.25"/>
    <row r="1080" s="103" customFormat="1" x14ac:dyDescent="0.25"/>
    <row r="1081" s="103" customFormat="1" x14ac:dyDescent="0.25"/>
    <row r="1082" s="103" customFormat="1" x14ac:dyDescent="0.25"/>
    <row r="1083" s="103" customFormat="1" x14ac:dyDescent="0.25"/>
    <row r="1084" s="103" customFormat="1" x14ac:dyDescent="0.25"/>
    <row r="1085" s="103" customFormat="1" x14ac:dyDescent="0.25"/>
    <row r="1086" s="103" customFormat="1" x14ac:dyDescent="0.25"/>
    <row r="1087" s="103" customFormat="1" x14ac:dyDescent="0.25"/>
    <row r="1088" s="103" customFormat="1" x14ac:dyDescent="0.25"/>
    <row r="1089" s="103" customFormat="1" x14ac:dyDescent="0.25"/>
    <row r="1090" s="103" customFormat="1" x14ac:dyDescent="0.25"/>
    <row r="1091" s="103" customFormat="1" x14ac:dyDescent="0.25"/>
    <row r="1092" s="103" customFormat="1" x14ac:dyDescent="0.25"/>
    <row r="1093" s="103" customFormat="1" x14ac:dyDescent="0.25"/>
    <row r="1094" s="103" customFormat="1" x14ac:dyDescent="0.25"/>
    <row r="1095" s="103" customFormat="1" x14ac:dyDescent="0.25"/>
    <row r="1096" s="103" customFormat="1" x14ac:dyDescent="0.25"/>
    <row r="1097" s="103" customFormat="1" x14ac:dyDescent="0.25"/>
    <row r="1098" s="103" customFormat="1" x14ac:dyDescent="0.25"/>
    <row r="1099" s="103" customFormat="1" x14ac:dyDescent="0.25"/>
    <row r="1100" s="103" customFormat="1" x14ac:dyDescent="0.25"/>
    <row r="1101" s="103" customFormat="1" x14ac:dyDescent="0.25"/>
    <row r="1102" s="103" customFormat="1" x14ac:dyDescent="0.25"/>
    <row r="1103" s="103" customFormat="1" x14ac:dyDescent="0.25"/>
    <row r="1104" s="103" customFormat="1" x14ac:dyDescent="0.25"/>
    <row r="1105" s="103" customFormat="1" x14ac:dyDescent="0.25"/>
    <row r="1106" s="103" customFormat="1" x14ac:dyDescent="0.25"/>
    <row r="1107" s="103" customFormat="1" x14ac:dyDescent="0.25"/>
    <row r="1108" s="103" customFormat="1" x14ac:dyDescent="0.25"/>
    <row r="1109" s="103" customFormat="1" x14ac:dyDescent="0.25"/>
    <row r="1110" s="103" customFormat="1" x14ac:dyDescent="0.25"/>
    <row r="1111" s="103" customFormat="1" x14ac:dyDescent="0.25"/>
    <row r="1112" s="103" customFormat="1" x14ac:dyDescent="0.25"/>
    <row r="1113" s="103" customFormat="1" x14ac:dyDescent="0.25"/>
    <row r="1114" s="103" customFormat="1" x14ac:dyDescent="0.25"/>
    <row r="1115" s="103" customFormat="1" x14ac:dyDescent="0.25"/>
    <row r="1116" s="103" customFormat="1" x14ac:dyDescent="0.25"/>
    <row r="1117" s="103" customFormat="1" x14ac:dyDescent="0.25"/>
    <row r="1118" s="103" customFormat="1" x14ac:dyDescent="0.25"/>
    <row r="1119" s="103" customFormat="1" x14ac:dyDescent="0.25"/>
    <row r="1120" s="103" customFormat="1" x14ac:dyDescent="0.25"/>
    <row r="1121" s="103" customFormat="1" x14ac:dyDescent="0.25"/>
    <row r="1122" s="103" customFormat="1" x14ac:dyDescent="0.25"/>
    <row r="1123" s="103" customFormat="1" x14ac:dyDescent="0.25"/>
    <row r="1124" s="103" customFormat="1" x14ac:dyDescent="0.25"/>
    <row r="1125" s="103" customFormat="1" x14ac:dyDescent="0.25"/>
    <row r="1126" s="103" customFormat="1" x14ac:dyDescent="0.25"/>
    <row r="1127" s="103" customFormat="1" x14ac:dyDescent="0.25"/>
    <row r="1128" s="103" customFormat="1" x14ac:dyDescent="0.25"/>
    <row r="1129" s="103" customFormat="1" x14ac:dyDescent="0.25"/>
    <row r="1130" s="103" customFormat="1" x14ac:dyDescent="0.25"/>
    <row r="1131" s="103" customFormat="1" x14ac:dyDescent="0.25"/>
    <row r="1132" s="103" customFormat="1" x14ac:dyDescent="0.25"/>
    <row r="1133" s="103" customFormat="1" x14ac:dyDescent="0.25"/>
    <row r="1134" s="103" customFormat="1" x14ac:dyDescent="0.25"/>
    <row r="1135" s="103" customFormat="1" x14ac:dyDescent="0.25"/>
    <row r="1136" s="103" customFormat="1" x14ac:dyDescent="0.25"/>
    <row r="1137" s="103" customFormat="1" x14ac:dyDescent="0.25"/>
    <row r="1138" s="103" customFormat="1" x14ac:dyDescent="0.25"/>
    <row r="1139" s="103" customFormat="1" x14ac:dyDescent="0.25"/>
    <row r="1140" s="103" customFormat="1" x14ac:dyDescent="0.25"/>
    <row r="1141" s="103" customFormat="1" x14ac:dyDescent="0.25"/>
    <row r="1142" s="103" customFormat="1" x14ac:dyDescent="0.25"/>
    <row r="1143" s="103" customFormat="1" x14ac:dyDescent="0.25"/>
    <row r="1144" s="103" customFormat="1" x14ac:dyDescent="0.25"/>
    <row r="1145" s="103" customFormat="1" x14ac:dyDescent="0.25"/>
    <row r="1146" s="103" customFormat="1" x14ac:dyDescent="0.25"/>
    <row r="1147" s="103" customFormat="1" x14ac:dyDescent="0.25"/>
    <row r="1148" s="103" customFormat="1" x14ac:dyDescent="0.25"/>
    <row r="1149" s="103" customFormat="1" x14ac:dyDescent="0.25"/>
    <row r="1150" s="103" customFormat="1" x14ac:dyDescent="0.25"/>
    <row r="1151" s="103" customFormat="1" x14ac:dyDescent="0.25"/>
    <row r="1152" s="103" customFormat="1" x14ac:dyDescent="0.25"/>
    <row r="1153" s="103" customFormat="1" x14ac:dyDescent="0.25"/>
    <row r="1154" s="103" customFormat="1" x14ac:dyDescent="0.25"/>
    <row r="1155" s="103" customFormat="1" x14ac:dyDescent="0.25"/>
    <row r="1156" s="103" customFormat="1" x14ac:dyDescent="0.25"/>
    <row r="1157" s="103" customFormat="1" x14ac:dyDescent="0.25"/>
    <row r="1158" s="103" customFormat="1" x14ac:dyDescent="0.25"/>
    <row r="1159" s="103" customFormat="1" x14ac:dyDescent="0.25"/>
    <row r="1160" s="103" customFormat="1" x14ac:dyDescent="0.25"/>
    <row r="1161" s="103" customFormat="1" x14ac:dyDescent="0.25"/>
    <row r="1162" s="103" customFormat="1" x14ac:dyDescent="0.25"/>
    <row r="1163" s="103" customFormat="1" x14ac:dyDescent="0.25"/>
    <row r="1164" s="103" customFormat="1" x14ac:dyDescent="0.25"/>
    <row r="1165" s="103" customFormat="1" x14ac:dyDescent="0.25"/>
    <row r="1166" s="103" customFormat="1" x14ac:dyDescent="0.25"/>
    <row r="1167" s="103" customFormat="1" x14ac:dyDescent="0.25"/>
    <row r="1168" s="103" customFormat="1" x14ac:dyDescent="0.25"/>
    <row r="1169" s="103" customFormat="1" x14ac:dyDescent="0.25"/>
    <row r="1170" s="103" customFormat="1" x14ac:dyDescent="0.25"/>
    <row r="1171" s="103" customFormat="1" x14ac:dyDescent="0.25"/>
    <row r="1172" s="103" customFormat="1" x14ac:dyDescent="0.25"/>
    <row r="1173" s="103" customFormat="1" x14ac:dyDescent="0.25"/>
    <row r="1174" s="103" customFormat="1" x14ac:dyDescent="0.25"/>
    <row r="1175" s="103" customFormat="1" x14ac:dyDescent="0.25"/>
    <row r="1176" s="103" customFormat="1" x14ac:dyDescent="0.25"/>
    <row r="1177" s="103" customFormat="1" x14ac:dyDescent="0.25"/>
    <row r="1178" s="103" customFormat="1" x14ac:dyDescent="0.25"/>
    <row r="1179" s="103" customFormat="1" x14ac:dyDescent="0.25"/>
    <row r="1180" s="103" customFormat="1" x14ac:dyDescent="0.25"/>
    <row r="1181" s="103" customFormat="1" x14ac:dyDescent="0.25"/>
    <row r="1182" s="103" customFormat="1" x14ac:dyDescent="0.25"/>
    <row r="1183" s="103" customFormat="1" x14ac:dyDescent="0.25"/>
    <row r="1184" s="103" customFormat="1" x14ac:dyDescent="0.25"/>
    <row r="1185" s="103" customFormat="1" x14ac:dyDescent="0.25"/>
    <row r="1186" s="103" customFormat="1" x14ac:dyDescent="0.25"/>
    <row r="1187" s="103" customFormat="1" x14ac:dyDescent="0.25"/>
    <row r="1188" s="103" customFormat="1" x14ac:dyDescent="0.25"/>
    <row r="1189" s="103" customFormat="1" x14ac:dyDescent="0.25"/>
    <row r="1190" s="103" customFormat="1" x14ac:dyDescent="0.25"/>
    <row r="1191" s="103" customFormat="1" x14ac:dyDescent="0.25"/>
    <row r="1192" s="103" customFormat="1" x14ac:dyDescent="0.25"/>
    <row r="1193" s="103" customFormat="1" x14ac:dyDescent="0.25"/>
    <row r="1194" s="103" customFormat="1" x14ac:dyDescent="0.25"/>
    <row r="1195" s="103" customFormat="1" x14ac:dyDescent="0.25"/>
    <row r="1196" s="103" customFormat="1" x14ac:dyDescent="0.25"/>
    <row r="1197" s="103" customFormat="1" x14ac:dyDescent="0.25"/>
    <row r="1198" s="103" customFormat="1" x14ac:dyDescent="0.25"/>
    <row r="1199" s="103" customFormat="1" x14ac:dyDescent="0.25"/>
    <row r="1200" s="103" customFormat="1" x14ac:dyDescent="0.25"/>
    <row r="1201" s="103" customFormat="1" x14ac:dyDescent="0.25"/>
    <row r="1202" s="103" customFormat="1" x14ac:dyDescent="0.25"/>
    <row r="1203" s="103" customFormat="1" x14ac:dyDescent="0.25"/>
    <row r="1204" s="103" customFormat="1" x14ac:dyDescent="0.25"/>
    <row r="1205" s="103" customFormat="1" x14ac:dyDescent="0.25"/>
    <row r="1206" s="103" customFormat="1" x14ac:dyDescent="0.25"/>
    <row r="1207" s="103" customFormat="1" x14ac:dyDescent="0.25"/>
    <row r="1208" s="103" customFormat="1" x14ac:dyDescent="0.25"/>
    <row r="1209" s="103" customFormat="1" x14ac:dyDescent="0.25"/>
    <row r="1210" s="103" customFormat="1" x14ac:dyDescent="0.25"/>
    <row r="1211" s="103" customFormat="1" x14ac:dyDescent="0.25"/>
    <row r="1212" s="103" customFormat="1" x14ac:dyDescent="0.25"/>
    <row r="1213" s="103" customFormat="1" x14ac:dyDescent="0.25"/>
    <row r="1214" s="103" customFormat="1" x14ac:dyDescent="0.25"/>
    <row r="1215" s="103" customFormat="1" x14ac:dyDescent="0.25"/>
    <row r="1216" s="103" customFormat="1" x14ac:dyDescent="0.25"/>
    <row r="1217" s="103" customFormat="1" x14ac:dyDescent="0.25"/>
    <row r="1218" s="103" customFormat="1" x14ac:dyDescent="0.25"/>
    <row r="1219" s="103" customFormat="1" x14ac:dyDescent="0.25"/>
    <row r="1220" s="103" customFormat="1" x14ac:dyDescent="0.25"/>
    <row r="1221" s="103" customFormat="1" x14ac:dyDescent="0.25"/>
    <row r="1222" s="103" customFormat="1" x14ac:dyDescent="0.25"/>
    <row r="1223" s="103" customFormat="1" x14ac:dyDescent="0.25"/>
    <row r="1224" s="103" customFormat="1" x14ac:dyDescent="0.25"/>
    <row r="1225" s="103" customFormat="1" x14ac:dyDescent="0.25"/>
    <row r="1226" s="103" customFormat="1" x14ac:dyDescent="0.25"/>
    <row r="1227" s="103" customFormat="1" x14ac:dyDescent="0.25"/>
    <row r="1228" s="103" customFormat="1" x14ac:dyDescent="0.25"/>
    <row r="1229" s="103" customFormat="1" x14ac:dyDescent="0.25"/>
    <row r="1230" s="103" customFormat="1" x14ac:dyDescent="0.25"/>
    <row r="1231" s="103" customFormat="1" x14ac:dyDescent="0.25"/>
    <row r="1232" s="103" customFormat="1" x14ac:dyDescent="0.25"/>
    <row r="1233" s="103" customFormat="1" x14ac:dyDescent="0.25"/>
    <row r="1234" s="103" customFormat="1" x14ac:dyDescent="0.25"/>
    <row r="1235" s="103" customFormat="1" x14ac:dyDescent="0.25"/>
    <row r="1236" s="103" customFormat="1" x14ac:dyDescent="0.25"/>
    <row r="1237" s="103" customFormat="1" x14ac:dyDescent="0.25"/>
    <row r="1238" s="103" customFormat="1" x14ac:dyDescent="0.25"/>
    <row r="1239" s="103" customFormat="1" x14ac:dyDescent="0.25"/>
    <row r="1240" s="103" customFormat="1" x14ac:dyDescent="0.25"/>
    <row r="1241" s="103" customFormat="1" x14ac:dyDescent="0.25"/>
    <row r="1242" s="103" customFormat="1" x14ac:dyDescent="0.25"/>
    <row r="1243" s="103" customFormat="1" x14ac:dyDescent="0.25"/>
    <row r="1244" s="103" customFormat="1" x14ac:dyDescent="0.25"/>
    <row r="1245" s="103" customFormat="1" x14ac:dyDescent="0.25"/>
    <row r="1246" s="103" customFormat="1" x14ac:dyDescent="0.25"/>
    <row r="1247" s="103" customFormat="1" x14ac:dyDescent="0.25"/>
    <row r="1248" s="103" customFormat="1" x14ac:dyDescent="0.25"/>
    <row r="1249" s="103" customFormat="1" x14ac:dyDescent="0.25"/>
    <row r="1250" s="103" customFormat="1" x14ac:dyDescent="0.25"/>
    <row r="1251" s="103" customFormat="1" x14ac:dyDescent="0.25"/>
    <row r="1252" s="103" customFormat="1" x14ac:dyDescent="0.25"/>
    <row r="1253" s="103" customFormat="1" x14ac:dyDescent="0.25"/>
    <row r="1254" s="103" customFormat="1" x14ac:dyDescent="0.25"/>
    <row r="1255" s="103" customFormat="1" x14ac:dyDescent="0.25"/>
    <row r="1256" s="103" customFormat="1" x14ac:dyDescent="0.25"/>
    <row r="1257" s="103" customFormat="1" x14ac:dyDescent="0.25"/>
    <row r="1258" s="103" customFormat="1" x14ac:dyDescent="0.25"/>
    <row r="1259" s="103" customFormat="1" x14ac:dyDescent="0.25"/>
    <row r="1260" s="103" customFormat="1" x14ac:dyDescent="0.25"/>
    <row r="1261" s="103" customFormat="1" x14ac:dyDescent="0.25"/>
    <row r="1262" s="103" customFormat="1" x14ac:dyDescent="0.25"/>
    <row r="1263" s="103" customFormat="1" x14ac:dyDescent="0.25"/>
    <row r="1264" s="103" customFormat="1" x14ac:dyDescent="0.25"/>
    <row r="1265" s="103" customFormat="1" x14ac:dyDescent="0.25"/>
    <row r="1266" s="103" customFormat="1" x14ac:dyDescent="0.25"/>
    <row r="1267" s="103" customFormat="1" x14ac:dyDescent="0.25"/>
    <row r="1268" s="103" customFormat="1" x14ac:dyDescent="0.25"/>
    <row r="1269" s="103" customFormat="1" x14ac:dyDescent="0.25"/>
    <row r="1270" s="103" customFormat="1" x14ac:dyDescent="0.25"/>
    <row r="1271" s="103" customFormat="1" x14ac:dyDescent="0.25"/>
    <row r="1272" s="103" customFormat="1" x14ac:dyDescent="0.25"/>
    <row r="1273" s="103" customFormat="1" x14ac:dyDescent="0.25"/>
    <row r="1274" s="103" customFormat="1" x14ac:dyDescent="0.25"/>
    <row r="1275" s="103" customFormat="1" x14ac:dyDescent="0.25"/>
    <row r="1276" s="103" customFormat="1" x14ac:dyDescent="0.25"/>
    <row r="1277" s="103" customFormat="1" x14ac:dyDescent="0.25"/>
    <row r="1278" s="103" customFormat="1" x14ac:dyDescent="0.25"/>
    <row r="1279" s="103" customFormat="1" x14ac:dyDescent="0.25"/>
    <row r="1280" s="103" customFormat="1" x14ac:dyDescent="0.25"/>
    <row r="1281" s="103" customFormat="1" x14ac:dyDescent="0.25"/>
    <row r="1282" s="103" customFormat="1" x14ac:dyDescent="0.25"/>
    <row r="1283" s="103" customFormat="1" x14ac:dyDescent="0.25"/>
    <row r="1284" s="103" customFormat="1" x14ac:dyDescent="0.25"/>
    <row r="1285" s="103" customFormat="1" x14ac:dyDescent="0.25"/>
    <row r="1286" s="103" customFormat="1" x14ac:dyDescent="0.25"/>
    <row r="1287" s="103" customFormat="1" x14ac:dyDescent="0.25"/>
    <row r="1288" s="103" customFormat="1" x14ac:dyDescent="0.25"/>
    <row r="1289" s="103" customFormat="1" x14ac:dyDescent="0.25"/>
    <row r="1290" s="103" customFormat="1" x14ac:dyDescent="0.25"/>
    <row r="1291" s="103" customFormat="1" x14ac:dyDescent="0.25"/>
    <row r="1292" s="103" customFormat="1" x14ac:dyDescent="0.25"/>
    <row r="1293" s="103" customFormat="1" x14ac:dyDescent="0.25"/>
    <row r="1294" s="103" customFormat="1" x14ac:dyDescent="0.25"/>
    <row r="1295" s="103" customFormat="1" x14ac:dyDescent="0.25"/>
    <row r="1296" s="103" customFormat="1" x14ac:dyDescent="0.25"/>
    <row r="1297" s="103" customFormat="1" x14ac:dyDescent="0.25"/>
    <row r="1298" s="103" customFormat="1" x14ac:dyDescent="0.25"/>
    <row r="1299" s="103" customFormat="1" x14ac:dyDescent="0.25"/>
    <row r="1300" s="103" customFormat="1" x14ac:dyDescent="0.25"/>
    <row r="1301" s="103" customFormat="1" x14ac:dyDescent="0.25"/>
    <row r="1302" s="103" customFormat="1" x14ac:dyDescent="0.25"/>
    <row r="1303" s="103" customFormat="1" x14ac:dyDescent="0.25"/>
    <row r="1304" s="103" customFormat="1" x14ac:dyDescent="0.25"/>
    <row r="1305" s="103" customFormat="1" x14ac:dyDescent="0.25"/>
    <row r="1306" s="103" customFormat="1" x14ac:dyDescent="0.25"/>
    <row r="1307" s="103" customFormat="1" x14ac:dyDescent="0.25"/>
    <row r="1308" s="103" customFormat="1" x14ac:dyDescent="0.25"/>
    <row r="1309" s="103" customFormat="1" x14ac:dyDescent="0.25"/>
    <row r="1310" s="103" customFormat="1" x14ac:dyDescent="0.25"/>
    <row r="1311" s="103" customFormat="1" x14ac:dyDescent="0.25"/>
    <row r="1312" s="103" customFormat="1" x14ac:dyDescent="0.25"/>
    <row r="1313" s="103" customFormat="1" x14ac:dyDescent="0.25"/>
    <row r="1314" s="103" customFormat="1" x14ac:dyDescent="0.25"/>
    <row r="1315" s="103" customFormat="1" x14ac:dyDescent="0.25"/>
    <row r="1316" s="103" customFormat="1" x14ac:dyDescent="0.25"/>
    <row r="1317" s="103" customFormat="1" x14ac:dyDescent="0.25"/>
    <row r="1318" s="103" customFormat="1" x14ac:dyDescent="0.25"/>
    <row r="1319" s="103" customFormat="1" x14ac:dyDescent="0.25"/>
    <row r="1320" s="103" customFormat="1" x14ac:dyDescent="0.25"/>
    <row r="1321" s="103" customFormat="1" x14ac:dyDescent="0.25"/>
    <row r="1322" s="103" customFormat="1" x14ac:dyDescent="0.25"/>
    <row r="1323" s="103" customFormat="1" x14ac:dyDescent="0.25"/>
    <row r="1324" s="103" customFormat="1" x14ac:dyDescent="0.25"/>
    <row r="1325" s="103" customFormat="1" x14ac:dyDescent="0.25"/>
    <row r="1326" s="103" customFormat="1" x14ac:dyDescent="0.25"/>
    <row r="1327" s="103" customFormat="1" x14ac:dyDescent="0.25"/>
    <row r="1328" s="103" customFormat="1" x14ac:dyDescent="0.25"/>
    <row r="1329" s="103" customFormat="1" x14ac:dyDescent="0.25"/>
    <row r="1330" s="103" customFormat="1" x14ac:dyDescent="0.25"/>
    <row r="1331" s="103" customFormat="1" x14ac:dyDescent="0.25"/>
    <row r="1332" s="103" customFormat="1" x14ac:dyDescent="0.25"/>
    <row r="1333" s="103" customFormat="1" x14ac:dyDescent="0.25"/>
    <row r="1334" s="103" customFormat="1" x14ac:dyDescent="0.25"/>
    <row r="1335" s="103" customFormat="1" x14ac:dyDescent="0.25"/>
    <row r="1336" s="103" customFormat="1" x14ac:dyDescent="0.25"/>
    <row r="1337" s="103" customFormat="1" x14ac:dyDescent="0.25"/>
    <row r="1338" s="103" customFormat="1" x14ac:dyDescent="0.25"/>
    <row r="1339" s="103" customFormat="1" x14ac:dyDescent="0.25"/>
    <row r="1340" s="103" customFormat="1" x14ac:dyDescent="0.25"/>
    <row r="1341" s="103" customFormat="1" x14ac:dyDescent="0.25"/>
    <row r="1342" s="103" customFormat="1" x14ac:dyDescent="0.25"/>
    <row r="1343" s="103" customFormat="1" x14ac:dyDescent="0.25"/>
    <row r="1344" s="103" customFormat="1" x14ac:dyDescent="0.25"/>
    <row r="1345" s="103" customFormat="1" x14ac:dyDescent="0.25"/>
    <row r="1346" s="103" customFormat="1" x14ac:dyDescent="0.25"/>
    <row r="1347" s="103" customFormat="1" x14ac:dyDescent="0.25"/>
    <row r="1348" s="103" customFormat="1" x14ac:dyDescent="0.25"/>
    <row r="1349" s="103" customFormat="1" x14ac:dyDescent="0.25"/>
    <row r="1350" s="103" customFormat="1" x14ac:dyDescent="0.25"/>
    <row r="1351" s="103" customFormat="1" x14ac:dyDescent="0.25"/>
    <row r="1352" s="103" customFormat="1" x14ac:dyDescent="0.25"/>
    <row r="1353" s="103" customFormat="1" x14ac:dyDescent="0.25"/>
    <row r="1354" s="103" customFormat="1" x14ac:dyDescent="0.25"/>
    <row r="1355" s="103" customFormat="1" x14ac:dyDescent="0.25"/>
    <row r="1356" s="103" customFormat="1" x14ac:dyDescent="0.25"/>
    <row r="1357" s="103" customFormat="1" x14ac:dyDescent="0.25"/>
    <row r="1358" s="103" customFormat="1" x14ac:dyDescent="0.25"/>
    <row r="1359" s="103" customFormat="1" x14ac:dyDescent="0.25"/>
    <row r="1360" s="103" customFormat="1" x14ac:dyDescent="0.25"/>
    <row r="1361" s="103" customFormat="1" x14ac:dyDescent="0.25"/>
    <row r="1362" s="103" customFormat="1" x14ac:dyDescent="0.25"/>
    <row r="1363" s="103" customFormat="1" x14ac:dyDescent="0.25"/>
    <row r="1364" s="103" customFormat="1" x14ac:dyDescent="0.25"/>
    <row r="1365" s="103" customFormat="1" x14ac:dyDescent="0.25"/>
    <row r="1366" s="103" customFormat="1" x14ac:dyDescent="0.25"/>
    <row r="1367" s="103" customFormat="1" x14ac:dyDescent="0.25"/>
    <row r="1368" s="103" customFormat="1" x14ac:dyDescent="0.25"/>
    <row r="1369" s="103" customFormat="1" x14ac:dyDescent="0.25"/>
    <row r="1370" s="103" customFormat="1" x14ac:dyDescent="0.25"/>
    <row r="1371" s="103" customFormat="1" x14ac:dyDescent="0.25"/>
    <row r="1372" s="103" customFormat="1" x14ac:dyDescent="0.25"/>
    <row r="1373" s="103" customFormat="1" x14ac:dyDescent="0.25"/>
    <row r="1374" s="103" customFormat="1" x14ac:dyDescent="0.25"/>
    <row r="1375" s="103" customFormat="1" x14ac:dyDescent="0.25"/>
    <row r="1376" s="103" customFormat="1" x14ac:dyDescent="0.25"/>
    <row r="1377" s="103" customFormat="1" x14ac:dyDescent="0.25"/>
    <row r="1378" s="103" customFormat="1" x14ac:dyDescent="0.25"/>
    <row r="1379" s="103" customFormat="1" x14ac:dyDescent="0.25"/>
    <row r="1380" s="103" customFormat="1" x14ac:dyDescent="0.25"/>
    <row r="1381" s="103" customFormat="1" x14ac:dyDescent="0.25"/>
    <row r="1382" s="103" customFormat="1" x14ac:dyDescent="0.25"/>
    <row r="1383" s="103" customFormat="1" x14ac:dyDescent="0.25"/>
    <row r="1384" s="103" customFormat="1" x14ac:dyDescent="0.25"/>
    <row r="1385" s="103" customFormat="1" x14ac:dyDescent="0.25"/>
    <row r="1386" s="103" customFormat="1" x14ac:dyDescent="0.25"/>
    <row r="1387" s="103" customFormat="1" x14ac:dyDescent="0.25"/>
    <row r="1388" s="103" customFormat="1" x14ac:dyDescent="0.25"/>
    <row r="1389" s="103" customFormat="1" x14ac:dyDescent="0.25"/>
    <row r="1390" s="103" customFormat="1" x14ac:dyDescent="0.25"/>
    <row r="1391" s="103" customFormat="1" x14ac:dyDescent="0.25"/>
    <row r="1392" s="103" customFormat="1" x14ac:dyDescent="0.25"/>
    <row r="1393" s="103" customFormat="1" x14ac:dyDescent="0.25"/>
    <row r="1394" s="103" customFormat="1" x14ac:dyDescent="0.25"/>
    <row r="1395" s="103" customFormat="1" x14ac:dyDescent="0.25"/>
    <row r="1396" s="103" customFormat="1" x14ac:dyDescent="0.25"/>
    <row r="1397" s="103" customFormat="1" x14ac:dyDescent="0.25"/>
    <row r="1398" s="103" customFormat="1" x14ac:dyDescent="0.25"/>
    <row r="1399" s="103" customFormat="1" x14ac:dyDescent="0.25"/>
    <row r="1400" s="103" customFormat="1" x14ac:dyDescent="0.25"/>
    <row r="1401" s="103" customFormat="1" x14ac:dyDescent="0.25"/>
    <row r="1402" s="103" customFormat="1" x14ac:dyDescent="0.25"/>
    <row r="1403" s="103" customFormat="1" x14ac:dyDescent="0.25"/>
    <row r="1404" s="103" customFormat="1" x14ac:dyDescent="0.25"/>
    <row r="1405" s="103" customFormat="1" x14ac:dyDescent="0.25"/>
    <row r="1406" s="103" customFormat="1" x14ac:dyDescent="0.25"/>
    <row r="1407" s="103" customFormat="1" x14ac:dyDescent="0.25"/>
    <row r="1408" s="103" customFormat="1" x14ac:dyDescent="0.25"/>
    <row r="1409" s="103" customFormat="1" x14ac:dyDescent="0.25"/>
    <row r="1410" s="103" customFormat="1" x14ac:dyDescent="0.25"/>
    <row r="1411" s="103" customFormat="1" x14ac:dyDescent="0.25"/>
    <row r="1412" s="103" customFormat="1" x14ac:dyDescent="0.25"/>
    <row r="1413" s="103" customFormat="1" x14ac:dyDescent="0.25"/>
    <row r="1414" s="103" customFormat="1" x14ac:dyDescent="0.25"/>
    <row r="1415" s="103" customFormat="1" x14ac:dyDescent="0.25"/>
    <row r="1416" s="103" customFormat="1" x14ac:dyDescent="0.25"/>
    <row r="1417" s="103" customFormat="1" x14ac:dyDescent="0.25"/>
    <row r="1418" s="103" customFormat="1" x14ac:dyDescent="0.25"/>
    <row r="1419" s="103" customFormat="1" x14ac:dyDescent="0.25"/>
    <row r="1420" s="103" customFormat="1" x14ac:dyDescent="0.25"/>
    <row r="1421" s="103" customFormat="1" x14ac:dyDescent="0.25"/>
    <row r="1422" s="103" customFormat="1" x14ac:dyDescent="0.25"/>
    <row r="1423" s="103" customFormat="1" x14ac:dyDescent="0.25"/>
    <row r="1424" s="103" customFormat="1" x14ac:dyDescent="0.25"/>
    <row r="1425" s="103" customFormat="1" x14ac:dyDescent="0.25"/>
    <row r="1426" s="103" customFormat="1" x14ac:dyDescent="0.25"/>
    <row r="1427" s="103" customFormat="1" x14ac:dyDescent="0.25"/>
    <row r="1428" s="103" customFormat="1" x14ac:dyDescent="0.25"/>
    <row r="1429" s="103" customFormat="1" x14ac:dyDescent="0.25"/>
    <row r="1430" s="103" customFormat="1" x14ac:dyDescent="0.25"/>
    <row r="1431" s="103" customFormat="1" x14ac:dyDescent="0.25"/>
    <row r="1432" s="103" customFormat="1" x14ac:dyDescent="0.25"/>
    <row r="1433" s="103" customFormat="1" x14ac:dyDescent="0.25"/>
    <row r="1434" s="103" customFormat="1" x14ac:dyDescent="0.25"/>
    <row r="1435" s="103" customFormat="1" x14ac:dyDescent="0.25"/>
    <row r="1436" s="103" customFormat="1" x14ac:dyDescent="0.25"/>
    <row r="1437" s="103" customFormat="1" x14ac:dyDescent="0.25"/>
    <row r="1438" s="103" customFormat="1" x14ac:dyDescent="0.25"/>
    <row r="1439" s="103" customFormat="1" x14ac:dyDescent="0.25"/>
    <row r="1440" s="103" customFormat="1" x14ac:dyDescent="0.25"/>
    <row r="1441" s="103" customFormat="1" x14ac:dyDescent="0.25"/>
    <row r="1442" s="103" customFormat="1" x14ac:dyDescent="0.25"/>
    <row r="1443" s="103" customFormat="1" x14ac:dyDescent="0.25"/>
    <row r="1444" s="103" customFormat="1" x14ac:dyDescent="0.25"/>
    <row r="1445" s="103" customFormat="1" x14ac:dyDescent="0.25"/>
    <row r="1446" s="103" customFormat="1" x14ac:dyDescent="0.25"/>
    <row r="1447" s="103" customFormat="1" x14ac:dyDescent="0.25"/>
    <row r="1448" s="103" customFormat="1" x14ac:dyDescent="0.25"/>
    <row r="1449" s="103" customFormat="1" x14ac:dyDescent="0.25"/>
    <row r="1450" s="103" customFormat="1" x14ac:dyDescent="0.25"/>
    <row r="1451" s="103" customFormat="1" x14ac:dyDescent="0.25"/>
    <row r="1452" s="103" customFormat="1" x14ac:dyDescent="0.25"/>
    <row r="1453" s="103" customFormat="1" x14ac:dyDescent="0.25"/>
    <row r="1454" s="103" customFormat="1" x14ac:dyDescent="0.25"/>
    <row r="1455" s="103" customFormat="1" x14ac:dyDescent="0.25"/>
    <row r="1456" s="103" customFormat="1" x14ac:dyDescent="0.25"/>
    <row r="1457" s="103" customFormat="1" x14ac:dyDescent="0.25"/>
    <row r="1458" s="103" customFormat="1" x14ac:dyDescent="0.25"/>
    <row r="1459" s="103" customFormat="1" x14ac:dyDescent="0.25"/>
    <row r="1460" s="103" customFormat="1" x14ac:dyDescent="0.25"/>
    <row r="1461" s="103" customFormat="1" x14ac:dyDescent="0.25"/>
    <row r="1462" s="103" customFormat="1" x14ac:dyDescent="0.25"/>
    <row r="1463" s="103" customFormat="1" x14ac:dyDescent="0.25"/>
    <row r="1464" s="103" customFormat="1" x14ac:dyDescent="0.25"/>
    <row r="1465" s="103" customFormat="1" x14ac:dyDescent="0.25"/>
    <row r="1466" s="103" customFormat="1" x14ac:dyDescent="0.25"/>
    <row r="1467" s="103" customFormat="1" x14ac:dyDescent="0.25"/>
    <row r="1468" s="103" customFormat="1" x14ac:dyDescent="0.25"/>
    <row r="1469" s="103" customFormat="1" x14ac:dyDescent="0.25"/>
    <row r="1470" s="103" customFormat="1" x14ac:dyDescent="0.25"/>
    <row r="1471" s="103" customFormat="1" x14ac:dyDescent="0.25"/>
    <row r="1472" s="103" customFormat="1" x14ac:dyDescent="0.25"/>
    <row r="1473" s="103" customFormat="1" x14ac:dyDescent="0.25"/>
    <row r="1474" s="103" customFormat="1" x14ac:dyDescent="0.25"/>
    <row r="1475" s="103" customFormat="1" x14ac:dyDescent="0.25"/>
    <row r="1476" s="103" customFormat="1" x14ac:dyDescent="0.25"/>
    <row r="1477" s="103" customFormat="1" x14ac:dyDescent="0.25"/>
    <row r="1478" s="103" customFormat="1" x14ac:dyDescent="0.25"/>
    <row r="1479" s="103" customFormat="1" x14ac:dyDescent="0.25"/>
    <row r="1480" s="103" customFormat="1" x14ac:dyDescent="0.25"/>
    <row r="1481" s="103" customFormat="1" x14ac:dyDescent="0.25"/>
    <row r="1482" s="103" customFormat="1" x14ac:dyDescent="0.25"/>
    <row r="1483" s="103" customFormat="1" x14ac:dyDescent="0.25"/>
    <row r="1484" s="103" customFormat="1" x14ac:dyDescent="0.25"/>
    <row r="1485" s="103" customFormat="1" x14ac:dyDescent="0.25"/>
    <row r="1486" s="103" customFormat="1" x14ac:dyDescent="0.25"/>
    <row r="1487" s="103" customFormat="1" x14ac:dyDescent="0.25"/>
    <row r="1488" s="103" customFormat="1" x14ac:dyDescent="0.25"/>
    <row r="1489" s="103" customFormat="1" x14ac:dyDescent="0.25"/>
    <row r="1490" s="103" customFormat="1" x14ac:dyDescent="0.25"/>
    <row r="1491" s="103" customFormat="1" x14ac:dyDescent="0.25"/>
    <row r="1492" s="103" customFormat="1" x14ac:dyDescent="0.25"/>
    <row r="1493" s="103" customFormat="1" x14ac:dyDescent="0.25"/>
    <row r="1494" s="103" customFormat="1" x14ac:dyDescent="0.25"/>
    <row r="1495" s="103" customFormat="1" x14ac:dyDescent="0.25"/>
    <row r="1496" s="103" customFormat="1" x14ac:dyDescent="0.25"/>
    <row r="1497" s="103" customFormat="1" x14ac:dyDescent="0.25"/>
    <row r="1498" s="103" customFormat="1" x14ac:dyDescent="0.25"/>
    <row r="1499" s="103" customFormat="1" x14ac:dyDescent="0.25"/>
    <row r="1500" s="103" customFormat="1" x14ac:dyDescent="0.25"/>
    <row r="1501" s="103" customFormat="1" x14ac:dyDescent="0.25"/>
    <row r="1502" s="103" customFormat="1" x14ac:dyDescent="0.25"/>
    <row r="1503" s="103" customFormat="1" x14ac:dyDescent="0.25"/>
    <row r="1504" s="103" customFormat="1" x14ac:dyDescent="0.25"/>
    <row r="1505" s="103" customFormat="1" x14ac:dyDescent="0.25"/>
    <row r="1506" s="103" customFormat="1" x14ac:dyDescent="0.25"/>
    <row r="1507" s="103" customFormat="1" x14ac:dyDescent="0.25"/>
    <row r="1508" s="103" customFormat="1" x14ac:dyDescent="0.25"/>
    <row r="1509" s="103" customFormat="1" x14ac:dyDescent="0.25"/>
    <row r="1510" s="103" customFormat="1" x14ac:dyDescent="0.25"/>
    <row r="1511" s="103" customFormat="1" x14ac:dyDescent="0.25"/>
    <row r="1512" s="103" customFormat="1" x14ac:dyDescent="0.25"/>
    <row r="1513" s="103" customFormat="1" x14ac:dyDescent="0.25"/>
    <row r="1514" s="103" customFormat="1" x14ac:dyDescent="0.25"/>
    <row r="1515" s="103" customFormat="1" x14ac:dyDescent="0.25"/>
    <row r="1516" s="103" customFormat="1" x14ac:dyDescent="0.25"/>
    <row r="1517" s="103" customFormat="1" x14ac:dyDescent="0.25"/>
    <row r="1518" s="103" customFormat="1" x14ac:dyDescent="0.25"/>
    <row r="1519" s="103" customFormat="1" x14ac:dyDescent="0.25"/>
    <row r="1520" s="103" customFormat="1" x14ac:dyDescent="0.25"/>
    <row r="1521" s="103" customFormat="1" x14ac:dyDescent="0.25"/>
    <row r="1522" s="103" customFormat="1" x14ac:dyDescent="0.25"/>
    <row r="1523" s="103" customFormat="1" x14ac:dyDescent="0.25"/>
    <row r="1524" s="103" customFormat="1" x14ac:dyDescent="0.25"/>
    <row r="1525" s="103" customFormat="1" x14ac:dyDescent="0.25"/>
    <row r="1526" s="103" customFormat="1" x14ac:dyDescent="0.25"/>
    <row r="1527" s="103" customFormat="1" x14ac:dyDescent="0.25"/>
    <row r="1528" s="103" customFormat="1" x14ac:dyDescent="0.25"/>
    <row r="1529" s="103" customFormat="1" x14ac:dyDescent="0.25"/>
    <row r="1530" s="103" customFormat="1" x14ac:dyDescent="0.25"/>
    <row r="1531" s="103" customFormat="1" x14ac:dyDescent="0.25"/>
    <row r="1532" s="103" customFormat="1" x14ac:dyDescent="0.25"/>
    <row r="1533" s="103" customFormat="1" x14ac:dyDescent="0.25"/>
    <row r="1534" s="103" customFormat="1" x14ac:dyDescent="0.25"/>
    <row r="1535" s="103" customFormat="1" x14ac:dyDescent="0.25"/>
    <row r="1536" s="103" customFormat="1" x14ac:dyDescent="0.25"/>
    <row r="1537" s="103" customFormat="1" x14ac:dyDescent="0.25"/>
    <row r="1538" s="103" customFormat="1" x14ac:dyDescent="0.25"/>
    <row r="1539" s="103" customFormat="1" x14ac:dyDescent="0.25"/>
    <row r="1540" s="103" customFormat="1" x14ac:dyDescent="0.25"/>
    <row r="1541" s="103" customFormat="1" x14ac:dyDescent="0.25"/>
    <row r="1542" s="103" customFormat="1" x14ac:dyDescent="0.25"/>
    <row r="1543" s="103" customFormat="1" x14ac:dyDescent="0.25"/>
    <row r="1544" s="103" customFormat="1" x14ac:dyDescent="0.25"/>
    <row r="1545" s="103" customFormat="1" x14ac:dyDescent="0.25"/>
    <row r="1546" s="103" customFormat="1" x14ac:dyDescent="0.25"/>
    <row r="1547" s="103" customFormat="1" x14ac:dyDescent="0.25"/>
    <row r="1548" s="103" customFormat="1" x14ac:dyDescent="0.25"/>
    <row r="1549" s="103" customFormat="1" x14ac:dyDescent="0.25"/>
    <row r="1550" s="103" customFormat="1" x14ac:dyDescent="0.25"/>
    <row r="1551" s="103" customFormat="1" x14ac:dyDescent="0.25"/>
    <row r="1552" s="103" customFormat="1" x14ac:dyDescent="0.25"/>
    <row r="1553" s="103" customFormat="1" x14ac:dyDescent="0.25"/>
    <row r="1554" s="103" customFormat="1" x14ac:dyDescent="0.25"/>
    <row r="1555" s="103" customFormat="1" x14ac:dyDescent="0.25"/>
    <row r="1556" s="103" customFormat="1" x14ac:dyDescent="0.25"/>
    <row r="1557" s="103" customFormat="1" x14ac:dyDescent="0.25"/>
    <row r="1558" s="103" customFormat="1" x14ac:dyDescent="0.25"/>
    <row r="1559" s="103" customFormat="1" x14ac:dyDescent="0.25"/>
    <row r="1560" s="103" customFormat="1" x14ac:dyDescent="0.25"/>
    <row r="1561" s="103" customFormat="1" x14ac:dyDescent="0.25"/>
    <row r="1562" s="103" customFormat="1" x14ac:dyDescent="0.25"/>
    <row r="1563" s="103" customFormat="1" x14ac:dyDescent="0.25"/>
    <row r="1564" s="103" customFormat="1" x14ac:dyDescent="0.25"/>
    <row r="1565" s="103" customFormat="1" x14ac:dyDescent="0.25"/>
    <row r="1566" s="103" customFormat="1" x14ac:dyDescent="0.25"/>
    <row r="1567" s="103" customFormat="1" x14ac:dyDescent="0.25"/>
    <row r="1568" s="103" customFormat="1" x14ac:dyDescent="0.25"/>
    <row r="1569" s="103" customFormat="1" x14ac:dyDescent="0.25"/>
    <row r="1570" s="103" customFormat="1" x14ac:dyDescent="0.25"/>
    <row r="1571" s="103" customFormat="1" x14ac:dyDescent="0.25"/>
    <row r="1572" s="103" customFormat="1" x14ac:dyDescent="0.25"/>
    <row r="1573" s="103" customFormat="1" x14ac:dyDescent="0.25"/>
    <row r="1574" s="103" customFormat="1" x14ac:dyDescent="0.25"/>
    <row r="1575" s="103" customFormat="1" x14ac:dyDescent="0.25"/>
    <row r="1576" s="103" customFormat="1" x14ac:dyDescent="0.25"/>
    <row r="1577" s="103" customFormat="1" x14ac:dyDescent="0.25"/>
    <row r="1578" s="103" customFormat="1" x14ac:dyDescent="0.25"/>
    <row r="1579" s="103" customFormat="1" x14ac:dyDescent="0.25"/>
    <row r="1580" s="103" customFormat="1" x14ac:dyDescent="0.25"/>
    <row r="1581" s="103" customFormat="1" x14ac:dyDescent="0.25"/>
    <row r="1582" s="103" customFormat="1" x14ac:dyDescent="0.25"/>
    <row r="1583" s="103" customFormat="1" x14ac:dyDescent="0.25"/>
    <row r="1584" s="103" customFormat="1" x14ac:dyDescent="0.25"/>
    <row r="1585" s="103" customFormat="1" x14ac:dyDescent="0.25"/>
    <row r="1586" s="103" customFormat="1" x14ac:dyDescent="0.25"/>
    <row r="1587" s="103" customFormat="1" x14ac:dyDescent="0.25"/>
    <row r="1588" s="103" customFormat="1" x14ac:dyDescent="0.25"/>
    <row r="1589" s="103" customFormat="1" x14ac:dyDescent="0.25"/>
    <row r="1590" s="103" customFormat="1" x14ac:dyDescent="0.25"/>
    <row r="1591" s="103" customFormat="1" x14ac:dyDescent="0.25"/>
    <row r="1592" s="103" customFormat="1" x14ac:dyDescent="0.25"/>
    <row r="1593" s="103" customFormat="1" x14ac:dyDescent="0.25"/>
    <row r="1594" s="103" customFormat="1" x14ac:dyDescent="0.25"/>
    <row r="1595" s="103" customFormat="1" x14ac:dyDescent="0.25"/>
    <row r="1596" s="103" customFormat="1" x14ac:dyDescent="0.25"/>
    <row r="1597" s="103" customFormat="1" x14ac:dyDescent="0.25"/>
    <row r="1598" s="103" customFormat="1" x14ac:dyDescent="0.25"/>
    <row r="1599" s="103" customFormat="1" x14ac:dyDescent="0.25"/>
    <row r="1600" s="103" customFormat="1" x14ac:dyDescent="0.25"/>
    <row r="1601" s="103" customFormat="1" x14ac:dyDescent="0.25"/>
    <row r="1602" s="103" customFormat="1" x14ac:dyDescent="0.25"/>
    <row r="1603" s="103" customFormat="1" x14ac:dyDescent="0.25"/>
    <row r="1604" s="103" customFormat="1" x14ac:dyDescent="0.25"/>
    <row r="1605" s="103" customFormat="1" x14ac:dyDescent="0.25"/>
    <row r="1606" s="103" customFormat="1" x14ac:dyDescent="0.25"/>
    <row r="1607" s="103" customFormat="1" x14ac:dyDescent="0.25"/>
    <row r="1608" s="103" customFormat="1" x14ac:dyDescent="0.25"/>
    <row r="1609" s="103" customFormat="1" x14ac:dyDescent="0.25"/>
    <row r="1610" s="103" customFormat="1" x14ac:dyDescent="0.25"/>
    <row r="1611" s="103" customFormat="1" x14ac:dyDescent="0.25"/>
    <row r="1612" s="103" customFormat="1" x14ac:dyDescent="0.25"/>
    <row r="1613" s="103" customFormat="1" x14ac:dyDescent="0.25"/>
    <row r="1614" s="103" customFormat="1" x14ac:dyDescent="0.25"/>
    <row r="1615" s="103" customFormat="1" x14ac:dyDescent="0.25"/>
    <row r="1616" s="103" customFormat="1" x14ac:dyDescent="0.25"/>
    <row r="1617" s="103" customFormat="1" x14ac:dyDescent="0.25"/>
    <row r="1618" s="103" customFormat="1" x14ac:dyDescent="0.25"/>
    <row r="1619" s="103" customFormat="1" x14ac:dyDescent="0.25"/>
    <row r="1620" s="103" customFormat="1" x14ac:dyDescent="0.25"/>
    <row r="1621" s="103" customFormat="1" x14ac:dyDescent="0.25"/>
    <row r="1622" s="103" customFormat="1" x14ac:dyDescent="0.25"/>
    <row r="1623" s="103" customFormat="1" x14ac:dyDescent="0.25"/>
    <row r="1624" s="103" customFormat="1" x14ac:dyDescent="0.25"/>
    <row r="1625" s="103" customFormat="1" x14ac:dyDescent="0.25"/>
    <row r="1626" s="103" customFormat="1" x14ac:dyDescent="0.25"/>
    <row r="1627" s="103" customFormat="1" x14ac:dyDescent="0.25"/>
    <row r="1628" s="103" customFormat="1" x14ac:dyDescent="0.25"/>
    <row r="1629" s="103" customFormat="1" x14ac:dyDescent="0.25"/>
    <row r="1630" s="103" customFormat="1" x14ac:dyDescent="0.25"/>
    <row r="1631" s="103" customFormat="1" x14ac:dyDescent="0.25"/>
    <row r="1632" s="103" customFormat="1" x14ac:dyDescent="0.25"/>
    <row r="1633" s="103" customFormat="1" x14ac:dyDescent="0.25"/>
    <row r="1634" s="103" customFormat="1" x14ac:dyDescent="0.25"/>
    <row r="1635" s="103" customFormat="1" x14ac:dyDescent="0.25"/>
    <row r="1636" s="103" customFormat="1" x14ac:dyDescent="0.25"/>
    <row r="1637" s="103" customFormat="1" x14ac:dyDescent="0.25"/>
    <row r="1638" s="103" customFormat="1" x14ac:dyDescent="0.25"/>
    <row r="1639" s="103" customFormat="1" x14ac:dyDescent="0.25"/>
    <row r="1640" s="103" customFormat="1" x14ac:dyDescent="0.25"/>
    <row r="1641" s="103" customFormat="1" x14ac:dyDescent="0.25"/>
    <row r="1642" s="103" customFormat="1" x14ac:dyDescent="0.25"/>
    <row r="1643" s="103" customFormat="1" x14ac:dyDescent="0.25"/>
    <row r="1644" s="103" customFormat="1" x14ac:dyDescent="0.25"/>
    <row r="1645" s="103" customFormat="1" x14ac:dyDescent="0.25"/>
    <row r="1646" s="103" customFormat="1" x14ac:dyDescent="0.25"/>
    <row r="1647" s="103" customFormat="1" x14ac:dyDescent="0.25"/>
    <row r="1648" s="103" customFormat="1" x14ac:dyDescent="0.25"/>
    <row r="1649" s="103" customFormat="1" x14ac:dyDescent="0.25"/>
    <row r="1650" s="103" customFormat="1" x14ac:dyDescent="0.25"/>
    <row r="1651" s="103" customFormat="1" x14ac:dyDescent="0.25"/>
    <row r="1652" s="103" customFormat="1" x14ac:dyDescent="0.25"/>
    <row r="1653" s="103" customFormat="1" x14ac:dyDescent="0.25"/>
    <row r="1654" s="103" customFormat="1" x14ac:dyDescent="0.25"/>
    <row r="1655" s="103" customFormat="1" x14ac:dyDescent="0.25"/>
    <row r="1656" s="103" customFormat="1" x14ac:dyDescent="0.25"/>
    <row r="1657" s="103" customFormat="1" x14ac:dyDescent="0.25"/>
    <row r="1658" s="103" customFormat="1" x14ac:dyDescent="0.25"/>
    <row r="1659" s="103" customFormat="1" x14ac:dyDescent="0.25"/>
    <row r="1660" s="103" customFormat="1" x14ac:dyDescent="0.25"/>
    <row r="1661" s="103" customFormat="1" x14ac:dyDescent="0.25"/>
    <row r="1662" s="103" customFormat="1" x14ac:dyDescent="0.25"/>
    <row r="1663" s="103" customFormat="1" x14ac:dyDescent="0.25"/>
    <row r="1664" s="103" customFormat="1" x14ac:dyDescent="0.25"/>
    <row r="1665" s="103" customFormat="1" x14ac:dyDescent="0.25"/>
    <row r="1666" s="103" customFormat="1" x14ac:dyDescent="0.25"/>
    <row r="1667" s="103" customFormat="1" x14ac:dyDescent="0.25"/>
    <row r="1668" s="103" customFormat="1" x14ac:dyDescent="0.25"/>
    <row r="1669" s="103" customFormat="1" x14ac:dyDescent="0.25"/>
    <row r="1670" s="103" customFormat="1" x14ac:dyDescent="0.25"/>
    <row r="1671" s="103" customFormat="1" x14ac:dyDescent="0.25"/>
    <row r="1672" s="103" customFormat="1" x14ac:dyDescent="0.25"/>
    <row r="1673" s="103" customFormat="1" x14ac:dyDescent="0.25"/>
    <row r="1674" s="103" customFormat="1" x14ac:dyDescent="0.25"/>
    <row r="1675" s="103" customFormat="1" x14ac:dyDescent="0.25"/>
    <row r="1676" s="103" customFormat="1" x14ac:dyDescent="0.25"/>
    <row r="1677" s="103" customFormat="1" x14ac:dyDescent="0.25"/>
    <row r="1678" s="103" customFormat="1" x14ac:dyDescent="0.25"/>
    <row r="1679" s="103" customFormat="1" x14ac:dyDescent="0.25"/>
    <row r="1680" s="103" customFormat="1" x14ac:dyDescent="0.25"/>
    <row r="1681" s="103" customFormat="1" x14ac:dyDescent="0.25"/>
    <row r="1682" s="103" customFormat="1" x14ac:dyDescent="0.25"/>
    <row r="1683" s="103" customFormat="1" x14ac:dyDescent="0.25"/>
    <row r="1684" s="103" customFormat="1" x14ac:dyDescent="0.25"/>
    <row r="1685" s="103" customFormat="1" x14ac:dyDescent="0.25"/>
    <row r="1686" s="103" customFormat="1" x14ac:dyDescent="0.25"/>
    <row r="1687" s="103" customFormat="1" x14ac:dyDescent="0.25"/>
    <row r="1688" s="103" customFormat="1" x14ac:dyDescent="0.25"/>
    <row r="1689" s="103" customFormat="1" x14ac:dyDescent="0.25"/>
    <row r="1690" s="103" customFormat="1" x14ac:dyDescent="0.25"/>
    <row r="1691" s="103" customFormat="1" x14ac:dyDescent="0.25"/>
    <row r="1692" s="103" customFormat="1" x14ac:dyDescent="0.25"/>
    <row r="1693" s="103" customFormat="1" x14ac:dyDescent="0.25"/>
    <row r="1694" s="103" customFormat="1" x14ac:dyDescent="0.25"/>
    <row r="1695" s="103" customFormat="1" x14ac:dyDescent="0.25"/>
    <row r="1696" s="103" customFormat="1" x14ac:dyDescent="0.25"/>
    <row r="1697" s="103" customFormat="1" x14ac:dyDescent="0.25"/>
    <row r="1698" s="103" customFormat="1" x14ac:dyDescent="0.25"/>
    <row r="1699" s="103" customFormat="1" x14ac:dyDescent="0.25"/>
    <row r="1700" s="103" customFormat="1" x14ac:dyDescent="0.25"/>
    <row r="1701" s="103" customFormat="1" x14ac:dyDescent="0.25"/>
    <row r="1702" s="103" customFormat="1" x14ac:dyDescent="0.25"/>
    <row r="1703" s="103" customFormat="1" x14ac:dyDescent="0.25"/>
    <row r="1704" s="103" customFormat="1" x14ac:dyDescent="0.25"/>
    <row r="1705" s="103" customFormat="1" x14ac:dyDescent="0.25"/>
    <row r="1706" s="103" customFormat="1" x14ac:dyDescent="0.25"/>
    <row r="1707" s="103" customFormat="1" x14ac:dyDescent="0.25"/>
    <row r="1708" s="103" customFormat="1" x14ac:dyDescent="0.25"/>
    <row r="1709" s="103" customFormat="1" x14ac:dyDescent="0.25"/>
    <row r="1710" s="103" customFormat="1" x14ac:dyDescent="0.25"/>
    <row r="1711" s="103" customFormat="1" x14ac:dyDescent="0.25"/>
    <row r="1712" s="103" customFormat="1" x14ac:dyDescent="0.25"/>
    <row r="1713" s="103" customFormat="1" x14ac:dyDescent="0.25"/>
    <row r="1714" s="103" customFormat="1" x14ac:dyDescent="0.25"/>
    <row r="1715" s="103" customFormat="1" x14ac:dyDescent="0.25"/>
    <row r="1716" s="103" customFormat="1" x14ac:dyDescent="0.25"/>
    <row r="1717" s="103" customFormat="1" x14ac:dyDescent="0.25"/>
    <row r="1718" s="103" customFormat="1" x14ac:dyDescent="0.25"/>
    <row r="1719" s="103" customFormat="1" x14ac:dyDescent="0.25"/>
    <row r="1720" s="103" customFormat="1" x14ac:dyDescent="0.25"/>
    <row r="1721" s="103" customFormat="1" x14ac:dyDescent="0.25"/>
    <row r="1722" s="103" customFormat="1" x14ac:dyDescent="0.25"/>
    <row r="1723" s="103" customFormat="1" x14ac:dyDescent="0.25"/>
    <row r="1724" s="103" customFormat="1" x14ac:dyDescent="0.25"/>
    <row r="1725" s="103" customFormat="1" x14ac:dyDescent="0.25"/>
    <row r="1726" s="103" customFormat="1" x14ac:dyDescent="0.25"/>
    <row r="1727" s="103" customFormat="1" x14ac:dyDescent="0.25"/>
    <row r="1728" s="103" customFormat="1" x14ac:dyDescent="0.25"/>
    <row r="1729" s="103" customFormat="1" x14ac:dyDescent="0.25"/>
    <row r="1730" s="103" customFormat="1" x14ac:dyDescent="0.25"/>
    <row r="1731" s="103" customFormat="1" x14ac:dyDescent="0.25"/>
    <row r="1732" s="103" customFormat="1" x14ac:dyDescent="0.25"/>
    <row r="1733" s="103" customFormat="1" x14ac:dyDescent="0.25"/>
    <row r="1734" s="103" customFormat="1" x14ac:dyDescent="0.25"/>
    <row r="1735" s="103" customFormat="1" x14ac:dyDescent="0.25"/>
    <row r="1736" s="103" customFormat="1" x14ac:dyDescent="0.25"/>
    <row r="1737" s="103" customFormat="1" x14ac:dyDescent="0.25"/>
    <row r="1738" s="103" customFormat="1" x14ac:dyDescent="0.25"/>
    <row r="1739" s="103" customFormat="1" x14ac:dyDescent="0.25"/>
    <row r="1740" s="103" customFormat="1" x14ac:dyDescent="0.25"/>
    <row r="1741" s="103" customFormat="1" x14ac:dyDescent="0.25"/>
    <row r="1742" s="103" customFormat="1" x14ac:dyDescent="0.25"/>
    <row r="1743" s="103" customFormat="1" x14ac:dyDescent="0.25"/>
    <row r="1744" s="103" customFormat="1" x14ac:dyDescent="0.25"/>
    <row r="1745" s="103" customFormat="1" x14ac:dyDescent="0.25"/>
    <row r="1746" s="103" customFormat="1" x14ac:dyDescent="0.25"/>
    <row r="1747" s="103" customFormat="1" x14ac:dyDescent="0.25"/>
    <row r="1748" s="103" customFormat="1" x14ac:dyDescent="0.25"/>
    <row r="1749" s="103" customFormat="1" x14ac:dyDescent="0.25"/>
    <row r="1750" s="103" customFormat="1" x14ac:dyDescent="0.25"/>
    <row r="1751" s="103" customFormat="1" x14ac:dyDescent="0.25"/>
    <row r="1752" s="103" customFormat="1" x14ac:dyDescent="0.25"/>
    <row r="1753" s="103" customFormat="1" x14ac:dyDescent="0.25"/>
    <row r="1754" s="103" customFormat="1" x14ac:dyDescent="0.25"/>
    <row r="1755" s="103" customFormat="1" x14ac:dyDescent="0.25"/>
    <row r="1756" s="103" customFormat="1" x14ac:dyDescent="0.25"/>
    <row r="1757" s="103" customFormat="1" x14ac:dyDescent="0.25"/>
    <row r="1758" s="103" customFormat="1" x14ac:dyDescent="0.25"/>
    <row r="1759" s="103" customFormat="1" x14ac:dyDescent="0.25"/>
    <row r="1760" s="103" customFormat="1" x14ac:dyDescent="0.25"/>
    <row r="1761" s="103" customFormat="1" x14ac:dyDescent="0.25"/>
    <row r="1762" s="103" customFormat="1" x14ac:dyDescent="0.25"/>
    <row r="1763" s="103" customFormat="1" x14ac:dyDescent="0.25"/>
    <row r="1764" s="103" customFormat="1" x14ac:dyDescent="0.25"/>
    <row r="1765" s="103" customFormat="1" x14ac:dyDescent="0.25"/>
    <row r="1766" s="103" customFormat="1" x14ac:dyDescent="0.25"/>
    <row r="1767" s="103" customFormat="1" x14ac:dyDescent="0.25"/>
    <row r="1768" s="103" customFormat="1" x14ac:dyDescent="0.25"/>
    <row r="1769" s="103" customFormat="1" x14ac:dyDescent="0.25"/>
    <row r="1770" s="103" customFormat="1" x14ac:dyDescent="0.25"/>
    <row r="1771" s="103" customFormat="1" x14ac:dyDescent="0.25"/>
    <row r="1772" s="103" customFormat="1" x14ac:dyDescent="0.25"/>
    <row r="1773" s="103" customFormat="1" x14ac:dyDescent="0.25"/>
    <row r="1774" s="103" customFormat="1" x14ac:dyDescent="0.25"/>
    <row r="1775" s="103" customFormat="1" x14ac:dyDescent="0.25"/>
    <row r="1776" s="103" customFormat="1" x14ac:dyDescent="0.25"/>
    <row r="1777" s="103" customFormat="1" x14ac:dyDescent="0.25"/>
    <row r="1778" s="103" customFormat="1" x14ac:dyDescent="0.25"/>
    <row r="1779" s="103" customFormat="1" x14ac:dyDescent="0.25"/>
    <row r="1780" s="103" customFormat="1" x14ac:dyDescent="0.25"/>
    <row r="1781" s="103" customFormat="1" x14ac:dyDescent="0.25"/>
    <row r="1782" s="103" customFormat="1" x14ac:dyDescent="0.25"/>
    <row r="1783" s="103" customFormat="1" x14ac:dyDescent="0.25"/>
    <row r="1784" s="103" customFormat="1" x14ac:dyDescent="0.25"/>
    <row r="1785" s="103" customFormat="1" x14ac:dyDescent="0.25"/>
    <row r="1786" s="103" customFormat="1" x14ac:dyDescent="0.25"/>
    <row r="1787" s="103" customFormat="1" x14ac:dyDescent="0.25"/>
    <row r="1788" s="103" customFormat="1" x14ac:dyDescent="0.25"/>
    <row r="1789" s="103" customFormat="1" x14ac:dyDescent="0.25"/>
    <row r="1790" s="103" customFormat="1" x14ac:dyDescent="0.25"/>
    <row r="1791" s="103" customFormat="1" x14ac:dyDescent="0.25"/>
    <row r="1792" s="103" customFormat="1" x14ac:dyDescent="0.25"/>
    <row r="1793" s="103" customFormat="1" x14ac:dyDescent="0.25"/>
    <row r="1794" s="103" customFormat="1" x14ac:dyDescent="0.25"/>
    <row r="1795" s="103" customFormat="1" x14ac:dyDescent="0.25"/>
    <row r="1796" s="103" customFormat="1" x14ac:dyDescent="0.25"/>
    <row r="1797" s="103" customFormat="1" x14ac:dyDescent="0.25"/>
    <row r="1798" s="103" customFormat="1" x14ac:dyDescent="0.25"/>
    <row r="1799" s="103" customFormat="1" x14ac:dyDescent="0.25"/>
    <row r="1800" s="103" customFormat="1" x14ac:dyDescent="0.25"/>
    <row r="1801" s="103" customFormat="1" x14ac:dyDescent="0.25"/>
    <row r="1802" s="103" customFormat="1" x14ac:dyDescent="0.25"/>
    <row r="1803" s="103" customFormat="1" x14ac:dyDescent="0.25"/>
    <row r="1804" s="103" customFormat="1" x14ac:dyDescent="0.25"/>
    <row r="1805" s="103" customFormat="1" x14ac:dyDescent="0.25"/>
    <row r="1806" s="103" customFormat="1" x14ac:dyDescent="0.25"/>
    <row r="1807" s="103" customFormat="1" x14ac:dyDescent="0.25"/>
    <row r="1808" s="103" customFormat="1" x14ac:dyDescent="0.25"/>
    <row r="1809" s="103" customFormat="1" x14ac:dyDescent="0.25"/>
    <row r="1810" s="103" customFormat="1" x14ac:dyDescent="0.25"/>
    <row r="1811" s="103" customFormat="1" x14ac:dyDescent="0.25"/>
    <row r="1812" s="103" customFormat="1" x14ac:dyDescent="0.25"/>
    <row r="1813" s="103" customFormat="1" x14ac:dyDescent="0.25"/>
    <row r="1814" s="103" customFormat="1" x14ac:dyDescent="0.25"/>
    <row r="1815" s="103" customFormat="1" x14ac:dyDescent="0.25"/>
    <row r="1816" s="103" customFormat="1" x14ac:dyDescent="0.25"/>
    <row r="1817" s="103" customFormat="1" x14ac:dyDescent="0.25"/>
    <row r="1818" s="103" customFormat="1" x14ac:dyDescent="0.25"/>
    <row r="1819" s="103" customFormat="1" x14ac:dyDescent="0.25"/>
    <row r="1820" s="103" customFormat="1" x14ac:dyDescent="0.25"/>
    <row r="1821" s="103" customFormat="1" x14ac:dyDescent="0.25"/>
    <row r="1822" s="103" customFormat="1" x14ac:dyDescent="0.25"/>
    <row r="1823" s="103" customFormat="1" x14ac:dyDescent="0.25"/>
    <row r="1824" s="103" customFormat="1" x14ac:dyDescent="0.25"/>
    <row r="1825" s="103" customFormat="1" x14ac:dyDescent="0.25"/>
    <row r="1826" s="103" customFormat="1" x14ac:dyDescent="0.25"/>
    <row r="1827" s="103" customFormat="1" x14ac:dyDescent="0.25"/>
    <row r="1828" s="103" customFormat="1" x14ac:dyDescent="0.25"/>
    <row r="1829" s="103" customFormat="1" x14ac:dyDescent="0.25"/>
    <row r="1830" s="103" customFormat="1" x14ac:dyDescent="0.25"/>
    <row r="1831" s="103" customFormat="1" x14ac:dyDescent="0.25"/>
    <row r="1832" s="103" customFormat="1" x14ac:dyDescent="0.25"/>
    <row r="1833" s="103" customFormat="1" x14ac:dyDescent="0.25"/>
    <row r="1834" s="103" customFormat="1" x14ac:dyDescent="0.25"/>
    <row r="1835" s="103" customFormat="1" x14ac:dyDescent="0.25"/>
    <row r="1836" s="103" customFormat="1" x14ac:dyDescent="0.25"/>
    <row r="1837" s="103" customFormat="1" x14ac:dyDescent="0.25"/>
    <row r="1838" s="103" customFormat="1" x14ac:dyDescent="0.25"/>
    <row r="1839" s="103" customFormat="1" x14ac:dyDescent="0.25"/>
    <row r="1840" s="103" customFormat="1" x14ac:dyDescent="0.25"/>
    <row r="1841" s="103" customFormat="1" x14ac:dyDescent="0.25"/>
    <row r="1842" s="103" customFormat="1" x14ac:dyDescent="0.25"/>
    <row r="1843" s="103" customFormat="1" x14ac:dyDescent="0.25"/>
    <row r="1844" s="103" customFormat="1" x14ac:dyDescent="0.25"/>
    <row r="1845" s="103" customFormat="1" x14ac:dyDescent="0.25"/>
    <row r="1846" s="103" customFormat="1" x14ac:dyDescent="0.25"/>
    <row r="1847" s="103" customFormat="1" x14ac:dyDescent="0.25"/>
    <row r="1848" s="103" customFormat="1" x14ac:dyDescent="0.25"/>
    <row r="1849" s="103" customFormat="1" x14ac:dyDescent="0.25"/>
    <row r="1850" s="103" customFormat="1" x14ac:dyDescent="0.25"/>
    <row r="1851" s="103" customFormat="1" x14ac:dyDescent="0.25"/>
    <row r="1852" s="103" customFormat="1" x14ac:dyDescent="0.25"/>
    <row r="1853" s="103" customFormat="1" x14ac:dyDescent="0.25"/>
    <row r="1854" s="103" customFormat="1" x14ac:dyDescent="0.25"/>
    <row r="1855" s="103" customFormat="1" x14ac:dyDescent="0.25"/>
    <row r="1856" s="103" customFormat="1" x14ac:dyDescent="0.25"/>
    <row r="1857" s="103" customFormat="1" x14ac:dyDescent="0.25"/>
    <row r="1858" s="103" customFormat="1" x14ac:dyDescent="0.25"/>
    <row r="1859" s="103" customFormat="1" x14ac:dyDescent="0.25"/>
    <row r="1860" s="103" customFormat="1" x14ac:dyDescent="0.25"/>
    <row r="1861" s="103" customFormat="1" x14ac:dyDescent="0.25"/>
    <row r="1862" s="103" customFormat="1" x14ac:dyDescent="0.25"/>
    <row r="1863" s="103" customFormat="1" x14ac:dyDescent="0.25"/>
    <row r="1864" s="103" customFormat="1" x14ac:dyDescent="0.25"/>
    <row r="1865" s="103" customFormat="1" x14ac:dyDescent="0.25"/>
    <row r="1866" s="103" customFormat="1" x14ac:dyDescent="0.25"/>
    <row r="1867" s="103" customFormat="1" x14ac:dyDescent="0.25"/>
    <row r="1868" s="103" customFormat="1" x14ac:dyDescent="0.25"/>
    <row r="1869" s="103" customFormat="1" x14ac:dyDescent="0.25"/>
    <row r="1870" s="103" customFormat="1" x14ac:dyDescent="0.25"/>
    <row r="1871" s="103" customFormat="1" x14ac:dyDescent="0.25"/>
    <row r="1872" s="103" customFormat="1" x14ac:dyDescent="0.25"/>
    <row r="1873" s="103" customFormat="1" x14ac:dyDescent="0.25"/>
    <row r="1874" s="103" customFormat="1" x14ac:dyDescent="0.25"/>
    <row r="1875" s="103" customFormat="1" x14ac:dyDescent="0.25"/>
    <row r="1876" s="103" customFormat="1" x14ac:dyDescent="0.25"/>
    <row r="1877" s="103" customFormat="1" x14ac:dyDescent="0.25"/>
    <row r="1878" s="103" customFormat="1" x14ac:dyDescent="0.25"/>
    <row r="1879" s="103" customFormat="1" x14ac:dyDescent="0.25"/>
    <row r="1880" s="103" customFormat="1" x14ac:dyDescent="0.25"/>
    <row r="1881" s="103" customFormat="1" x14ac:dyDescent="0.25"/>
    <row r="1882" s="103" customFormat="1" x14ac:dyDescent="0.25"/>
    <row r="1883" s="103" customFormat="1" x14ac:dyDescent="0.25"/>
    <row r="1884" s="103" customFormat="1" x14ac:dyDescent="0.25"/>
    <row r="1885" s="103" customFormat="1" x14ac:dyDescent="0.25"/>
    <row r="1886" s="103" customFormat="1" x14ac:dyDescent="0.25"/>
    <row r="1887" s="103" customFormat="1" x14ac:dyDescent="0.25"/>
    <row r="1888" s="103" customFormat="1" x14ac:dyDescent="0.25"/>
    <row r="1889" s="103" customFormat="1" x14ac:dyDescent="0.25"/>
    <row r="1890" s="103" customFormat="1" x14ac:dyDescent="0.25"/>
    <row r="1891" s="103" customFormat="1" x14ac:dyDescent="0.25"/>
    <row r="1892" s="103" customFormat="1" x14ac:dyDescent="0.25"/>
    <row r="1893" s="103" customFormat="1" x14ac:dyDescent="0.25"/>
    <row r="1894" s="103" customFormat="1" x14ac:dyDescent="0.25"/>
    <row r="1895" s="103" customFormat="1" x14ac:dyDescent="0.25"/>
    <row r="1896" s="103" customFormat="1" x14ac:dyDescent="0.25"/>
    <row r="1897" s="103" customFormat="1" x14ac:dyDescent="0.25"/>
    <row r="1898" s="103" customFormat="1" x14ac:dyDescent="0.25"/>
    <row r="1899" s="103" customFormat="1" x14ac:dyDescent="0.25"/>
    <row r="1900" s="103" customFormat="1" x14ac:dyDescent="0.25"/>
    <row r="1901" s="103" customFormat="1" x14ac:dyDescent="0.25"/>
    <row r="1902" s="103" customFormat="1" x14ac:dyDescent="0.25"/>
    <row r="1903" s="103" customFormat="1" x14ac:dyDescent="0.25"/>
    <row r="1904" s="103" customFormat="1" x14ac:dyDescent="0.25"/>
    <row r="1905" s="103" customFormat="1" x14ac:dyDescent="0.25"/>
    <row r="1906" s="103" customFormat="1" x14ac:dyDescent="0.25"/>
    <row r="1907" s="103" customFormat="1" x14ac:dyDescent="0.25"/>
    <row r="1908" s="103" customFormat="1" x14ac:dyDescent="0.25"/>
    <row r="1909" s="103" customFormat="1" x14ac:dyDescent="0.25"/>
    <row r="1910" s="103" customFormat="1" x14ac:dyDescent="0.25"/>
    <row r="1911" s="103" customFormat="1" x14ac:dyDescent="0.25"/>
    <row r="1912" s="103" customFormat="1" x14ac:dyDescent="0.25"/>
    <row r="1913" s="103" customFormat="1" x14ac:dyDescent="0.25"/>
    <row r="1914" s="103" customFormat="1" x14ac:dyDescent="0.25"/>
    <row r="1915" s="103" customFormat="1" x14ac:dyDescent="0.25"/>
    <row r="1916" s="103" customFormat="1" x14ac:dyDescent="0.25"/>
    <row r="1917" s="103" customFormat="1" x14ac:dyDescent="0.25"/>
    <row r="1918" s="103" customFormat="1" x14ac:dyDescent="0.25"/>
    <row r="1919" s="103" customFormat="1" x14ac:dyDescent="0.25"/>
    <row r="1920" s="103" customFormat="1" x14ac:dyDescent="0.25"/>
    <row r="1921" s="103" customFormat="1" x14ac:dyDescent="0.25"/>
    <row r="1922" s="103" customFormat="1" x14ac:dyDescent="0.25"/>
    <row r="1923" s="103" customFormat="1" x14ac:dyDescent="0.25"/>
    <row r="1924" s="103" customFormat="1" x14ac:dyDescent="0.25"/>
    <row r="1925" s="103" customFormat="1" x14ac:dyDescent="0.25"/>
    <row r="1926" s="103" customFormat="1" x14ac:dyDescent="0.25"/>
    <row r="1927" s="103" customFormat="1" x14ac:dyDescent="0.25"/>
    <row r="1928" s="103" customFormat="1" x14ac:dyDescent="0.25"/>
    <row r="1929" s="103" customFormat="1" x14ac:dyDescent="0.25"/>
    <row r="1930" s="103" customFormat="1" x14ac:dyDescent="0.25"/>
    <row r="1931" s="103" customFormat="1" x14ac:dyDescent="0.25"/>
    <row r="1932" s="103" customFormat="1" x14ac:dyDescent="0.25"/>
    <row r="1933" s="103" customFormat="1" x14ac:dyDescent="0.25"/>
    <row r="1934" s="103" customFormat="1" x14ac:dyDescent="0.25"/>
    <row r="1935" s="103" customFormat="1" x14ac:dyDescent="0.25"/>
    <row r="1936" s="103" customFormat="1" x14ac:dyDescent="0.25"/>
    <row r="1937" s="103" customFormat="1" x14ac:dyDescent="0.25"/>
    <row r="1938" s="103" customFormat="1" x14ac:dyDescent="0.25"/>
    <row r="1939" s="103" customFormat="1" x14ac:dyDescent="0.25"/>
    <row r="1940" s="103" customFormat="1" x14ac:dyDescent="0.25"/>
    <row r="1941" s="103" customFormat="1" x14ac:dyDescent="0.25"/>
    <row r="1942" s="103" customFormat="1" x14ac:dyDescent="0.25"/>
    <row r="1943" s="103" customFormat="1" x14ac:dyDescent="0.25"/>
    <row r="1944" s="103" customFormat="1" x14ac:dyDescent="0.25"/>
    <row r="1945" s="103" customFormat="1" x14ac:dyDescent="0.25"/>
    <row r="1946" s="103" customFormat="1" x14ac:dyDescent="0.25"/>
    <row r="1947" s="103" customFormat="1" x14ac:dyDescent="0.25"/>
    <row r="1948" s="103" customFormat="1" x14ac:dyDescent="0.25"/>
    <row r="1949" s="103" customFormat="1" x14ac:dyDescent="0.25"/>
    <row r="1950" s="103" customFormat="1" x14ac:dyDescent="0.25"/>
    <row r="1951" s="103" customFormat="1" x14ac:dyDescent="0.25"/>
    <row r="1952" s="103" customFormat="1" x14ac:dyDescent="0.25"/>
    <row r="1953" s="103" customFormat="1" x14ac:dyDescent="0.25"/>
    <row r="1954" s="103" customFormat="1" x14ac:dyDescent="0.25"/>
    <row r="1955" s="103" customFormat="1" x14ac:dyDescent="0.25"/>
    <row r="1956" s="103" customFormat="1" x14ac:dyDescent="0.25"/>
    <row r="1957" s="103" customFormat="1" x14ac:dyDescent="0.25"/>
    <row r="1958" s="103" customFormat="1" x14ac:dyDescent="0.25"/>
    <row r="1959" s="103" customFormat="1" x14ac:dyDescent="0.25"/>
    <row r="1960" s="103" customFormat="1" x14ac:dyDescent="0.25"/>
    <row r="1961" s="103" customFormat="1" x14ac:dyDescent="0.25"/>
    <row r="1962" s="103" customFormat="1" x14ac:dyDescent="0.25"/>
    <row r="1963" s="103" customFormat="1" x14ac:dyDescent="0.25"/>
    <row r="1964" s="103" customFormat="1" x14ac:dyDescent="0.25"/>
    <row r="1965" s="103" customFormat="1" x14ac:dyDescent="0.25"/>
    <row r="1966" s="103" customFormat="1" x14ac:dyDescent="0.25"/>
    <row r="1967" s="103" customFormat="1" x14ac:dyDescent="0.25"/>
    <row r="1968" s="103" customFormat="1" x14ac:dyDescent="0.25"/>
    <row r="1969" s="103" customFormat="1" x14ac:dyDescent="0.25"/>
    <row r="1970" s="103" customFormat="1" x14ac:dyDescent="0.25"/>
    <row r="1971" s="103" customFormat="1" x14ac:dyDescent="0.25"/>
    <row r="1972" s="103" customFormat="1" x14ac:dyDescent="0.25"/>
    <row r="1973" s="103" customFormat="1" x14ac:dyDescent="0.25"/>
    <row r="1974" s="103" customFormat="1" x14ac:dyDescent="0.25"/>
    <row r="1975" s="103" customFormat="1" x14ac:dyDescent="0.25"/>
    <row r="1976" s="103" customFormat="1" x14ac:dyDescent="0.25"/>
    <row r="1977" s="103" customFormat="1" x14ac:dyDescent="0.25"/>
    <row r="1978" s="103" customFormat="1" x14ac:dyDescent="0.25"/>
    <row r="1979" s="103" customFormat="1" x14ac:dyDescent="0.25"/>
    <row r="1980" s="103" customFormat="1" x14ac:dyDescent="0.25"/>
    <row r="1981" s="103" customFormat="1" x14ac:dyDescent="0.25"/>
    <row r="1982" s="103" customFormat="1" x14ac:dyDescent="0.25"/>
    <row r="1983" s="103" customFormat="1" x14ac:dyDescent="0.25"/>
    <row r="1984" s="103" customFormat="1" x14ac:dyDescent="0.25"/>
    <row r="1985" s="103" customFormat="1" x14ac:dyDescent="0.25"/>
    <row r="1986" s="103" customFormat="1" x14ac:dyDescent="0.25"/>
    <row r="1987" s="103" customFormat="1" x14ac:dyDescent="0.25"/>
    <row r="1988" s="103" customFormat="1" x14ac:dyDescent="0.25"/>
    <row r="1989" s="103" customFormat="1" x14ac:dyDescent="0.25"/>
    <row r="1990" s="103" customFormat="1" x14ac:dyDescent="0.25"/>
    <row r="1991" s="103" customFormat="1" x14ac:dyDescent="0.25"/>
    <row r="1992" s="103" customFormat="1" x14ac:dyDescent="0.25"/>
    <row r="1993" s="103" customFormat="1" x14ac:dyDescent="0.25"/>
    <row r="1994" s="103" customFormat="1" x14ac:dyDescent="0.25"/>
    <row r="1995" s="103" customFormat="1" x14ac:dyDescent="0.25"/>
    <row r="1996" s="103" customFormat="1" x14ac:dyDescent="0.25"/>
    <row r="1997" s="103" customFormat="1" x14ac:dyDescent="0.25"/>
    <row r="1998" s="103" customFormat="1" x14ac:dyDescent="0.25"/>
    <row r="1999" s="103" customFormat="1" x14ac:dyDescent="0.25"/>
    <row r="2000" s="103" customFormat="1" x14ac:dyDescent="0.25"/>
    <row r="2001" s="103" customFormat="1" x14ac:dyDescent="0.25"/>
    <row r="2002" s="103" customFormat="1" x14ac:dyDescent="0.25"/>
    <row r="2003" s="103" customFormat="1" x14ac:dyDescent="0.25"/>
    <row r="2004" s="103" customFormat="1" x14ac:dyDescent="0.25"/>
    <row r="2005" s="103" customFormat="1" x14ac:dyDescent="0.25"/>
    <row r="2006" s="103" customFormat="1" x14ac:dyDescent="0.25"/>
    <row r="2007" s="103" customFormat="1" x14ac:dyDescent="0.25"/>
    <row r="2008" s="103" customFormat="1" x14ac:dyDescent="0.25"/>
    <row r="2009" s="103" customFormat="1" x14ac:dyDescent="0.25"/>
    <row r="2010" s="103" customFormat="1" x14ac:dyDescent="0.25"/>
    <row r="2011" s="103" customFormat="1" x14ac:dyDescent="0.25"/>
    <row r="2012" s="103" customFormat="1" x14ac:dyDescent="0.25"/>
    <row r="2013" s="103" customFormat="1" x14ac:dyDescent="0.25"/>
    <row r="2014" s="103" customFormat="1" x14ac:dyDescent="0.25"/>
    <row r="2015" s="103" customFormat="1" x14ac:dyDescent="0.25"/>
    <row r="2016" s="103" customFormat="1" x14ac:dyDescent="0.25"/>
    <row r="2017" s="103" customFormat="1" x14ac:dyDescent="0.25"/>
    <row r="2018" s="103" customFormat="1" x14ac:dyDescent="0.25"/>
    <row r="2019" s="103" customFormat="1" x14ac:dyDescent="0.25"/>
    <row r="2020" s="103" customFormat="1" x14ac:dyDescent="0.25"/>
    <row r="2021" s="103" customFormat="1" x14ac:dyDescent="0.25"/>
    <row r="2022" s="103" customFormat="1" x14ac:dyDescent="0.25"/>
    <row r="2023" s="103" customFormat="1" x14ac:dyDescent="0.25"/>
    <row r="2024" s="103" customFormat="1" x14ac:dyDescent="0.25"/>
    <row r="2025" s="103" customFormat="1" x14ac:dyDescent="0.25"/>
    <row r="2026" s="103" customFormat="1" x14ac:dyDescent="0.25"/>
    <row r="2027" s="103" customFormat="1" x14ac:dyDescent="0.25"/>
    <row r="2028" s="103" customFormat="1" x14ac:dyDescent="0.25"/>
    <row r="2029" s="103" customFormat="1" x14ac:dyDescent="0.25"/>
    <row r="2030" s="103" customFormat="1" x14ac:dyDescent="0.25"/>
    <row r="2031" s="103" customFormat="1" x14ac:dyDescent="0.25"/>
    <row r="2032" s="103" customFormat="1" x14ac:dyDescent="0.25"/>
    <row r="2033" s="103" customFormat="1" x14ac:dyDescent="0.25"/>
    <row r="2034" s="103" customFormat="1" x14ac:dyDescent="0.25"/>
    <row r="2035" s="103" customFormat="1" x14ac:dyDescent="0.25"/>
    <row r="2036" s="103" customFormat="1" x14ac:dyDescent="0.25"/>
    <row r="2037" s="103" customFormat="1" x14ac:dyDescent="0.25"/>
    <row r="2038" s="103" customFormat="1" x14ac:dyDescent="0.25"/>
    <row r="2039" s="103" customFormat="1" x14ac:dyDescent="0.25"/>
    <row r="2040" s="103" customFormat="1" x14ac:dyDescent="0.25"/>
    <row r="2041" s="103" customFormat="1" x14ac:dyDescent="0.25"/>
    <row r="2042" s="103" customFormat="1" x14ac:dyDescent="0.25"/>
    <row r="2043" s="103" customFormat="1" x14ac:dyDescent="0.25"/>
    <row r="2044" s="103" customFormat="1" x14ac:dyDescent="0.25"/>
    <row r="2045" s="103" customFormat="1" x14ac:dyDescent="0.25"/>
    <row r="2046" s="103" customFormat="1" x14ac:dyDescent="0.25"/>
    <row r="2047" s="103" customFormat="1" x14ac:dyDescent="0.25"/>
    <row r="2048" s="103" customFormat="1" x14ac:dyDescent="0.25"/>
    <row r="2049" s="103" customFormat="1" x14ac:dyDescent="0.25"/>
    <row r="2050" s="103" customFormat="1" x14ac:dyDescent="0.25"/>
    <row r="2051" s="103" customFormat="1" x14ac:dyDescent="0.25"/>
    <row r="2052" s="103" customFormat="1" x14ac:dyDescent="0.25"/>
    <row r="2053" s="103" customFormat="1" x14ac:dyDescent="0.25"/>
    <row r="2054" s="103" customFormat="1" x14ac:dyDescent="0.25"/>
    <row r="2055" s="103" customFormat="1" x14ac:dyDescent="0.25"/>
    <row r="2056" s="103" customFormat="1" x14ac:dyDescent="0.25"/>
    <row r="2057" s="103" customFormat="1" x14ac:dyDescent="0.25"/>
    <row r="2058" s="103" customFormat="1" x14ac:dyDescent="0.25"/>
    <row r="2059" s="103" customFormat="1" x14ac:dyDescent="0.25"/>
    <row r="2060" s="103" customFormat="1" x14ac:dyDescent="0.25"/>
    <row r="2061" s="103" customFormat="1" x14ac:dyDescent="0.25"/>
    <row r="2062" s="103" customFormat="1" x14ac:dyDescent="0.25"/>
    <row r="2063" s="103" customFormat="1" x14ac:dyDescent="0.25"/>
    <row r="2064" s="103" customFormat="1" x14ac:dyDescent="0.25"/>
    <row r="2065" s="103" customFormat="1" x14ac:dyDescent="0.25"/>
    <row r="2066" s="103" customFormat="1" x14ac:dyDescent="0.25"/>
    <row r="2067" s="103" customFormat="1" x14ac:dyDescent="0.25"/>
    <row r="2068" s="103" customFormat="1" x14ac:dyDescent="0.25"/>
    <row r="2069" s="103" customFormat="1" x14ac:dyDescent="0.25"/>
    <row r="2070" s="103" customFormat="1" x14ac:dyDescent="0.25"/>
    <row r="2071" s="103" customFormat="1" x14ac:dyDescent="0.25"/>
    <row r="2072" s="103" customFormat="1" x14ac:dyDescent="0.25"/>
    <row r="2073" s="103" customFormat="1" x14ac:dyDescent="0.25"/>
    <row r="2074" s="103" customFormat="1" x14ac:dyDescent="0.25"/>
    <row r="2075" s="103" customFormat="1" x14ac:dyDescent="0.25"/>
    <row r="2076" s="103" customFormat="1" x14ac:dyDescent="0.25"/>
    <row r="2077" s="103" customFormat="1" x14ac:dyDescent="0.25"/>
    <row r="2078" s="103" customFormat="1" x14ac:dyDescent="0.25"/>
    <row r="2079" s="103" customFormat="1" x14ac:dyDescent="0.25"/>
    <row r="2080" s="103" customFormat="1" x14ac:dyDescent="0.25"/>
    <row r="2081" s="103" customFormat="1" x14ac:dyDescent="0.25"/>
    <row r="2082" s="103" customFormat="1" x14ac:dyDescent="0.25"/>
    <row r="2083" s="103" customFormat="1" x14ac:dyDescent="0.25"/>
    <row r="2084" s="103" customFormat="1" x14ac:dyDescent="0.25"/>
    <row r="2085" s="103" customFormat="1" x14ac:dyDescent="0.25"/>
    <row r="2086" s="103" customFormat="1" x14ac:dyDescent="0.25"/>
    <row r="2087" s="103" customFormat="1" x14ac:dyDescent="0.25"/>
    <row r="2088" s="103" customFormat="1" x14ac:dyDescent="0.25"/>
    <row r="2089" s="103" customFormat="1" x14ac:dyDescent="0.25"/>
    <row r="2090" s="103" customFormat="1" x14ac:dyDescent="0.25"/>
    <row r="2091" s="103" customFormat="1" x14ac:dyDescent="0.25"/>
    <row r="2092" s="103" customFormat="1" x14ac:dyDescent="0.25"/>
    <row r="2093" s="103" customFormat="1" x14ac:dyDescent="0.25"/>
    <row r="2094" s="103" customFormat="1" x14ac:dyDescent="0.25"/>
    <row r="2095" s="103" customFormat="1" x14ac:dyDescent="0.25"/>
    <row r="2096" s="103" customFormat="1" x14ac:dyDescent="0.25"/>
    <row r="2097" s="103" customFormat="1" x14ac:dyDescent="0.25"/>
    <row r="2098" s="103" customFormat="1" x14ac:dyDescent="0.25"/>
    <row r="2099" s="103" customFormat="1" x14ac:dyDescent="0.25"/>
    <row r="2100" s="103" customFormat="1" x14ac:dyDescent="0.25"/>
    <row r="2101" s="103" customFormat="1" x14ac:dyDescent="0.25"/>
    <row r="2102" s="103" customFormat="1" x14ac:dyDescent="0.25"/>
    <row r="2103" s="103" customFormat="1" x14ac:dyDescent="0.25"/>
    <row r="2104" s="103" customFormat="1" x14ac:dyDescent="0.25"/>
    <row r="2105" s="103" customFormat="1" x14ac:dyDescent="0.25"/>
    <row r="2106" s="103" customFormat="1" x14ac:dyDescent="0.25"/>
    <row r="2107" s="103" customFormat="1" x14ac:dyDescent="0.25"/>
    <row r="2108" s="103" customFormat="1" x14ac:dyDescent="0.25"/>
    <row r="2109" s="103" customFormat="1" x14ac:dyDescent="0.25"/>
    <row r="2110" s="103" customFormat="1" x14ac:dyDescent="0.25"/>
    <row r="2111" s="103" customFormat="1" x14ac:dyDescent="0.25"/>
    <row r="2112" s="103" customFormat="1" x14ac:dyDescent="0.25"/>
    <row r="2113" s="103" customFormat="1" x14ac:dyDescent="0.25"/>
    <row r="2114" s="103" customFormat="1" x14ac:dyDescent="0.25"/>
    <row r="2115" s="103" customFormat="1" x14ac:dyDescent="0.25"/>
    <row r="2116" s="103" customFormat="1" x14ac:dyDescent="0.25"/>
    <row r="2117" s="103" customFormat="1" x14ac:dyDescent="0.25"/>
    <row r="2118" s="103" customFormat="1" x14ac:dyDescent="0.25"/>
    <row r="2119" s="103" customFormat="1" x14ac:dyDescent="0.25"/>
    <row r="2120" s="103" customFormat="1" x14ac:dyDescent="0.25"/>
    <row r="2121" s="103" customFormat="1" x14ac:dyDescent="0.25"/>
    <row r="2122" s="103" customFormat="1" x14ac:dyDescent="0.25"/>
    <row r="2123" s="103" customFormat="1" x14ac:dyDescent="0.25"/>
    <row r="2124" s="103" customFormat="1" x14ac:dyDescent="0.25"/>
    <row r="2125" s="103" customFormat="1" x14ac:dyDescent="0.25"/>
    <row r="2126" s="103" customFormat="1" x14ac:dyDescent="0.25"/>
    <row r="2127" s="103" customFormat="1" x14ac:dyDescent="0.25"/>
    <row r="2128" s="103" customFormat="1" x14ac:dyDescent="0.25"/>
    <row r="2129" s="103" customFormat="1" x14ac:dyDescent="0.25"/>
    <row r="2130" s="103" customFormat="1" x14ac:dyDescent="0.25"/>
    <row r="2131" s="103" customFormat="1" x14ac:dyDescent="0.25"/>
    <row r="2132" s="103" customFormat="1" x14ac:dyDescent="0.25"/>
    <row r="2133" s="103" customFormat="1" x14ac:dyDescent="0.25"/>
    <row r="2134" s="103" customFormat="1" x14ac:dyDescent="0.25"/>
    <row r="2135" s="103" customFormat="1" x14ac:dyDescent="0.25"/>
    <row r="2136" s="103" customFormat="1" x14ac:dyDescent="0.25"/>
    <row r="2137" s="103" customFormat="1" x14ac:dyDescent="0.25"/>
    <row r="2138" s="103" customFormat="1" x14ac:dyDescent="0.25"/>
    <row r="2139" s="103" customFormat="1" x14ac:dyDescent="0.25"/>
    <row r="2140" s="103" customFormat="1" x14ac:dyDescent="0.25"/>
    <row r="2141" s="103" customFormat="1" x14ac:dyDescent="0.25"/>
    <row r="2142" s="103" customFormat="1" x14ac:dyDescent="0.25"/>
    <row r="2143" s="103" customFormat="1" x14ac:dyDescent="0.25"/>
    <row r="2144" s="103" customFormat="1" x14ac:dyDescent="0.25"/>
    <row r="2145" s="103" customFormat="1" x14ac:dyDescent="0.25"/>
    <row r="2146" s="103" customFormat="1" x14ac:dyDescent="0.25"/>
    <row r="2147" s="103" customFormat="1" x14ac:dyDescent="0.25"/>
    <row r="2148" s="103" customFormat="1" x14ac:dyDescent="0.25"/>
    <row r="2149" s="103" customFormat="1" x14ac:dyDescent="0.25"/>
    <row r="2150" s="103" customFormat="1" x14ac:dyDescent="0.25"/>
    <row r="2151" s="103" customFormat="1" x14ac:dyDescent="0.25"/>
    <row r="2152" s="103" customFormat="1" x14ac:dyDescent="0.25"/>
    <row r="2153" s="103" customFormat="1" x14ac:dyDescent="0.25"/>
    <row r="2154" s="103" customFormat="1" x14ac:dyDescent="0.25"/>
    <row r="2155" s="103" customFormat="1" x14ac:dyDescent="0.25"/>
    <row r="2156" s="103" customFormat="1" x14ac:dyDescent="0.25"/>
    <row r="2157" s="103" customFormat="1" x14ac:dyDescent="0.25"/>
    <row r="2158" s="103" customFormat="1" x14ac:dyDescent="0.25"/>
    <row r="2159" s="103" customFormat="1" x14ac:dyDescent="0.25"/>
    <row r="2160" s="103" customFormat="1" x14ac:dyDescent="0.25"/>
    <row r="2161" s="103" customFormat="1" x14ac:dyDescent="0.25"/>
    <row r="2162" s="103" customFormat="1" x14ac:dyDescent="0.25"/>
    <row r="2163" s="103" customFormat="1" x14ac:dyDescent="0.25"/>
    <row r="2164" s="103" customFormat="1" x14ac:dyDescent="0.25"/>
    <row r="2165" s="103" customFormat="1" x14ac:dyDescent="0.25"/>
    <row r="2166" s="103" customFormat="1" x14ac:dyDescent="0.25"/>
    <row r="2167" s="103" customFormat="1" x14ac:dyDescent="0.25"/>
    <row r="2168" s="103" customFormat="1" x14ac:dyDescent="0.25"/>
    <row r="2169" s="103" customFormat="1" x14ac:dyDescent="0.25"/>
    <row r="2170" s="103" customFormat="1" x14ac:dyDescent="0.25"/>
    <row r="2171" s="103" customFormat="1" x14ac:dyDescent="0.25"/>
    <row r="2172" s="103" customFormat="1" x14ac:dyDescent="0.25"/>
    <row r="2173" s="103" customFormat="1" x14ac:dyDescent="0.25"/>
    <row r="2174" s="103" customFormat="1" x14ac:dyDescent="0.25"/>
    <row r="2175" s="103" customFormat="1" x14ac:dyDescent="0.25"/>
    <row r="2176" s="103" customFormat="1" x14ac:dyDescent="0.25"/>
    <row r="2177" s="103" customFormat="1" x14ac:dyDescent="0.25"/>
    <row r="2178" s="103" customFormat="1" x14ac:dyDescent="0.25"/>
    <row r="2179" s="103" customFormat="1" x14ac:dyDescent="0.25"/>
    <row r="2180" s="103" customFormat="1" x14ac:dyDescent="0.25"/>
    <row r="2181" s="103" customFormat="1" x14ac:dyDescent="0.25"/>
    <row r="2182" s="103" customFormat="1" x14ac:dyDescent="0.25"/>
    <row r="2183" s="103" customFormat="1" x14ac:dyDescent="0.25"/>
    <row r="2184" s="103" customFormat="1" x14ac:dyDescent="0.25"/>
    <row r="2185" s="103" customFormat="1" x14ac:dyDescent="0.25"/>
    <row r="2186" s="103" customFormat="1" x14ac:dyDescent="0.25"/>
    <row r="2187" s="103" customFormat="1" x14ac:dyDescent="0.25"/>
    <row r="2188" s="103" customFormat="1" x14ac:dyDescent="0.25"/>
    <row r="2189" s="103" customFormat="1" x14ac:dyDescent="0.25"/>
    <row r="2190" s="103" customFormat="1" x14ac:dyDescent="0.25"/>
    <row r="2191" s="103" customFormat="1" x14ac:dyDescent="0.25"/>
    <row r="2192" s="103" customFormat="1" x14ac:dyDescent="0.25"/>
    <row r="2193" s="103" customFormat="1" x14ac:dyDescent="0.25"/>
    <row r="2194" s="103" customFormat="1" x14ac:dyDescent="0.25"/>
    <row r="2195" s="103" customFormat="1" x14ac:dyDescent="0.25"/>
    <row r="2196" s="103" customFormat="1" x14ac:dyDescent="0.25"/>
    <row r="2197" s="103" customFormat="1" x14ac:dyDescent="0.25"/>
    <row r="2198" s="103" customFormat="1" x14ac:dyDescent="0.25"/>
    <row r="2199" s="103" customFormat="1" x14ac:dyDescent="0.25"/>
    <row r="2200" s="103" customFormat="1" x14ac:dyDescent="0.25"/>
    <row r="2201" s="103" customFormat="1" x14ac:dyDescent="0.25"/>
    <row r="2202" s="103" customFormat="1" x14ac:dyDescent="0.25"/>
    <row r="2203" s="103" customFormat="1" x14ac:dyDescent="0.25"/>
    <row r="2204" s="103" customFormat="1" x14ac:dyDescent="0.25"/>
    <row r="2205" s="103" customFormat="1" x14ac:dyDescent="0.25"/>
    <row r="2206" s="103" customFormat="1" x14ac:dyDescent="0.25"/>
    <row r="2207" s="103" customFormat="1" x14ac:dyDescent="0.25"/>
    <row r="2208" s="103" customFormat="1" x14ac:dyDescent="0.25"/>
    <row r="2209" s="103" customFormat="1" x14ac:dyDescent="0.25"/>
    <row r="2210" s="103" customFormat="1" x14ac:dyDescent="0.25"/>
    <row r="2211" s="103" customFormat="1" x14ac:dyDescent="0.25"/>
    <row r="2212" s="103" customFormat="1" x14ac:dyDescent="0.25"/>
    <row r="2213" s="103" customFormat="1" x14ac:dyDescent="0.25"/>
    <row r="2214" s="103" customFormat="1" x14ac:dyDescent="0.25"/>
    <row r="2215" s="103" customFormat="1" x14ac:dyDescent="0.25"/>
    <row r="2216" s="103" customFormat="1" x14ac:dyDescent="0.25"/>
    <row r="2217" s="103" customFormat="1" x14ac:dyDescent="0.25"/>
    <row r="2218" s="103" customFormat="1" x14ac:dyDescent="0.25"/>
    <row r="2219" s="103" customFormat="1" x14ac:dyDescent="0.25"/>
    <row r="2220" s="103" customFormat="1" x14ac:dyDescent="0.25"/>
    <row r="2221" s="103" customFormat="1" x14ac:dyDescent="0.25"/>
    <row r="2222" s="103" customFormat="1" x14ac:dyDescent="0.25"/>
    <row r="2223" s="103" customFormat="1" x14ac:dyDescent="0.25"/>
    <row r="2224" s="103" customFormat="1" x14ac:dyDescent="0.25"/>
    <row r="2225" s="103" customFormat="1" x14ac:dyDescent="0.25"/>
    <row r="2226" s="103" customFormat="1" x14ac:dyDescent="0.25"/>
    <row r="2227" s="103" customFormat="1" x14ac:dyDescent="0.25"/>
    <row r="2228" s="103" customFormat="1" x14ac:dyDescent="0.25"/>
    <row r="2229" s="103" customFormat="1" x14ac:dyDescent="0.25"/>
    <row r="2230" s="103" customFormat="1" x14ac:dyDescent="0.25"/>
    <row r="2231" s="103" customFormat="1" x14ac:dyDescent="0.25"/>
    <row r="2232" s="103" customFormat="1" x14ac:dyDescent="0.25"/>
    <row r="2233" s="103" customFormat="1" x14ac:dyDescent="0.25"/>
    <row r="2234" s="103" customFormat="1" x14ac:dyDescent="0.25"/>
    <row r="2235" s="103" customFormat="1" x14ac:dyDescent="0.25"/>
    <row r="2236" s="103" customFormat="1" x14ac:dyDescent="0.25"/>
    <row r="2237" s="103" customFormat="1" x14ac:dyDescent="0.25"/>
    <row r="2238" s="103" customFormat="1" x14ac:dyDescent="0.25"/>
    <row r="2239" s="103" customFormat="1" x14ac:dyDescent="0.25"/>
    <row r="2240" s="103" customFormat="1" x14ac:dyDescent="0.25"/>
    <row r="2241" s="103" customFormat="1" x14ac:dyDescent="0.25"/>
    <row r="2242" s="103" customFormat="1" x14ac:dyDescent="0.25"/>
    <row r="2243" s="103" customFormat="1" x14ac:dyDescent="0.25"/>
    <row r="2244" s="103" customFormat="1" x14ac:dyDescent="0.25"/>
    <row r="2245" s="103" customFormat="1" x14ac:dyDescent="0.25"/>
    <row r="2246" s="103" customFormat="1" x14ac:dyDescent="0.25"/>
    <row r="2247" s="103" customFormat="1" x14ac:dyDescent="0.25"/>
    <row r="2248" s="103" customFormat="1" x14ac:dyDescent="0.25"/>
    <row r="2249" s="103" customFormat="1" x14ac:dyDescent="0.25"/>
    <row r="2250" s="103" customFormat="1" x14ac:dyDescent="0.25"/>
    <row r="2251" s="103" customFormat="1" x14ac:dyDescent="0.25"/>
    <row r="2252" s="103" customFormat="1" x14ac:dyDescent="0.25"/>
    <row r="2253" s="103" customFormat="1" x14ac:dyDescent="0.25"/>
    <row r="2254" s="103" customFormat="1" x14ac:dyDescent="0.25"/>
    <row r="2255" s="103" customFormat="1" x14ac:dyDescent="0.25"/>
    <row r="2256" s="103" customFormat="1" x14ac:dyDescent="0.25"/>
    <row r="2257" s="103" customFormat="1" x14ac:dyDescent="0.25"/>
    <row r="2258" s="103" customFormat="1" x14ac:dyDescent="0.25"/>
    <row r="2259" s="103" customFormat="1" x14ac:dyDescent="0.25"/>
    <row r="2260" s="103" customFormat="1" x14ac:dyDescent="0.25"/>
    <row r="2261" s="103" customFormat="1" x14ac:dyDescent="0.25"/>
    <row r="2262" s="103" customFormat="1" x14ac:dyDescent="0.25"/>
    <row r="2263" s="103" customFormat="1" x14ac:dyDescent="0.25"/>
    <row r="2264" s="103" customFormat="1" x14ac:dyDescent="0.25"/>
    <row r="2265" s="103" customFormat="1" x14ac:dyDescent="0.25"/>
    <row r="2266" s="103" customFormat="1" x14ac:dyDescent="0.25"/>
    <row r="2267" s="103" customFormat="1" x14ac:dyDescent="0.25"/>
    <row r="2268" s="103" customFormat="1" x14ac:dyDescent="0.25"/>
    <row r="2269" s="103" customFormat="1" x14ac:dyDescent="0.25"/>
    <row r="2270" s="103" customFormat="1" x14ac:dyDescent="0.25"/>
    <row r="2271" s="103" customFormat="1" x14ac:dyDescent="0.25"/>
    <row r="2272" s="103" customFormat="1" x14ac:dyDescent="0.25"/>
    <row r="2273" s="103" customFormat="1" x14ac:dyDescent="0.25"/>
    <row r="2274" s="103" customFormat="1" x14ac:dyDescent="0.25"/>
    <row r="2275" s="103" customFormat="1" x14ac:dyDescent="0.25"/>
    <row r="2276" s="103" customFormat="1" x14ac:dyDescent="0.25"/>
    <row r="2277" s="103" customFormat="1" x14ac:dyDescent="0.25"/>
    <row r="2278" s="103" customFormat="1" x14ac:dyDescent="0.25"/>
    <row r="2279" s="103" customFormat="1" x14ac:dyDescent="0.25"/>
    <row r="2280" s="103" customFormat="1" x14ac:dyDescent="0.25"/>
    <row r="2281" s="103" customFormat="1" x14ac:dyDescent="0.25"/>
    <row r="2282" s="103" customFormat="1" x14ac:dyDescent="0.25"/>
    <row r="2283" s="103" customFormat="1" x14ac:dyDescent="0.25"/>
    <row r="2284" s="103" customFormat="1" x14ac:dyDescent="0.25"/>
    <row r="2285" s="103" customFormat="1" x14ac:dyDescent="0.25"/>
    <row r="2286" s="103" customFormat="1" x14ac:dyDescent="0.25"/>
    <row r="2287" s="103" customFormat="1" x14ac:dyDescent="0.25"/>
    <row r="2288" s="103" customFormat="1" x14ac:dyDescent="0.25"/>
    <row r="2289" s="103" customFormat="1" x14ac:dyDescent="0.25"/>
    <row r="2290" s="103" customFormat="1" x14ac:dyDescent="0.25"/>
    <row r="2291" s="103" customFormat="1" x14ac:dyDescent="0.25"/>
    <row r="2292" s="103" customFormat="1" x14ac:dyDescent="0.25"/>
    <row r="2293" s="103" customFormat="1" x14ac:dyDescent="0.25"/>
    <row r="2294" s="103" customFormat="1" x14ac:dyDescent="0.25"/>
    <row r="2295" s="103" customFormat="1" x14ac:dyDescent="0.25"/>
    <row r="2296" s="103" customFormat="1" x14ac:dyDescent="0.25"/>
    <row r="2297" s="103" customFormat="1" x14ac:dyDescent="0.25"/>
    <row r="2298" s="103" customFormat="1" x14ac:dyDescent="0.25"/>
    <row r="2299" s="103" customFormat="1" x14ac:dyDescent="0.25"/>
    <row r="2300" s="103" customFormat="1" x14ac:dyDescent="0.25"/>
    <row r="2301" s="103" customFormat="1" x14ac:dyDescent="0.25"/>
    <row r="2302" s="103" customFormat="1" x14ac:dyDescent="0.25"/>
    <row r="2303" s="103" customFormat="1" x14ac:dyDescent="0.25"/>
    <row r="2304" s="103" customFormat="1" x14ac:dyDescent="0.25"/>
    <row r="2305" s="103" customFormat="1" x14ac:dyDescent="0.25"/>
    <row r="2306" s="103" customFormat="1" x14ac:dyDescent="0.25"/>
    <row r="2307" s="103" customFormat="1" x14ac:dyDescent="0.25"/>
    <row r="2308" s="103" customFormat="1" x14ac:dyDescent="0.25"/>
    <row r="2309" s="103" customFormat="1" x14ac:dyDescent="0.25"/>
    <row r="2310" s="103" customFormat="1" x14ac:dyDescent="0.25"/>
    <row r="2311" s="103" customFormat="1" x14ac:dyDescent="0.25"/>
    <row r="2312" s="103" customFormat="1" x14ac:dyDescent="0.25"/>
    <row r="2313" s="103" customFormat="1" x14ac:dyDescent="0.25"/>
    <row r="2314" s="103" customFormat="1" x14ac:dyDescent="0.25"/>
    <row r="2315" s="103" customFormat="1" x14ac:dyDescent="0.25"/>
    <row r="2316" s="103" customFormat="1" x14ac:dyDescent="0.25"/>
    <row r="2317" s="103" customFormat="1" x14ac:dyDescent="0.25"/>
    <row r="2318" s="103" customFormat="1" x14ac:dyDescent="0.25"/>
    <row r="2319" s="103" customFormat="1" x14ac:dyDescent="0.25"/>
    <row r="2320" s="103" customFormat="1" x14ac:dyDescent="0.25"/>
    <row r="2321" s="103" customFormat="1" x14ac:dyDescent="0.25"/>
    <row r="2322" s="103" customFormat="1" x14ac:dyDescent="0.25"/>
    <row r="2323" s="103" customFormat="1" x14ac:dyDescent="0.25"/>
    <row r="2324" s="103" customFormat="1" x14ac:dyDescent="0.25"/>
    <row r="2325" s="103" customFormat="1" x14ac:dyDescent="0.25"/>
    <row r="2326" s="103" customFormat="1" x14ac:dyDescent="0.25"/>
    <row r="2327" s="103" customFormat="1" x14ac:dyDescent="0.25"/>
    <row r="2328" s="103" customFormat="1" x14ac:dyDescent="0.25"/>
    <row r="2329" s="103" customFormat="1" x14ac:dyDescent="0.25"/>
    <row r="2330" s="103" customFormat="1" x14ac:dyDescent="0.25"/>
    <row r="2331" s="103" customFormat="1" x14ac:dyDescent="0.25"/>
    <row r="2332" s="103" customFormat="1" x14ac:dyDescent="0.25"/>
    <row r="2333" s="103" customFormat="1" x14ac:dyDescent="0.25"/>
    <row r="2334" s="103" customFormat="1" x14ac:dyDescent="0.25"/>
    <row r="2335" s="103" customFormat="1" x14ac:dyDescent="0.25"/>
    <row r="2336" s="103" customFormat="1" x14ac:dyDescent="0.25"/>
    <row r="2337" s="103" customFormat="1" x14ac:dyDescent="0.25"/>
    <row r="2338" s="103" customFormat="1" x14ac:dyDescent="0.25"/>
    <row r="2339" s="103" customFormat="1" x14ac:dyDescent="0.25"/>
    <row r="2340" s="103" customFormat="1" x14ac:dyDescent="0.25"/>
    <row r="2341" s="103" customFormat="1" x14ac:dyDescent="0.25"/>
    <row r="2342" s="103" customFormat="1" x14ac:dyDescent="0.25"/>
    <row r="2343" s="103" customFormat="1" x14ac:dyDescent="0.25"/>
    <row r="2344" s="103" customFormat="1" x14ac:dyDescent="0.25"/>
    <row r="2345" s="103" customFormat="1" x14ac:dyDescent="0.25"/>
    <row r="2346" s="103" customFormat="1" x14ac:dyDescent="0.25"/>
    <row r="2347" s="103" customFormat="1" x14ac:dyDescent="0.25"/>
    <row r="2348" s="103" customFormat="1" x14ac:dyDescent="0.25"/>
    <row r="2349" s="103" customFormat="1" x14ac:dyDescent="0.25"/>
    <row r="2350" s="103" customFormat="1" x14ac:dyDescent="0.25"/>
    <row r="2351" s="103" customFormat="1" x14ac:dyDescent="0.25"/>
    <row r="2352" s="103" customFormat="1" x14ac:dyDescent="0.25"/>
    <row r="2353" s="103" customFormat="1" x14ac:dyDescent="0.25"/>
    <row r="2354" s="103" customFormat="1" x14ac:dyDescent="0.25"/>
    <row r="2355" s="103" customFormat="1" x14ac:dyDescent="0.25"/>
    <row r="2356" s="103" customFormat="1" x14ac:dyDescent="0.25"/>
    <row r="2357" s="103" customFormat="1" x14ac:dyDescent="0.25"/>
    <row r="2358" s="103" customFormat="1" x14ac:dyDescent="0.25"/>
    <row r="2359" s="103" customFormat="1" x14ac:dyDescent="0.25"/>
    <row r="2360" s="103" customFormat="1" x14ac:dyDescent="0.25"/>
    <row r="2361" s="103" customFormat="1" x14ac:dyDescent="0.25"/>
    <row r="2362" s="103" customFormat="1" x14ac:dyDescent="0.25"/>
    <row r="2363" s="103" customFormat="1" x14ac:dyDescent="0.25"/>
    <row r="2364" s="103" customFormat="1" x14ac:dyDescent="0.25"/>
    <row r="2365" s="103" customFormat="1" x14ac:dyDescent="0.25"/>
    <row r="2366" s="103" customFormat="1" x14ac:dyDescent="0.25"/>
    <row r="2367" s="103" customFormat="1" x14ac:dyDescent="0.25"/>
    <row r="2368" s="103" customFormat="1" x14ac:dyDescent="0.25"/>
    <row r="2369" s="103" customFormat="1" x14ac:dyDescent="0.25"/>
    <row r="2370" s="103" customFormat="1" x14ac:dyDescent="0.25"/>
    <row r="2371" s="103" customFormat="1" x14ac:dyDescent="0.25"/>
    <row r="2372" s="103" customFormat="1" x14ac:dyDescent="0.25"/>
    <row r="2373" s="103" customFormat="1" x14ac:dyDescent="0.25"/>
    <row r="2374" s="103" customFormat="1" x14ac:dyDescent="0.25"/>
    <row r="2375" s="103" customFormat="1" x14ac:dyDescent="0.25"/>
    <row r="2376" s="103" customFormat="1" x14ac:dyDescent="0.25"/>
    <row r="2377" s="103" customFormat="1" x14ac:dyDescent="0.25"/>
    <row r="2378" s="103" customFormat="1" x14ac:dyDescent="0.25"/>
    <row r="2379" s="103" customFormat="1" x14ac:dyDescent="0.25"/>
    <row r="2380" s="103" customFormat="1" x14ac:dyDescent="0.25"/>
    <row r="2381" s="103" customFormat="1" x14ac:dyDescent="0.25"/>
    <row r="2382" s="103" customFormat="1" x14ac:dyDescent="0.25"/>
    <row r="2383" s="103" customFormat="1" x14ac:dyDescent="0.25"/>
    <row r="2384" s="103" customFormat="1" x14ac:dyDescent="0.25"/>
    <row r="2385" s="103" customFormat="1" x14ac:dyDescent="0.25"/>
    <row r="2386" s="103" customFormat="1" x14ac:dyDescent="0.25"/>
    <row r="2387" s="103" customFormat="1" x14ac:dyDescent="0.25"/>
    <row r="2388" s="103" customFormat="1" x14ac:dyDescent="0.25"/>
    <row r="2389" s="103" customFormat="1" x14ac:dyDescent="0.25"/>
    <row r="2390" s="103" customFormat="1" x14ac:dyDescent="0.25"/>
    <row r="2391" s="103" customFormat="1" x14ac:dyDescent="0.25"/>
    <row r="2392" s="103" customFormat="1" x14ac:dyDescent="0.25"/>
    <row r="2393" s="103" customFormat="1" x14ac:dyDescent="0.25"/>
    <row r="2394" s="103" customFormat="1" x14ac:dyDescent="0.25"/>
    <row r="2395" s="103" customFormat="1" x14ac:dyDescent="0.25"/>
    <row r="2396" s="103" customFormat="1" x14ac:dyDescent="0.25"/>
    <row r="2397" s="103" customFormat="1" x14ac:dyDescent="0.25"/>
    <row r="2398" s="103" customFormat="1" x14ac:dyDescent="0.25"/>
    <row r="2399" s="103" customFormat="1" x14ac:dyDescent="0.25"/>
    <row r="2400" s="103" customFormat="1" x14ac:dyDescent="0.25"/>
    <row r="2401" s="103" customFormat="1" x14ac:dyDescent="0.25"/>
    <row r="2402" s="103" customFormat="1" x14ac:dyDescent="0.25"/>
    <row r="2403" s="103" customFormat="1" x14ac:dyDescent="0.25"/>
    <row r="2404" s="103" customFormat="1" x14ac:dyDescent="0.25"/>
    <row r="2405" s="103" customFormat="1" x14ac:dyDescent="0.25"/>
    <row r="2406" s="103" customFormat="1" x14ac:dyDescent="0.25"/>
    <row r="2407" s="103" customFormat="1" x14ac:dyDescent="0.25"/>
    <row r="2408" s="103" customFormat="1" x14ac:dyDescent="0.25"/>
    <row r="2409" s="103" customFormat="1" x14ac:dyDescent="0.25"/>
    <row r="2410" s="103" customFormat="1" x14ac:dyDescent="0.25"/>
    <row r="2411" s="103" customFormat="1" x14ac:dyDescent="0.25"/>
    <row r="2412" s="103" customFormat="1" x14ac:dyDescent="0.25"/>
    <row r="2413" s="103" customFormat="1" x14ac:dyDescent="0.25"/>
    <row r="2414" s="103" customFormat="1" x14ac:dyDescent="0.25"/>
    <row r="2415" s="103" customFormat="1" x14ac:dyDescent="0.25"/>
    <row r="2416" s="103" customFormat="1" x14ac:dyDescent="0.25"/>
    <row r="2417" s="103" customFormat="1" x14ac:dyDescent="0.25"/>
    <row r="2418" s="103" customFormat="1" x14ac:dyDescent="0.25"/>
    <row r="2419" s="103" customFormat="1" x14ac:dyDescent="0.25"/>
    <row r="2420" s="103" customFormat="1" x14ac:dyDescent="0.25"/>
    <row r="2421" s="103" customFormat="1" x14ac:dyDescent="0.25"/>
    <row r="2422" s="103" customFormat="1" x14ac:dyDescent="0.25"/>
    <row r="2423" s="103" customFormat="1" x14ac:dyDescent="0.25"/>
    <row r="2424" s="103" customFormat="1" x14ac:dyDescent="0.25"/>
    <row r="2425" s="103" customFormat="1" x14ac:dyDescent="0.25"/>
    <row r="2426" s="103" customFormat="1" x14ac:dyDescent="0.25"/>
    <row r="2427" s="103" customFormat="1" x14ac:dyDescent="0.25"/>
    <row r="2428" s="103" customFormat="1" x14ac:dyDescent="0.25"/>
    <row r="2429" s="103" customFormat="1" x14ac:dyDescent="0.25"/>
    <row r="2430" s="103" customFormat="1" x14ac:dyDescent="0.25"/>
    <row r="2431" s="103" customFormat="1" x14ac:dyDescent="0.25"/>
    <row r="2432" s="103" customFormat="1" x14ac:dyDescent="0.25"/>
    <row r="2433" s="103" customFormat="1" x14ac:dyDescent="0.25"/>
    <row r="2434" s="103" customFormat="1" x14ac:dyDescent="0.25"/>
    <row r="2435" s="103" customFormat="1" x14ac:dyDescent="0.25"/>
    <row r="2436" s="103" customFormat="1" x14ac:dyDescent="0.25"/>
    <row r="2437" s="103" customFormat="1" x14ac:dyDescent="0.25"/>
    <row r="2438" s="103" customFormat="1" x14ac:dyDescent="0.25"/>
    <row r="2439" s="103" customFormat="1" x14ac:dyDescent="0.25"/>
    <row r="2440" s="103" customFormat="1" x14ac:dyDescent="0.25"/>
    <row r="2441" s="103" customFormat="1" x14ac:dyDescent="0.25"/>
    <row r="2442" s="103" customFormat="1" x14ac:dyDescent="0.25"/>
    <row r="2443" s="103" customFormat="1" x14ac:dyDescent="0.25"/>
    <row r="2444" s="103" customFormat="1" x14ac:dyDescent="0.25"/>
    <row r="2445" s="103" customFormat="1" x14ac:dyDescent="0.25"/>
    <row r="2446" s="103" customFormat="1" x14ac:dyDescent="0.25"/>
    <row r="2447" s="103" customFormat="1" x14ac:dyDescent="0.25"/>
    <row r="2448" s="103" customFormat="1" x14ac:dyDescent="0.25"/>
    <row r="2449" s="103" customFormat="1" x14ac:dyDescent="0.25"/>
    <row r="2450" s="103" customFormat="1" x14ac:dyDescent="0.25"/>
    <row r="2451" s="103" customFormat="1" x14ac:dyDescent="0.25"/>
    <row r="2452" s="103" customFormat="1" x14ac:dyDescent="0.25"/>
    <row r="2453" s="103" customFormat="1" x14ac:dyDescent="0.25"/>
    <row r="2454" s="103" customFormat="1" x14ac:dyDescent="0.25"/>
    <row r="2455" s="103" customFormat="1" x14ac:dyDescent="0.25"/>
    <row r="2456" s="103" customFormat="1" x14ac:dyDescent="0.25"/>
    <row r="2457" s="103" customFormat="1" x14ac:dyDescent="0.25"/>
    <row r="2458" s="103" customFormat="1" x14ac:dyDescent="0.25"/>
    <row r="2459" s="103" customFormat="1" x14ac:dyDescent="0.25"/>
    <row r="2460" s="103" customFormat="1" x14ac:dyDescent="0.25"/>
    <row r="2461" s="103" customFormat="1" x14ac:dyDescent="0.25"/>
    <row r="2462" s="103" customFormat="1" x14ac:dyDescent="0.25"/>
    <row r="2463" s="103" customFormat="1" x14ac:dyDescent="0.25"/>
    <row r="2464" s="103" customFormat="1" x14ac:dyDescent="0.25"/>
    <row r="2465" s="103" customFormat="1" x14ac:dyDescent="0.25"/>
    <row r="2466" s="103" customFormat="1" x14ac:dyDescent="0.25"/>
    <row r="2467" s="103" customFormat="1" x14ac:dyDescent="0.25"/>
    <row r="2468" s="103" customFormat="1" x14ac:dyDescent="0.25"/>
    <row r="2469" s="103" customFormat="1" x14ac:dyDescent="0.25"/>
    <row r="2470" s="103" customFormat="1" x14ac:dyDescent="0.25"/>
    <row r="2471" s="103" customFormat="1" x14ac:dyDescent="0.25"/>
    <row r="2472" s="103" customFormat="1" x14ac:dyDescent="0.25"/>
    <row r="2473" s="103" customFormat="1" x14ac:dyDescent="0.25"/>
    <row r="2474" s="103" customFormat="1" x14ac:dyDescent="0.25"/>
    <row r="2475" s="103" customFormat="1" x14ac:dyDescent="0.25"/>
    <row r="2476" s="103" customFormat="1" x14ac:dyDescent="0.25"/>
    <row r="2477" s="103" customFormat="1" x14ac:dyDescent="0.25"/>
    <row r="2478" s="103" customFormat="1" x14ac:dyDescent="0.25"/>
    <row r="2479" s="103" customFormat="1" x14ac:dyDescent="0.25"/>
    <row r="2480" s="103" customFormat="1" x14ac:dyDescent="0.25"/>
    <row r="2481" s="103" customFormat="1" x14ac:dyDescent="0.25"/>
    <row r="2482" s="103" customFormat="1" x14ac:dyDescent="0.25"/>
    <row r="2483" s="103" customFormat="1" x14ac:dyDescent="0.25"/>
    <row r="2484" s="103" customFormat="1" x14ac:dyDescent="0.25"/>
    <row r="2485" s="103" customFormat="1" x14ac:dyDescent="0.25"/>
    <row r="2486" s="103" customFormat="1" x14ac:dyDescent="0.25"/>
    <row r="2487" s="103" customFormat="1" x14ac:dyDescent="0.25"/>
    <row r="2488" s="103" customFormat="1" x14ac:dyDescent="0.25"/>
    <row r="2489" s="103" customFormat="1" x14ac:dyDescent="0.25"/>
    <row r="2490" s="103" customFormat="1" x14ac:dyDescent="0.25"/>
    <row r="2491" s="103" customFormat="1" x14ac:dyDescent="0.25"/>
    <row r="2492" s="103" customFormat="1" x14ac:dyDescent="0.25"/>
    <row r="2493" s="103" customFormat="1" x14ac:dyDescent="0.25"/>
    <row r="2494" s="103" customFormat="1" x14ac:dyDescent="0.25"/>
    <row r="2495" s="103" customFormat="1" x14ac:dyDescent="0.25"/>
    <row r="2496" s="103" customFormat="1" x14ac:dyDescent="0.25"/>
    <row r="2497" s="103" customFormat="1" x14ac:dyDescent="0.25"/>
    <row r="2498" s="103" customFormat="1" x14ac:dyDescent="0.25"/>
    <row r="2499" s="103" customFormat="1" x14ac:dyDescent="0.25"/>
    <row r="2500" s="103" customFormat="1" x14ac:dyDescent="0.25"/>
    <row r="2501" s="103" customFormat="1" x14ac:dyDescent="0.25"/>
    <row r="2502" s="103" customFormat="1" x14ac:dyDescent="0.25"/>
    <row r="2503" s="103" customFormat="1" x14ac:dyDescent="0.25"/>
    <row r="2504" s="103" customFormat="1" x14ac:dyDescent="0.25"/>
    <row r="2505" s="103" customFormat="1" x14ac:dyDescent="0.25"/>
    <row r="2506" s="103" customFormat="1" x14ac:dyDescent="0.25"/>
    <row r="2507" s="103" customFormat="1" x14ac:dyDescent="0.25"/>
    <row r="2508" s="103" customFormat="1" x14ac:dyDescent="0.25"/>
    <row r="2509" s="103" customFormat="1" x14ac:dyDescent="0.25"/>
    <row r="2510" s="103" customFormat="1" x14ac:dyDescent="0.25"/>
    <row r="2511" s="103" customFormat="1" x14ac:dyDescent="0.25"/>
    <row r="2512" s="103" customFormat="1" x14ac:dyDescent="0.25"/>
    <row r="2513" s="103" customFormat="1" x14ac:dyDescent="0.25"/>
    <row r="2514" s="103" customFormat="1" x14ac:dyDescent="0.25"/>
    <row r="2515" s="103" customFormat="1" x14ac:dyDescent="0.25"/>
    <row r="2516" s="103" customFormat="1" x14ac:dyDescent="0.25"/>
    <row r="2517" s="103" customFormat="1" x14ac:dyDescent="0.25"/>
    <row r="2518" s="103" customFormat="1" x14ac:dyDescent="0.25"/>
    <row r="2519" s="103" customFormat="1" x14ac:dyDescent="0.25"/>
    <row r="2520" s="103" customFormat="1" x14ac:dyDescent="0.25"/>
    <row r="2521" s="103" customFormat="1" x14ac:dyDescent="0.25"/>
    <row r="2522" s="103" customFormat="1" x14ac:dyDescent="0.25"/>
    <row r="2523" s="103" customFormat="1" x14ac:dyDescent="0.25"/>
    <row r="2524" s="103" customFormat="1" x14ac:dyDescent="0.25"/>
    <row r="2525" s="103" customFormat="1" x14ac:dyDescent="0.25"/>
    <row r="2526" s="103" customFormat="1" x14ac:dyDescent="0.25"/>
    <row r="2527" s="103" customFormat="1" x14ac:dyDescent="0.25"/>
    <row r="2528" s="103" customFormat="1" x14ac:dyDescent="0.25"/>
    <row r="2529" s="103" customFormat="1" x14ac:dyDescent="0.25"/>
    <row r="2530" s="103" customFormat="1" x14ac:dyDescent="0.25"/>
    <row r="2531" s="103" customFormat="1" x14ac:dyDescent="0.25"/>
    <row r="2532" s="103" customFormat="1" x14ac:dyDescent="0.25"/>
    <row r="2533" s="103" customFormat="1" x14ac:dyDescent="0.25"/>
    <row r="2534" s="103" customFormat="1" x14ac:dyDescent="0.25"/>
    <row r="2535" s="103" customFormat="1" x14ac:dyDescent="0.25"/>
    <row r="2536" s="103" customFormat="1" x14ac:dyDescent="0.25"/>
    <row r="2537" s="103" customFormat="1" x14ac:dyDescent="0.25"/>
    <row r="2538" s="103" customFormat="1" x14ac:dyDescent="0.25"/>
    <row r="2539" s="103" customFormat="1" x14ac:dyDescent="0.25"/>
    <row r="2540" s="103" customFormat="1" x14ac:dyDescent="0.25"/>
    <row r="2541" s="103" customFormat="1" x14ac:dyDescent="0.25"/>
    <row r="2542" s="103" customFormat="1" x14ac:dyDescent="0.25"/>
    <row r="2543" s="103" customFormat="1" x14ac:dyDescent="0.25"/>
    <row r="2544" s="103" customFormat="1" x14ac:dyDescent="0.25"/>
    <row r="2545" s="103" customFormat="1" x14ac:dyDescent="0.25"/>
    <row r="2546" s="103" customFormat="1" x14ac:dyDescent="0.25"/>
    <row r="2547" s="103" customFormat="1" x14ac:dyDescent="0.25"/>
    <row r="2548" s="103" customFormat="1" x14ac:dyDescent="0.25"/>
    <row r="2549" s="103" customFormat="1" x14ac:dyDescent="0.25"/>
    <row r="2550" s="103" customFormat="1" x14ac:dyDescent="0.25"/>
    <row r="2551" s="103" customFormat="1" x14ac:dyDescent="0.25"/>
    <row r="2552" s="103" customFormat="1" x14ac:dyDescent="0.25"/>
    <row r="2553" s="103" customFormat="1" x14ac:dyDescent="0.25"/>
    <row r="2554" s="103" customFormat="1" x14ac:dyDescent="0.25"/>
    <row r="2555" s="103" customFormat="1" x14ac:dyDescent="0.25"/>
    <row r="2556" s="103" customFormat="1" x14ac:dyDescent="0.25"/>
    <row r="2557" s="103" customFormat="1" x14ac:dyDescent="0.25"/>
    <row r="2558" s="103" customFormat="1" x14ac:dyDescent="0.25"/>
    <row r="2559" s="103" customFormat="1" x14ac:dyDescent="0.25"/>
    <row r="2560" s="103" customFormat="1" x14ac:dyDescent="0.25"/>
    <row r="2561" s="103" customFormat="1" x14ac:dyDescent="0.25"/>
    <row r="2562" s="103" customFormat="1" x14ac:dyDescent="0.25"/>
    <row r="2563" s="103" customFormat="1" x14ac:dyDescent="0.25"/>
    <row r="2564" s="103" customFormat="1" x14ac:dyDescent="0.25"/>
    <row r="2565" s="103" customFormat="1" x14ac:dyDescent="0.25"/>
    <row r="2566" s="103" customFormat="1" x14ac:dyDescent="0.25"/>
    <row r="2567" s="103" customFormat="1" x14ac:dyDescent="0.25"/>
    <row r="2568" s="103" customFormat="1" x14ac:dyDescent="0.25"/>
    <row r="2569" s="103" customFormat="1" x14ac:dyDescent="0.25"/>
    <row r="2570" s="103" customFormat="1" x14ac:dyDescent="0.25"/>
    <row r="2571" s="103" customFormat="1" x14ac:dyDescent="0.25"/>
    <row r="2572" s="103" customFormat="1" x14ac:dyDescent="0.25"/>
    <row r="2573" s="103" customFormat="1" x14ac:dyDescent="0.25"/>
    <row r="2574" s="103" customFormat="1" x14ac:dyDescent="0.25"/>
    <row r="2575" s="103" customFormat="1" x14ac:dyDescent="0.25"/>
    <row r="2576" s="103" customFormat="1" x14ac:dyDescent="0.25"/>
    <row r="2577" s="103" customFormat="1" x14ac:dyDescent="0.25"/>
    <row r="2578" s="103" customFormat="1" x14ac:dyDescent="0.25"/>
    <row r="2579" s="103" customFormat="1" x14ac:dyDescent="0.25"/>
    <row r="2580" s="103" customFormat="1" x14ac:dyDescent="0.25"/>
    <row r="2581" s="103" customFormat="1" x14ac:dyDescent="0.25"/>
    <row r="2582" s="103" customFormat="1" x14ac:dyDescent="0.25"/>
    <row r="2583" s="103" customFormat="1" x14ac:dyDescent="0.25"/>
    <row r="2584" s="103" customFormat="1" x14ac:dyDescent="0.25"/>
    <row r="2585" s="103" customFormat="1" x14ac:dyDescent="0.25"/>
    <row r="2586" s="103" customFormat="1" x14ac:dyDescent="0.25"/>
    <row r="2587" s="103" customFormat="1" x14ac:dyDescent="0.25"/>
    <row r="2588" s="103" customFormat="1" x14ac:dyDescent="0.25"/>
    <row r="2589" s="103" customFormat="1" x14ac:dyDescent="0.25"/>
    <row r="2590" s="103" customFormat="1" x14ac:dyDescent="0.25"/>
    <row r="2591" s="103" customFormat="1" x14ac:dyDescent="0.25"/>
    <row r="2592" s="103" customFormat="1" x14ac:dyDescent="0.25"/>
    <row r="2593" s="103" customFormat="1" x14ac:dyDescent="0.25"/>
    <row r="2594" s="103" customFormat="1" x14ac:dyDescent="0.25"/>
    <row r="2595" s="103" customFormat="1" x14ac:dyDescent="0.25"/>
    <row r="2596" s="103" customFormat="1" x14ac:dyDescent="0.25"/>
    <row r="2597" s="103" customFormat="1" x14ac:dyDescent="0.25"/>
    <row r="2598" s="103" customFormat="1" x14ac:dyDescent="0.25"/>
    <row r="2599" s="103" customFormat="1" x14ac:dyDescent="0.25"/>
    <row r="2600" s="103" customFormat="1" x14ac:dyDescent="0.25"/>
    <row r="2601" s="103" customFormat="1" x14ac:dyDescent="0.25"/>
    <row r="2602" s="103" customFormat="1" x14ac:dyDescent="0.25"/>
    <row r="2603" s="103" customFormat="1" x14ac:dyDescent="0.25"/>
    <row r="2604" s="103" customFormat="1" x14ac:dyDescent="0.25"/>
    <row r="2605" s="103" customFormat="1" x14ac:dyDescent="0.25"/>
    <row r="2606" s="103" customFormat="1" x14ac:dyDescent="0.25"/>
    <row r="2607" s="103" customFormat="1" x14ac:dyDescent="0.25"/>
    <row r="2608" s="103" customFormat="1" x14ac:dyDescent="0.25"/>
    <row r="2609" s="103" customFormat="1" x14ac:dyDescent="0.25"/>
    <row r="2610" s="103" customFormat="1" x14ac:dyDescent="0.25"/>
    <row r="2611" s="103" customFormat="1" x14ac:dyDescent="0.25"/>
    <row r="2612" s="103" customFormat="1" x14ac:dyDescent="0.25"/>
    <row r="2613" s="103" customFormat="1" x14ac:dyDescent="0.25"/>
    <row r="2614" s="103" customFormat="1" x14ac:dyDescent="0.25"/>
    <row r="2615" s="103" customFormat="1" x14ac:dyDescent="0.25"/>
    <row r="2616" s="103" customFormat="1" x14ac:dyDescent="0.25"/>
    <row r="2617" s="103" customFormat="1" x14ac:dyDescent="0.25"/>
    <row r="2618" s="103" customFormat="1" x14ac:dyDescent="0.25"/>
    <row r="2619" s="103" customFormat="1" x14ac:dyDescent="0.25"/>
    <row r="2620" s="103" customFormat="1" x14ac:dyDescent="0.25"/>
    <row r="2621" s="103" customFormat="1" x14ac:dyDescent="0.25"/>
    <row r="2622" s="103" customFormat="1" x14ac:dyDescent="0.25"/>
    <row r="2623" s="103" customFormat="1" x14ac:dyDescent="0.25"/>
    <row r="2624" s="103" customFormat="1" x14ac:dyDescent="0.25"/>
    <row r="2625" spans="2:59" s="103" customFormat="1" x14ac:dyDescent="0.25"/>
    <row r="2626" spans="2:59" s="103" customFormat="1" x14ac:dyDescent="0.25"/>
    <row r="2627" spans="2:59" s="103" customFormat="1" x14ac:dyDescent="0.25"/>
    <row r="2628" spans="2:59" s="103" customFormat="1" x14ac:dyDescent="0.25"/>
    <row r="2629" spans="2:59" s="103" customFormat="1" x14ac:dyDescent="0.25"/>
    <row r="2630" spans="2:59" s="103" customFormat="1" x14ac:dyDescent="0.25"/>
    <row r="2631" spans="2:59" s="103" customFormat="1" x14ac:dyDescent="0.25"/>
    <row r="2632" spans="2:59" s="103" customFormat="1" x14ac:dyDescent="0.25">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row>
    <row r="2633" spans="2:59" s="103" customFormat="1" x14ac:dyDescent="0.25">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row>
    <row r="2634" spans="2:59" s="103" customFormat="1" x14ac:dyDescent="0.25">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row>
    <row r="2635" spans="2:59" x14ac:dyDescent="0.25">
      <c r="B2635" s="103"/>
      <c r="C2635" s="103"/>
    </row>
    <row r="2636" spans="2:59" x14ac:dyDescent="0.25">
      <c r="B2636" s="103"/>
      <c r="C2636" s="103"/>
    </row>
    <row r="2637" spans="2:59" x14ac:dyDescent="0.25">
      <c r="B2637" s="103"/>
      <c r="C2637" s="103"/>
    </row>
    <row r="2638" spans="2:59" x14ac:dyDescent="0.25">
      <c r="B2638" s="103"/>
      <c r="C2638" s="103"/>
    </row>
  </sheetData>
  <sheetProtection algorithmName="SHA-512" hashValue="SvB3B8/sY9Yv/Apd6VbL2zs/XmZ/rVmRqU4mEMGc7dOsoXCSCRLB6buqgXS0R+SsdETbVPKt6t8BgZUWcoaK3Q==" saltValue="4XU3hgcIW9uuEGgZi952E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S3:S6"/>
    <mergeCell ref="T3:T6"/>
    <mergeCell ref="U3:U6"/>
    <mergeCell ref="V3:V6"/>
    <mergeCell ref="W3:W4"/>
    <mergeCell ref="X3:X4"/>
    <mergeCell ref="Y3:Y6"/>
    <mergeCell ref="Z3:Z6"/>
    <mergeCell ref="AA3:AA6"/>
    <mergeCell ref="AB3:AB6"/>
    <mergeCell ref="AC3:AC4"/>
    <mergeCell ref="AD3:AD4"/>
    <mergeCell ref="AE3:AE6"/>
    <mergeCell ref="AF3:AF6"/>
    <mergeCell ref="AG3:AG6"/>
    <mergeCell ref="AH3:AH4"/>
    <mergeCell ref="AI3:AI4"/>
    <mergeCell ref="AJ3:AJ6"/>
    <mergeCell ref="AK3:AK6"/>
    <mergeCell ref="AL3:AL6"/>
    <mergeCell ref="AM3:AM6"/>
    <mergeCell ref="AN3:AN4"/>
    <mergeCell ref="AO3:AO4"/>
    <mergeCell ref="AP3:AP6"/>
    <mergeCell ref="AQ3:AQ6"/>
    <mergeCell ref="AR3:AR6"/>
    <mergeCell ref="AS3:AS6"/>
    <mergeCell ref="AT3:AT4"/>
    <mergeCell ref="AU3:AU4"/>
    <mergeCell ref="AV3:AV6"/>
    <mergeCell ref="AW3:AW6"/>
    <mergeCell ref="AX3:AX6"/>
    <mergeCell ref="AY3:AY6"/>
    <mergeCell ref="AZ3:AZ4"/>
    <mergeCell ref="BA3:BA4"/>
    <mergeCell ref="BG3:BG6"/>
    <mergeCell ref="BH3:BK4"/>
    <mergeCell ref="BH35:BK37"/>
    <mergeCell ref="BB3:BB6"/>
    <mergeCell ref="BC3:BC6"/>
    <mergeCell ref="BD3:BD6"/>
    <mergeCell ref="BE3:BE6"/>
    <mergeCell ref="BF3:BF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B171" sqref="B171"/>
    </sheetView>
  </sheetViews>
  <sheetFormatPr defaultColWidth="9.21875" defaultRowHeight="13.2" x14ac:dyDescent="0.25"/>
  <cols>
    <col min="1" max="1" width="3.21875" style="21" customWidth="1"/>
    <col min="2" max="2" width="11.77734375" style="21" customWidth="1"/>
    <col min="3" max="3" width="10.21875" style="21" customWidth="1"/>
    <col min="4" max="4" width="13" style="21" customWidth="1"/>
    <col min="5" max="5" width="5" style="21" customWidth="1"/>
    <col min="6" max="6" width="13" style="21" customWidth="1"/>
    <col min="7" max="7" width="5" style="21" customWidth="1"/>
    <col min="8" max="8" width="13" style="21" customWidth="1"/>
    <col min="9" max="9" width="5" style="21" customWidth="1"/>
    <col min="10" max="10" width="13" style="21" customWidth="1"/>
    <col min="11" max="11" width="5" style="21" customWidth="1"/>
    <col min="12" max="16384" width="9.21875" style="21"/>
  </cols>
  <sheetData>
    <row r="1" spans="1:13" ht="12.75" customHeight="1" x14ac:dyDescent="0.4">
      <c r="A1" s="557" t="s">
        <v>284</v>
      </c>
      <c r="B1" s="557"/>
      <c r="C1" s="557"/>
      <c r="D1" s="557"/>
      <c r="E1" s="557"/>
      <c r="F1" s="557"/>
      <c r="G1" s="557"/>
      <c r="H1" s="557"/>
      <c r="I1" s="557"/>
      <c r="J1" s="557"/>
      <c r="K1" s="557"/>
      <c r="L1" s="52"/>
      <c r="M1" s="52"/>
    </row>
    <row r="2" spans="1:13" ht="12.75" customHeight="1" x14ac:dyDescent="0.4">
      <c r="A2" s="557"/>
      <c r="B2" s="557"/>
      <c r="C2" s="557"/>
      <c r="D2" s="557"/>
      <c r="E2" s="557"/>
      <c r="F2" s="557"/>
      <c r="G2" s="557"/>
      <c r="H2" s="557"/>
      <c r="I2" s="557"/>
      <c r="J2" s="557"/>
      <c r="K2" s="557"/>
      <c r="L2" s="52"/>
      <c r="M2" s="52"/>
    </row>
    <row r="3" spans="1:13" x14ac:dyDescent="0.25">
      <c r="A3" s="103"/>
      <c r="B3" s="103"/>
      <c r="C3" s="103"/>
      <c r="D3" s="103"/>
      <c r="E3" s="103"/>
      <c r="F3" s="103"/>
      <c r="G3" s="103"/>
      <c r="H3" s="103"/>
      <c r="I3" s="103"/>
      <c r="J3" s="103"/>
      <c r="K3" s="103"/>
    </row>
    <row r="4" spans="1:13" x14ac:dyDescent="0.25">
      <c r="A4" s="103"/>
      <c r="B4" s="103"/>
      <c r="C4" s="103"/>
      <c r="D4" s="103"/>
      <c r="E4" s="103"/>
      <c r="F4" s="103"/>
      <c r="G4" s="103"/>
      <c r="H4" s="103"/>
      <c r="I4" s="117" t="s">
        <v>289</v>
      </c>
      <c r="J4" s="265"/>
      <c r="K4" s="103"/>
    </row>
    <row r="5" spans="1:13" x14ac:dyDescent="0.25">
      <c r="A5" s="103"/>
      <c r="B5" s="103"/>
      <c r="C5" s="103"/>
      <c r="D5" s="103"/>
      <c r="E5" s="103"/>
      <c r="F5" s="103"/>
      <c r="G5" s="103"/>
      <c r="H5" s="103"/>
      <c r="I5" s="103"/>
      <c r="J5" s="103"/>
      <c r="K5" s="103"/>
    </row>
    <row r="6" spans="1:13" ht="12.75" customHeight="1" x14ac:dyDescent="0.25">
      <c r="A6" s="688" t="s">
        <v>285</v>
      </c>
      <c r="B6" s="688"/>
      <c r="C6" s="688"/>
      <c r="D6" s="688"/>
      <c r="E6" s="688"/>
      <c r="F6" s="688"/>
      <c r="G6" s="688"/>
      <c r="H6" s="688"/>
      <c r="I6" s="688"/>
      <c r="J6" s="109"/>
      <c r="K6" s="103"/>
    </row>
    <row r="7" spans="1:13" x14ac:dyDescent="0.25">
      <c r="A7" s="688"/>
      <c r="B7" s="688"/>
      <c r="C7" s="688"/>
      <c r="D7" s="688"/>
      <c r="E7" s="688"/>
      <c r="F7" s="688"/>
      <c r="G7" s="688"/>
      <c r="H7" s="688"/>
      <c r="I7" s="688"/>
      <c r="J7" s="265"/>
      <c r="K7" s="103"/>
    </row>
    <row r="8" spans="1:13" x14ac:dyDescent="0.25">
      <c r="A8" s="103"/>
      <c r="B8" s="103"/>
      <c r="C8" s="103"/>
      <c r="D8" s="103"/>
      <c r="E8" s="103"/>
      <c r="F8" s="103"/>
      <c r="G8" s="103"/>
      <c r="H8" s="103"/>
      <c r="I8" s="103"/>
      <c r="J8" s="103"/>
      <c r="K8" s="103"/>
    </row>
    <row r="9" spans="1:13" x14ac:dyDescent="0.25">
      <c r="A9" s="103"/>
      <c r="B9" s="103"/>
      <c r="C9" s="103"/>
      <c r="D9" s="103"/>
      <c r="E9" s="103"/>
      <c r="F9" s="103"/>
      <c r="G9" s="103"/>
      <c r="H9" s="103"/>
      <c r="I9" s="117" t="s">
        <v>286</v>
      </c>
      <c r="J9" s="265"/>
      <c r="K9" s="103"/>
    </row>
    <row r="10" spans="1:13" x14ac:dyDescent="0.25">
      <c r="A10" s="103"/>
      <c r="B10" s="103"/>
      <c r="C10" s="103"/>
      <c r="D10" s="103"/>
      <c r="E10" s="103"/>
      <c r="F10" s="103"/>
      <c r="G10" s="103"/>
      <c r="H10" s="103"/>
      <c r="I10" s="103"/>
      <c r="J10" s="103"/>
      <c r="K10" s="103"/>
    </row>
    <row r="11" spans="1:13" ht="12.75" customHeight="1" x14ac:dyDescent="0.25">
      <c r="A11" s="103"/>
      <c r="B11" s="688" t="s">
        <v>287</v>
      </c>
      <c r="C11" s="688"/>
      <c r="D11" s="688"/>
      <c r="E11" s="688"/>
      <c r="F11" s="688"/>
      <c r="G11" s="688"/>
      <c r="H11" s="688"/>
      <c r="I11" s="688"/>
      <c r="J11" s="103"/>
      <c r="K11" s="103"/>
    </row>
    <row r="12" spans="1:13" x14ac:dyDescent="0.25">
      <c r="A12" s="103"/>
      <c r="B12" s="688"/>
      <c r="C12" s="688"/>
      <c r="D12" s="688"/>
      <c r="E12" s="688"/>
      <c r="F12" s="688"/>
      <c r="G12" s="688"/>
      <c r="H12" s="688"/>
      <c r="I12" s="688"/>
      <c r="J12" s="265"/>
      <c r="K12" s="103"/>
    </row>
    <row r="13" spans="1:13" x14ac:dyDescent="0.25">
      <c r="A13" s="103"/>
      <c r="B13" s="103"/>
      <c r="C13" s="103"/>
      <c r="D13" s="103"/>
      <c r="E13" s="103"/>
      <c r="F13" s="103"/>
      <c r="G13" s="103"/>
      <c r="H13" s="103"/>
      <c r="I13" s="103"/>
      <c r="J13" s="103"/>
      <c r="K13" s="103"/>
    </row>
    <row r="14" spans="1:13" x14ac:dyDescent="0.25">
      <c r="A14" s="103"/>
      <c r="B14" s="103"/>
      <c r="C14" s="103"/>
      <c r="D14" s="103"/>
      <c r="E14" s="103"/>
      <c r="F14" s="103"/>
      <c r="G14" s="103"/>
      <c r="H14" s="103"/>
      <c r="I14" s="117" t="s">
        <v>288</v>
      </c>
      <c r="J14" s="265"/>
      <c r="K14" s="103"/>
    </row>
    <row r="15" spans="1:13" x14ac:dyDescent="0.25">
      <c r="A15" s="103"/>
      <c r="B15" s="103"/>
      <c r="C15" s="103"/>
      <c r="D15" s="103"/>
      <c r="E15" s="103"/>
      <c r="F15" s="103"/>
      <c r="G15" s="103"/>
      <c r="H15" s="103"/>
      <c r="I15" s="103"/>
      <c r="J15" s="103"/>
      <c r="K15" s="103"/>
    </row>
    <row r="16" spans="1:13" ht="12.75" customHeight="1" x14ac:dyDescent="0.25">
      <c r="A16" s="103"/>
      <c r="B16" s="688" t="s">
        <v>559</v>
      </c>
      <c r="C16" s="688"/>
      <c r="D16" s="688"/>
      <c r="E16" s="688"/>
      <c r="F16" s="688"/>
      <c r="G16" s="688"/>
      <c r="H16" s="688"/>
      <c r="I16" s="688"/>
      <c r="J16" s="103"/>
      <c r="K16" s="103"/>
    </row>
    <row r="17" spans="1:13" x14ac:dyDescent="0.25">
      <c r="A17" s="103"/>
      <c r="B17" s="688"/>
      <c r="C17" s="688"/>
      <c r="D17" s="688"/>
      <c r="E17" s="688"/>
      <c r="F17" s="688"/>
      <c r="G17" s="688"/>
      <c r="H17" s="688"/>
      <c r="I17" s="688"/>
      <c r="J17" s="103"/>
      <c r="K17" s="103"/>
    </row>
    <row r="18" spans="1:13" x14ac:dyDescent="0.25">
      <c r="A18" s="103"/>
      <c r="B18" s="688"/>
      <c r="C18" s="688"/>
      <c r="D18" s="688"/>
      <c r="E18" s="688"/>
      <c r="F18" s="688"/>
      <c r="G18" s="688"/>
      <c r="H18" s="688"/>
      <c r="I18" s="688"/>
      <c r="J18" s="265"/>
      <c r="K18" s="103"/>
    </row>
    <row r="19" spans="1:13" x14ac:dyDescent="0.25">
      <c r="A19" s="103"/>
      <c r="B19" s="103"/>
      <c r="C19" s="103"/>
      <c r="D19" s="103"/>
      <c r="E19" s="103"/>
      <c r="F19" s="103"/>
      <c r="G19" s="103"/>
      <c r="H19" s="103"/>
      <c r="I19" s="103"/>
      <c r="J19" s="103"/>
      <c r="K19" s="103"/>
    </row>
    <row r="20" spans="1:13" x14ac:dyDescent="0.25">
      <c r="A20" s="693" t="s">
        <v>691</v>
      </c>
      <c r="B20" s="694"/>
      <c r="C20" s="694"/>
      <c r="D20" s="694"/>
      <c r="E20" s="694"/>
      <c r="F20" s="694"/>
      <c r="G20" s="694"/>
      <c r="H20" s="694"/>
      <c r="I20" s="694"/>
      <c r="J20" s="694"/>
      <c r="K20" s="695"/>
      <c r="L20" s="54"/>
      <c r="M20" s="54"/>
    </row>
    <row r="21" spans="1:13" ht="12.75" customHeight="1" x14ac:dyDescent="0.25">
      <c r="A21" s="103"/>
      <c r="B21" s="228"/>
      <c r="C21" s="103"/>
      <c r="D21" s="103"/>
      <c r="E21" s="103"/>
      <c r="F21" s="103"/>
      <c r="G21" s="103"/>
      <c r="H21" s="103"/>
      <c r="I21" s="103"/>
      <c r="J21" s="103"/>
      <c r="K21" s="103"/>
    </row>
    <row r="22" spans="1:13" x14ac:dyDescent="0.25">
      <c r="A22" s="141"/>
      <c r="B22" s="558" t="s">
        <v>102</v>
      </c>
      <c r="C22" s="690"/>
      <c r="D22" s="369"/>
      <c r="E22" s="103"/>
      <c r="F22" s="103"/>
      <c r="G22" s="117" t="s">
        <v>103</v>
      </c>
      <c r="H22" s="265"/>
      <c r="I22" s="117"/>
      <c r="J22" s="370"/>
      <c r="K22" s="103"/>
    </row>
    <row r="23" spans="1:13" x14ac:dyDescent="0.25">
      <c r="A23" s="103"/>
      <c r="B23" s="103"/>
      <c r="C23" s="103"/>
      <c r="D23" s="103"/>
      <c r="E23" s="103"/>
      <c r="F23" s="103"/>
      <c r="G23" s="103"/>
      <c r="H23" s="103"/>
      <c r="I23" s="103"/>
      <c r="J23" s="103"/>
      <c r="K23" s="103"/>
    </row>
    <row r="24" spans="1:13" x14ac:dyDescent="0.25">
      <c r="A24" s="691" t="s">
        <v>290</v>
      </c>
      <c r="B24" s="691"/>
      <c r="C24" s="578" t="s">
        <v>291</v>
      </c>
      <c r="D24" s="692" t="s">
        <v>292</v>
      </c>
      <c r="E24" s="692"/>
      <c r="F24" s="692" t="s">
        <v>293</v>
      </c>
      <c r="G24" s="692"/>
      <c r="H24" s="692" t="s">
        <v>294</v>
      </c>
      <c r="I24" s="692"/>
      <c r="J24" s="692" t="s">
        <v>295</v>
      </c>
      <c r="K24" s="692"/>
    </row>
    <row r="25" spans="1:13" ht="24.75" customHeight="1" x14ac:dyDescent="0.25">
      <c r="A25" s="691"/>
      <c r="B25" s="691"/>
      <c r="C25" s="578"/>
      <c r="D25" s="234" t="s">
        <v>296</v>
      </c>
      <c r="E25" s="134" t="s">
        <v>297</v>
      </c>
      <c r="F25" s="234" t="s">
        <v>663</v>
      </c>
      <c r="G25" s="134" t="s">
        <v>297</v>
      </c>
      <c r="H25" s="234" t="s">
        <v>296</v>
      </c>
      <c r="I25" s="134" t="s">
        <v>297</v>
      </c>
      <c r="J25" s="234" t="s">
        <v>296</v>
      </c>
      <c r="K25" s="134" t="s">
        <v>297</v>
      </c>
    </row>
    <row r="26" spans="1:13" x14ac:dyDescent="0.25">
      <c r="A26" s="136">
        <v>1</v>
      </c>
      <c r="B26" s="277"/>
      <c r="C26" s="277"/>
      <c r="D26" s="277"/>
      <c r="E26" s="123" t="str">
        <f>IF(AND($J$18="Yes",$D26&lt;1,C26&gt;=30),"Met","N/A")</f>
        <v>N/A</v>
      </c>
      <c r="F26" s="277"/>
      <c r="G26" s="123" t="str">
        <f>IF(AND($J$18="Yes",$F26&lt;1,C26&gt;=30),"Met","N/A")</f>
        <v>N/A</v>
      </c>
      <c r="H26" s="277"/>
      <c r="I26" s="123" t="str">
        <f>IF(AND($J$18="Yes",$H26&lt;1,C26&gt;=30),"Met","N/A")</f>
        <v>N/A</v>
      </c>
      <c r="J26" s="277"/>
      <c r="K26" s="123" t="str">
        <f>IF(AND($J$18="Yes",$J26&lt;1,C26&gt;=30),"Met","N/A")</f>
        <v>N/A</v>
      </c>
    </row>
    <row r="27" spans="1:13" x14ac:dyDescent="0.25">
      <c r="A27" s="136">
        <v>2</v>
      </c>
      <c r="B27" s="277"/>
      <c r="C27" s="277"/>
      <c r="D27" s="277"/>
      <c r="E27" s="123" t="str">
        <f>IF(AND($J$18="Yes",$D27&lt;1,C27&gt;=30),"Met","N/A")</f>
        <v>N/A</v>
      </c>
      <c r="F27" s="277"/>
      <c r="G27" s="123" t="str">
        <f>IF(AND($J$18="Yes",$F27&lt;1,C27&gt;=30),"Met","N/A")</f>
        <v>N/A</v>
      </c>
      <c r="H27" s="277"/>
      <c r="I27" s="123" t="str">
        <f>IF(AND($J$18="Yes",$H27&lt;1,C27&gt;=30),"Met","N/A")</f>
        <v>N/A</v>
      </c>
      <c r="J27" s="277"/>
      <c r="K27" s="123" t="str">
        <f>IF(AND($J$18="Yes",$J27&lt;1,C27&gt;=30),"Met","N/A")</f>
        <v>N/A</v>
      </c>
    </row>
    <row r="28" spans="1:13" x14ac:dyDescent="0.25">
      <c r="A28" s="136">
        <v>3</v>
      </c>
      <c r="B28" s="277"/>
      <c r="C28" s="277"/>
      <c r="D28" s="277"/>
      <c r="E28" s="123" t="str">
        <f>IF(AND($J$18="Yes",$D28&lt;1,C28&gt;=30),"Met","N/A")</f>
        <v>N/A</v>
      </c>
      <c r="F28" s="277"/>
      <c r="G28" s="123" t="str">
        <f>IF(AND($J$18="Yes",$F28&lt;1,C28&gt;=30),"Met","N/A")</f>
        <v>N/A</v>
      </c>
      <c r="H28" s="277"/>
      <c r="I28" s="123" t="str">
        <f>IF(AND($J$18="Yes",$H28&lt;1,C28&gt;=30),"Met","N/A")</f>
        <v>N/A</v>
      </c>
      <c r="J28" s="277"/>
      <c r="K28" s="123" t="str">
        <f>IF(AND($J$18="Yes",$J28&lt;1,C28&gt;=30),"Met","N/A")</f>
        <v>N/A</v>
      </c>
    </row>
    <row r="29" spans="1:13" x14ac:dyDescent="0.25">
      <c r="A29" s="136">
        <v>4</v>
      </c>
      <c r="B29" s="277"/>
      <c r="C29" s="277"/>
      <c r="D29" s="277"/>
      <c r="E29" s="123" t="str">
        <f>IF(AND($J$18="Yes",$D29&lt;1,C29&gt;=30),"Met","N/A")</f>
        <v>N/A</v>
      </c>
      <c r="F29" s="277"/>
      <c r="G29" s="123" t="str">
        <f>IF(AND($J$18="Yes",$F29&lt;1,C29&gt;=30),"Met","N/A")</f>
        <v>N/A</v>
      </c>
      <c r="H29" s="277"/>
      <c r="I29" s="123" t="str">
        <f>IF(AND($J$18="Yes",$H29&lt;1,C29&gt;=30),"Met","N/A")</f>
        <v>N/A</v>
      </c>
      <c r="J29" s="277"/>
      <c r="K29" s="123" t="str">
        <f>IF(AND($J$18="Yes",$J29&lt;1,C29&gt;=30),"Met","N/A")</f>
        <v>N/A</v>
      </c>
    </row>
    <row r="30" spans="1:13" x14ac:dyDescent="0.25">
      <c r="A30" s="136">
        <v>5</v>
      </c>
      <c r="B30" s="277"/>
      <c r="C30" s="277"/>
      <c r="D30" s="277"/>
      <c r="E30" s="123" t="str">
        <f>IF(AND($J$18="Yes",$D30&lt;1,C30&gt;=30),"Met","N/A")</f>
        <v>N/A</v>
      </c>
      <c r="F30" s="277"/>
      <c r="G30" s="123" t="str">
        <f>IF(AND($J$18="Yes",$F30&lt;1,C30&gt;=30),"Met","N/A")</f>
        <v>N/A</v>
      </c>
      <c r="H30" s="277"/>
      <c r="I30" s="123" t="str">
        <f>IF(AND($J$18="Yes",$H30&lt;1,C30&gt;=30),"Met","N/A")</f>
        <v>N/A</v>
      </c>
      <c r="J30" s="277"/>
      <c r="K30" s="123" t="str">
        <f>IF(AND($J$18="Yes",$J30&lt;1,C30&gt;=30),"Met","N/A")</f>
        <v>N/A</v>
      </c>
    </row>
    <row r="31" spans="1:13" x14ac:dyDescent="0.25">
      <c r="A31" s="103"/>
      <c r="B31" s="103"/>
      <c r="C31" s="137" t="s">
        <v>298</v>
      </c>
      <c r="D31" s="139"/>
      <c r="E31" s="138" t="str">
        <f>IF(OR(E26="Met",E27="Met",E28="Met",E29="Met",E30="Met"),"Met","Not Met")</f>
        <v>Not Met</v>
      </c>
      <c r="F31" s="139"/>
      <c r="G31" s="138" t="str">
        <f>IF(OR(G26="Met",G27="Met",G28="Met",G29="Met",G30="Met"),"Met","Not Met")</f>
        <v>Not Met</v>
      </c>
      <c r="H31" s="139"/>
      <c r="I31" s="138" t="str">
        <f>IF(OR(I26="Met",I27="Met",I28="Met",I29="Met",I30="Met"),"Met","Not Met")</f>
        <v>Not Met</v>
      </c>
      <c r="J31" s="139"/>
      <c r="K31" s="140" t="str">
        <f>IF(OR(K26="Met",K27="Met",K28="Met",K29="Met",K30="Met"),"Met","Not Met")</f>
        <v>Not Met</v>
      </c>
    </row>
    <row r="32" spans="1:13" x14ac:dyDescent="0.25">
      <c r="A32" s="103"/>
      <c r="B32" s="103"/>
      <c r="C32" s="103"/>
      <c r="D32" s="103"/>
      <c r="E32" s="103"/>
      <c r="F32" s="103"/>
      <c r="G32" s="103"/>
      <c r="H32" s="103"/>
      <c r="I32" s="103"/>
      <c r="J32" s="103"/>
      <c r="K32" s="103"/>
    </row>
    <row r="33" spans="1:11" x14ac:dyDescent="0.25">
      <c r="A33" s="520" t="s">
        <v>558</v>
      </c>
      <c r="B33" s="520"/>
      <c r="C33" s="520"/>
      <c r="D33" s="520"/>
      <c r="E33" s="520"/>
      <c r="F33" s="520"/>
      <c r="G33" s="520"/>
      <c r="H33" s="520"/>
      <c r="I33" s="520"/>
      <c r="J33" s="520"/>
      <c r="K33" s="520"/>
    </row>
    <row r="34" spans="1:11" x14ac:dyDescent="0.25">
      <c r="A34" s="103"/>
      <c r="B34" s="103"/>
      <c r="C34" s="108"/>
      <c r="D34" s="103"/>
      <c r="E34" s="103"/>
      <c r="F34" s="103"/>
      <c r="G34" s="103"/>
      <c r="H34" s="103"/>
      <c r="I34" s="103"/>
      <c r="J34" s="108"/>
      <c r="K34" s="103"/>
    </row>
    <row r="35" spans="1:11" x14ac:dyDescent="0.25">
      <c r="A35" s="103"/>
      <c r="B35" s="389" t="s">
        <v>542</v>
      </c>
      <c r="C35" s="278"/>
      <c r="D35" s="118" t="s">
        <v>239</v>
      </c>
      <c r="E35" s="103"/>
      <c r="F35" s="103"/>
      <c r="G35" s="103"/>
      <c r="H35" s="103"/>
      <c r="I35" s="389" t="s">
        <v>301</v>
      </c>
      <c r="J35" s="278"/>
      <c r="K35" s="118" t="s">
        <v>304</v>
      </c>
    </row>
    <row r="36" spans="1:11" x14ac:dyDescent="0.25">
      <c r="A36" s="103"/>
      <c r="B36" s="389" t="s">
        <v>300</v>
      </c>
      <c r="C36" s="133" t="str">
        <f>IF(C35="","",3+C35/3.5)</f>
        <v/>
      </c>
      <c r="D36" s="118" t="s">
        <v>305</v>
      </c>
      <c r="E36" s="686" t="s">
        <v>302</v>
      </c>
      <c r="F36" s="686"/>
      <c r="G36" s="686"/>
      <c r="H36" s="686"/>
      <c r="I36" s="686"/>
      <c r="J36" s="103"/>
      <c r="K36" s="103"/>
    </row>
    <row r="37" spans="1:11" x14ac:dyDescent="0.25">
      <c r="A37" s="103"/>
      <c r="B37" s="103"/>
      <c r="C37" s="108"/>
      <c r="D37" s="103"/>
      <c r="E37" s="686"/>
      <c r="F37" s="686"/>
      <c r="G37" s="686"/>
      <c r="H37" s="686"/>
      <c r="I37" s="686"/>
      <c r="J37" s="278"/>
      <c r="K37" s="103"/>
    </row>
    <row r="38" spans="1:11" x14ac:dyDescent="0.25">
      <c r="A38" s="103"/>
      <c r="B38" s="689" t="s">
        <v>303</v>
      </c>
      <c r="C38" s="689"/>
      <c r="D38" s="689"/>
      <c r="E38" s="689"/>
      <c r="F38" s="689"/>
      <c r="G38" s="689"/>
      <c r="H38" s="689"/>
      <c r="I38" s="689"/>
      <c r="J38" s="103"/>
      <c r="K38" s="103"/>
    </row>
    <row r="39" spans="1:11" x14ac:dyDescent="0.25">
      <c r="A39" s="103"/>
      <c r="B39" s="689"/>
      <c r="C39" s="689"/>
      <c r="D39" s="689"/>
      <c r="E39" s="689"/>
      <c r="F39" s="689"/>
      <c r="G39" s="689"/>
      <c r="H39" s="689"/>
      <c r="I39" s="689"/>
      <c r="J39" s="249" t="str">
        <f>IFERROR(J37*2.718^(-J37*C36/J35),"")</f>
        <v/>
      </c>
      <c r="K39" s="103"/>
    </row>
    <row r="40" spans="1:11" x14ac:dyDescent="0.25">
      <c r="A40" s="103"/>
      <c r="B40" s="103"/>
      <c r="C40" s="103"/>
      <c r="D40" s="103"/>
      <c r="E40" s="103"/>
      <c r="F40" s="117" t="s">
        <v>306</v>
      </c>
      <c r="G40" s="152" t="str">
        <f>IF(J18="Yes",IF(AND(J4="Yes",J7="Yes",OR(J9="No",J12="No"),J14="Yes",OR(E31="Met",G31="Met",I31="Met",K31="Met")),"Yes","No"),IF(AND(J4="Yes",J7="Yes",OR(J9="No",J12="No"),J14="Yes",J39&lt;1),"Yes","No"))</f>
        <v>No</v>
      </c>
      <c r="H40" s="103"/>
      <c r="I40" s="103"/>
      <c r="J40" s="103"/>
      <c r="K40" s="103"/>
    </row>
    <row r="41" spans="1:11" x14ac:dyDescent="0.25">
      <c r="A41" s="103"/>
      <c r="B41" s="103"/>
      <c r="C41" s="103"/>
      <c r="D41" s="103"/>
      <c r="E41" s="103"/>
      <c r="F41" s="103"/>
      <c r="G41" s="103"/>
      <c r="H41" s="103"/>
      <c r="I41" s="103"/>
      <c r="J41" s="103"/>
      <c r="K41" s="103"/>
    </row>
    <row r="42" spans="1:11" ht="12.75" customHeight="1" x14ac:dyDescent="0.25">
      <c r="A42" s="557" t="s">
        <v>307</v>
      </c>
      <c r="B42" s="557"/>
      <c r="C42" s="557"/>
      <c r="D42" s="557"/>
      <c r="E42" s="557"/>
      <c r="F42" s="557"/>
      <c r="G42" s="557"/>
      <c r="H42" s="557"/>
      <c r="I42" s="557"/>
      <c r="J42" s="557"/>
      <c r="K42" s="557"/>
    </row>
    <row r="43" spans="1:11" ht="12.75" customHeight="1" x14ac:dyDescent="0.25">
      <c r="A43" s="557"/>
      <c r="B43" s="557"/>
      <c r="C43" s="557"/>
      <c r="D43" s="557"/>
      <c r="E43" s="557"/>
      <c r="F43" s="557"/>
      <c r="G43" s="557"/>
      <c r="H43" s="557"/>
      <c r="I43" s="557"/>
      <c r="J43" s="557"/>
      <c r="K43" s="557"/>
    </row>
    <row r="44" spans="1:11" x14ac:dyDescent="0.25">
      <c r="A44" s="103"/>
      <c r="B44" s="103"/>
      <c r="C44" s="103"/>
      <c r="D44" s="103"/>
      <c r="E44" s="103"/>
      <c r="F44" s="103"/>
      <c r="G44" s="103"/>
      <c r="H44" s="103"/>
      <c r="I44" s="103"/>
      <c r="J44" s="103"/>
      <c r="K44" s="103"/>
    </row>
    <row r="45" spans="1:11" ht="12.75" customHeight="1" x14ac:dyDescent="0.25">
      <c r="A45" s="103"/>
      <c r="B45" s="688" t="s">
        <v>308</v>
      </c>
      <c r="C45" s="688"/>
      <c r="D45" s="688"/>
      <c r="E45" s="688"/>
      <c r="F45" s="688"/>
      <c r="G45" s="688"/>
      <c r="H45" s="688"/>
      <c r="I45" s="688"/>
      <c r="J45" s="103"/>
      <c r="K45" s="103"/>
    </row>
    <row r="46" spans="1:11" x14ac:dyDescent="0.25">
      <c r="A46" s="103"/>
      <c r="B46" s="688"/>
      <c r="C46" s="688"/>
      <c r="D46" s="688"/>
      <c r="E46" s="688"/>
      <c r="F46" s="688"/>
      <c r="G46" s="688"/>
      <c r="H46" s="688"/>
      <c r="I46" s="688"/>
      <c r="J46" s="103"/>
      <c r="K46" s="103"/>
    </row>
    <row r="47" spans="1:11" x14ac:dyDescent="0.25">
      <c r="A47" s="103"/>
      <c r="B47" s="688"/>
      <c r="C47" s="688"/>
      <c r="D47" s="688"/>
      <c r="E47" s="688"/>
      <c r="F47" s="688"/>
      <c r="G47" s="688"/>
      <c r="H47" s="688"/>
      <c r="I47" s="688"/>
      <c r="J47" s="265"/>
      <c r="K47" s="103"/>
    </row>
    <row r="48" spans="1:11" x14ac:dyDescent="0.25">
      <c r="A48" s="103"/>
      <c r="B48" s="103"/>
      <c r="C48" s="103"/>
      <c r="D48" s="103"/>
      <c r="E48" s="103"/>
      <c r="F48" s="103"/>
      <c r="G48" s="103"/>
      <c r="H48" s="103"/>
      <c r="I48" s="103"/>
      <c r="J48" s="103"/>
      <c r="K48" s="103"/>
    </row>
    <row r="49" spans="1:11" ht="12.75" customHeight="1" x14ac:dyDescent="0.25">
      <c r="A49" s="103"/>
      <c r="B49" s="688" t="s">
        <v>309</v>
      </c>
      <c r="C49" s="688"/>
      <c r="D49" s="688"/>
      <c r="E49" s="688"/>
      <c r="F49" s="688"/>
      <c r="G49" s="688"/>
      <c r="H49" s="688"/>
      <c r="I49" s="688"/>
      <c r="J49" s="103"/>
      <c r="K49" s="103"/>
    </row>
    <row r="50" spans="1:11" x14ac:dyDescent="0.25">
      <c r="A50" s="103"/>
      <c r="B50" s="688"/>
      <c r="C50" s="688"/>
      <c r="D50" s="688"/>
      <c r="E50" s="688"/>
      <c r="F50" s="688"/>
      <c r="G50" s="688"/>
      <c r="H50" s="688"/>
      <c r="I50" s="688"/>
      <c r="J50" s="103"/>
      <c r="K50" s="103"/>
    </row>
    <row r="51" spans="1:11" x14ac:dyDescent="0.25">
      <c r="A51" s="103"/>
      <c r="B51" s="688"/>
      <c r="C51" s="688"/>
      <c r="D51" s="688"/>
      <c r="E51" s="688"/>
      <c r="F51" s="688"/>
      <c r="G51" s="688"/>
      <c r="H51" s="688"/>
      <c r="I51" s="688"/>
      <c r="J51" s="265"/>
      <c r="K51" s="103"/>
    </row>
    <row r="52" spans="1:11" ht="12.75" customHeight="1" x14ac:dyDescent="0.25">
      <c r="A52" s="103"/>
      <c r="B52" s="687" t="s">
        <v>310</v>
      </c>
      <c r="C52" s="687"/>
      <c r="D52" s="687"/>
      <c r="E52" s="687"/>
      <c r="F52" s="687"/>
      <c r="G52" s="687"/>
      <c r="H52" s="687"/>
      <c r="I52" s="687"/>
      <c r="J52" s="687"/>
      <c r="K52" s="687"/>
    </row>
    <row r="53" spans="1:11" ht="12.75" customHeight="1" x14ac:dyDescent="0.25">
      <c r="A53" s="103"/>
      <c r="B53" s="103"/>
      <c r="C53" s="103"/>
      <c r="D53" s="103"/>
      <c r="E53" s="103"/>
      <c r="F53" s="103"/>
      <c r="G53" s="103"/>
      <c r="H53" s="103"/>
      <c r="I53" s="103"/>
      <c r="J53" s="103"/>
      <c r="K53" s="103"/>
    </row>
    <row r="54" spans="1:11" x14ac:dyDescent="0.25">
      <c r="A54" s="103"/>
      <c r="B54" s="103"/>
      <c r="C54" s="235"/>
      <c r="D54" s="235"/>
      <c r="E54" s="235"/>
      <c r="F54" s="117" t="s">
        <v>311</v>
      </c>
      <c r="G54" s="129" t="str">
        <f>IF(OR(J47="Yes",J51="Yes"),"Yes","No")</f>
        <v>No</v>
      </c>
      <c r="H54" s="103"/>
      <c r="I54" s="103"/>
      <c r="J54" s="103"/>
      <c r="K54" s="103"/>
    </row>
    <row r="55" spans="1:11" x14ac:dyDescent="0.25">
      <c r="A55" s="103"/>
      <c r="B55" s="103"/>
      <c r="C55" s="103"/>
      <c r="D55" s="103"/>
      <c r="E55" s="103"/>
      <c r="F55" s="103"/>
      <c r="G55" s="103"/>
      <c r="H55" s="103"/>
      <c r="I55" s="103"/>
      <c r="J55" s="103"/>
      <c r="K55" s="103"/>
    </row>
    <row r="56" spans="1:11" x14ac:dyDescent="0.25">
      <c r="A56" s="103"/>
      <c r="B56" s="103"/>
      <c r="C56" s="103"/>
      <c r="D56" s="103"/>
      <c r="E56" s="103"/>
      <c r="F56" s="103"/>
      <c r="G56" s="103"/>
      <c r="H56" s="103"/>
      <c r="I56" s="103"/>
      <c r="J56" s="103"/>
      <c r="K56" s="103"/>
    </row>
    <row r="57" spans="1:11" x14ac:dyDescent="0.25">
      <c r="A57" s="103"/>
      <c r="B57" s="103"/>
      <c r="C57" s="103"/>
      <c r="D57" s="103"/>
      <c r="E57" s="103"/>
      <c r="F57" s="103"/>
      <c r="G57" s="103"/>
      <c r="H57" s="103"/>
      <c r="I57" s="103"/>
      <c r="J57" s="103"/>
      <c r="K57" s="103"/>
    </row>
    <row r="58" spans="1:11" x14ac:dyDescent="0.25">
      <c r="A58" s="103"/>
      <c r="B58" s="103"/>
      <c r="C58" s="103"/>
      <c r="D58" s="103"/>
      <c r="E58" s="103"/>
      <c r="F58" s="103"/>
      <c r="G58" s="103"/>
      <c r="H58" s="103"/>
      <c r="I58" s="103"/>
      <c r="J58" s="103"/>
      <c r="K58" s="103"/>
    </row>
    <row r="59" spans="1:11" x14ac:dyDescent="0.25">
      <c r="A59" s="103"/>
      <c r="B59" s="103"/>
      <c r="C59" s="103"/>
      <c r="D59" s="103"/>
      <c r="E59" s="103"/>
      <c r="F59" s="103"/>
      <c r="G59" s="103"/>
      <c r="H59" s="103"/>
      <c r="I59" s="103"/>
      <c r="J59" s="103"/>
      <c r="K59" s="103"/>
    </row>
    <row r="60" spans="1:11" x14ac:dyDescent="0.25">
      <c r="A60" s="103"/>
      <c r="B60" s="103"/>
      <c r="C60" s="103"/>
      <c r="D60" s="103"/>
      <c r="E60" s="103"/>
      <c r="F60" s="103"/>
      <c r="G60" s="103"/>
      <c r="H60" s="103"/>
      <c r="I60" s="103"/>
      <c r="J60" s="103"/>
      <c r="K60" s="103"/>
    </row>
    <row r="61" spans="1:11" x14ac:dyDescent="0.25">
      <c r="A61" s="103"/>
      <c r="B61" s="103"/>
      <c r="C61" s="103"/>
      <c r="D61" s="103"/>
      <c r="E61" s="103"/>
      <c r="F61" s="103"/>
      <c r="G61" s="103"/>
      <c r="H61" s="103"/>
      <c r="I61" s="103"/>
      <c r="J61" s="103"/>
      <c r="K61" s="103"/>
    </row>
    <row r="62" spans="1:11" x14ac:dyDescent="0.25">
      <c r="A62" s="103"/>
      <c r="B62" s="103"/>
      <c r="C62" s="103"/>
      <c r="D62" s="103"/>
      <c r="E62" s="103"/>
      <c r="F62" s="103"/>
      <c r="G62" s="103"/>
      <c r="H62" s="103"/>
      <c r="I62" s="103"/>
      <c r="J62" s="103"/>
      <c r="K62" s="103"/>
    </row>
    <row r="63" spans="1:11" x14ac:dyDescent="0.25">
      <c r="A63" s="103"/>
      <c r="B63" s="103"/>
      <c r="C63" s="103"/>
      <c r="D63" s="103"/>
      <c r="E63" s="103"/>
      <c r="F63" s="103"/>
      <c r="G63" s="103"/>
      <c r="H63" s="103"/>
      <c r="I63" s="103"/>
      <c r="J63" s="103"/>
      <c r="K63" s="103"/>
    </row>
    <row r="64" spans="1:11" x14ac:dyDescent="0.25">
      <c r="A64" s="103"/>
      <c r="B64" s="103"/>
      <c r="C64" s="103"/>
      <c r="D64" s="103"/>
      <c r="E64" s="103"/>
      <c r="F64" s="103"/>
      <c r="G64" s="103"/>
      <c r="H64" s="103"/>
      <c r="I64" s="103"/>
      <c r="J64" s="103"/>
      <c r="K64" s="103"/>
    </row>
    <row r="65" spans="1:11" x14ac:dyDescent="0.25">
      <c r="A65" s="103"/>
      <c r="B65" s="103"/>
      <c r="C65" s="103"/>
      <c r="D65" s="103"/>
      <c r="E65" s="103"/>
      <c r="F65" s="103"/>
      <c r="G65" s="103"/>
      <c r="H65" s="103"/>
      <c r="I65" s="103"/>
      <c r="J65" s="103"/>
      <c r="K65" s="103"/>
    </row>
    <row r="66" spans="1:11" x14ac:dyDescent="0.25">
      <c r="A66" s="103"/>
      <c r="B66" s="103"/>
      <c r="C66" s="103"/>
      <c r="D66" s="103"/>
      <c r="E66" s="103"/>
      <c r="F66" s="103"/>
      <c r="G66" s="103"/>
      <c r="H66" s="103"/>
      <c r="I66" s="103"/>
      <c r="J66" s="103"/>
      <c r="K66" s="103"/>
    </row>
    <row r="67" spans="1:11" x14ac:dyDescent="0.25">
      <c r="A67" s="103"/>
      <c r="B67" s="103"/>
      <c r="C67" s="103"/>
      <c r="D67" s="103"/>
      <c r="E67" s="103"/>
      <c r="F67" s="103"/>
      <c r="G67" s="103"/>
      <c r="H67" s="103"/>
      <c r="I67" s="103"/>
      <c r="J67" s="103"/>
      <c r="K67" s="103"/>
    </row>
    <row r="68" spans="1:11" x14ac:dyDescent="0.25">
      <c r="A68" s="103"/>
      <c r="B68" s="103"/>
      <c r="C68" s="103"/>
      <c r="D68" s="103"/>
      <c r="E68" s="103"/>
      <c r="F68" s="103"/>
      <c r="G68" s="103"/>
      <c r="H68" s="103"/>
      <c r="I68" s="103"/>
      <c r="J68" s="103"/>
      <c r="K68" s="103"/>
    </row>
    <row r="69" spans="1:11" x14ac:dyDescent="0.25">
      <c r="A69" s="103"/>
      <c r="B69" s="103"/>
      <c r="C69" s="103"/>
      <c r="D69" s="103"/>
      <c r="E69" s="103"/>
      <c r="F69" s="103"/>
      <c r="G69" s="103"/>
      <c r="H69" s="103"/>
      <c r="I69" s="103"/>
      <c r="J69" s="103"/>
      <c r="K69" s="103"/>
    </row>
    <row r="70" spans="1:11" x14ac:dyDescent="0.25">
      <c r="A70" s="103"/>
      <c r="B70" s="103"/>
      <c r="C70" s="103"/>
      <c r="D70" s="103"/>
      <c r="E70" s="103"/>
      <c r="F70" s="103"/>
      <c r="G70" s="103"/>
      <c r="H70" s="103"/>
      <c r="I70" s="103"/>
      <c r="J70" s="103"/>
      <c r="K70" s="103"/>
    </row>
    <row r="71" spans="1:11" x14ac:dyDescent="0.25">
      <c r="A71" s="103"/>
      <c r="B71" s="103"/>
      <c r="C71" s="103"/>
      <c r="D71" s="103"/>
      <c r="E71" s="103"/>
      <c r="F71" s="103"/>
      <c r="G71" s="103"/>
      <c r="H71" s="103"/>
      <c r="I71" s="103"/>
      <c r="J71" s="103"/>
      <c r="K71" s="103"/>
    </row>
    <row r="72" spans="1:11" x14ac:dyDescent="0.25">
      <c r="A72" s="103"/>
      <c r="B72" s="103"/>
      <c r="C72" s="103"/>
      <c r="D72" s="103"/>
      <c r="E72" s="103"/>
      <c r="F72" s="103"/>
      <c r="G72" s="103"/>
      <c r="H72" s="103"/>
      <c r="I72" s="103"/>
      <c r="J72" s="103"/>
      <c r="K72" s="103"/>
    </row>
    <row r="73" spans="1:11" x14ac:dyDescent="0.25">
      <c r="A73" s="103"/>
      <c r="B73" s="103"/>
      <c r="C73" s="103"/>
      <c r="D73" s="103"/>
      <c r="E73" s="103"/>
      <c r="F73" s="103"/>
      <c r="G73" s="103"/>
      <c r="H73" s="103"/>
      <c r="I73" s="103"/>
      <c r="J73" s="103"/>
      <c r="K73" s="103"/>
    </row>
    <row r="74" spans="1:11" x14ac:dyDescent="0.25">
      <c r="A74" s="103"/>
      <c r="B74" s="103"/>
      <c r="C74" s="103"/>
      <c r="D74" s="103"/>
      <c r="E74" s="103"/>
      <c r="F74" s="103"/>
      <c r="G74" s="103"/>
      <c r="H74" s="103"/>
      <c r="I74" s="103"/>
      <c r="J74" s="103"/>
      <c r="K74" s="103"/>
    </row>
    <row r="75" spans="1:11" x14ac:dyDescent="0.25">
      <c r="A75" s="103"/>
      <c r="B75" s="103"/>
      <c r="C75" s="103"/>
      <c r="D75" s="103"/>
      <c r="E75" s="103"/>
      <c r="F75" s="103"/>
      <c r="G75" s="103"/>
      <c r="H75" s="103"/>
      <c r="I75" s="103"/>
      <c r="J75" s="103"/>
      <c r="K75" s="103"/>
    </row>
    <row r="76" spans="1:11" x14ac:dyDescent="0.25">
      <c r="A76" s="103"/>
      <c r="B76" s="103"/>
      <c r="C76" s="103"/>
      <c r="D76" s="103"/>
      <c r="E76" s="103"/>
      <c r="F76" s="103"/>
      <c r="G76" s="103"/>
      <c r="H76" s="103"/>
      <c r="I76" s="103"/>
      <c r="J76" s="103"/>
      <c r="K76" s="103"/>
    </row>
    <row r="77" spans="1:11" x14ac:dyDescent="0.25">
      <c r="A77" s="103"/>
      <c r="B77" s="103"/>
      <c r="C77" s="103"/>
      <c r="D77" s="103"/>
      <c r="E77" s="103"/>
      <c r="F77" s="103"/>
      <c r="G77" s="103"/>
      <c r="H77" s="103"/>
      <c r="I77" s="103"/>
      <c r="J77" s="103"/>
      <c r="K77" s="103"/>
    </row>
    <row r="78" spans="1:11" x14ac:dyDescent="0.25">
      <c r="A78" s="103"/>
      <c r="B78" s="103"/>
      <c r="C78" s="103"/>
      <c r="D78" s="103"/>
      <c r="E78" s="103"/>
      <c r="F78" s="103"/>
      <c r="G78" s="103"/>
      <c r="H78" s="103"/>
      <c r="I78" s="103"/>
      <c r="J78" s="103"/>
      <c r="K78" s="103"/>
    </row>
    <row r="79" spans="1:11" x14ac:dyDescent="0.25">
      <c r="A79" s="103"/>
      <c r="B79" s="103"/>
      <c r="C79" s="103"/>
      <c r="D79" s="103"/>
      <c r="E79" s="103"/>
      <c r="F79" s="103"/>
      <c r="G79" s="103"/>
      <c r="H79" s="103"/>
      <c r="I79" s="103"/>
      <c r="J79" s="103"/>
      <c r="K79" s="103"/>
    </row>
    <row r="80" spans="1:11" x14ac:dyDescent="0.25">
      <c r="A80" s="103"/>
      <c r="B80" s="103"/>
      <c r="C80" s="103"/>
      <c r="D80" s="103"/>
      <c r="E80" s="103"/>
      <c r="F80" s="103"/>
      <c r="G80" s="103"/>
      <c r="H80" s="103"/>
      <c r="I80" s="103"/>
      <c r="J80" s="103"/>
      <c r="K80" s="103"/>
    </row>
    <row r="81" spans="1:11" x14ac:dyDescent="0.25">
      <c r="A81" s="103"/>
      <c r="B81" s="103"/>
      <c r="C81" s="103"/>
      <c r="D81" s="103"/>
      <c r="E81" s="103"/>
      <c r="F81" s="103"/>
      <c r="G81" s="103"/>
      <c r="H81" s="103"/>
      <c r="I81" s="103"/>
      <c r="J81" s="103"/>
      <c r="K81" s="103"/>
    </row>
    <row r="82" spans="1:11" x14ac:dyDescent="0.25">
      <c r="A82" s="103"/>
      <c r="B82" s="103"/>
      <c r="C82" s="103"/>
      <c r="D82" s="103"/>
      <c r="E82" s="103"/>
      <c r="F82" s="103"/>
      <c r="G82" s="103"/>
      <c r="H82" s="103"/>
      <c r="I82" s="103"/>
      <c r="J82" s="103"/>
      <c r="K82" s="103"/>
    </row>
    <row r="83" spans="1:11" x14ac:dyDescent="0.25">
      <c r="A83" s="103"/>
      <c r="B83" s="103"/>
      <c r="C83" s="103"/>
      <c r="D83" s="103"/>
      <c r="E83" s="103"/>
      <c r="F83" s="103"/>
      <c r="G83" s="103"/>
      <c r="H83" s="103"/>
      <c r="I83" s="103"/>
      <c r="J83" s="103"/>
      <c r="K83" s="103"/>
    </row>
    <row r="84" spans="1:11" x14ac:dyDescent="0.25">
      <c r="A84" s="103"/>
      <c r="B84" s="103"/>
      <c r="C84" s="103"/>
      <c r="D84" s="103"/>
      <c r="E84" s="103"/>
      <c r="F84" s="103"/>
      <c r="G84" s="103"/>
      <c r="H84" s="103"/>
      <c r="I84" s="103"/>
      <c r="J84" s="103"/>
      <c r="K84" s="103"/>
    </row>
    <row r="85" spans="1:11" x14ac:dyDescent="0.25">
      <c r="A85" s="103"/>
      <c r="B85" s="103"/>
      <c r="C85" s="103"/>
      <c r="D85" s="103"/>
      <c r="E85" s="103"/>
      <c r="F85" s="103"/>
      <c r="G85" s="103"/>
      <c r="H85" s="103"/>
      <c r="I85" s="103"/>
      <c r="J85" s="103"/>
      <c r="K85" s="103"/>
    </row>
    <row r="86" spans="1:11" x14ac:dyDescent="0.25">
      <c r="A86" s="103"/>
      <c r="B86" s="103"/>
      <c r="C86" s="103"/>
      <c r="D86" s="103"/>
      <c r="E86" s="103"/>
      <c r="F86" s="103"/>
      <c r="G86" s="103"/>
      <c r="H86" s="103"/>
      <c r="I86" s="103"/>
      <c r="J86" s="103"/>
      <c r="K86" s="103"/>
    </row>
    <row r="87" spans="1:11" x14ac:dyDescent="0.25">
      <c r="A87" s="103"/>
      <c r="B87" s="103"/>
      <c r="C87" s="103"/>
      <c r="D87" s="103"/>
      <c r="E87" s="103"/>
      <c r="F87" s="103"/>
      <c r="G87" s="103"/>
      <c r="H87" s="103"/>
      <c r="I87" s="103"/>
      <c r="J87" s="103"/>
      <c r="K87" s="103"/>
    </row>
    <row r="88" spans="1:11" x14ac:dyDescent="0.25">
      <c r="A88" s="103"/>
      <c r="B88" s="103"/>
      <c r="C88" s="103"/>
      <c r="D88" s="103"/>
      <c r="E88" s="103"/>
      <c r="F88" s="103"/>
      <c r="G88" s="103"/>
      <c r="H88" s="103"/>
      <c r="I88" s="103"/>
      <c r="J88" s="103"/>
      <c r="K88" s="103"/>
    </row>
    <row r="89" spans="1:11" x14ac:dyDescent="0.25">
      <c r="A89" s="103"/>
      <c r="B89" s="103"/>
      <c r="C89" s="103"/>
      <c r="D89" s="103"/>
      <c r="E89" s="103"/>
      <c r="F89" s="103"/>
      <c r="G89" s="103"/>
      <c r="H89" s="103"/>
      <c r="I89" s="103"/>
      <c r="J89" s="103"/>
      <c r="K89" s="103"/>
    </row>
    <row r="90" spans="1:11" x14ac:dyDescent="0.25">
      <c r="A90" s="103"/>
      <c r="B90" s="103"/>
      <c r="C90" s="103"/>
      <c r="D90" s="103"/>
      <c r="E90" s="103"/>
      <c r="F90" s="103"/>
      <c r="G90" s="103"/>
      <c r="H90" s="103"/>
      <c r="I90" s="103"/>
      <c r="J90" s="103"/>
      <c r="K90" s="103"/>
    </row>
    <row r="91" spans="1:11" x14ac:dyDescent="0.25">
      <c r="A91" s="103"/>
      <c r="B91" s="103"/>
      <c r="C91" s="103"/>
      <c r="D91" s="103"/>
      <c r="E91" s="103"/>
      <c r="F91" s="103"/>
      <c r="G91" s="103"/>
      <c r="H91" s="103"/>
      <c r="I91" s="103"/>
      <c r="J91" s="103"/>
      <c r="K91" s="103"/>
    </row>
    <row r="92" spans="1:11" x14ac:dyDescent="0.25">
      <c r="A92" s="103"/>
      <c r="B92" s="103"/>
      <c r="C92" s="103"/>
      <c r="D92" s="103"/>
      <c r="E92" s="103"/>
      <c r="F92" s="103"/>
      <c r="G92" s="103"/>
      <c r="H92" s="103"/>
      <c r="I92" s="103"/>
      <c r="J92" s="103"/>
      <c r="K92" s="103"/>
    </row>
    <row r="93" spans="1:11" x14ac:dyDescent="0.25">
      <c r="A93" s="103"/>
      <c r="B93" s="103"/>
      <c r="C93" s="103"/>
      <c r="D93" s="103"/>
      <c r="E93" s="103"/>
      <c r="F93" s="103"/>
      <c r="G93" s="103"/>
      <c r="H93" s="103"/>
      <c r="I93" s="103"/>
      <c r="J93" s="103"/>
      <c r="K93" s="103"/>
    </row>
    <row r="94" spans="1:11" x14ac:dyDescent="0.25">
      <c r="A94" s="103"/>
      <c r="B94" s="103"/>
      <c r="C94" s="103"/>
      <c r="D94" s="103"/>
      <c r="E94" s="103"/>
      <c r="F94" s="103"/>
      <c r="G94" s="103"/>
      <c r="H94" s="103"/>
      <c r="I94" s="103"/>
      <c r="J94" s="103"/>
      <c r="K94" s="103"/>
    </row>
    <row r="95" spans="1:11" x14ac:dyDescent="0.25">
      <c r="A95" s="103"/>
      <c r="B95" s="103"/>
      <c r="C95" s="103"/>
      <c r="D95" s="103"/>
      <c r="E95" s="103"/>
      <c r="F95" s="103"/>
      <c r="G95" s="103"/>
      <c r="H95" s="103"/>
      <c r="I95" s="103"/>
      <c r="J95" s="103"/>
      <c r="K95" s="103"/>
    </row>
    <row r="96" spans="1:11" x14ac:dyDescent="0.25">
      <c r="A96" s="103"/>
      <c r="B96" s="103"/>
      <c r="C96" s="103"/>
      <c r="D96" s="103"/>
      <c r="E96" s="103"/>
      <c r="F96" s="103"/>
      <c r="G96" s="103"/>
      <c r="H96" s="103"/>
      <c r="I96" s="103"/>
      <c r="J96" s="103"/>
      <c r="K96" s="103"/>
    </row>
    <row r="97" spans="1:11" x14ac:dyDescent="0.25">
      <c r="A97" s="103"/>
      <c r="B97" s="103"/>
      <c r="C97" s="103"/>
      <c r="D97" s="103"/>
      <c r="E97" s="103"/>
      <c r="F97" s="103"/>
      <c r="G97" s="103"/>
      <c r="H97" s="103"/>
      <c r="I97" s="103"/>
      <c r="J97" s="103"/>
      <c r="K97" s="103"/>
    </row>
    <row r="98" spans="1:11" x14ac:dyDescent="0.25">
      <c r="A98" s="103"/>
      <c r="B98" s="103"/>
      <c r="C98" s="103"/>
      <c r="D98" s="103"/>
      <c r="E98" s="103"/>
      <c r="F98" s="103"/>
      <c r="G98" s="103"/>
      <c r="H98" s="103"/>
      <c r="I98" s="103"/>
      <c r="J98" s="103"/>
      <c r="K98" s="103"/>
    </row>
    <row r="99" spans="1:11" x14ac:dyDescent="0.25">
      <c r="A99" s="103"/>
      <c r="B99" s="103"/>
      <c r="C99" s="103"/>
      <c r="D99" s="103"/>
      <c r="E99" s="103"/>
      <c r="F99" s="103"/>
      <c r="G99" s="103"/>
      <c r="H99" s="103"/>
      <c r="I99" s="103"/>
      <c r="J99" s="103"/>
      <c r="K99" s="103"/>
    </row>
    <row r="100" spans="1:11" x14ac:dyDescent="0.25">
      <c r="A100" s="103"/>
      <c r="B100" s="103"/>
      <c r="C100" s="103"/>
      <c r="D100" s="103"/>
      <c r="E100" s="103"/>
      <c r="F100" s="103"/>
      <c r="G100" s="103"/>
      <c r="H100" s="103"/>
      <c r="I100" s="103"/>
      <c r="J100" s="103"/>
      <c r="K100" s="103"/>
    </row>
    <row r="101" spans="1:11" x14ac:dyDescent="0.25">
      <c r="A101" s="103"/>
      <c r="B101" s="103"/>
      <c r="C101" s="103"/>
      <c r="D101" s="103"/>
      <c r="E101" s="103"/>
      <c r="F101" s="103"/>
      <c r="G101" s="103"/>
      <c r="H101" s="103"/>
      <c r="I101" s="103"/>
      <c r="J101" s="103"/>
      <c r="K101" s="103"/>
    </row>
    <row r="102" spans="1:11" x14ac:dyDescent="0.25">
      <c r="A102" s="103"/>
      <c r="B102" s="103"/>
      <c r="C102" s="103"/>
      <c r="D102" s="103"/>
      <c r="E102" s="103"/>
      <c r="F102" s="103"/>
      <c r="G102" s="103"/>
      <c r="H102" s="103"/>
      <c r="I102" s="103"/>
      <c r="J102" s="103"/>
      <c r="K102" s="103"/>
    </row>
    <row r="103" spans="1:11" x14ac:dyDescent="0.25">
      <c r="A103" s="103"/>
      <c r="B103" s="103"/>
      <c r="C103" s="103"/>
      <c r="D103" s="103"/>
      <c r="E103" s="103"/>
      <c r="F103" s="103"/>
      <c r="G103" s="103"/>
      <c r="H103" s="103"/>
      <c r="I103" s="103"/>
      <c r="J103" s="103"/>
      <c r="K103" s="103"/>
    </row>
    <row r="104" spans="1:11" x14ac:dyDescent="0.25">
      <c r="A104" s="103"/>
      <c r="B104" s="103"/>
      <c r="C104" s="103"/>
      <c r="D104" s="103"/>
      <c r="E104" s="103"/>
      <c r="F104" s="103"/>
      <c r="G104" s="103"/>
      <c r="H104" s="103"/>
      <c r="I104" s="103"/>
      <c r="J104" s="103"/>
      <c r="K104" s="103"/>
    </row>
    <row r="105" spans="1:11" x14ac:dyDescent="0.25">
      <c r="A105" s="103"/>
      <c r="B105" s="103"/>
      <c r="C105" s="103"/>
      <c r="D105" s="103"/>
      <c r="E105" s="103"/>
      <c r="F105" s="103"/>
      <c r="G105" s="103"/>
      <c r="H105" s="103"/>
      <c r="I105" s="103"/>
      <c r="J105" s="103"/>
      <c r="K105" s="103"/>
    </row>
    <row r="106" spans="1:11" x14ac:dyDescent="0.25">
      <c r="A106" s="103"/>
      <c r="B106" s="103"/>
      <c r="C106" s="103"/>
      <c r="D106" s="103"/>
      <c r="E106" s="103"/>
      <c r="F106" s="103"/>
      <c r="G106" s="103"/>
      <c r="H106" s="103"/>
      <c r="I106" s="103"/>
      <c r="J106" s="103"/>
      <c r="K106" s="103"/>
    </row>
    <row r="107" spans="1:11" x14ac:dyDescent="0.25">
      <c r="A107" s="103"/>
      <c r="B107" s="103"/>
      <c r="C107" s="103"/>
      <c r="D107" s="103"/>
      <c r="E107" s="103"/>
      <c r="F107" s="103"/>
      <c r="G107" s="103"/>
      <c r="H107" s="103"/>
      <c r="I107" s="103"/>
      <c r="J107" s="103"/>
      <c r="K107" s="103"/>
    </row>
    <row r="108" spans="1:11" x14ac:dyDescent="0.25">
      <c r="A108" s="103"/>
      <c r="B108" s="103"/>
      <c r="C108" s="103"/>
      <c r="D108" s="103"/>
      <c r="E108" s="103"/>
      <c r="F108" s="103"/>
      <c r="G108" s="103"/>
      <c r="H108" s="103"/>
      <c r="I108" s="103"/>
      <c r="J108" s="103"/>
      <c r="K108" s="103"/>
    </row>
    <row r="109" spans="1:11" x14ac:dyDescent="0.25">
      <c r="A109" s="103"/>
      <c r="B109" s="103"/>
      <c r="C109" s="103"/>
      <c r="D109" s="103"/>
      <c r="E109" s="103"/>
      <c r="F109" s="103"/>
      <c r="G109" s="103"/>
      <c r="H109" s="103"/>
      <c r="I109" s="103"/>
      <c r="J109" s="103"/>
      <c r="K109" s="103"/>
    </row>
    <row r="110" spans="1:11" x14ac:dyDescent="0.25">
      <c r="A110" s="103"/>
      <c r="B110" s="103"/>
      <c r="C110" s="103"/>
      <c r="D110" s="103"/>
      <c r="E110" s="103"/>
      <c r="F110" s="103"/>
      <c r="G110" s="103"/>
      <c r="H110" s="103"/>
      <c r="I110" s="103"/>
      <c r="J110" s="103"/>
      <c r="K110" s="103"/>
    </row>
    <row r="111" spans="1:11" x14ac:dyDescent="0.25">
      <c r="A111" s="103"/>
      <c r="B111" s="103"/>
      <c r="C111" s="103"/>
      <c r="D111" s="103"/>
      <c r="E111" s="103"/>
      <c r="F111" s="103"/>
      <c r="G111" s="103"/>
      <c r="H111" s="103"/>
      <c r="I111" s="103"/>
      <c r="J111" s="103"/>
      <c r="K111" s="103"/>
    </row>
    <row r="112" spans="1:11" x14ac:dyDescent="0.25">
      <c r="A112" s="103"/>
      <c r="B112" s="103"/>
      <c r="C112" s="103"/>
      <c r="D112" s="103"/>
      <c r="E112" s="103"/>
      <c r="F112" s="103"/>
      <c r="G112" s="103"/>
      <c r="H112" s="103"/>
      <c r="I112" s="103"/>
      <c r="J112" s="103"/>
      <c r="K112" s="103"/>
    </row>
    <row r="113" spans="1:11" x14ac:dyDescent="0.25">
      <c r="A113" s="103"/>
      <c r="B113" s="103"/>
      <c r="C113" s="103"/>
      <c r="D113" s="103"/>
      <c r="E113" s="103"/>
      <c r="F113" s="103"/>
      <c r="G113" s="103"/>
      <c r="H113" s="103"/>
      <c r="I113" s="103"/>
      <c r="J113" s="103"/>
      <c r="K113" s="103"/>
    </row>
    <row r="114" spans="1:11" x14ac:dyDescent="0.25">
      <c r="A114" s="103"/>
      <c r="B114" s="103"/>
      <c r="C114" s="103"/>
      <c r="D114" s="103"/>
      <c r="E114" s="103"/>
      <c r="F114" s="103"/>
      <c r="G114" s="103"/>
      <c r="H114" s="103"/>
      <c r="I114" s="103"/>
      <c r="J114" s="103"/>
      <c r="K114" s="103"/>
    </row>
    <row r="115" spans="1:11" x14ac:dyDescent="0.25">
      <c r="A115" s="103"/>
      <c r="B115" s="103"/>
      <c r="C115" s="103"/>
      <c r="D115" s="103"/>
      <c r="E115" s="103"/>
      <c r="F115" s="103"/>
      <c r="G115" s="103"/>
      <c r="H115" s="103"/>
      <c r="I115" s="103"/>
      <c r="J115" s="103"/>
      <c r="K115" s="103"/>
    </row>
    <row r="116" spans="1:11" x14ac:dyDescent="0.25">
      <c r="A116" s="103"/>
      <c r="B116" s="103"/>
      <c r="C116" s="103"/>
      <c r="D116" s="103"/>
      <c r="E116" s="103"/>
      <c r="F116" s="103"/>
      <c r="G116" s="103"/>
      <c r="H116" s="103"/>
      <c r="I116" s="103"/>
      <c r="J116" s="103"/>
      <c r="K116" s="103"/>
    </row>
    <row r="117" spans="1:11" x14ac:dyDescent="0.25">
      <c r="A117" s="103"/>
      <c r="B117" s="103"/>
      <c r="C117" s="103"/>
      <c r="D117" s="103"/>
      <c r="E117" s="103"/>
      <c r="F117" s="103"/>
      <c r="G117" s="103"/>
      <c r="H117" s="103"/>
      <c r="I117" s="103"/>
      <c r="J117" s="103"/>
      <c r="K117" s="103"/>
    </row>
    <row r="118" spans="1:11" x14ac:dyDescent="0.25">
      <c r="A118" s="103"/>
      <c r="B118" s="103"/>
      <c r="C118" s="103"/>
      <c r="D118" s="103"/>
      <c r="E118" s="103"/>
      <c r="F118" s="103"/>
      <c r="G118" s="103"/>
      <c r="H118" s="103"/>
      <c r="I118" s="103"/>
      <c r="J118" s="103"/>
      <c r="K118" s="103"/>
    </row>
    <row r="119" spans="1:11" x14ac:dyDescent="0.25">
      <c r="A119" s="103"/>
      <c r="B119" s="103"/>
      <c r="C119" s="103"/>
      <c r="D119" s="103"/>
      <c r="E119" s="103"/>
      <c r="F119" s="103"/>
      <c r="G119" s="103"/>
      <c r="H119" s="103"/>
      <c r="I119" s="103"/>
      <c r="J119" s="103"/>
      <c r="K119" s="103"/>
    </row>
    <row r="120" spans="1:11" x14ac:dyDescent="0.25">
      <c r="A120" s="103"/>
      <c r="B120" s="103"/>
      <c r="C120" s="103"/>
      <c r="D120" s="103"/>
      <c r="E120" s="103"/>
      <c r="F120" s="103"/>
      <c r="G120" s="103"/>
      <c r="H120" s="103"/>
      <c r="I120" s="103"/>
      <c r="J120" s="103"/>
      <c r="K120" s="103"/>
    </row>
    <row r="121" spans="1:11" x14ac:dyDescent="0.25">
      <c r="A121" s="103"/>
      <c r="B121" s="103"/>
      <c r="C121" s="103"/>
      <c r="D121" s="103"/>
      <c r="E121" s="103"/>
      <c r="F121" s="103"/>
      <c r="G121" s="103"/>
      <c r="H121" s="103"/>
      <c r="I121" s="103"/>
      <c r="J121" s="103"/>
      <c r="K121" s="103"/>
    </row>
    <row r="122" spans="1:11" x14ac:dyDescent="0.25">
      <c r="A122" s="103"/>
      <c r="B122" s="103"/>
      <c r="C122" s="103"/>
      <c r="D122" s="103"/>
      <c r="E122" s="103"/>
      <c r="F122" s="103"/>
      <c r="G122" s="103"/>
      <c r="H122" s="103"/>
      <c r="I122" s="103"/>
      <c r="J122" s="103"/>
      <c r="K122" s="103"/>
    </row>
    <row r="123" spans="1:11" x14ac:dyDescent="0.25">
      <c r="A123" s="103"/>
      <c r="B123" s="103"/>
      <c r="C123" s="103"/>
      <c r="D123" s="103"/>
      <c r="E123" s="103"/>
      <c r="F123" s="103"/>
      <c r="G123" s="103"/>
      <c r="H123" s="103"/>
      <c r="I123" s="103"/>
      <c r="J123" s="103"/>
      <c r="K123" s="103"/>
    </row>
    <row r="124" spans="1:11" x14ac:dyDescent="0.25">
      <c r="A124" s="103"/>
      <c r="B124" s="103"/>
      <c r="C124" s="103"/>
      <c r="D124" s="103"/>
      <c r="E124" s="103"/>
      <c r="F124" s="103"/>
      <c r="G124" s="103"/>
      <c r="H124" s="103"/>
      <c r="I124" s="103"/>
      <c r="J124" s="103"/>
      <c r="K124" s="103"/>
    </row>
    <row r="125" spans="1:11" x14ac:dyDescent="0.25">
      <c r="A125" s="103"/>
      <c r="B125" s="103"/>
      <c r="C125" s="103"/>
      <c r="D125" s="103"/>
      <c r="E125" s="103"/>
      <c r="F125" s="103"/>
      <c r="G125" s="103"/>
      <c r="H125" s="103"/>
      <c r="I125" s="103"/>
      <c r="J125" s="103"/>
      <c r="K125" s="103"/>
    </row>
    <row r="126" spans="1:11" x14ac:dyDescent="0.25">
      <c r="A126" s="103"/>
      <c r="B126" s="103"/>
      <c r="C126" s="103"/>
      <c r="D126" s="103"/>
      <c r="E126" s="103"/>
      <c r="F126" s="103"/>
      <c r="G126" s="103"/>
      <c r="H126" s="103"/>
      <c r="I126" s="103"/>
      <c r="J126" s="103"/>
      <c r="K126" s="103"/>
    </row>
    <row r="127" spans="1:11" x14ac:dyDescent="0.25">
      <c r="A127" s="103"/>
      <c r="B127" s="103"/>
      <c r="C127" s="103"/>
      <c r="D127" s="103"/>
      <c r="E127" s="103"/>
      <c r="F127" s="103"/>
      <c r="G127" s="103"/>
      <c r="H127" s="103"/>
      <c r="I127" s="103"/>
      <c r="J127" s="103"/>
      <c r="K127" s="103"/>
    </row>
    <row r="128" spans="1:11" x14ac:dyDescent="0.25">
      <c r="A128" s="103"/>
      <c r="B128" s="103"/>
      <c r="C128" s="103"/>
      <c r="D128" s="103"/>
      <c r="E128" s="103"/>
      <c r="F128" s="103"/>
      <c r="G128" s="103"/>
      <c r="H128" s="103"/>
      <c r="I128" s="103"/>
      <c r="J128" s="103"/>
      <c r="K128" s="103"/>
    </row>
    <row r="129" spans="1:11" x14ac:dyDescent="0.25">
      <c r="A129" s="103"/>
      <c r="B129" s="103"/>
      <c r="C129" s="103"/>
      <c r="D129" s="103"/>
      <c r="E129" s="103"/>
      <c r="F129" s="103"/>
      <c r="G129" s="103"/>
      <c r="H129" s="103"/>
      <c r="I129" s="103"/>
      <c r="J129" s="103"/>
      <c r="K129" s="103"/>
    </row>
    <row r="130" spans="1:11" x14ac:dyDescent="0.25">
      <c r="A130" s="103"/>
      <c r="B130" s="103"/>
      <c r="C130" s="103"/>
      <c r="D130" s="103"/>
      <c r="E130" s="103"/>
      <c r="F130" s="103"/>
      <c r="G130" s="103"/>
      <c r="H130" s="103"/>
      <c r="I130" s="103"/>
      <c r="J130" s="103"/>
      <c r="K130" s="103"/>
    </row>
    <row r="131" spans="1:11" x14ac:dyDescent="0.25">
      <c r="A131" s="103"/>
      <c r="B131" s="103"/>
      <c r="C131" s="103"/>
      <c r="D131" s="103"/>
      <c r="E131" s="103"/>
      <c r="F131" s="103"/>
      <c r="G131" s="103"/>
      <c r="H131" s="103"/>
      <c r="I131" s="103"/>
      <c r="J131" s="103"/>
      <c r="K131" s="103"/>
    </row>
    <row r="132" spans="1:11" x14ac:dyDescent="0.25">
      <c r="A132" s="103"/>
      <c r="B132" s="103"/>
      <c r="C132" s="103"/>
      <c r="D132" s="103"/>
      <c r="E132" s="103"/>
      <c r="F132" s="103"/>
      <c r="G132" s="103"/>
      <c r="H132" s="103"/>
      <c r="I132" s="103"/>
      <c r="J132" s="103"/>
      <c r="K132" s="103"/>
    </row>
    <row r="133" spans="1:11" x14ac:dyDescent="0.25">
      <c r="A133" s="103"/>
      <c r="B133" s="103"/>
      <c r="C133" s="103"/>
      <c r="D133" s="103"/>
      <c r="E133" s="103"/>
      <c r="F133" s="103"/>
      <c r="G133" s="103"/>
      <c r="H133" s="103"/>
      <c r="I133" s="103"/>
      <c r="J133" s="103"/>
      <c r="K133" s="103"/>
    </row>
    <row r="134" spans="1:11" x14ac:dyDescent="0.25">
      <c r="A134" s="103"/>
      <c r="B134" s="103"/>
      <c r="C134" s="103"/>
      <c r="D134" s="103"/>
      <c r="E134" s="103"/>
      <c r="F134" s="103"/>
      <c r="G134" s="103"/>
      <c r="H134" s="103"/>
      <c r="I134" s="103"/>
      <c r="J134" s="103"/>
      <c r="K134" s="103"/>
    </row>
    <row r="135" spans="1:11" x14ac:dyDescent="0.25">
      <c r="A135" s="103"/>
      <c r="B135" s="103"/>
      <c r="C135" s="103"/>
      <c r="D135" s="103"/>
      <c r="E135" s="103"/>
      <c r="F135" s="103"/>
      <c r="G135" s="103"/>
      <c r="H135" s="103"/>
      <c r="I135" s="103"/>
      <c r="J135" s="103"/>
      <c r="K135" s="103"/>
    </row>
    <row r="136" spans="1:11" x14ac:dyDescent="0.25">
      <c r="A136" s="103"/>
      <c r="B136" s="103"/>
      <c r="C136" s="103"/>
      <c r="D136" s="103"/>
      <c r="E136" s="103"/>
      <c r="F136" s="103"/>
      <c r="G136" s="103"/>
      <c r="H136" s="103"/>
      <c r="I136" s="103"/>
      <c r="J136" s="103"/>
      <c r="K136" s="103"/>
    </row>
    <row r="137" spans="1:11" x14ac:dyDescent="0.25">
      <c r="A137" s="103"/>
      <c r="B137" s="103"/>
      <c r="C137" s="103"/>
      <c r="D137" s="103"/>
      <c r="E137" s="103"/>
      <c r="F137" s="103"/>
      <c r="G137" s="103"/>
      <c r="H137" s="103"/>
      <c r="I137" s="103"/>
      <c r="J137" s="103"/>
      <c r="K137" s="103"/>
    </row>
    <row r="138" spans="1:11" x14ac:dyDescent="0.25">
      <c r="A138" s="103"/>
      <c r="B138" s="103"/>
      <c r="C138" s="103"/>
      <c r="D138" s="103"/>
      <c r="E138" s="103"/>
      <c r="F138" s="103"/>
      <c r="G138" s="103"/>
      <c r="H138" s="103"/>
      <c r="I138" s="103"/>
      <c r="J138" s="103"/>
      <c r="K138" s="103"/>
    </row>
    <row r="139" spans="1:11" x14ac:dyDescent="0.25">
      <c r="A139" s="103"/>
      <c r="B139" s="103"/>
      <c r="C139" s="103"/>
      <c r="D139" s="103"/>
      <c r="E139" s="103"/>
      <c r="F139" s="103"/>
      <c r="G139" s="103"/>
      <c r="H139" s="103"/>
      <c r="I139" s="103"/>
      <c r="J139" s="103"/>
      <c r="K139" s="103"/>
    </row>
    <row r="140" spans="1:11" x14ac:dyDescent="0.25">
      <c r="A140" s="103"/>
      <c r="B140" s="103"/>
      <c r="C140" s="103"/>
      <c r="D140" s="103"/>
      <c r="E140" s="103"/>
      <c r="F140" s="103"/>
      <c r="G140" s="103"/>
      <c r="H140" s="103"/>
      <c r="I140" s="103"/>
      <c r="J140" s="103"/>
      <c r="K140" s="103"/>
    </row>
    <row r="141" spans="1:11" x14ac:dyDescent="0.25">
      <c r="A141" s="103"/>
      <c r="B141" s="103"/>
      <c r="C141" s="103"/>
      <c r="D141" s="103"/>
      <c r="E141" s="103"/>
      <c r="F141" s="103"/>
      <c r="G141" s="103"/>
      <c r="H141" s="103"/>
      <c r="I141" s="103"/>
      <c r="J141" s="103"/>
      <c r="K141" s="103"/>
    </row>
    <row r="142" spans="1:11" x14ac:dyDescent="0.25">
      <c r="A142" s="103"/>
      <c r="B142" s="103"/>
      <c r="C142" s="103"/>
      <c r="D142" s="103"/>
      <c r="E142" s="103"/>
      <c r="F142" s="103"/>
      <c r="G142" s="103"/>
      <c r="H142" s="103"/>
      <c r="I142" s="103"/>
      <c r="J142" s="103"/>
      <c r="K142" s="103"/>
    </row>
    <row r="143" spans="1:11" x14ac:dyDescent="0.25">
      <c r="A143" s="103"/>
      <c r="B143" s="103"/>
      <c r="C143" s="103"/>
      <c r="D143" s="103"/>
      <c r="E143" s="103"/>
      <c r="F143" s="103"/>
      <c r="G143" s="103"/>
      <c r="H143" s="103"/>
      <c r="I143" s="103"/>
      <c r="J143" s="103"/>
      <c r="K143" s="103"/>
    </row>
    <row r="144" spans="1:11" x14ac:dyDescent="0.25">
      <c r="A144" s="103"/>
      <c r="B144" s="103"/>
      <c r="C144" s="103"/>
      <c r="D144" s="103"/>
      <c r="E144" s="103"/>
      <c r="F144" s="103"/>
      <c r="G144" s="103"/>
      <c r="H144" s="103"/>
      <c r="I144" s="103"/>
      <c r="J144" s="103"/>
      <c r="K144" s="103"/>
    </row>
    <row r="145" spans="1:11" x14ac:dyDescent="0.25">
      <c r="A145" s="103"/>
      <c r="B145" s="103"/>
      <c r="C145" s="103"/>
      <c r="D145" s="103"/>
      <c r="E145" s="103"/>
      <c r="F145" s="103"/>
      <c r="G145" s="103"/>
      <c r="H145" s="103"/>
      <c r="I145" s="103"/>
      <c r="J145" s="103"/>
      <c r="K145" s="103"/>
    </row>
    <row r="146" spans="1:11" x14ac:dyDescent="0.25">
      <c r="A146" s="103"/>
      <c r="B146" s="103"/>
      <c r="C146" s="103"/>
      <c r="D146" s="103"/>
      <c r="E146" s="103"/>
      <c r="F146" s="103"/>
      <c r="G146" s="103"/>
      <c r="H146" s="103"/>
      <c r="I146" s="103"/>
      <c r="J146" s="103"/>
      <c r="K146" s="103"/>
    </row>
    <row r="147" spans="1:11" x14ac:dyDescent="0.25">
      <c r="A147" s="103"/>
      <c r="B147" s="103"/>
      <c r="C147" s="103"/>
      <c r="D147" s="103"/>
      <c r="E147" s="103"/>
      <c r="F147" s="103"/>
      <c r="G147" s="103"/>
      <c r="H147" s="103"/>
      <c r="I147" s="103"/>
      <c r="J147" s="103"/>
      <c r="K147" s="103"/>
    </row>
    <row r="148" spans="1:11" x14ac:dyDescent="0.25">
      <c r="A148" s="103"/>
      <c r="B148" s="103"/>
      <c r="C148" s="103"/>
      <c r="D148" s="103"/>
      <c r="E148" s="103"/>
      <c r="F148" s="103"/>
      <c r="G148" s="103"/>
      <c r="H148" s="103"/>
      <c r="I148" s="103"/>
      <c r="J148" s="103"/>
      <c r="K148" s="103"/>
    </row>
    <row r="149" spans="1:11" x14ac:dyDescent="0.25">
      <c r="A149" s="103"/>
      <c r="B149" s="103"/>
      <c r="C149" s="103"/>
      <c r="D149" s="103"/>
      <c r="E149" s="103"/>
      <c r="F149" s="103"/>
      <c r="G149" s="103"/>
      <c r="H149" s="103"/>
      <c r="I149" s="103"/>
      <c r="J149" s="103"/>
      <c r="K149" s="103"/>
    </row>
    <row r="150" spans="1:11" x14ac:dyDescent="0.25">
      <c r="A150" s="103"/>
      <c r="B150" s="103"/>
      <c r="C150" s="103"/>
      <c r="D150" s="103"/>
      <c r="E150" s="103"/>
      <c r="F150" s="103"/>
      <c r="G150" s="103"/>
      <c r="H150" s="103"/>
      <c r="I150" s="103"/>
      <c r="J150" s="103"/>
      <c r="K150" s="103"/>
    </row>
    <row r="151" spans="1:11" x14ac:dyDescent="0.25">
      <c r="A151" s="103"/>
      <c r="B151" s="103"/>
      <c r="C151" s="103"/>
      <c r="D151" s="103"/>
      <c r="E151" s="103"/>
      <c r="F151" s="103"/>
      <c r="G151" s="103"/>
      <c r="H151" s="103"/>
      <c r="I151" s="103"/>
      <c r="J151" s="103"/>
      <c r="K151" s="103"/>
    </row>
    <row r="152" spans="1:11" x14ac:dyDescent="0.25">
      <c r="A152" s="103"/>
      <c r="B152" s="103"/>
      <c r="C152" s="103"/>
      <c r="D152" s="103"/>
      <c r="E152" s="103"/>
      <c r="F152" s="103"/>
      <c r="G152" s="103"/>
      <c r="H152" s="103"/>
      <c r="I152" s="103"/>
      <c r="J152" s="103"/>
      <c r="K152" s="103"/>
    </row>
    <row r="153" spans="1:11" x14ac:dyDescent="0.25">
      <c r="A153" s="103"/>
      <c r="B153" s="103"/>
      <c r="C153" s="103"/>
      <c r="D153" s="103"/>
      <c r="E153" s="103"/>
      <c r="F153" s="103"/>
      <c r="G153" s="103"/>
      <c r="H153" s="103"/>
      <c r="I153" s="103"/>
      <c r="J153" s="103"/>
      <c r="K153" s="103"/>
    </row>
    <row r="154" spans="1:11" x14ac:dyDescent="0.25">
      <c r="A154" s="103"/>
      <c r="B154" s="103"/>
      <c r="C154" s="103"/>
      <c r="D154" s="103"/>
      <c r="E154" s="103"/>
      <c r="F154" s="103"/>
      <c r="G154" s="103"/>
      <c r="H154" s="103"/>
      <c r="I154" s="103"/>
      <c r="J154" s="103"/>
      <c r="K154" s="103"/>
    </row>
    <row r="155" spans="1:11" x14ac:dyDescent="0.25">
      <c r="A155" s="103"/>
      <c r="B155" s="103"/>
      <c r="C155" s="103"/>
      <c r="D155" s="103"/>
      <c r="E155" s="103"/>
      <c r="F155" s="103"/>
      <c r="G155" s="103"/>
      <c r="H155" s="103"/>
      <c r="I155" s="103"/>
      <c r="J155" s="103"/>
      <c r="K155" s="103"/>
    </row>
    <row r="156" spans="1:11" x14ac:dyDescent="0.25">
      <c r="A156" s="103"/>
      <c r="B156" s="103"/>
      <c r="C156" s="103"/>
      <c r="D156" s="103"/>
      <c r="E156" s="103"/>
      <c r="F156" s="103"/>
      <c r="G156" s="103"/>
      <c r="H156" s="103"/>
      <c r="I156" s="103"/>
      <c r="J156" s="103"/>
      <c r="K156" s="103"/>
    </row>
    <row r="157" spans="1:11" x14ac:dyDescent="0.25">
      <c r="A157" s="103"/>
      <c r="B157" s="103"/>
      <c r="C157" s="103"/>
      <c r="D157" s="103"/>
      <c r="E157" s="103"/>
      <c r="F157" s="103"/>
      <c r="G157" s="103"/>
      <c r="H157" s="103"/>
      <c r="I157" s="103"/>
      <c r="J157" s="103"/>
      <c r="K157" s="103"/>
    </row>
    <row r="158" spans="1:11" x14ac:dyDescent="0.25">
      <c r="A158" s="103"/>
      <c r="B158" s="103"/>
      <c r="C158" s="103"/>
      <c r="D158" s="103"/>
      <c r="E158" s="103"/>
      <c r="F158" s="103"/>
      <c r="G158" s="103"/>
      <c r="H158" s="103"/>
      <c r="I158" s="103"/>
      <c r="J158" s="103"/>
      <c r="K158" s="103"/>
    </row>
    <row r="159" spans="1:11" x14ac:dyDescent="0.25">
      <c r="A159" s="103"/>
      <c r="B159" s="103"/>
      <c r="C159" s="103"/>
      <c r="D159" s="103"/>
      <c r="E159" s="103"/>
      <c r="F159" s="103"/>
      <c r="G159" s="103"/>
      <c r="H159" s="103"/>
      <c r="I159" s="103"/>
      <c r="J159" s="103"/>
      <c r="K159" s="103"/>
    </row>
    <row r="160" spans="1:11" x14ac:dyDescent="0.25">
      <c r="A160" s="103"/>
      <c r="B160" s="103"/>
      <c r="C160" s="103"/>
      <c r="D160" s="103"/>
      <c r="E160" s="103"/>
      <c r="F160" s="103"/>
      <c r="G160" s="103"/>
      <c r="H160" s="103"/>
      <c r="I160" s="103"/>
      <c r="J160" s="103"/>
      <c r="K160" s="103"/>
    </row>
    <row r="161" spans="1:11" x14ac:dyDescent="0.25">
      <c r="A161" s="103"/>
      <c r="B161" s="103"/>
      <c r="C161" s="103"/>
      <c r="D161" s="103"/>
      <c r="E161" s="103"/>
      <c r="F161" s="103"/>
      <c r="G161" s="103"/>
      <c r="H161" s="103"/>
      <c r="I161" s="103"/>
      <c r="J161" s="103"/>
      <c r="K161" s="103"/>
    </row>
    <row r="162" spans="1:11" x14ac:dyDescent="0.25">
      <c r="A162" s="103"/>
      <c r="B162" s="103"/>
      <c r="C162" s="103"/>
      <c r="D162" s="103"/>
      <c r="E162" s="103"/>
      <c r="F162" s="103"/>
      <c r="G162" s="103"/>
      <c r="H162" s="103"/>
      <c r="I162" s="103"/>
      <c r="J162" s="103"/>
      <c r="K162" s="103"/>
    </row>
    <row r="163" spans="1:11" x14ac:dyDescent="0.25">
      <c r="A163" s="103"/>
      <c r="B163" s="103"/>
      <c r="C163" s="103"/>
      <c r="D163" s="103"/>
      <c r="E163" s="103"/>
      <c r="F163" s="103"/>
      <c r="G163" s="103"/>
      <c r="H163" s="103"/>
      <c r="I163" s="103"/>
      <c r="J163" s="103"/>
      <c r="K163" s="103"/>
    </row>
    <row r="164" spans="1:11" x14ac:dyDescent="0.25">
      <c r="A164" s="103"/>
      <c r="B164" s="103"/>
      <c r="C164" s="103"/>
      <c r="D164" s="103"/>
      <c r="E164" s="103"/>
      <c r="F164" s="103"/>
      <c r="G164" s="103"/>
      <c r="H164" s="103"/>
      <c r="I164" s="103"/>
      <c r="J164" s="103"/>
      <c r="K164" s="103"/>
    </row>
    <row r="165" spans="1:11" x14ac:dyDescent="0.25">
      <c r="A165" s="103"/>
      <c r="B165" s="103"/>
      <c r="C165" s="103"/>
      <c r="D165" s="103"/>
      <c r="E165" s="103"/>
      <c r="F165" s="103"/>
      <c r="G165" s="103"/>
      <c r="H165" s="103"/>
      <c r="I165" s="103"/>
      <c r="J165" s="103"/>
      <c r="K165" s="103"/>
    </row>
    <row r="166" spans="1:11" x14ac:dyDescent="0.25">
      <c r="A166" s="103"/>
      <c r="B166" s="103"/>
      <c r="C166" s="103"/>
      <c r="D166" s="103"/>
      <c r="E166" s="103"/>
      <c r="F166" s="103"/>
      <c r="G166" s="103"/>
      <c r="H166" s="103"/>
      <c r="I166" s="103"/>
      <c r="J166" s="103"/>
      <c r="K166" s="103"/>
    </row>
    <row r="167" spans="1:11" x14ac:dyDescent="0.25">
      <c r="A167" s="103"/>
      <c r="B167" s="103"/>
      <c r="C167" s="103"/>
      <c r="D167" s="103"/>
      <c r="E167" s="103"/>
      <c r="F167" s="103"/>
      <c r="G167" s="103"/>
      <c r="H167" s="103"/>
      <c r="I167" s="103"/>
      <c r="J167" s="103"/>
      <c r="K167" s="103"/>
    </row>
    <row r="168" spans="1:11" x14ac:dyDescent="0.25">
      <c r="A168" s="103"/>
      <c r="B168" s="103"/>
      <c r="C168" s="103"/>
      <c r="D168" s="103"/>
      <c r="E168" s="103"/>
      <c r="F168" s="103"/>
      <c r="G168" s="103"/>
      <c r="H168" s="103"/>
      <c r="I168" s="103"/>
      <c r="J168" s="103"/>
      <c r="K168" s="103"/>
    </row>
    <row r="169" spans="1:11" x14ac:dyDescent="0.25">
      <c r="A169" s="103"/>
      <c r="B169" s="103"/>
      <c r="C169" s="103"/>
      <c r="D169" s="103"/>
      <c r="E169" s="103"/>
      <c r="F169" s="103"/>
      <c r="G169" s="103"/>
      <c r="H169" s="103"/>
      <c r="I169" s="103"/>
      <c r="J169" s="103"/>
      <c r="K169" s="103"/>
    </row>
    <row r="170" spans="1:11" x14ac:dyDescent="0.25">
      <c r="A170" s="103"/>
      <c r="B170" s="103"/>
      <c r="C170" s="103"/>
      <c r="D170" s="103"/>
      <c r="E170" s="103"/>
      <c r="F170" s="103"/>
      <c r="G170" s="103"/>
      <c r="H170" s="103"/>
      <c r="I170" s="103"/>
      <c r="J170" s="103"/>
      <c r="K170" s="103"/>
    </row>
    <row r="171" spans="1:11" x14ac:dyDescent="0.25">
      <c r="A171" s="103"/>
      <c r="B171" s="103"/>
      <c r="C171" s="103"/>
      <c r="D171" s="103"/>
      <c r="E171" s="103"/>
      <c r="F171" s="103"/>
      <c r="G171" s="103"/>
      <c r="H171" s="103"/>
      <c r="I171" s="103"/>
      <c r="J171" s="103"/>
      <c r="K171" s="103"/>
    </row>
    <row r="172" spans="1:11" x14ac:dyDescent="0.25">
      <c r="A172" s="103"/>
      <c r="B172" s="103"/>
      <c r="C172" s="103"/>
      <c r="D172" s="103"/>
      <c r="E172" s="103"/>
      <c r="F172" s="103"/>
      <c r="G172" s="103"/>
      <c r="H172" s="103"/>
      <c r="I172" s="103"/>
      <c r="J172" s="103"/>
      <c r="K172" s="103"/>
    </row>
    <row r="173" spans="1:11" x14ac:dyDescent="0.25">
      <c r="A173" s="103"/>
      <c r="B173" s="103"/>
      <c r="C173" s="103"/>
      <c r="D173" s="103"/>
      <c r="E173" s="103"/>
      <c r="F173" s="103"/>
      <c r="G173" s="103"/>
      <c r="H173" s="103"/>
      <c r="I173" s="103"/>
      <c r="J173" s="103"/>
      <c r="K173" s="103"/>
    </row>
    <row r="174" spans="1:11" x14ac:dyDescent="0.25">
      <c r="A174" s="103"/>
      <c r="B174" s="103"/>
      <c r="C174" s="103"/>
      <c r="D174" s="103"/>
      <c r="E174" s="103"/>
      <c r="F174" s="103"/>
      <c r="G174" s="103"/>
      <c r="H174" s="103"/>
      <c r="I174" s="103"/>
      <c r="J174" s="103"/>
      <c r="K174" s="103"/>
    </row>
    <row r="175" spans="1:11" x14ac:dyDescent="0.25">
      <c r="A175" s="103"/>
      <c r="B175" s="103"/>
      <c r="C175" s="103"/>
      <c r="D175" s="103"/>
      <c r="E175" s="103"/>
      <c r="F175" s="103"/>
      <c r="G175" s="103"/>
      <c r="H175" s="103"/>
      <c r="I175" s="103"/>
      <c r="J175" s="103"/>
      <c r="K175" s="103"/>
    </row>
    <row r="176" spans="1:11" x14ac:dyDescent="0.25">
      <c r="A176" s="103"/>
      <c r="B176" s="103"/>
      <c r="C176" s="103"/>
      <c r="D176" s="103"/>
      <c r="E176" s="103"/>
      <c r="F176" s="103"/>
      <c r="G176" s="103"/>
      <c r="H176" s="103"/>
      <c r="I176" s="103"/>
      <c r="J176" s="103"/>
      <c r="K176" s="103"/>
    </row>
    <row r="177" spans="1:11" x14ac:dyDescent="0.25">
      <c r="A177" s="103"/>
      <c r="B177" s="103"/>
      <c r="C177" s="103"/>
      <c r="D177" s="103"/>
      <c r="E177" s="103"/>
      <c r="F177" s="103"/>
      <c r="G177" s="103"/>
      <c r="H177" s="103"/>
      <c r="I177" s="103"/>
      <c r="J177" s="103"/>
      <c r="K177" s="103"/>
    </row>
    <row r="178" spans="1:11" x14ac:dyDescent="0.25">
      <c r="A178" s="103"/>
      <c r="B178" s="103"/>
      <c r="C178" s="103"/>
      <c r="D178" s="103"/>
      <c r="E178" s="103"/>
      <c r="F178" s="103"/>
      <c r="G178" s="103"/>
      <c r="H178" s="103"/>
      <c r="I178" s="103"/>
      <c r="J178" s="103"/>
      <c r="K178" s="103"/>
    </row>
    <row r="179" spans="1:11" x14ac:dyDescent="0.25">
      <c r="A179" s="103"/>
      <c r="B179" s="103"/>
      <c r="C179" s="103"/>
      <c r="D179" s="103"/>
      <c r="E179" s="103"/>
      <c r="F179" s="103"/>
      <c r="G179" s="103"/>
      <c r="H179" s="103"/>
      <c r="I179" s="103"/>
      <c r="J179" s="103"/>
      <c r="K179" s="103"/>
    </row>
    <row r="180" spans="1:11" x14ac:dyDescent="0.25">
      <c r="A180" s="103"/>
      <c r="B180" s="103"/>
      <c r="C180" s="103"/>
      <c r="D180" s="103"/>
      <c r="E180" s="103"/>
      <c r="F180" s="103"/>
      <c r="G180" s="103"/>
      <c r="H180" s="103"/>
      <c r="I180" s="103"/>
      <c r="J180" s="103"/>
      <c r="K180" s="103"/>
    </row>
    <row r="181" spans="1:11" x14ac:dyDescent="0.25">
      <c r="A181" s="103"/>
      <c r="B181" s="103"/>
      <c r="C181" s="103"/>
      <c r="D181" s="103"/>
      <c r="E181" s="103"/>
      <c r="F181" s="103"/>
      <c r="G181" s="103"/>
      <c r="H181" s="103"/>
      <c r="I181" s="103"/>
      <c r="J181" s="103"/>
      <c r="K181" s="103"/>
    </row>
    <row r="182" spans="1:11" x14ac:dyDescent="0.25">
      <c r="A182" s="103"/>
      <c r="B182" s="103"/>
      <c r="C182" s="103"/>
      <c r="D182" s="103"/>
      <c r="E182" s="103"/>
      <c r="F182" s="103"/>
      <c r="G182" s="103"/>
      <c r="H182" s="103"/>
      <c r="I182" s="103"/>
      <c r="J182" s="103"/>
      <c r="K182" s="103"/>
    </row>
    <row r="183" spans="1:11" x14ac:dyDescent="0.25">
      <c r="A183" s="103"/>
      <c r="B183" s="103"/>
      <c r="C183" s="103"/>
      <c r="D183" s="103"/>
      <c r="E183" s="103"/>
      <c r="F183" s="103"/>
      <c r="G183" s="103"/>
      <c r="H183" s="103"/>
      <c r="I183" s="103"/>
      <c r="J183" s="103"/>
      <c r="K183" s="103"/>
    </row>
    <row r="184" spans="1:11" x14ac:dyDescent="0.25">
      <c r="A184" s="103"/>
      <c r="B184" s="103"/>
      <c r="C184" s="103"/>
      <c r="D184" s="103"/>
      <c r="E184" s="103"/>
      <c r="F184" s="103"/>
      <c r="G184" s="103"/>
      <c r="H184" s="103"/>
      <c r="I184" s="103"/>
      <c r="J184" s="103"/>
      <c r="K184" s="103"/>
    </row>
    <row r="185" spans="1:11" x14ac:dyDescent="0.25">
      <c r="A185" s="103"/>
      <c r="B185" s="103"/>
      <c r="C185" s="103"/>
      <c r="D185" s="103"/>
      <c r="E185" s="103"/>
      <c r="F185" s="103"/>
      <c r="G185" s="103"/>
      <c r="H185" s="103"/>
      <c r="I185" s="103"/>
      <c r="J185" s="103"/>
      <c r="K185" s="103"/>
    </row>
    <row r="186" spans="1:11" x14ac:dyDescent="0.25">
      <c r="A186" s="103"/>
      <c r="B186" s="103"/>
      <c r="C186" s="103"/>
      <c r="D186" s="103"/>
      <c r="E186" s="103"/>
      <c r="F186" s="103"/>
      <c r="G186" s="103"/>
      <c r="H186" s="103"/>
      <c r="I186" s="103"/>
      <c r="J186" s="103"/>
      <c r="K186" s="103"/>
    </row>
    <row r="187" spans="1:11" x14ac:dyDescent="0.25">
      <c r="A187" s="103"/>
      <c r="B187" s="103"/>
      <c r="C187" s="103"/>
      <c r="D187" s="103"/>
      <c r="E187" s="103"/>
      <c r="F187" s="103"/>
      <c r="G187" s="103"/>
      <c r="H187" s="103"/>
      <c r="I187" s="103"/>
      <c r="J187" s="103"/>
      <c r="K187" s="103"/>
    </row>
    <row r="188" spans="1:11" x14ac:dyDescent="0.25">
      <c r="A188" s="103"/>
      <c r="B188" s="103"/>
      <c r="C188" s="103"/>
      <c r="D188" s="103"/>
      <c r="E188" s="103"/>
      <c r="F188" s="103"/>
      <c r="G188" s="103"/>
      <c r="H188" s="103"/>
      <c r="I188" s="103"/>
      <c r="J188" s="103"/>
      <c r="K188" s="103"/>
    </row>
    <row r="189" spans="1:11" x14ac:dyDescent="0.25">
      <c r="A189" s="103"/>
      <c r="B189" s="103"/>
      <c r="C189" s="103"/>
      <c r="D189" s="103"/>
      <c r="E189" s="103"/>
      <c r="F189" s="103"/>
      <c r="G189" s="103"/>
      <c r="H189" s="103"/>
      <c r="I189" s="103"/>
      <c r="J189" s="103"/>
      <c r="K189" s="103"/>
    </row>
    <row r="190" spans="1:11" x14ac:dyDescent="0.25">
      <c r="A190" s="103"/>
      <c r="B190" s="103"/>
      <c r="C190" s="103"/>
      <c r="D190" s="103"/>
      <c r="E190" s="103"/>
      <c r="F190" s="103"/>
      <c r="G190" s="103"/>
      <c r="H190" s="103"/>
      <c r="I190" s="103"/>
      <c r="J190" s="103"/>
      <c r="K190" s="103"/>
    </row>
    <row r="191" spans="1:11" x14ac:dyDescent="0.25">
      <c r="A191" s="103"/>
      <c r="B191" s="103"/>
      <c r="C191" s="103"/>
      <c r="D191" s="103"/>
      <c r="E191" s="103"/>
      <c r="F191" s="103"/>
      <c r="G191" s="103"/>
      <c r="H191" s="103"/>
      <c r="I191" s="103"/>
      <c r="J191" s="103"/>
      <c r="K191" s="103"/>
    </row>
    <row r="192" spans="1:11" x14ac:dyDescent="0.25">
      <c r="A192" s="103"/>
      <c r="B192" s="103"/>
      <c r="C192" s="103"/>
      <c r="D192" s="103"/>
      <c r="E192" s="103"/>
      <c r="F192" s="103"/>
      <c r="G192" s="103"/>
      <c r="H192" s="103"/>
      <c r="I192" s="103"/>
      <c r="J192" s="103"/>
      <c r="K192" s="103"/>
    </row>
    <row r="193" spans="1:11" x14ac:dyDescent="0.25">
      <c r="A193" s="103"/>
      <c r="B193" s="103"/>
      <c r="C193" s="103"/>
      <c r="D193" s="103"/>
      <c r="E193" s="103"/>
      <c r="F193" s="103"/>
      <c r="G193" s="103"/>
      <c r="H193" s="103"/>
      <c r="I193" s="103"/>
      <c r="J193" s="103"/>
      <c r="K193" s="103"/>
    </row>
    <row r="194" spans="1:11" x14ac:dyDescent="0.25">
      <c r="A194" s="103"/>
      <c r="B194" s="103"/>
      <c r="C194" s="103"/>
      <c r="D194" s="103"/>
      <c r="E194" s="103"/>
      <c r="F194" s="103"/>
      <c r="G194" s="103"/>
      <c r="H194" s="103"/>
      <c r="I194" s="103"/>
      <c r="J194" s="103"/>
      <c r="K194" s="103"/>
    </row>
    <row r="195" spans="1:11" x14ac:dyDescent="0.25">
      <c r="A195" s="103"/>
      <c r="B195" s="103"/>
      <c r="C195" s="103"/>
      <c r="D195" s="103"/>
      <c r="E195" s="103"/>
      <c r="F195" s="103"/>
      <c r="G195" s="103"/>
      <c r="H195" s="103"/>
      <c r="I195" s="103"/>
      <c r="J195" s="103"/>
      <c r="K195" s="103"/>
    </row>
    <row r="196" spans="1:11" x14ac:dyDescent="0.25">
      <c r="A196" s="103"/>
      <c r="B196" s="103"/>
      <c r="C196" s="103"/>
      <c r="D196" s="103"/>
      <c r="E196" s="103"/>
      <c r="F196" s="103"/>
      <c r="G196" s="103"/>
      <c r="H196" s="103"/>
      <c r="I196" s="103"/>
      <c r="J196" s="103"/>
      <c r="K196" s="103"/>
    </row>
    <row r="197" spans="1:11" x14ac:dyDescent="0.25">
      <c r="A197" s="103"/>
      <c r="B197" s="103"/>
      <c r="C197" s="103"/>
      <c r="D197" s="103"/>
      <c r="E197" s="103"/>
      <c r="F197" s="103"/>
      <c r="G197" s="103"/>
      <c r="H197" s="103"/>
      <c r="I197" s="103"/>
      <c r="J197" s="103"/>
      <c r="K197" s="103"/>
    </row>
    <row r="198" spans="1:11" x14ac:dyDescent="0.25">
      <c r="A198" s="103"/>
      <c r="B198" s="103"/>
      <c r="C198" s="103"/>
      <c r="D198" s="103"/>
      <c r="E198" s="103"/>
      <c r="F198" s="103"/>
      <c r="G198" s="103"/>
      <c r="H198" s="103"/>
      <c r="I198" s="103"/>
      <c r="J198" s="103"/>
      <c r="K198" s="103"/>
    </row>
    <row r="199" spans="1:11" x14ac:dyDescent="0.25">
      <c r="A199" s="103"/>
      <c r="B199" s="103"/>
      <c r="C199" s="103"/>
      <c r="D199" s="103"/>
      <c r="E199" s="103"/>
      <c r="F199" s="103"/>
      <c r="G199" s="103"/>
      <c r="H199" s="103"/>
      <c r="I199" s="103"/>
      <c r="J199" s="103"/>
      <c r="K199" s="103"/>
    </row>
    <row r="200" spans="1:11" x14ac:dyDescent="0.25">
      <c r="A200" s="103"/>
      <c r="B200" s="103"/>
      <c r="C200" s="103"/>
      <c r="D200" s="103"/>
      <c r="E200" s="103"/>
      <c r="F200" s="103"/>
      <c r="G200" s="103"/>
      <c r="H200" s="103"/>
      <c r="I200" s="103"/>
      <c r="J200" s="103"/>
      <c r="K200" s="103"/>
    </row>
    <row r="201" spans="1:11" x14ac:dyDescent="0.25">
      <c r="A201" s="103"/>
      <c r="B201" s="103"/>
      <c r="C201" s="103"/>
      <c r="D201" s="103"/>
      <c r="E201" s="103"/>
      <c r="F201" s="103"/>
      <c r="G201" s="103"/>
      <c r="H201" s="103"/>
      <c r="I201" s="103"/>
      <c r="J201" s="103"/>
      <c r="K201" s="103"/>
    </row>
    <row r="202" spans="1:11" x14ac:dyDescent="0.25">
      <c r="A202" s="103"/>
      <c r="B202" s="103"/>
      <c r="C202" s="103"/>
      <c r="D202" s="103"/>
      <c r="E202" s="103"/>
      <c r="F202" s="103"/>
      <c r="G202" s="103"/>
      <c r="H202" s="103"/>
      <c r="I202" s="103"/>
      <c r="J202" s="103"/>
      <c r="K202" s="103"/>
    </row>
    <row r="203" spans="1:11" x14ac:dyDescent="0.25">
      <c r="A203" s="103"/>
      <c r="B203" s="103"/>
      <c r="C203" s="103"/>
      <c r="D203" s="103"/>
      <c r="E203" s="103"/>
      <c r="F203" s="103"/>
      <c r="G203" s="103"/>
      <c r="H203" s="103"/>
      <c r="I203" s="103"/>
      <c r="J203" s="103"/>
      <c r="K203" s="103"/>
    </row>
    <row r="204" spans="1:11" x14ac:dyDescent="0.25">
      <c r="A204" s="103"/>
      <c r="B204" s="103"/>
      <c r="C204" s="103"/>
      <c r="D204" s="103"/>
      <c r="E204" s="103"/>
      <c r="F204" s="103"/>
      <c r="G204" s="103"/>
      <c r="H204" s="103"/>
      <c r="I204" s="103"/>
      <c r="J204" s="103"/>
      <c r="K204" s="103"/>
    </row>
    <row r="205" spans="1:11" x14ac:dyDescent="0.25">
      <c r="A205" s="103"/>
      <c r="B205" s="103"/>
      <c r="C205" s="103"/>
      <c r="D205" s="103"/>
      <c r="E205" s="103"/>
      <c r="F205" s="103"/>
      <c r="G205" s="103"/>
      <c r="H205" s="103"/>
      <c r="I205" s="103"/>
      <c r="J205" s="103"/>
      <c r="K205" s="103"/>
    </row>
    <row r="206" spans="1:11" x14ac:dyDescent="0.25">
      <c r="A206" s="103"/>
      <c r="B206" s="103"/>
      <c r="C206" s="103"/>
      <c r="D206" s="103"/>
      <c r="E206" s="103"/>
      <c r="F206" s="103"/>
      <c r="G206" s="103"/>
      <c r="H206" s="103"/>
      <c r="I206" s="103"/>
      <c r="J206" s="103"/>
      <c r="K206" s="103"/>
    </row>
    <row r="207" spans="1:11" x14ac:dyDescent="0.25">
      <c r="A207" s="103"/>
      <c r="B207" s="103"/>
      <c r="C207" s="103"/>
      <c r="D207" s="103"/>
      <c r="E207" s="103"/>
      <c r="F207" s="103"/>
      <c r="G207" s="103"/>
      <c r="H207" s="103"/>
      <c r="I207" s="103"/>
      <c r="J207" s="103"/>
      <c r="K207" s="103"/>
    </row>
    <row r="208" spans="1:11" x14ac:dyDescent="0.25">
      <c r="A208" s="103"/>
      <c r="B208" s="103"/>
      <c r="C208" s="103"/>
      <c r="D208" s="103"/>
      <c r="E208" s="103"/>
      <c r="F208" s="103"/>
      <c r="G208" s="103"/>
      <c r="H208" s="103"/>
      <c r="I208" s="103"/>
      <c r="J208" s="103"/>
      <c r="K208" s="103"/>
    </row>
    <row r="209" spans="1:11" x14ac:dyDescent="0.25">
      <c r="A209" s="103"/>
      <c r="B209" s="103"/>
      <c r="C209" s="103"/>
      <c r="D209" s="103"/>
      <c r="E209" s="103"/>
      <c r="F209" s="103"/>
      <c r="G209" s="103"/>
      <c r="H209" s="103"/>
      <c r="I209" s="103"/>
      <c r="J209" s="103"/>
      <c r="K209" s="103"/>
    </row>
    <row r="210" spans="1:11" x14ac:dyDescent="0.25">
      <c r="A210" s="103"/>
      <c r="B210" s="103"/>
      <c r="C210" s="103"/>
      <c r="D210" s="103"/>
      <c r="E210" s="103"/>
      <c r="F210" s="103"/>
      <c r="G210" s="103"/>
      <c r="H210" s="103"/>
      <c r="I210" s="103"/>
      <c r="J210" s="103"/>
      <c r="K210" s="103"/>
    </row>
    <row r="211" spans="1:11" x14ac:dyDescent="0.25">
      <c r="A211" s="103"/>
      <c r="B211" s="103"/>
      <c r="C211" s="103"/>
      <c r="D211" s="103"/>
      <c r="E211" s="103"/>
      <c r="F211" s="103"/>
      <c r="G211" s="103"/>
      <c r="H211" s="103"/>
      <c r="I211" s="103"/>
      <c r="J211" s="103"/>
      <c r="K211" s="103"/>
    </row>
    <row r="212" spans="1:11" x14ac:dyDescent="0.25">
      <c r="A212" s="103"/>
      <c r="B212" s="103"/>
      <c r="C212" s="103"/>
      <c r="D212" s="103"/>
      <c r="E212" s="103"/>
      <c r="F212" s="103"/>
      <c r="G212" s="103"/>
      <c r="H212" s="103"/>
      <c r="I212" s="103"/>
      <c r="J212" s="103"/>
      <c r="K212" s="103"/>
    </row>
    <row r="213" spans="1:11" x14ac:dyDescent="0.25">
      <c r="A213" s="103"/>
      <c r="B213" s="103"/>
      <c r="C213" s="103"/>
      <c r="D213" s="103"/>
      <c r="E213" s="103"/>
      <c r="F213" s="103"/>
      <c r="G213" s="103"/>
      <c r="H213" s="103"/>
      <c r="I213" s="103"/>
      <c r="J213" s="103"/>
      <c r="K213" s="103"/>
    </row>
    <row r="214" spans="1:11" x14ac:dyDescent="0.25">
      <c r="A214" s="103"/>
      <c r="B214" s="103"/>
      <c r="C214" s="103"/>
      <c r="D214" s="103"/>
      <c r="E214" s="103"/>
      <c r="F214" s="103"/>
      <c r="G214" s="103"/>
      <c r="H214" s="103"/>
      <c r="I214" s="103"/>
      <c r="J214" s="103"/>
      <c r="K214" s="103"/>
    </row>
    <row r="215" spans="1:11" x14ac:dyDescent="0.25">
      <c r="A215" s="103"/>
      <c r="B215" s="103"/>
      <c r="C215" s="103"/>
      <c r="D215" s="103"/>
      <c r="E215" s="103"/>
      <c r="F215" s="103"/>
      <c r="G215" s="103"/>
      <c r="H215" s="103"/>
      <c r="I215" s="103"/>
      <c r="J215" s="103"/>
      <c r="K215" s="103"/>
    </row>
    <row r="216" spans="1:11" x14ac:dyDescent="0.25">
      <c r="A216" s="103"/>
      <c r="B216" s="103"/>
      <c r="C216" s="103"/>
      <c r="D216" s="103"/>
      <c r="E216" s="103"/>
      <c r="F216" s="103"/>
      <c r="G216" s="103"/>
      <c r="H216" s="103"/>
      <c r="I216" s="103"/>
      <c r="J216" s="103"/>
      <c r="K216" s="103"/>
    </row>
    <row r="217" spans="1:11" x14ac:dyDescent="0.25">
      <c r="A217" s="103"/>
      <c r="B217" s="103"/>
      <c r="C217" s="103"/>
      <c r="D217" s="103"/>
      <c r="E217" s="103"/>
      <c r="F217" s="103"/>
      <c r="G217" s="103"/>
      <c r="H217" s="103"/>
      <c r="I217" s="103"/>
      <c r="J217" s="103"/>
      <c r="K217" s="103"/>
    </row>
    <row r="218" spans="1:11" x14ac:dyDescent="0.25">
      <c r="A218" s="103"/>
      <c r="B218" s="103"/>
      <c r="C218" s="103"/>
      <c r="D218" s="103"/>
      <c r="E218" s="103"/>
      <c r="F218" s="103"/>
      <c r="G218" s="103"/>
      <c r="H218" s="103"/>
      <c r="I218" s="103"/>
      <c r="J218" s="103"/>
      <c r="K218" s="103"/>
    </row>
    <row r="219" spans="1:11" x14ac:dyDescent="0.25">
      <c r="A219" s="103"/>
      <c r="B219" s="103"/>
      <c r="C219" s="103"/>
      <c r="D219" s="103"/>
      <c r="E219" s="103"/>
      <c r="F219" s="103"/>
      <c r="G219" s="103"/>
      <c r="H219" s="103"/>
      <c r="I219" s="103"/>
      <c r="J219" s="103"/>
      <c r="K219" s="103"/>
    </row>
    <row r="220" spans="1:11" x14ac:dyDescent="0.25">
      <c r="A220" s="103"/>
      <c r="B220" s="103"/>
      <c r="C220" s="103"/>
      <c r="D220" s="103"/>
      <c r="E220" s="103"/>
      <c r="F220" s="103"/>
      <c r="G220" s="103"/>
      <c r="H220" s="103"/>
      <c r="I220" s="103"/>
      <c r="J220" s="103"/>
      <c r="K220" s="103"/>
    </row>
    <row r="221" spans="1:11" x14ac:dyDescent="0.25">
      <c r="A221" s="103"/>
      <c r="B221" s="103"/>
      <c r="C221" s="103"/>
      <c r="D221" s="103"/>
      <c r="E221" s="103"/>
      <c r="F221" s="103"/>
      <c r="G221" s="103"/>
      <c r="H221" s="103"/>
      <c r="I221" s="103"/>
      <c r="J221" s="103"/>
      <c r="K221" s="103"/>
    </row>
    <row r="222" spans="1:11" x14ac:dyDescent="0.25">
      <c r="A222" s="103"/>
      <c r="B222" s="103"/>
      <c r="C222" s="103"/>
      <c r="D222" s="103"/>
      <c r="E222" s="103"/>
      <c r="F222" s="103"/>
      <c r="G222" s="103"/>
      <c r="H222" s="103"/>
      <c r="I222" s="103"/>
      <c r="J222" s="103"/>
      <c r="K222" s="103"/>
    </row>
    <row r="223" spans="1:11" x14ac:dyDescent="0.25">
      <c r="A223" s="103"/>
      <c r="B223" s="103"/>
      <c r="C223" s="103"/>
      <c r="D223" s="103"/>
      <c r="E223" s="103"/>
      <c r="F223" s="103"/>
      <c r="G223" s="103"/>
      <c r="H223" s="103"/>
      <c r="I223" s="103"/>
      <c r="J223" s="103"/>
      <c r="K223" s="103"/>
    </row>
    <row r="224" spans="1:11" x14ac:dyDescent="0.25">
      <c r="A224" s="103"/>
      <c r="B224" s="103"/>
      <c r="C224" s="103"/>
      <c r="D224" s="103"/>
      <c r="E224" s="103"/>
      <c r="F224" s="103"/>
      <c r="G224" s="103"/>
      <c r="H224" s="103"/>
      <c r="I224" s="103"/>
      <c r="J224" s="103"/>
      <c r="K224" s="103"/>
    </row>
    <row r="225" spans="1:11" x14ac:dyDescent="0.25">
      <c r="A225" s="103"/>
      <c r="B225" s="103"/>
      <c r="C225" s="103"/>
      <c r="D225" s="103"/>
      <c r="E225" s="103"/>
      <c r="F225" s="103"/>
      <c r="G225" s="103"/>
      <c r="H225" s="103"/>
      <c r="I225" s="103"/>
      <c r="J225" s="103"/>
      <c r="K225" s="103"/>
    </row>
    <row r="226" spans="1:11" x14ac:dyDescent="0.25">
      <c r="A226" s="103"/>
      <c r="B226" s="103"/>
      <c r="C226" s="103"/>
      <c r="D226" s="103"/>
      <c r="E226" s="103"/>
      <c r="F226" s="103"/>
      <c r="G226" s="103"/>
      <c r="H226" s="103"/>
      <c r="I226" s="103"/>
      <c r="J226" s="103"/>
      <c r="K226" s="103"/>
    </row>
    <row r="227" spans="1:11" x14ac:dyDescent="0.25">
      <c r="A227" s="103"/>
      <c r="B227" s="103"/>
      <c r="C227" s="103"/>
      <c r="D227" s="103"/>
      <c r="E227" s="103"/>
      <c r="F227" s="103"/>
      <c r="G227" s="103"/>
      <c r="H227" s="103"/>
      <c r="I227" s="103"/>
      <c r="J227" s="103"/>
      <c r="K227" s="103"/>
    </row>
    <row r="228" spans="1:11" x14ac:dyDescent="0.25">
      <c r="A228" s="103"/>
      <c r="B228" s="103"/>
      <c r="C228" s="103"/>
      <c r="D228" s="103"/>
      <c r="E228" s="103"/>
      <c r="F228" s="103"/>
      <c r="G228" s="103"/>
      <c r="H228" s="103"/>
      <c r="I228" s="103"/>
      <c r="J228" s="103"/>
      <c r="K228" s="103"/>
    </row>
    <row r="229" spans="1:11" x14ac:dyDescent="0.25">
      <c r="A229" s="103"/>
      <c r="B229" s="103"/>
      <c r="C229" s="103"/>
      <c r="D229" s="103"/>
      <c r="E229" s="103"/>
      <c r="F229" s="103"/>
      <c r="G229" s="103"/>
      <c r="H229" s="103"/>
      <c r="I229" s="103"/>
      <c r="J229" s="103"/>
      <c r="K229" s="103"/>
    </row>
    <row r="230" spans="1:11" x14ac:dyDescent="0.25">
      <c r="A230" s="103"/>
      <c r="B230" s="103"/>
      <c r="C230" s="103"/>
      <c r="D230" s="103"/>
      <c r="E230" s="103"/>
      <c r="F230" s="103"/>
      <c r="G230" s="103"/>
      <c r="H230" s="103"/>
      <c r="I230" s="103"/>
      <c r="J230" s="103"/>
      <c r="K230" s="103"/>
    </row>
    <row r="231" spans="1:11" x14ac:dyDescent="0.25">
      <c r="A231" s="103"/>
      <c r="B231" s="103"/>
      <c r="C231" s="103"/>
      <c r="D231" s="103"/>
      <c r="E231" s="103"/>
      <c r="F231" s="103"/>
      <c r="G231" s="103"/>
      <c r="H231" s="103"/>
      <c r="I231" s="103"/>
      <c r="J231" s="103"/>
      <c r="K231" s="103"/>
    </row>
    <row r="232" spans="1:11" x14ac:dyDescent="0.25">
      <c r="A232" s="103"/>
      <c r="B232" s="103"/>
      <c r="C232" s="103"/>
      <c r="D232" s="103"/>
      <c r="E232" s="103"/>
      <c r="F232" s="103"/>
      <c r="G232" s="103"/>
      <c r="H232" s="103"/>
      <c r="I232" s="103"/>
      <c r="J232" s="103"/>
      <c r="K232" s="103"/>
    </row>
    <row r="233" spans="1:11" x14ac:dyDescent="0.25">
      <c r="A233" s="103"/>
      <c r="B233" s="103"/>
      <c r="C233" s="103"/>
      <c r="D233" s="103"/>
      <c r="E233" s="103"/>
      <c r="F233" s="103"/>
      <c r="G233" s="103"/>
      <c r="H233" s="103"/>
      <c r="I233" s="103"/>
      <c r="J233" s="103"/>
      <c r="K233" s="103"/>
    </row>
    <row r="234" spans="1:11" x14ac:dyDescent="0.25">
      <c r="A234" s="103"/>
      <c r="B234" s="103"/>
      <c r="C234" s="103"/>
      <c r="D234" s="103"/>
      <c r="E234" s="103"/>
      <c r="F234" s="103"/>
      <c r="G234" s="103"/>
      <c r="H234" s="103"/>
      <c r="I234" s="103"/>
      <c r="J234" s="103"/>
      <c r="K234" s="103"/>
    </row>
    <row r="235" spans="1:11" x14ac:dyDescent="0.25">
      <c r="A235" s="103"/>
      <c r="B235" s="103"/>
      <c r="C235" s="103"/>
      <c r="D235" s="103"/>
      <c r="E235" s="103"/>
      <c r="F235" s="103"/>
      <c r="G235" s="103"/>
      <c r="H235" s="103"/>
      <c r="I235" s="103"/>
      <c r="J235" s="103"/>
      <c r="K235" s="103"/>
    </row>
    <row r="236" spans="1:11" x14ac:dyDescent="0.25">
      <c r="A236" s="103"/>
      <c r="B236" s="103"/>
      <c r="C236" s="103"/>
      <c r="D236" s="103"/>
      <c r="E236" s="103"/>
      <c r="F236" s="103"/>
      <c r="G236" s="103"/>
      <c r="H236" s="103"/>
      <c r="I236" s="103"/>
      <c r="J236" s="103"/>
      <c r="K236" s="103"/>
    </row>
    <row r="237" spans="1:11" x14ac:dyDescent="0.25">
      <c r="A237" s="103"/>
      <c r="B237" s="103"/>
      <c r="C237" s="103"/>
      <c r="D237" s="103"/>
      <c r="E237" s="103"/>
      <c r="F237" s="103"/>
      <c r="G237" s="103"/>
      <c r="H237" s="103"/>
      <c r="I237" s="103"/>
      <c r="J237" s="103"/>
      <c r="K237" s="103"/>
    </row>
    <row r="238" spans="1:11" x14ac:dyDescent="0.25">
      <c r="A238" s="103"/>
      <c r="B238" s="103"/>
      <c r="C238" s="103"/>
      <c r="D238" s="103"/>
      <c r="E238" s="103"/>
      <c r="F238" s="103"/>
      <c r="G238" s="103"/>
      <c r="H238" s="103"/>
      <c r="I238" s="103"/>
      <c r="J238" s="103"/>
      <c r="K238" s="103"/>
    </row>
    <row r="239" spans="1:11" x14ac:dyDescent="0.25">
      <c r="A239" s="103"/>
      <c r="B239" s="103"/>
      <c r="C239" s="103"/>
      <c r="D239" s="103"/>
      <c r="E239" s="103"/>
      <c r="F239" s="103"/>
      <c r="G239" s="103"/>
      <c r="H239" s="103"/>
      <c r="I239" s="103"/>
      <c r="J239" s="103"/>
      <c r="K239" s="103"/>
    </row>
    <row r="240" spans="1:11" x14ac:dyDescent="0.25">
      <c r="A240" s="103"/>
      <c r="B240" s="103"/>
      <c r="C240" s="103"/>
      <c r="D240" s="103"/>
      <c r="E240" s="103"/>
      <c r="F240" s="103"/>
      <c r="G240" s="103"/>
      <c r="H240" s="103"/>
      <c r="I240" s="103"/>
      <c r="J240" s="103"/>
      <c r="K240" s="103"/>
    </row>
    <row r="241" spans="1:11" x14ac:dyDescent="0.25">
      <c r="A241" s="103"/>
      <c r="B241" s="103"/>
      <c r="C241" s="103"/>
      <c r="D241" s="103"/>
      <c r="E241" s="103"/>
      <c r="F241" s="103"/>
      <c r="G241" s="103"/>
      <c r="H241" s="103"/>
      <c r="I241" s="103"/>
      <c r="J241" s="103"/>
      <c r="K241" s="103"/>
    </row>
    <row r="242" spans="1:11" x14ac:dyDescent="0.25">
      <c r="A242" s="103"/>
      <c r="B242" s="103"/>
      <c r="C242" s="103"/>
      <c r="D242" s="103"/>
      <c r="E242" s="103"/>
      <c r="F242" s="103"/>
      <c r="G242" s="103"/>
      <c r="H242" s="103"/>
      <c r="I242" s="103"/>
      <c r="J242" s="103"/>
      <c r="K242" s="103"/>
    </row>
    <row r="243" spans="1:11" x14ac:dyDescent="0.25">
      <c r="A243" s="103"/>
      <c r="B243" s="103"/>
      <c r="C243" s="103"/>
      <c r="D243" s="103"/>
      <c r="E243" s="103"/>
      <c r="F243" s="103"/>
      <c r="G243" s="103"/>
      <c r="H243" s="103"/>
      <c r="I243" s="103"/>
      <c r="J243" s="103"/>
      <c r="K243" s="103"/>
    </row>
    <row r="244" spans="1:11" x14ac:dyDescent="0.25">
      <c r="A244" s="103"/>
      <c r="B244" s="103"/>
      <c r="C244" s="103"/>
      <c r="D244" s="103"/>
      <c r="E244" s="103"/>
      <c r="F244" s="103"/>
      <c r="G244" s="103"/>
      <c r="H244" s="103"/>
      <c r="I244" s="103"/>
      <c r="J244" s="103"/>
      <c r="K244" s="103"/>
    </row>
    <row r="245" spans="1:11" x14ac:dyDescent="0.25">
      <c r="A245" s="103"/>
      <c r="B245" s="103"/>
      <c r="C245" s="103"/>
      <c r="D245" s="103"/>
      <c r="E245" s="103"/>
      <c r="F245" s="103"/>
      <c r="G245" s="103"/>
      <c r="H245" s="103"/>
      <c r="I245" s="103"/>
      <c r="J245" s="103"/>
      <c r="K245" s="103"/>
    </row>
    <row r="246" spans="1:11" x14ac:dyDescent="0.25">
      <c r="A246" s="103"/>
      <c r="B246" s="103"/>
      <c r="C246" s="103"/>
      <c r="D246" s="103"/>
      <c r="E246" s="103"/>
      <c r="F246" s="103"/>
      <c r="G246" s="103"/>
      <c r="H246" s="103"/>
      <c r="I246" s="103"/>
      <c r="J246" s="103"/>
      <c r="K246" s="103"/>
    </row>
    <row r="247" spans="1:11" x14ac:dyDescent="0.25">
      <c r="A247" s="103"/>
      <c r="B247" s="103"/>
      <c r="C247" s="103"/>
      <c r="D247" s="103"/>
      <c r="E247" s="103"/>
      <c r="F247" s="103"/>
      <c r="G247" s="103"/>
      <c r="H247" s="103"/>
      <c r="I247" s="103"/>
      <c r="J247" s="103"/>
      <c r="K247" s="103"/>
    </row>
    <row r="248" spans="1:11" x14ac:dyDescent="0.25">
      <c r="A248" s="103"/>
      <c r="B248" s="103"/>
      <c r="C248" s="103"/>
      <c r="D248" s="103"/>
      <c r="E248" s="103"/>
      <c r="F248" s="103"/>
      <c r="G248" s="103"/>
      <c r="H248" s="103"/>
      <c r="I248" s="103"/>
      <c r="J248" s="103"/>
      <c r="K248" s="103"/>
    </row>
    <row r="249" spans="1:11" x14ac:dyDescent="0.25">
      <c r="A249" s="103"/>
      <c r="B249" s="103"/>
      <c r="C249" s="103"/>
      <c r="D249" s="103"/>
      <c r="E249" s="103"/>
      <c r="F249" s="103"/>
      <c r="G249" s="103"/>
      <c r="H249" s="103"/>
      <c r="I249" s="103"/>
      <c r="J249" s="103"/>
      <c r="K249" s="103"/>
    </row>
    <row r="250" spans="1:11" x14ac:dyDescent="0.25">
      <c r="A250" s="103"/>
      <c r="B250" s="103"/>
      <c r="C250" s="103"/>
      <c r="D250" s="103"/>
      <c r="E250" s="103"/>
      <c r="F250" s="103"/>
      <c r="G250" s="103"/>
      <c r="H250" s="103"/>
      <c r="I250" s="103"/>
      <c r="J250" s="103"/>
      <c r="K250" s="103"/>
    </row>
    <row r="251" spans="1:11" x14ac:dyDescent="0.25">
      <c r="A251" s="103"/>
      <c r="B251" s="103"/>
      <c r="C251" s="103"/>
      <c r="D251" s="103"/>
      <c r="E251" s="103"/>
      <c r="F251" s="103"/>
      <c r="G251" s="103"/>
      <c r="H251" s="103"/>
      <c r="I251" s="103"/>
      <c r="J251" s="103"/>
      <c r="K251" s="103"/>
    </row>
    <row r="252" spans="1:11" x14ac:dyDescent="0.25">
      <c r="A252" s="103"/>
      <c r="B252" s="103"/>
      <c r="C252" s="103"/>
      <c r="D252" s="103"/>
      <c r="E252" s="103"/>
      <c r="F252" s="103"/>
      <c r="G252" s="103"/>
      <c r="H252" s="103"/>
      <c r="I252" s="103"/>
      <c r="J252" s="103"/>
      <c r="K252" s="103"/>
    </row>
    <row r="253" spans="1:11" x14ac:dyDescent="0.25">
      <c r="A253" s="103"/>
      <c r="B253" s="103"/>
      <c r="C253" s="103"/>
      <c r="D253" s="103"/>
      <c r="E253" s="103"/>
      <c r="F253" s="103"/>
      <c r="G253" s="103"/>
      <c r="H253" s="103"/>
      <c r="I253" s="103"/>
      <c r="J253" s="103"/>
      <c r="K253" s="103"/>
    </row>
    <row r="254" spans="1:11" x14ac:dyDescent="0.25">
      <c r="A254" s="103"/>
      <c r="B254" s="103"/>
      <c r="C254" s="103"/>
      <c r="D254" s="103"/>
      <c r="E254" s="103"/>
      <c r="F254" s="103"/>
      <c r="G254" s="103"/>
      <c r="H254" s="103"/>
      <c r="I254" s="103"/>
      <c r="J254" s="103"/>
      <c r="K254" s="103"/>
    </row>
    <row r="255" spans="1:11" x14ac:dyDescent="0.25">
      <c r="A255" s="103"/>
      <c r="B255" s="103"/>
      <c r="C255" s="103"/>
      <c r="D255" s="103"/>
      <c r="E255" s="103"/>
      <c r="F255" s="103"/>
      <c r="G255" s="103"/>
      <c r="H255" s="103"/>
      <c r="I255" s="103"/>
      <c r="J255" s="103"/>
      <c r="K255" s="103"/>
    </row>
    <row r="256" spans="1:11" x14ac:dyDescent="0.25">
      <c r="A256" s="103"/>
      <c r="B256" s="103"/>
      <c r="C256" s="103"/>
      <c r="D256" s="103"/>
      <c r="E256" s="103"/>
      <c r="F256" s="103"/>
      <c r="G256" s="103"/>
      <c r="H256" s="103"/>
      <c r="I256" s="103"/>
      <c r="J256" s="103"/>
      <c r="K256" s="103"/>
    </row>
    <row r="257" spans="1:11" x14ac:dyDescent="0.25">
      <c r="A257" s="103"/>
      <c r="B257" s="103"/>
      <c r="C257" s="103"/>
      <c r="D257" s="103"/>
      <c r="E257" s="103"/>
      <c r="F257" s="103"/>
      <c r="G257" s="103"/>
      <c r="H257" s="103"/>
      <c r="I257" s="103"/>
      <c r="J257" s="103"/>
      <c r="K257" s="103"/>
    </row>
    <row r="258" spans="1:11" x14ac:dyDescent="0.25">
      <c r="A258" s="103"/>
      <c r="B258" s="103"/>
      <c r="C258" s="103"/>
      <c r="D258" s="103"/>
      <c r="E258" s="103"/>
      <c r="F258" s="103"/>
      <c r="G258" s="103"/>
      <c r="H258" s="103"/>
      <c r="I258" s="103"/>
      <c r="J258" s="103"/>
      <c r="K258" s="103"/>
    </row>
    <row r="259" spans="1:11" x14ac:dyDescent="0.25">
      <c r="A259" s="103"/>
      <c r="B259" s="103"/>
      <c r="C259" s="103"/>
      <c r="D259" s="103"/>
      <c r="E259" s="103"/>
      <c r="F259" s="103"/>
      <c r="G259" s="103"/>
      <c r="H259" s="103"/>
      <c r="I259" s="103"/>
      <c r="J259" s="103"/>
      <c r="K259" s="103"/>
    </row>
    <row r="260" spans="1:11" x14ac:dyDescent="0.25">
      <c r="A260" s="103"/>
      <c r="B260" s="103"/>
      <c r="C260" s="103"/>
      <c r="D260" s="103"/>
      <c r="E260" s="103"/>
      <c r="F260" s="103"/>
      <c r="G260" s="103"/>
      <c r="H260" s="103"/>
      <c r="I260" s="103"/>
      <c r="J260" s="103"/>
      <c r="K260" s="103"/>
    </row>
    <row r="261" spans="1:11" x14ac:dyDescent="0.25">
      <c r="A261" s="103"/>
      <c r="B261" s="103"/>
      <c r="C261" s="103"/>
      <c r="D261" s="103"/>
      <c r="E261" s="103"/>
      <c r="F261" s="103"/>
      <c r="G261" s="103"/>
      <c r="H261" s="103"/>
      <c r="I261" s="103"/>
      <c r="J261" s="103"/>
      <c r="K261" s="103"/>
    </row>
    <row r="262" spans="1:11" x14ac:dyDescent="0.25">
      <c r="A262" s="103"/>
      <c r="B262" s="103"/>
      <c r="C262" s="103"/>
      <c r="D262" s="103"/>
      <c r="E262" s="103"/>
      <c r="F262" s="103"/>
      <c r="G262" s="103"/>
      <c r="H262" s="103"/>
      <c r="I262" s="103"/>
      <c r="J262" s="103"/>
      <c r="K262" s="103"/>
    </row>
    <row r="263" spans="1:11" x14ac:dyDescent="0.25">
      <c r="A263" s="103"/>
      <c r="B263" s="103"/>
      <c r="C263" s="103"/>
      <c r="D263" s="103"/>
      <c r="E263" s="103"/>
      <c r="F263" s="103"/>
      <c r="G263" s="103"/>
      <c r="H263" s="103"/>
      <c r="I263" s="103"/>
      <c r="J263" s="103"/>
      <c r="K263" s="103"/>
    </row>
    <row r="264" spans="1:11" x14ac:dyDescent="0.25">
      <c r="A264" s="103"/>
      <c r="B264" s="103"/>
      <c r="C264" s="103"/>
      <c r="D264" s="103"/>
      <c r="E264" s="103"/>
      <c r="F264" s="103"/>
      <c r="G264" s="103"/>
      <c r="H264" s="103"/>
      <c r="I264" s="103"/>
      <c r="J264" s="103"/>
      <c r="K264" s="103"/>
    </row>
    <row r="265" spans="1:11" x14ac:dyDescent="0.25">
      <c r="A265" s="103"/>
      <c r="B265" s="103"/>
      <c r="C265" s="103"/>
      <c r="D265" s="103"/>
      <c r="E265" s="103"/>
      <c r="F265" s="103"/>
      <c r="G265" s="103"/>
      <c r="H265" s="103"/>
      <c r="I265" s="103"/>
      <c r="J265" s="103"/>
      <c r="K265" s="103"/>
    </row>
    <row r="266" spans="1:11" x14ac:dyDescent="0.25">
      <c r="A266" s="103"/>
      <c r="B266" s="103"/>
      <c r="C266" s="103"/>
      <c r="D266" s="103"/>
      <c r="E266" s="103"/>
      <c r="F266" s="103"/>
      <c r="G266" s="103"/>
      <c r="H266" s="103"/>
      <c r="I266" s="103"/>
      <c r="J266" s="103"/>
      <c r="K266" s="103"/>
    </row>
    <row r="267" spans="1:11" x14ac:dyDescent="0.25">
      <c r="A267" s="103"/>
      <c r="B267" s="103"/>
      <c r="C267" s="103"/>
      <c r="D267" s="103"/>
      <c r="E267" s="103"/>
      <c r="F267" s="103"/>
      <c r="G267" s="103"/>
      <c r="H267" s="103"/>
      <c r="I267" s="103"/>
      <c r="J267" s="103"/>
      <c r="K267" s="103"/>
    </row>
    <row r="268" spans="1:11" x14ac:dyDescent="0.25">
      <c r="A268" s="103"/>
      <c r="B268" s="103"/>
      <c r="C268" s="103"/>
      <c r="D268" s="103"/>
      <c r="E268" s="103"/>
      <c r="F268" s="103"/>
      <c r="G268" s="103"/>
      <c r="H268" s="103"/>
      <c r="I268" s="103"/>
      <c r="J268" s="103"/>
      <c r="K268" s="103"/>
    </row>
    <row r="269" spans="1:11" x14ac:dyDescent="0.25">
      <c r="A269" s="103"/>
      <c r="B269" s="103"/>
      <c r="C269" s="103"/>
      <c r="D269" s="103"/>
      <c r="E269" s="103"/>
      <c r="F269" s="103"/>
      <c r="G269" s="103"/>
      <c r="H269" s="103"/>
      <c r="I269" s="103"/>
      <c r="J269" s="103"/>
      <c r="K269" s="103"/>
    </row>
    <row r="270" spans="1:11" x14ac:dyDescent="0.25">
      <c r="A270" s="103"/>
      <c r="B270" s="103"/>
      <c r="C270" s="103"/>
      <c r="D270" s="103"/>
      <c r="E270" s="103"/>
      <c r="F270" s="103"/>
      <c r="G270" s="103"/>
      <c r="H270" s="103"/>
      <c r="I270" s="103"/>
      <c r="J270" s="103"/>
      <c r="K270" s="103"/>
    </row>
    <row r="271" spans="1:11" x14ac:dyDescent="0.25">
      <c r="A271" s="103"/>
      <c r="B271" s="103"/>
      <c r="C271" s="103"/>
      <c r="D271" s="103"/>
      <c r="E271" s="103"/>
      <c r="F271" s="103"/>
      <c r="G271" s="103"/>
      <c r="H271" s="103"/>
      <c r="I271" s="103"/>
      <c r="J271" s="103"/>
      <c r="K271" s="103"/>
    </row>
    <row r="272" spans="1:11" x14ac:dyDescent="0.25">
      <c r="A272" s="103"/>
      <c r="B272" s="103"/>
      <c r="C272" s="103"/>
      <c r="D272" s="103"/>
      <c r="E272" s="103"/>
      <c r="F272" s="103"/>
      <c r="G272" s="103"/>
      <c r="H272" s="103"/>
      <c r="I272" s="103"/>
      <c r="J272" s="103"/>
      <c r="K272" s="103"/>
    </row>
    <row r="273" spans="1:11" x14ac:dyDescent="0.25">
      <c r="A273" s="103"/>
      <c r="B273" s="103"/>
      <c r="C273" s="103"/>
      <c r="D273" s="103"/>
      <c r="E273" s="103"/>
      <c r="F273" s="103"/>
      <c r="G273" s="103"/>
      <c r="H273" s="103"/>
      <c r="I273" s="103"/>
      <c r="J273" s="103"/>
      <c r="K273" s="103"/>
    </row>
    <row r="274" spans="1:11" x14ac:dyDescent="0.25">
      <c r="A274" s="103"/>
      <c r="B274" s="103"/>
      <c r="C274" s="103"/>
      <c r="D274" s="103"/>
      <c r="E274" s="103"/>
      <c r="F274" s="103"/>
      <c r="G274" s="103"/>
      <c r="H274" s="103"/>
      <c r="I274" s="103"/>
      <c r="J274" s="103"/>
      <c r="K274" s="103"/>
    </row>
    <row r="275" spans="1:11" x14ac:dyDescent="0.25">
      <c r="A275" s="103"/>
      <c r="B275" s="103"/>
      <c r="C275" s="103"/>
      <c r="D275" s="103"/>
      <c r="E275" s="103"/>
      <c r="F275" s="103"/>
      <c r="G275" s="103"/>
      <c r="H275" s="103"/>
      <c r="I275" s="103"/>
      <c r="J275" s="103"/>
      <c r="K275" s="103"/>
    </row>
    <row r="276" spans="1:11" x14ac:dyDescent="0.25">
      <c r="A276" s="103"/>
      <c r="B276" s="103"/>
      <c r="C276" s="103"/>
      <c r="D276" s="103"/>
      <c r="E276" s="103"/>
      <c r="F276" s="103"/>
      <c r="G276" s="103"/>
      <c r="H276" s="103"/>
      <c r="I276" s="103"/>
      <c r="J276" s="103"/>
      <c r="K276" s="103"/>
    </row>
    <row r="277" spans="1:11" x14ac:dyDescent="0.25">
      <c r="A277" s="103"/>
      <c r="B277" s="103"/>
      <c r="C277" s="103"/>
      <c r="D277" s="103"/>
      <c r="E277" s="103"/>
      <c r="F277" s="103"/>
      <c r="G277" s="103"/>
      <c r="H277" s="103"/>
      <c r="I277" s="103"/>
      <c r="J277" s="103"/>
      <c r="K277" s="103"/>
    </row>
    <row r="278" spans="1:11" x14ac:dyDescent="0.25">
      <c r="A278" s="103"/>
      <c r="B278" s="103"/>
      <c r="C278" s="103"/>
      <c r="D278" s="103"/>
      <c r="E278" s="103"/>
      <c r="F278" s="103"/>
      <c r="G278" s="103"/>
      <c r="H278" s="103"/>
      <c r="I278" s="103"/>
      <c r="J278" s="103"/>
      <c r="K278" s="103"/>
    </row>
    <row r="279" spans="1:11" x14ac:dyDescent="0.25">
      <c r="A279" s="103"/>
      <c r="B279" s="103"/>
      <c r="C279" s="103"/>
      <c r="D279" s="103"/>
      <c r="E279" s="103"/>
      <c r="F279" s="103"/>
      <c r="G279" s="103"/>
      <c r="H279" s="103"/>
      <c r="I279" s="103"/>
      <c r="J279" s="103"/>
      <c r="K279" s="103"/>
    </row>
    <row r="280" spans="1:11" x14ac:dyDescent="0.25">
      <c r="A280" s="103"/>
      <c r="B280" s="103"/>
      <c r="C280" s="103"/>
      <c r="D280" s="103"/>
      <c r="E280" s="103"/>
      <c r="F280" s="103"/>
      <c r="G280" s="103"/>
      <c r="H280" s="103"/>
      <c r="I280" s="103"/>
      <c r="J280" s="103"/>
      <c r="K280" s="103"/>
    </row>
    <row r="281" spans="1:11" x14ac:dyDescent="0.25">
      <c r="A281" s="103"/>
      <c r="B281" s="103"/>
      <c r="C281" s="103"/>
      <c r="D281" s="103"/>
      <c r="E281" s="103"/>
      <c r="F281" s="103"/>
      <c r="G281" s="103"/>
      <c r="H281" s="103"/>
      <c r="I281" s="103"/>
      <c r="J281" s="103"/>
      <c r="K281" s="103"/>
    </row>
    <row r="282" spans="1:11" x14ac:dyDescent="0.25">
      <c r="A282" s="103"/>
      <c r="B282" s="103"/>
      <c r="C282" s="103"/>
      <c r="D282" s="103"/>
      <c r="E282" s="103"/>
      <c r="F282" s="103"/>
      <c r="G282" s="103"/>
      <c r="H282" s="103"/>
      <c r="I282" s="103"/>
      <c r="J282" s="103"/>
      <c r="K282" s="103"/>
    </row>
    <row r="283" spans="1:11" x14ac:dyDescent="0.25">
      <c r="A283" s="103"/>
      <c r="B283" s="103"/>
      <c r="C283" s="103"/>
      <c r="D283" s="103"/>
      <c r="E283" s="103"/>
      <c r="F283" s="103"/>
      <c r="G283" s="103"/>
      <c r="H283" s="103"/>
      <c r="I283" s="103"/>
      <c r="J283" s="103"/>
      <c r="K283" s="103"/>
    </row>
    <row r="284" spans="1:11" x14ac:dyDescent="0.25">
      <c r="A284" s="103"/>
      <c r="B284" s="103"/>
      <c r="C284" s="103"/>
      <c r="D284" s="103"/>
      <c r="E284" s="103"/>
      <c r="F284" s="103"/>
      <c r="G284" s="103"/>
      <c r="H284" s="103"/>
      <c r="I284" s="103"/>
      <c r="J284" s="103"/>
      <c r="K284" s="103"/>
    </row>
    <row r="285" spans="1:11" x14ac:dyDescent="0.25">
      <c r="A285" s="103"/>
      <c r="B285" s="103"/>
      <c r="C285" s="103"/>
      <c r="D285" s="103"/>
      <c r="E285" s="103"/>
      <c r="F285" s="103"/>
      <c r="G285" s="103"/>
      <c r="H285" s="103"/>
      <c r="I285" s="103"/>
      <c r="J285" s="103"/>
      <c r="K285" s="103"/>
    </row>
    <row r="286" spans="1:11" x14ac:dyDescent="0.25">
      <c r="A286" s="103"/>
      <c r="B286" s="103"/>
      <c r="C286" s="103"/>
      <c r="D286" s="103"/>
      <c r="E286" s="103"/>
      <c r="F286" s="103"/>
      <c r="G286" s="103"/>
      <c r="H286" s="103"/>
      <c r="I286" s="103"/>
      <c r="J286" s="103"/>
      <c r="K286" s="103"/>
    </row>
    <row r="287" spans="1:11" x14ac:dyDescent="0.25">
      <c r="A287" s="103"/>
      <c r="B287" s="103"/>
      <c r="C287" s="103"/>
      <c r="D287" s="103"/>
      <c r="E287" s="103"/>
      <c r="F287" s="103"/>
      <c r="G287" s="103"/>
      <c r="H287" s="103"/>
      <c r="I287" s="103"/>
      <c r="J287" s="103"/>
      <c r="K287" s="103"/>
    </row>
    <row r="288" spans="1:11" x14ac:dyDescent="0.25">
      <c r="A288" s="103"/>
      <c r="B288" s="103"/>
      <c r="C288" s="103"/>
      <c r="D288" s="103"/>
      <c r="E288" s="103"/>
      <c r="F288" s="103"/>
      <c r="G288" s="103"/>
      <c r="H288" s="103"/>
      <c r="I288" s="103"/>
      <c r="J288" s="103"/>
      <c r="K288" s="103"/>
    </row>
    <row r="289" spans="1:11" x14ac:dyDescent="0.25">
      <c r="A289" s="103"/>
      <c r="B289" s="103"/>
      <c r="C289" s="103"/>
      <c r="D289" s="103"/>
      <c r="E289" s="103"/>
      <c r="F289" s="103"/>
      <c r="G289" s="103"/>
      <c r="H289" s="103"/>
      <c r="I289" s="103"/>
      <c r="J289" s="103"/>
      <c r="K289" s="103"/>
    </row>
    <row r="290" spans="1:11" x14ac:dyDescent="0.25">
      <c r="A290" s="103"/>
      <c r="B290" s="103"/>
      <c r="C290" s="103"/>
      <c r="D290" s="103"/>
      <c r="E290" s="103"/>
      <c r="F290" s="103"/>
      <c r="G290" s="103"/>
      <c r="H290" s="103"/>
      <c r="I290" s="103"/>
      <c r="J290" s="103"/>
      <c r="K290" s="103"/>
    </row>
    <row r="291" spans="1:11" x14ac:dyDescent="0.25">
      <c r="A291" s="103"/>
      <c r="B291" s="103"/>
      <c r="C291" s="103"/>
      <c r="D291" s="103"/>
      <c r="E291" s="103"/>
      <c r="F291" s="103"/>
      <c r="G291" s="103"/>
      <c r="H291" s="103"/>
      <c r="I291" s="103"/>
      <c r="J291" s="103"/>
      <c r="K291" s="103"/>
    </row>
    <row r="292" spans="1:11" x14ac:dyDescent="0.25">
      <c r="A292" s="103"/>
      <c r="B292" s="103"/>
      <c r="C292" s="103"/>
      <c r="D292" s="103"/>
      <c r="E292" s="103"/>
      <c r="F292" s="103"/>
      <c r="G292" s="103"/>
      <c r="H292" s="103"/>
      <c r="I292" s="103"/>
      <c r="J292" s="103"/>
      <c r="K292" s="103"/>
    </row>
    <row r="293" spans="1:11" x14ac:dyDescent="0.25">
      <c r="A293" s="103"/>
      <c r="B293" s="103"/>
      <c r="C293" s="103"/>
      <c r="D293" s="103"/>
      <c r="E293" s="103"/>
      <c r="F293" s="103"/>
      <c r="G293" s="103"/>
      <c r="H293" s="103"/>
      <c r="I293" s="103"/>
      <c r="J293" s="103"/>
      <c r="K293" s="103"/>
    </row>
    <row r="294" spans="1:11" x14ac:dyDescent="0.25">
      <c r="A294" s="103"/>
      <c r="B294" s="103"/>
      <c r="C294" s="103"/>
      <c r="D294" s="103"/>
      <c r="E294" s="103"/>
      <c r="F294" s="103"/>
      <c r="G294" s="103"/>
      <c r="H294" s="103"/>
      <c r="I294" s="103"/>
      <c r="J294" s="103"/>
      <c r="K294" s="103"/>
    </row>
    <row r="295" spans="1:11" x14ac:dyDescent="0.25">
      <c r="A295" s="103"/>
      <c r="B295" s="103"/>
      <c r="C295" s="103"/>
      <c r="D295" s="103"/>
      <c r="E295" s="103"/>
      <c r="F295" s="103"/>
      <c r="G295" s="103"/>
      <c r="H295" s="103"/>
      <c r="I295" s="103"/>
      <c r="J295" s="103"/>
      <c r="K295" s="103"/>
    </row>
    <row r="296" spans="1:11" x14ac:dyDescent="0.25">
      <c r="A296" s="103"/>
      <c r="B296" s="103"/>
      <c r="C296" s="103"/>
      <c r="D296" s="103"/>
      <c r="E296" s="103"/>
      <c r="F296" s="103"/>
      <c r="G296" s="103"/>
      <c r="H296" s="103"/>
      <c r="I296" s="103"/>
      <c r="J296" s="103"/>
      <c r="K296" s="103"/>
    </row>
    <row r="297" spans="1:11" x14ac:dyDescent="0.25">
      <c r="A297" s="103"/>
      <c r="B297" s="103"/>
      <c r="C297" s="103"/>
      <c r="D297" s="103"/>
      <c r="E297" s="103"/>
      <c r="F297" s="103"/>
      <c r="G297" s="103"/>
      <c r="H297" s="103"/>
      <c r="I297" s="103"/>
      <c r="J297" s="103"/>
      <c r="K297" s="103"/>
    </row>
    <row r="298" spans="1:11" x14ac:dyDescent="0.25">
      <c r="A298" s="103"/>
      <c r="B298" s="103"/>
      <c r="C298" s="103"/>
      <c r="D298" s="103"/>
      <c r="E298" s="103"/>
      <c r="F298" s="103"/>
      <c r="G298" s="103"/>
      <c r="H298" s="103"/>
      <c r="I298" s="103"/>
      <c r="J298" s="103"/>
      <c r="K298" s="103"/>
    </row>
    <row r="299" spans="1:11" x14ac:dyDescent="0.25">
      <c r="A299" s="103"/>
      <c r="B299" s="103"/>
      <c r="C299" s="103"/>
      <c r="D299" s="103"/>
      <c r="E299" s="103"/>
      <c r="F299" s="103"/>
      <c r="G299" s="103"/>
      <c r="H299" s="103"/>
      <c r="I299" s="103"/>
      <c r="J299" s="103"/>
      <c r="K299" s="103"/>
    </row>
    <row r="300" spans="1:11" x14ac:dyDescent="0.25">
      <c r="A300" s="103"/>
      <c r="B300" s="103"/>
      <c r="C300" s="103"/>
      <c r="D300" s="103"/>
      <c r="E300" s="103"/>
      <c r="F300" s="103"/>
      <c r="G300" s="103"/>
      <c r="H300" s="103"/>
      <c r="I300" s="103"/>
      <c r="J300" s="103"/>
      <c r="K300" s="103"/>
    </row>
    <row r="301" spans="1:11" x14ac:dyDescent="0.25">
      <c r="A301" s="103"/>
      <c r="B301" s="103"/>
      <c r="C301" s="103"/>
      <c r="D301" s="103"/>
      <c r="E301" s="103"/>
      <c r="F301" s="103"/>
      <c r="G301" s="103"/>
      <c r="H301" s="103"/>
      <c r="I301" s="103"/>
      <c r="J301" s="103"/>
      <c r="K301" s="103"/>
    </row>
    <row r="302" spans="1:11" x14ac:dyDescent="0.25">
      <c r="A302" s="103"/>
      <c r="B302" s="103"/>
      <c r="C302" s="103"/>
      <c r="D302" s="103"/>
      <c r="E302" s="103"/>
      <c r="F302" s="103"/>
      <c r="G302" s="103"/>
      <c r="H302" s="103"/>
      <c r="I302" s="103"/>
      <c r="J302" s="103"/>
      <c r="K302" s="103"/>
    </row>
    <row r="303" spans="1:11" x14ac:dyDescent="0.25">
      <c r="A303" s="103"/>
      <c r="B303" s="103"/>
      <c r="C303" s="103"/>
      <c r="D303" s="103"/>
      <c r="E303" s="103"/>
      <c r="F303" s="103"/>
      <c r="G303" s="103"/>
      <c r="H303" s="103"/>
      <c r="I303" s="103"/>
      <c r="J303" s="103"/>
      <c r="K303" s="103"/>
    </row>
    <row r="304" spans="1:11" x14ac:dyDescent="0.25">
      <c r="A304" s="103"/>
      <c r="B304" s="103"/>
      <c r="C304" s="103"/>
      <c r="D304" s="103"/>
      <c r="E304" s="103"/>
      <c r="F304" s="103"/>
      <c r="G304" s="103"/>
      <c r="H304" s="103"/>
      <c r="I304" s="103"/>
      <c r="J304" s="103"/>
      <c r="K304" s="103"/>
    </row>
    <row r="305" spans="1:11" x14ac:dyDescent="0.25">
      <c r="A305" s="103"/>
      <c r="B305" s="103"/>
      <c r="C305" s="103"/>
      <c r="D305" s="103"/>
      <c r="E305" s="103"/>
      <c r="F305" s="103"/>
      <c r="G305" s="103"/>
      <c r="H305" s="103"/>
      <c r="I305" s="103"/>
      <c r="J305" s="103"/>
      <c r="K305" s="103"/>
    </row>
    <row r="306" spans="1:11" x14ac:dyDescent="0.25">
      <c r="A306" s="103"/>
      <c r="B306" s="103"/>
      <c r="C306" s="103"/>
      <c r="D306" s="103"/>
      <c r="E306" s="103"/>
      <c r="F306" s="103"/>
      <c r="G306" s="103"/>
      <c r="H306" s="103"/>
      <c r="I306" s="103"/>
      <c r="J306" s="103"/>
      <c r="K306" s="103"/>
    </row>
    <row r="307" spans="1:11" x14ac:dyDescent="0.25">
      <c r="A307" s="103"/>
      <c r="B307" s="103"/>
      <c r="C307" s="103"/>
      <c r="D307" s="103"/>
      <c r="E307" s="103"/>
      <c r="F307" s="103"/>
      <c r="G307" s="103"/>
      <c r="H307" s="103"/>
      <c r="I307" s="103"/>
      <c r="J307" s="103"/>
      <c r="K307" s="103"/>
    </row>
    <row r="308" spans="1:11" x14ac:dyDescent="0.25">
      <c r="A308" s="103"/>
      <c r="B308" s="103"/>
      <c r="C308" s="103"/>
      <c r="D308" s="103"/>
      <c r="E308" s="103"/>
      <c r="F308" s="103"/>
      <c r="G308" s="103"/>
      <c r="H308" s="103"/>
      <c r="I308" s="103"/>
      <c r="J308" s="103"/>
      <c r="K308" s="103"/>
    </row>
    <row r="309" spans="1:11" x14ac:dyDescent="0.25">
      <c r="A309" s="103"/>
      <c r="B309" s="103"/>
      <c r="C309" s="103"/>
      <c r="D309" s="103"/>
      <c r="E309" s="103"/>
      <c r="F309" s="103"/>
      <c r="G309" s="103"/>
      <c r="H309" s="103"/>
      <c r="I309" s="103"/>
      <c r="J309" s="103"/>
      <c r="K309" s="103"/>
    </row>
    <row r="310" spans="1:11" x14ac:dyDescent="0.25">
      <c r="A310" s="103"/>
      <c r="B310" s="103"/>
      <c r="C310" s="103"/>
      <c r="D310" s="103"/>
      <c r="E310" s="103"/>
      <c r="F310" s="103"/>
      <c r="G310" s="103"/>
      <c r="H310" s="103"/>
      <c r="I310" s="103"/>
      <c r="J310" s="103"/>
      <c r="K310" s="103"/>
    </row>
    <row r="311" spans="1:11" x14ac:dyDescent="0.25">
      <c r="A311" s="103"/>
      <c r="B311" s="103"/>
      <c r="C311" s="103"/>
      <c r="D311" s="103"/>
      <c r="E311" s="103"/>
      <c r="F311" s="103"/>
      <c r="G311" s="103"/>
      <c r="H311" s="103"/>
      <c r="I311" s="103"/>
      <c r="J311" s="103"/>
      <c r="K311" s="103"/>
    </row>
    <row r="312" spans="1:11" x14ac:dyDescent="0.25">
      <c r="A312" s="103"/>
      <c r="B312" s="103"/>
      <c r="C312" s="103"/>
      <c r="D312" s="103"/>
      <c r="E312" s="103"/>
      <c r="F312" s="103"/>
      <c r="G312" s="103"/>
      <c r="H312" s="103"/>
      <c r="I312" s="103"/>
      <c r="J312" s="103"/>
      <c r="K312" s="103"/>
    </row>
    <row r="313" spans="1:11" x14ac:dyDescent="0.25">
      <c r="A313" s="103"/>
      <c r="B313" s="103"/>
      <c r="C313" s="103"/>
      <c r="D313" s="103"/>
      <c r="E313" s="103"/>
      <c r="F313" s="103"/>
      <c r="G313" s="103"/>
      <c r="H313" s="103"/>
      <c r="I313" s="103"/>
      <c r="J313" s="103"/>
      <c r="K313" s="103"/>
    </row>
    <row r="314" spans="1:11" x14ac:dyDescent="0.25">
      <c r="A314" s="103"/>
      <c r="B314" s="103"/>
      <c r="C314" s="103"/>
      <c r="D314" s="103"/>
      <c r="E314" s="103"/>
      <c r="F314" s="103"/>
      <c r="G314" s="103"/>
      <c r="H314" s="103"/>
      <c r="I314" s="103"/>
      <c r="J314" s="103"/>
      <c r="K314" s="103"/>
    </row>
    <row r="315" spans="1:11" x14ac:dyDescent="0.25">
      <c r="A315" s="103"/>
      <c r="B315" s="103"/>
      <c r="C315" s="103"/>
      <c r="D315" s="103"/>
      <c r="E315" s="103"/>
      <c r="F315" s="103"/>
      <c r="G315" s="103"/>
      <c r="H315" s="103"/>
      <c r="I315" s="103"/>
      <c r="J315" s="103"/>
      <c r="K315" s="103"/>
    </row>
    <row r="316" spans="1:11" x14ac:dyDescent="0.25">
      <c r="A316" s="103"/>
      <c r="B316" s="103"/>
      <c r="C316" s="103"/>
      <c r="D316" s="103"/>
      <c r="E316" s="103"/>
      <c r="F316" s="103"/>
      <c r="G316" s="103"/>
      <c r="H316" s="103"/>
      <c r="I316" s="103"/>
      <c r="J316" s="103"/>
      <c r="K316" s="103"/>
    </row>
    <row r="317" spans="1:11" x14ac:dyDescent="0.25">
      <c r="A317" s="103"/>
      <c r="B317" s="103"/>
      <c r="C317" s="103"/>
      <c r="D317" s="103"/>
      <c r="E317" s="103"/>
      <c r="F317" s="103"/>
      <c r="G317" s="103"/>
      <c r="H317" s="103"/>
      <c r="I317" s="103"/>
      <c r="J317" s="103"/>
      <c r="K317" s="103"/>
    </row>
    <row r="318" spans="1:11" x14ac:dyDescent="0.25">
      <c r="A318" s="103"/>
      <c r="B318" s="103"/>
      <c r="C318" s="103"/>
      <c r="D318" s="103"/>
      <c r="E318" s="103"/>
      <c r="F318" s="103"/>
      <c r="G318" s="103"/>
      <c r="H318" s="103"/>
      <c r="I318" s="103"/>
      <c r="J318" s="103"/>
      <c r="K318" s="103"/>
    </row>
    <row r="319" spans="1:11" x14ac:dyDescent="0.25">
      <c r="A319" s="103"/>
      <c r="B319" s="103"/>
      <c r="C319" s="103"/>
      <c r="D319" s="103"/>
      <c r="E319" s="103"/>
      <c r="F319" s="103"/>
      <c r="G319" s="103"/>
      <c r="H319" s="103"/>
      <c r="I319" s="103"/>
      <c r="J319" s="103"/>
      <c r="K319" s="103"/>
    </row>
    <row r="320" spans="1:11" x14ac:dyDescent="0.25">
      <c r="A320" s="103"/>
      <c r="B320" s="103"/>
      <c r="C320" s="103"/>
      <c r="D320" s="103"/>
      <c r="E320" s="103"/>
      <c r="F320" s="103"/>
      <c r="G320" s="103"/>
      <c r="H320" s="103"/>
      <c r="I320" s="103"/>
      <c r="J320" s="103"/>
      <c r="K320" s="103"/>
    </row>
    <row r="321" spans="1:11" x14ac:dyDescent="0.25">
      <c r="A321" s="103"/>
      <c r="B321" s="103"/>
      <c r="C321" s="103"/>
      <c r="D321" s="103"/>
      <c r="E321" s="103"/>
      <c r="F321" s="103"/>
      <c r="G321" s="103"/>
      <c r="H321" s="103"/>
      <c r="I321" s="103"/>
      <c r="J321" s="103"/>
      <c r="K321" s="103"/>
    </row>
    <row r="322" spans="1:11" x14ac:dyDescent="0.25">
      <c r="A322" s="103"/>
      <c r="B322" s="103"/>
      <c r="C322" s="103"/>
      <c r="D322" s="103"/>
      <c r="E322" s="103"/>
      <c r="F322" s="103"/>
      <c r="G322" s="103"/>
      <c r="H322" s="103"/>
      <c r="I322" s="103"/>
      <c r="J322" s="103"/>
      <c r="K322" s="103"/>
    </row>
    <row r="323" spans="1:11" x14ac:dyDescent="0.25">
      <c r="A323" s="103"/>
      <c r="B323" s="103"/>
      <c r="C323" s="103"/>
      <c r="D323" s="103"/>
      <c r="E323" s="103"/>
      <c r="F323" s="103"/>
      <c r="G323" s="103"/>
      <c r="H323" s="103"/>
      <c r="I323" s="103"/>
      <c r="J323" s="103"/>
      <c r="K323" s="103"/>
    </row>
    <row r="324" spans="1:11" x14ac:dyDescent="0.25">
      <c r="A324" s="103"/>
      <c r="B324" s="103"/>
      <c r="C324" s="103"/>
      <c r="D324" s="103"/>
      <c r="E324" s="103"/>
      <c r="F324" s="103"/>
      <c r="G324" s="103"/>
      <c r="H324" s="103"/>
      <c r="I324" s="103"/>
      <c r="J324" s="103"/>
      <c r="K324" s="103"/>
    </row>
    <row r="325" spans="1:11" x14ac:dyDescent="0.25">
      <c r="A325" s="103"/>
      <c r="B325" s="103"/>
      <c r="C325" s="103"/>
      <c r="D325" s="103"/>
      <c r="E325" s="103"/>
      <c r="F325" s="103"/>
      <c r="G325" s="103"/>
      <c r="H325" s="103"/>
      <c r="I325" s="103"/>
      <c r="J325" s="103"/>
      <c r="K325" s="103"/>
    </row>
    <row r="326" spans="1:11" x14ac:dyDescent="0.25">
      <c r="A326" s="103"/>
      <c r="B326" s="103"/>
      <c r="C326" s="103"/>
      <c r="D326" s="103"/>
      <c r="E326" s="103"/>
      <c r="F326" s="103"/>
      <c r="G326" s="103"/>
      <c r="H326" s="103"/>
      <c r="I326" s="103"/>
      <c r="J326" s="103"/>
      <c r="K326" s="103"/>
    </row>
    <row r="327" spans="1:11" x14ac:dyDescent="0.25">
      <c r="A327" s="103"/>
      <c r="B327" s="103"/>
      <c r="C327" s="103"/>
      <c r="D327" s="103"/>
      <c r="E327" s="103"/>
      <c r="F327" s="103"/>
      <c r="G327" s="103"/>
      <c r="H327" s="103"/>
      <c r="I327" s="103"/>
      <c r="J327" s="103"/>
      <c r="K327" s="103"/>
    </row>
    <row r="328" spans="1:11" x14ac:dyDescent="0.25">
      <c r="A328" s="103"/>
      <c r="B328" s="103"/>
      <c r="C328" s="103"/>
      <c r="D328" s="103"/>
      <c r="E328" s="103"/>
      <c r="F328" s="103"/>
      <c r="G328" s="103"/>
      <c r="H328" s="103"/>
      <c r="I328" s="103"/>
      <c r="J328" s="103"/>
      <c r="K328" s="103"/>
    </row>
    <row r="329" spans="1:11" x14ac:dyDescent="0.25">
      <c r="A329" s="103"/>
      <c r="B329" s="103"/>
      <c r="C329" s="103"/>
      <c r="D329" s="103"/>
      <c r="E329" s="103"/>
      <c r="F329" s="103"/>
      <c r="G329" s="103"/>
      <c r="H329" s="103"/>
      <c r="I329" s="103"/>
      <c r="J329" s="103"/>
      <c r="K329" s="103"/>
    </row>
    <row r="330" spans="1:11" x14ac:dyDescent="0.25">
      <c r="A330" s="103"/>
      <c r="B330" s="103"/>
      <c r="C330" s="103"/>
      <c r="D330" s="103"/>
      <c r="E330" s="103"/>
      <c r="F330" s="103"/>
      <c r="G330" s="103"/>
      <c r="H330" s="103"/>
      <c r="I330" s="103"/>
      <c r="J330" s="103"/>
      <c r="K330" s="103"/>
    </row>
    <row r="331" spans="1:11" x14ac:dyDescent="0.25">
      <c r="A331" s="103"/>
      <c r="B331" s="103"/>
      <c r="C331" s="103"/>
      <c r="D331" s="103"/>
      <c r="E331" s="103"/>
      <c r="F331" s="103"/>
      <c r="G331" s="103"/>
      <c r="H331" s="103"/>
      <c r="I331" s="103"/>
      <c r="J331" s="103"/>
      <c r="K331" s="103"/>
    </row>
    <row r="332" spans="1:11" x14ac:dyDescent="0.25">
      <c r="A332" s="103"/>
      <c r="B332" s="103"/>
      <c r="C332" s="103"/>
      <c r="D332" s="103"/>
      <c r="E332" s="103"/>
      <c r="F332" s="103"/>
      <c r="G332" s="103"/>
      <c r="H332" s="103"/>
      <c r="I332" s="103"/>
      <c r="J332" s="103"/>
      <c r="K332" s="103"/>
    </row>
    <row r="333" spans="1:11" x14ac:dyDescent="0.25">
      <c r="A333" s="103"/>
      <c r="B333" s="103"/>
      <c r="C333" s="103"/>
      <c r="D333" s="103"/>
      <c r="E333" s="103"/>
      <c r="F333" s="103"/>
      <c r="G333" s="103"/>
      <c r="H333" s="103"/>
      <c r="I333" s="103"/>
      <c r="J333" s="103"/>
      <c r="K333" s="103"/>
    </row>
    <row r="334" spans="1:11" x14ac:dyDescent="0.25">
      <c r="A334" s="103"/>
      <c r="B334" s="103"/>
      <c r="C334" s="103"/>
      <c r="D334" s="103"/>
      <c r="E334" s="103"/>
      <c r="F334" s="103"/>
      <c r="G334" s="103"/>
      <c r="H334" s="103"/>
      <c r="I334" s="103"/>
      <c r="J334" s="103"/>
      <c r="K334" s="103"/>
    </row>
    <row r="335" spans="1:11" x14ac:dyDescent="0.25">
      <c r="A335" s="103"/>
      <c r="B335" s="103"/>
      <c r="C335" s="103"/>
      <c r="D335" s="103"/>
      <c r="E335" s="103"/>
      <c r="F335" s="103"/>
      <c r="G335" s="103"/>
      <c r="H335" s="103"/>
      <c r="I335" s="103"/>
      <c r="J335" s="103"/>
      <c r="K335" s="103"/>
    </row>
    <row r="336" spans="1:11" x14ac:dyDescent="0.25">
      <c r="A336" s="103"/>
      <c r="B336" s="103"/>
      <c r="C336" s="103"/>
      <c r="D336" s="103"/>
      <c r="E336" s="103"/>
      <c r="F336" s="103"/>
      <c r="G336" s="103"/>
      <c r="H336" s="103"/>
      <c r="I336" s="103"/>
      <c r="J336" s="103"/>
      <c r="K336" s="103"/>
    </row>
    <row r="337" spans="1:11" x14ac:dyDescent="0.25">
      <c r="A337" s="103"/>
      <c r="B337" s="103"/>
      <c r="C337" s="103"/>
      <c r="D337" s="103"/>
      <c r="E337" s="103"/>
      <c r="F337" s="103"/>
      <c r="G337" s="103"/>
      <c r="H337" s="103"/>
      <c r="I337" s="103"/>
      <c r="J337" s="103"/>
      <c r="K337" s="103"/>
    </row>
    <row r="338" spans="1:11" x14ac:dyDescent="0.25">
      <c r="A338" s="103"/>
      <c r="B338" s="103"/>
      <c r="C338" s="103"/>
      <c r="D338" s="103"/>
      <c r="E338" s="103"/>
      <c r="F338" s="103"/>
      <c r="G338" s="103"/>
      <c r="H338" s="103"/>
      <c r="I338" s="103"/>
      <c r="J338" s="103"/>
      <c r="K338" s="103"/>
    </row>
    <row r="339" spans="1:11" x14ac:dyDescent="0.25">
      <c r="A339" s="103"/>
      <c r="B339" s="103"/>
      <c r="C339" s="103"/>
      <c r="D339" s="103"/>
      <c r="E339" s="103"/>
      <c r="F339" s="103"/>
      <c r="G339" s="103"/>
      <c r="H339" s="103"/>
      <c r="I339" s="103"/>
      <c r="J339" s="103"/>
      <c r="K339" s="103"/>
    </row>
    <row r="340" spans="1:11" x14ac:dyDescent="0.25">
      <c r="A340" s="103"/>
      <c r="B340" s="103"/>
      <c r="C340" s="103"/>
      <c r="D340" s="103"/>
      <c r="E340" s="103"/>
      <c r="F340" s="103"/>
      <c r="G340" s="103"/>
      <c r="H340" s="103"/>
      <c r="I340" s="103"/>
      <c r="J340" s="103"/>
      <c r="K340" s="103"/>
    </row>
    <row r="341" spans="1:11" x14ac:dyDescent="0.25">
      <c r="A341" s="103"/>
      <c r="B341" s="103"/>
      <c r="C341" s="103"/>
      <c r="D341" s="103"/>
      <c r="E341" s="103"/>
      <c r="F341" s="103"/>
      <c r="G341" s="103"/>
      <c r="H341" s="103"/>
      <c r="I341" s="103"/>
      <c r="J341" s="103"/>
      <c r="K341" s="103"/>
    </row>
    <row r="342" spans="1:11" x14ac:dyDescent="0.25">
      <c r="A342" s="103"/>
      <c r="B342" s="103"/>
      <c r="C342" s="103"/>
      <c r="D342" s="103"/>
      <c r="E342" s="103"/>
      <c r="F342" s="103"/>
      <c r="G342" s="103"/>
      <c r="H342" s="103"/>
      <c r="I342" s="103"/>
      <c r="J342" s="103"/>
      <c r="K342" s="103"/>
    </row>
    <row r="343" spans="1:11" x14ac:dyDescent="0.25">
      <c r="A343" s="103"/>
      <c r="B343" s="103"/>
      <c r="C343" s="103"/>
      <c r="D343" s="103"/>
      <c r="E343" s="103"/>
      <c r="F343" s="103"/>
      <c r="G343" s="103"/>
      <c r="H343" s="103"/>
      <c r="I343" s="103"/>
      <c r="J343" s="103"/>
      <c r="K343" s="103"/>
    </row>
    <row r="344" spans="1:11" x14ac:dyDescent="0.25">
      <c r="A344" s="103"/>
      <c r="B344" s="103"/>
      <c r="C344" s="103"/>
      <c r="D344" s="103"/>
      <c r="E344" s="103"/>
      <c r="F344" s="103"/>
      <c r="G344" s="103"/>
      <c r="H344" s="103"/>
      <c r="I344" s="103"/>
      <c r="J344" s="103"/>
      <c r="K344" s="103"/>
    </row>
    <row r="345" spans="1:11" x14ac:dyDescent="0.25">
      <c r="A345" s="103"/>
      <c r="B345" s="103"/>
      <c r="C345" s="103"/>
      <c r="D345" s="103"/>
      <c r="E345" s="103"/>
      <c r="F345" s="103"/>
      <c r="G345" s="103"/>
      <c r="H345" s="103"/>
      <c r="I345" s="103"/>
      <c r="J345" s="103"/>
      <c r="K345" s="103"/>
    </row>
    <row r="346" spans="1:11" x14ac:dyDescent="0.25">
      <c r="A346" s="103"/>
      <c r="B346" s="103"/>
      <c r="C346" s="103"/>
      <c r="D346" s="103"/>
      <c r="E346" s="103"/>
      <c r="F346" s="103"/>
      <c r="G346" s="103"/>
      <c r="H346" s="103"/>
      <c r="I346" s="103"/>
      <c r="J346" s="103"/>
      <c r="K346" s="103"/>
    </row>
    <row r="347" spans="1:11" x14ac:dyDescent="0.25">
      <c r="A347" s="103"/>
      <c r="B347" s="103"/>
      <c r="C347" s="103"/>
      <c r="D347" s="103"/>
      <c r="E347" s="103"/>
      <c r="F347" s="103"/>
      <c r="G347" s="103"/>
      <c r="H347" s="103"/>
      <c r="I347" s="103"/>
      <c r="J347" s="103"/>
      <c r="K347" s="103"/>
    </row>
    <row r="348" spans="1:11" x14ac:dyDescent="0.25">
      <c r="A348" s="103"/>
      <c r="B348" s="103"/>
      <c r="C348" s="103"/>
      <c r="D348" s="103"/>
      <c r="E348" s="103"/>
      <c r="F348" s="103"/>
      <c r="G348" s="103"/>
      <c r="H348" s="103"/>
      <c r="I348" s="103"/>
      <c r="J348" s="103"/>
      <c r="K348" s="103"/>
    </row>
    <row r="349" spans="1:11" x14ac:dyDescent="0.25">
      <c r="A349" s="103"/>
      <c r="B349" s="103"/>
      <c r="C349" s="103"/>
      <c r="D349" s="103"/>
      <c r="E349" s="103"/>
      <c r="F349" s="103"/>
      <c r="G349" s="103"/>
      <c r="H349" s="103"/>
      <c r="I349" s="103"/>
      <c r="J349" s="103"/>
      <c r="K349" s="103"/>
    </row>
    <row r="350" spans="1:11" x14ac:dyDescent="0.25">
      <c r="A350" s="103"/>
      <c r="B350" s="103"/>
      <c r="C350" s="103"/>
      <c r="D350" s="103"/>
      <c r="E350" s="103"/>
      <c r="F350" s="103"/>
      <c r="G350" s="103"/>
      <c r="H350" s="103"/>
      <c r="I350" s="103"/>
      <c r="J350" s="103"/>
      <c r="K350" s="103"/>
    </row>
    <row r="351" spans="1:11" x14ac:dyDescent="0.25">
      <c r="A351" s="103"/>
      <c r="B351" s="103"/>
      <c r="C351" s="103"/>
      <c r="D351" s="103"/>
      <c r="E351" s="103"/>
      <c r="F351" s="103"/>
      <c r="G351" s="103"/>
      <c r="H351" s="103"/>
      <c r="I351" s="103"/>
      <c r="J351" s="103"/>
      <c r="K351" s="103"/>
    </row>
    <row r="352" spans="1:11" x14ac:dyDescent="0.25">
      <c r="A352" s="103"/>
      <c r="B352" s="103"/>
      <c r="C352" s="103"/>
      <c r="D352" s="103"/>
      <c r="E352" s="103"/>
      <c r="F352" s="103"/>
      <c r="G352" s="103"/>
      <c r="H352" s="103"/>
      <c r="I352" s="103"/>
      <c r="J352" s="103"/>
      <c r="K352" s="103"/>
    </row>
    <row r="353" spans="1:11" x14ac:dyDescent="0.25">
      <c r="A353" s="103"/>
      <c r="B353" s="103"/>
      <c r="C353" s="103"/>
      <c r="D353" s="103"/>
      <c r="E353" s="103"/>
      <c r="F353" s="103"/>
      <c r="G353" s="103"/>
      <c r="H353" s="103"/>
      <c r="I353" s="103"/>
      <c r="J353" s="103"/>
      <c r="K353" s="103"/>
    </row>
    <row r="354" spans="1:11" x14ac:dyDescent="0.25">
      <c r="A354" s="103"/>
      <c r="B354" s="103"/>
      <c r="C354" s="103"/>
      <c r="D354" s="103"/>
      <c r="E354" s="103"/>
      <c r="F354" s="103"/>
      <c r="G354" s="103"/>
      <c r="H354" s="103"/>
      <c r="I354" s="103"/>
      <c r="J354" s="103"/>
      <c r="K354" s="103"/>
    </row>
    <row r="355" spans="1:11" x14ac:dyDescent="0.25">
      <c r="A355" s="103"/>
      <c r="B355" s="103"/>
      <c r="C355" s="103"/>
      <c r="D355" s="103"/>
      <c r="E355" s="103"/>
      <c r="F355" s="103"/>
      <c r="G355" s="103"/>
      <c r="H355" s="103"/>
      <c r="I355" s="103"/>
      <c r="J355" s="103"/>
      <c r="K355" s="103"/>
    </row>
    <row r="356" spans="1:11" x14ac:dyDescent="0.25">
      <c r="A356" s="103"/>
      <c r="B356" s="103"/>
      <c r="C356" s="103"/>
      <c r="D356" s="103"/>
      <c r="E356" s="103"/>
      <c r="F356" s="103"/>
      <c r="G356" s="103"/>
      <c r="H356" s="103"/>
      <c r="I356" s="103"/>
      <c r="J356" s="103"/>
      <c r="K356" s="103"/>
    </row>
    <row r="357" spans="1:11" x14ac:dyDescent="0.25">
      <c r="A357" s="103"/>
      <c r="B357" s="103"/>
      <c r="C357" s="103"/>
      <c r="D357" s="103"/>
      <c r="E357" s="103"/>
      <c r="F357" s="103"/>
      <c r="G357" s="103"/>
      <c r="H357" s="103"/>
      <c r="I357" s="103"/>
      <c r="J357" s="103"/>
      <c r="K357" s="103"/>
    </row>
    <row r="358" spans="1:11" x14ac:dyDescent="0.25">
      <c r="A358" s="103"/>
      <c r="B358" s="103"/>
      <c r="C358" s="103"/>
      <c r="D358" s="103"/>
      <c r="E358" s="103"/>
      <c r="F358" s="103"/>
      <c r="G358" s="103"/>
      <c r="H358" s="103"/>
      <c r="I358" s="103"/>
      <c r="J358" s="103"/>
      <c r="K358" s="103"/>
    </row>
    <row r="359" spans="1:11" x14ac:dyDescent="0.25">
      <c r="A359" s="103"/>
      <c r="B359" s="103"/>
      <c r="C359" s="103"/>
      <c r="D359" s="103"/>
      <c r="E359" s="103"/>
      <c r="F359" s="103"/>
      <c r="G359" s="103"/>
      <c r="H359" s="103"/>
      <c r="I359" s="103"/>
      <c r="J359" s="103"/>
      <c r="K359" s="103"/>
    </row>
    <row r="360" spans="1:11" x14ac:dyDescent="0.25">
      <c r="A360" s="103"/>
      <c r="B360" s="103"/>
      <c r="C360" s="103"/>
      <c r="D360" s="103"/>
      <c r="E360" s="103"/>
      <c r="F360" s="103"/>
      <c r="G360" s="103"/>
      <c r="H360" s="103"/>
      <c r="I360" s="103"/>
      <c r="J360" s="103"/>
      <c r="K360" s="103"/>
    </row>
    <row r="361" spans="1:11" x14ac:dyDescent="0.25">
      <c r="A361" s="103"/>
      <c r="B361" s="103"/>
      <c r="C361" s="103"/>
      <c r="D361" s="103"/>
      <c r="E361" s="103"/>
      <c r="F361" s="103"/>
      <c r="G361" s="103"/>
      <c r="H361" s="103"/>
      <c r="I361" s="103"/>
      <c r="J361" s="103"/>
      <c r="K361" s="103"/>
    </row>
    <row r="362" spans="1:11" x14ac:dyDescent="0.25">
      <c r="A362" s="103"/>
      <c r="B362" s="103"/>
      <c r="C362" s="103"/>
      <c r="D362" s="103"/>
      <c r="E362" s="103"/>
      <c r="F362" s="103"/>
      <c r="G362" s="103"/>
      <c r="H362" s="103"/>
      <c r="I362" s="103"/>
      <c r="J362" s="103"/>
      <c r="K362" s="103"/>
    </row>
    <row r="363" spans="1:11" x14ac:dyDescent="0.25">
      <c r="A363" s="103"/>
      <c r="B363" s="103"/>
      <c r="C363" s="103"/>
      <c r="D363" s="103"/>
      <c r="E363" s="103"/>
      <c r="F363" s="103"/>
      <c r="G363" s="103"/>
      <c r="H363" s="103"/>
      <c r="I363" s="103"/>
      <c r="J363" s="103"/>
      <c r="K363" s="103"/>
    </row>
    <row r="364" spans="1:11" x14ac:dyDescent="0.25">
      <c r="A364" s="103"/>
      <c r="B364" s="103"/>
      <c r="C364" s="103"/>
      <c r="D364" s="103"/>
      <c r="E364" s="103"/>
      <c r="F364" s="103"/>
      <c r="G364" s="103"/>
      <c r="H364" s="103"/>
      <c r="I364" s="103"/>
      <c r="J364" s="103"/>
      <c r="K364" s="103"/>
    </row>
    <row r="365" spans="1:11" x14ac:dyDescent="0.25">
      <c r="A365" s="103"/>
      <c r="B365" s="103"/>
      <c r="C365" s="103"/>
      <c r="D365" s="103"/>
      <c r="E365" s="103"/>
      <c r="F365" s="103"/>
      <c r="G365" s="103"/>
      <c r="H365" s="103"/>
      <c r="I365" s="103"/>
      <c r="J365" s="103"/>
      <c r="K365" s="103"/>
    </row>
    <row r="366" spans="1:11" x14ac:dyDescent="0.25">
      <c r="A366" s="103"/>
      <c r="B366" s="103"/>
      <c r="C366" s="103"/>
      <c r="D366" s="103"/>
      <c r="E366" s="103"/>
      <c r="F366" s="103"/>
      <c r="G366" s="103"/>
      <c r="H366" s="103"/>
      <c r="I366" s="103"/>
      <c r="J366" s="103"/>
      <c r="K366" s="103"/>
    </row>
    <row r="367" spans="1:11" x14ac:dyDescent="0.25">
      <c r="A367" s="103"/>
      <c r="B367" s="103"/>
      <c r="C367" s="103"/>
      <c r="D367" s="103"/>
      <c r="E367" s="103"/>
      <c r="F367" s="103"/>
      <c r="G367" s="103"/>
      <c r="H367" s="103"/>
      <c r="I367" s="103"/>
      <c r="J367" s="103"/>
      <c r="K367" s="103"/>
    </row>
    <row r="368" spans="1:11" x14ac:dyDescent="0.25">
      <c r="A368" s="103"/>
      <c r="B368" s="103"/>
      <c r="C368" s="103"/>
      <c r="D368" s="103"/>
      <c r="E368" s="103"/>
      <c r="F368" s="103"/>
      <c r="G368" s="103"/>
      <c r="H368" s="103"/>
      <c r="I368" s="103"/>
      <c r="J368" s="103"/>
      <c r="K368" s="103"/>
    </row>
    <row r="369" spans="1:11" x14ac:dyDescent="0.25">
      <c r="A369" s="103"/>
      <c r="B369" s="103"/>
      <c r="C369" s="103"/>
      <c r="D369" s="103"/>
      <c r="E369" s="103"/>
      <c r="F369" s="103"/>
      <c r="G369" s="103"/>
      <c r="H369" s="103"/>
      <c r="I369" s="103"/>
      <c r="J369" s="103"/>
      <c r="K369" s="103"/>
    </row>
    <row r="370" spans="1:11" x14ac:dyDescent="0.25">
      <c r="A370" s="103"/>
      <c r="B370" s="103"/>
      <c r="C370" s="103"/>
      <c r="D370" s="103"/>
      <c r="E370" s="103"/>
      <c r="F370" s="103"/>
      <c r="G370" s="103"/>
      <c r="H370" s="103"/>
      <c r="I370" s="103"/>
      <c r="J370" s="103"/>
      <c r="K370" s="103"/>
    </row>
    <row r="371" spans="1:11" x14ac:dyDescent="0.25">
      <c r="A371" s="103"/>
      <c r="B371" s="103"/>
      <c r="C371" s="103"/>
      <c r="D371" s="103"/>
      <c r="E371" s="103"/>
      <c r="F371" s="103"/>
      <c r="G371" s="103"/>
      <c r="H371" s="103"/>
      <c r="I371" s="103"/>
      <c r="J371" s="103"/>
      <c r="K371" s="103"/>
    </row>
    <row r="372" spans="1:11" x14ac:dyDescent="0.25">
      <c r="A372" s="103"/>
      <c r="B372" s="103"/>
      <c r="C372" s="103"/>
      <c r="D372" s="103"/>
      <c r="E372" s="103"/>
      <c r="F372" s="103"/>
      <c r="G372" s="103"/>
      <c r="H372" s="103"/>
      <c r="I372" s="103"/>
      <c r="J372" s="103"/>
      <c r="K372" s="103"/>
    </row>
    <row r="373" spans="1:11" x14ac:dyDescent="0.25">
      <c r="A373" s="103"/>
      <c r="B373" s="103"/>
      <c r="C373" s="103"/>
      <c r="D373" s="103"/>
      <c r="E373" s="103"/>
      <c r="F373" s="103"/>
      <c r="G373" s="103"/>
      <c r="H373" s="103"/>
      <c r="I373" s="103"/>
      <c r="J373" s="103"/>
      <c r="K373" s="103"/>
    </row>
    <row r="374" spans="1:11" x14ac:dyDescent="0.25">
      <c r="A374" s="103"/>
      <c r="B374" s="103"/>
      <c r="C374" s="103"/>
      <c r="D374" s="103"/>
      <c r="E374" s="103"/>
      <c r="F374" s="103"/>
      <c r="G374" s="103"/>
      <c r="H374" s="103"/>
      <c r="I374" s="103"/>
      <c r="J374" s="103"/>
      <c r="K374" s="103"/>
    </row>
    <row r="375" spans="1:11" x14ac:dyDescent="0.25">
      <c r="A375" s="103"/>
      <c r="B375" s="103"/>
      <c r="C375" s="103"/>
      <c r="D375" s="103"/>
      <c r="E375" s="103"/>
      <c r="F375" s="103"/>
      <c r="G375" s="103"/>
      <c r="H375" s="103"/>
      <c r="I375" s="103"/>
      <c r="J375" s="103"/>
      <c r="K375" s="103"/>
    </row>
    <row r="376" spans="1:11" x14ac:dyDescent="0.25">
      <c r="A376" s="103"/>
      <c r="B376" s="103"/>
      <c r="C376" s="103"/>
      <c r="D376" s="103"/>
      <c r="E376" s="103"/>
      <c r="F376" s="103"/>
      <c r="G376" s="103"/>
      <c r="H376" s="103"/>
      <c r="I376" s="103"/>
      <c r="J376" s="103"/>
      <c r="K376" s="103"/>
    </row>
    <row r="377" spans="1:11" x14ac:dyDescent="0.25">
      <c r="A377" s="103"/>
      <c r="B377" s="103"/>
      <c r="C377" s="103"/>
      <c r="D377" s="103"/>
      <c r="E377" s="103"/>
      <c r="F377" s="103"/>
      <c r="G377" s="103"/>
      <c r="H377" s="103"/>
      <c r="I377" s="103"/>
      <c r="J377" s="103"/>
      <c r="K377" s="103"/>
    </row>
    <row r="378" spans="1:11" x14ac:dyDescent="0.25">
      <c r="A378" s="103"/>
      <c r="B378" s="103"/>
      <c r="C378" s="103"/>
      <c r="D378" s="103"/>
      <c r="E378" s="103"/>
      <c r="F378" s="103"/>
      <c r="G378" s="103"/>
      <c r="H378" s="103"/>
      <c r="I378" s="103"/>
      <c r="J378" s="103"/>
      <c r="K378" s="103"/>
    </row>
    <row r="379" spans="1:11" x14ac:dyDescent="0.25">
      <c r="A379" s="103"/>
      <c r="B379" s="103"/>
      <c r="C379" s="103"/>
      <c r="D379" s="103"/>
      <c r="E379" s="103"/>
      <c r="F379" s="103"/>
      <c r="G379" s="103"/>
      <c r="H379" s="103"/>
      <c r="I379" s="103"/>
      <c r="J379" s="103"/>
      <c r="K379" s="103"/>
    </row>
    <row r="380" spans="1:11" x14ac:dyDescent="0.25">
      <c r="A380" s="103"/>
      <c r="B380" s="103"/>
      <c r="C380" s="103"/>
      <c r="D380" s="103"/>
      <c r="E380" s="103"/>
      <c r="F380" s="103"/>
      <c r="G380" s="103"/>
      <c r="H380" s="103"/>
      <c r="I380" s="103"/>
      <c r="J380" s="103"/>
      <c r="K380" s="103"/>
    </row>
    <row r="381" spans="1:11" x14ac:dyDescent="0.25">
      <c r="A381" s="103"/>
      <c r="B381" s="103"/>
      <c r="C381" s="103"/>
      <c r="D381" s="103"/>
      <c r="E381" s="103"/>
      <c r="F381" s="103"/>
      <c r="G381" s="103"/>
      <c r="H381" s="103"/>
      <c r="I381" s="103"/>
      <c r="J381" s="103"/>
      <c r="K381" s="103"/>
    </row>
    <row r="382" spans="1:11" x14ac:dyDescent="0.25">
      <c r="A382" s="103"/>
      <c r="B382" s="103"/>
      <c r="C382" s="103"/>
      <c r="D382" s="103"/>
      <c r="E382" s="103"/>
      <c r="F382" s="103"/>
      <c r="G382" s="103"/>
      <c r="H382" s="103"/>
      <c r="I382" s="103"/>
      <c r="J382" s="103"/>
      <c r="K382" s="103"/>
    </row>
    <row r="383" spans="1:11" x14ac:dyDescent="0.25">
      <c r="A383" s="103"/>
      <c r="B383" s="103"/>
      <c r="C383" s="103"/>
      <c r="D383" s="103"/>
      <c r="E383" s="103"/>
      <c r="F383" s="103"/>
      <c r="G383" s="103"/>
      <c r="H383" s="103"/>
      <c r="I383" s="103"/>
      <c r="J383" s="103"/>
      <c r="K383" s="103"/>
    </row>
    <row r="384" spans="1:11" x14ac:dyDescent="0.25">
      <c r="A384" s="103"/>
      <c r="B384" s="103"/>
      <c r="C384" s="103"/>
      <c r="D384" s="103"/>
      <c r="E384" s="103"/>
      <c r="F384" s="103"/>
      <c r="G384" s="103"/>
      <c r="H384" s="103"/>
      <c r="I384" s="103"/>
      <c r="J384" s="103"/>
      <c r="K384" s="103"/>
    </row>
    <row r="385" spans="1:11" x14ac:dyDescent="0.25">
      <c r="A385" s="103"/>
      <c r="B385" s="103"/>
      <c r="C385" s="103"/>
      <c r="D385" s="103"/>
      <c r="E385" s="103"/>
      <c r="F385" s="103"/>
      <c r="G385" s="103"/>
      <c r="H385" s="103"/>
      <c r="I385" s="103"/>
      <c r="J385" s="103"/>
      <c r="K385" s="103"/>
    </row>
    <row r="386" spans="1:11" x14ac:dyDescent="0.25">
      <c r="A386" s="103"/>
      <c r="B386" s="103"/>
      <c r="C386" s="103"/>
      <c r="D386" s="103"/>
      <c r="E386" s="103"/>
      <c r="F386" s="103"/>
      <c r="G386" s="103"/>
      <c r="H386" s="103"/>
      <c r="I386" s="103"/>
      <c r="J386" s="103"/>
      <c r="K386" s="103"/>
    </row>
    <row r="387" spans="1:11" x14ac:dyDescent="0.25">
      <c r="A387" s="103"/>
      <c r="B387" s="103"/>
      <c r="C387" s="103"/>
      <c r="D387" s="103"/>
      <c r="E387" s="103"/>
      <c r="F387" s="103"/>
      <c r="G387" s="103"/>
      <c r="H387" s="103"/>
      <c r="I387" s="103"/>
      <c r="J387" s="103"/>
      <c r="K387" s="103"/>
    </row>
    <row r="388" spans="1:11" x14ac:dyDescent="0.25">
      <c r="A388" s="103"/>
      <c r="B388" s="103"/>
      <c r="C388" s="103"/>
      <c r="D388" s="103"/>
      <c r="E388" s="103"/>
      <c r="F388" s="103"/>
      <c r="G388" s="103"/>
      <c r="H388" s="103"/>
      <c r="I388" s="103"/>
      <c r="J388" s="103"/>
      <c r="K388" s="103"/>
    </row>
    <row r="389" spans="1:11" x14ac:dyDescent="0.25">
      <c r="A389" s="103"/>
      <c r="B389" s="103"/>
      <c r="C389" s="103"/>
      <c r="D389" s="103"/>
      <c r="E389" s="103"/>
      <c r="F389" s="103"/>
      <c r="G389" s="103"/>
      <c r="H389" s="103"/>
      <c r="I389" s="103"/>
      <c r="J389" s="103"/>
      <c r="K389" s="103"/>
    </row>
    <row r="390" spans="1:11" x14ac:dyDescent="0.25">
      <c r="A390" s="103"/>
      <c r="B390" s="103"/>
      <c r="C390" s="103"/>
      <c r="D390" s="103"/>
      <c r="E390" s="103"/>
      <c r="F390" s="103"/>
      <c r="G390" s="103"/>
      <c r="H390" s="103"/>
      <c r="I390" s="103"/>
      <c r="J390" s="103"/>
      <c r="K390" s="103"/>
    </row>
    <row r="391" spans="1:11" x14ac:dyDescent="0.25">
      <c r="A391" s="103"/>
      <c r="B391" s="103"/>
      <c r="C391" s="103"/>
      <c r="D391" s="103"/>
      <c r="E391" s="103"/>
      <c r="F391" s="103"/>
      <c r="G391" s="103"/>
      <c r="H391" s="103"/>
      <c r="I391" s="103"/>
      <c r="J391" s="103"/>
      <c r="K391" s="103"/>
    </row>
    <row r="392" spans="1:11" x14ac:dyDescent="0.25">
      <c r="A392" s="103"/>
      <c r="B392" s="103"/>
      <c r="C392" s="103"/>
      <c r="D392" s="103"/>
      <c r="E392" s="103"/>
      <c r="F392" s="103"/>
      <c r="G392" s="103"/>
      <c r="H392" s="103"/>
      <c r="I392" s="103"/>
      <c r="J392" s="103"/>
      <c r="K392" s="103"/>
    </row>
    <row r="393" spans="1:11" x14ac:dyDescent="0.25">
      <c r="A393" s="103"/>
      <c r="B393" s="103"/>
      <c r="C393" s="103"/>
      <c r="D393" s="103"/>
      <c r="E393" s="103"/>
      <c r="F393" s="103"/>
      <c r="G393" s="103"/>
      <c r="H393" s="103"/>
      <c r="I393" s="103"/>
      <c r="J393" s="103"/>
      <c r="K393" s="103"/>
    </row>
    <row r="394" spans="1:11" x14ac:dyDescent="0.25">
      <c r="A394" s="103"/>
      <c r="B394" s="103"/>
      <c r="C394" s="103"/>
      <c r="D394" s="103"/>
      <c r="E394" s="103"/>
      <c r="F394" s="103"/>
      <c r="G394" s="103"/>
      <c r="H394" s="103"/>
      <c r="I394" s="103"/>
      <c r="J394" s="103"/>
      <c r="K394" s="103"/>
    </row>
    <row r="395" spans="1:11" x14ac:dyDescent="0.25">
      <c r="A395" s="103"/>
      <c r="B395" s="103"/>
      <c r="C395" s="103"/>
      <c r="D395" s="103"/>
      <c r="E395" s="103"/>
      <c r="F395" s="103"/>
      <c r="G395" s="103"/>
      <c r="H395" s="103"/>
      <c r="I395" s="103"/>
      <c r="J395" s="103"/>
      <c r="K395" s="103"/>
    </row>
    <row r="396" spans="1:11" x14ac:dyDescent="0.25">
      <c r="A396" s="103"/>
      <c r="B396" s="103"/>
      <c r="C396" s="103"/>
      <c r="D396" s="103"/>
      <c r="E396" s="103"/>
      <c r="F396" s="103"/>
      <c r="G396" s="103"/>
      <c r="H396" s="103"/>
      <c r="I396" s="103"/>
      <c r="J396" s="103"/>
      <c r="K396" s="103"/>
    </row>
    <row r="397" spans="1:11" x14ac:dyDescent="0.25">
      <c r="A397" s="103"/>
      <c r="B397" s="103"/>
      <c r="C397" s="103"/>
      <c r="D397" s="103"/>
      <c r="E397" s="103"/>
      <c r="F397" s="103"/>
      <c r="G397" s="103"/>
      <c r="H397" s="103"/>
      <c r="I397" s="103"/>
      <c r="J397" s="103"/>
      <c r="K397" s="103"/>
    </row>
    <row r="398" spans="1:11" x14ac:dyDescent="0.25">
      <c r="A398" s="103"/>
      <c r="B398" s="103"/>
      <c r="C398" s="103"/>
      <c r="D398" s="103"/>
      <c r="E398" s="103"/>
      <c r="F398" s="103"/>
      <c r="G398" s="103"/>
      <c r="H398" s="103"/>
      <c r="I398" s="103"/>
      <c r="J398" s="103"/>
      <c r="K398" s="103"/>
    </row>
    <row r="399" spans="1:11" x14ac:dyDescent="0.25">
      <c r="A399" s="103"/>
      <c r="B399" s="103"/>
      <c r="C399" s="103"/>
      <c r="D399" s="103"/>
      <c r="E399" s="103"/>
      <c r="F399" s="103"/>
      <c r="G399" s="103"/>
      <c r="H399" s="103"/>
      <c r="I399" s="103"/>
      <c r="J399" s="103"/>
      <c r="K399" s="103"/>
    </row>
    <row r="400" spans="1:11" x14ac:dyDescent="0.25">
      <c r="A400" s="103"/>
      <c r="B400" s="103"/>
      <c r="C400" s="103"/>
      <c r="D400" s="103"/>
      <c r="E400" s="103"/>
      <c r="F400" s="103"/>
      <c r="G400" s="103"/>
      <c r="H400" s="103"/>
      <c r="I400" s="103"/>
      <c r="J400" s="103"/>
      <c r="K400" s="103"/>
    </row>
    <row r="401" spans="1:11" x14ac:dyDescent="0.25">
      <c r="A401" s="103"/>
      <c r="B401" s="103"/>
      <c r="C401" s="103"/>
      <c r="D401" s="103"/>
      <c r="E401" s="103"/>
      <c r="F401" s="103"/>
      <c r="G401" s="103"/>
      <c r="H401" s="103"/>
      <c r="I401" s="103"/>
      <c r="J401" s="103"/>
      <c r="K401" s="103"/>
    </row>
    <row r="402" spans="1:11" x14ac:dyDescent="0.25">
      <c r="A402" s="103"/>
      <c r="B402" s="103"/>
      <c r="C402" s="103"/>
      <c r="D402" s="103"/>
      <c r="E402" s="103"/>
      <c r="F402" s="103"/>
      <c r="G402" s="103"/>
      <c r="H402" s="103"/>
      <c r="I402" s="103"/>
      <c r="J402" s="103"/>
      <c r="K402" s="103"/>
    </row>
    <row r="403" spans="1:11" x14ac:dyDescent="0.25">
      <c r="A403" s="103"/>
      <c r="B403" s="103"/>
      <c r="C403" s="103"/>
      <c r="D403" s="103"/>
      <c r="E403" s="103"/>
      <c r="F403" s="103"/>
      <c r="G403" s="103"/>
      <c r="H403" s="103"/>
      <c r="I403" s="103"/>
      <c r="J403" s="103"/>
      <c r="K403" s="103"/>
    </row>
    <row r="404" spans="1:11" x14ac:dyDescent="0.25">
      <c r="A404" s="103"/>
      <c r="B404" s="103"/>
      <c r="C404" s="103"/>
      <c r="D404" s="103"/>
      <c r="E404" s="103"/>
      <c r="F404" s="103"/>
      <c r="G404" s="103"/>
      <c r="H404" s="103"/>
      <c r="I404" s="103"/>
      <c r="J404" s="103"/>
      <c r="K404" s="103"/>
    </row>
    <row r="405" spans="1:11" x14ac:dyDescent="0.25">
      <c r="A405" s="103"/>
      <c r="B405" s="103"/>
      <c r="C405" s="103"/>
      <c r="D405" s="103"/>
      <c r="E405" s="103"/>
      <c r="F405" s="103"/>
      <c r="G405" s="103"/>
      <c r="H405" s="103"/>
      <c r="I405" s="103"/>
      <c r="J405" s="103"/>
      <c r="K405" s="103"/>
    </row>
    <row r="406" spans="1:11" x14ac:dyDescent="0.25">
      <c r="A406" s="103"/>
      <c r="B406" s="103"/>
      <c r="C406" s="103"/>
      <c r="D406" s="103"/>
      <c r="E406" s="103"/>
      <c r="F406" s="103"/>
      <c r="G406" s="103"/>
      <c r="H406" s="103"/>
      <c r="I406" s="103"/>
      <c r="J406" s="103"/>
      <c r="K406" s="103"/>
    </row>
    <row r="407" spans="1:11" x14ac:dyDescent="0.25">
      <c r="A407" s="103"/>
      <c r="B407" s="103"/>
      <c r="C407" s="103"/>
      <c r="D407" s="103"/>
      <c r="E407" s="103"/>
      <c r="F407" s="103"/>
      <c r="G407" s="103"/>
      <c r="H407" s="103"/>
      <c r="I407" s="103"/>
      <c r="J407" s="103"/>
      <c r="K407" s="103"/>
    </row>
    <row r="408" spans="1:11" x14ac:dyDescent="0.25">
      <c r="A408" s="103"/>
      <c r="B408" s="103"/>
      <c r="C408" s="103"/>
      <c r="D408" s="103"/>
      <c r="E408" s="103"/>
      <c r="F408" s="103"/>
      <c r="G408" s="103"/>
      <c r="H408" s="103"/>
      <c r="I408" s="103"/>
      <c r="J408" s="103"/>
      <c r="K408" s="103"/>
    </row>
    <row r="409" spans="1:11" x14ac:dyDescent="0.25">
      <c r="A409" s="103"/>
      <c r="B409" s="103"/>
      <c r="C409" s="103"/>
      <c r="D409" s="103"/>
      <c r="E409" s="103"/>
      <c r="F409" s="103"/>
      <c r="G409" s="103"/>
      <c r="H409" s="103"/>
      <c r="I409" s="103"/>
      <c r="J409" s="103"/>
      <c r="K409" s="103"/>
    </row>
    <row r="410" spans="1:11" x14ac:dyDescent="0.25">
      <c r="A410" s="103"/>
      <c r="B410" s="103"/>
      <c r="C410" s="103"/>
      <c r="D410" s="103"/>
      <c r="E410" s="103"/>
      <c r="F410" s="103"/>
      <c r="G410" s="103"/>
      <c r="H410" s="103"/>
      <c r="I410" s="103"/>
      <c r="J410" s="103"/>
      <c r="K410" s="103"/>
    </row>
    <row r="411" spans="1:11" x14ac:dyDescent="0.25">
      <c r="A411" s="103"/>
      <c r="B411" s="103"/>
      <c r="C411" s="103"/>
      <c r="D411" s="103"/>
      <c r="E411" s="103"/>
      <c r="F411" s="103"/>
      <c r="G411" s="103"/>
      <c r="H411" s="103"/>
      <c r="I411" s="103"/>
      <c r="J411" s="103"/>
      <c r="K411" s="103"/>
    </row>
    <row r="412" spans="1:11" x14ac:dyDescent="0.25">
      <c r="A412" s="103"/>
      <c r="B412" s="103"/>
      <c r="C412" s="103"/>
      <c r="D412" s="103"/>
      <c r="E412" s="103"/>
      <c r="F412" s="103"/>
      <c r="G412" s="103"/>
      <c r="H412" s="103"/>
      <c r="I412" s="103"/>
      <c r="J412" s="103"/>
      <c r="K412" s="103"/>
    </row>
    <row r="413" spans="1:11" x14ac:dyDescent="0.25">
      <c r="A413" s="103"/>
      <c r="B413" s="103"/>
      <c r="C413" s="103"/>
      <c r="D413" s="103"/>
      <c r="E413" s="103"/>
      <c r="F413" s="103"/>
      <c r="G413" s="103"/>
      <c r="H413" s="103"/>
      <c r="I413" s="103"/>
      <c r="J413" s="103"/>
      <c r="K413" s="103"/>
    </row>
    <row r="414" spans="1:11" x14ac:dyDescent="0.25">
      <c r="A414" s="103"/>
      <c r="B414" s="103"/>
      <c r="C414" s="103"/>
      <c r="D414" s="103"/>
      <c r="E414" s="103"/>
      <c r="F414" s="103"/>
      <c r="G414" s="103"/>
      <c r="H414" s="103"/>
      <c r="I414" s="103"/>
      <c r="J414" s="103"/>
      <c r="K414" s="103"/>
    </row>
    <row r="415" spans="1:11" x14ac:dyDescent="0.25">
      <c r="A415" s="103"/>
      <c r="B415" s="103"/>
      <c r="C415" s="103"/>
      <c r="D415" s="103"/>
      <c r="E415" s="103"/>
      <c r="F415" s="103"/>
      <c r="G415" s="103"/>
      <c r="H415" s="103"/>
      <c r="I415" s="103"/>
      <c r="J415" s="103"/>
      <c r="K415" s="103"/>
    </row>
    <row r="416" spans="1:11" x14ac:dyDescent="0.25">
      <c r="A416" s="103"/>
      <c r="B416" s="103"/>
      <c r="C416" s="103"/>
      <c r="D416" s="103"/>
      <c r="E416" s="103"/>
      <c r="F416" s="103"/>
      <c r="G416" s="103"/>
      <c r="H416" s="103"/>
      <c r="I416" s="103"/>
      <c r="J416" s="103"/>
      <c r="K416" s="103"/>
    </row>
    <row r="417" spans="1:11" x14ac:dyDescent="0.25">
      <c r="A417" s="103"/>
      <c r="B417" s="103"/>
      <c r="C417" s="103"/>
      <c r="D417" s="103"/>
      <c r="E417" s="103"/>
      <c r="F417" s="103"/>
      <c r="G417" s="103"/>
      <c r="H417" s="103"/>
      <c r="I417" s="103"/>
      <c r="J417" s="103"/>
      <c r="K417" s="103"/>
    </row>
    <row r="418" spans="1:11" x14ac:dyDescent="0.25">
      <c r="A418" s="103"/>
      <c r="B418" s="103"/>
      <c r="C418" s="103"/>
      <c r="D418" s="103"/>
      <c r="E418" s="103"/>
      <c r="F418" s="103"/>
      <c r="G418" s="103"/>
      <c r="H418" s="103"/>
      <c r="I418" s="103"/>
      <c r="J418" s="103"/>
      <c r="K418" s="103"/>
    </row>
    <row r="419" spans="1:11" x14ac:dyDescent="0.25">
      <c r="A419" s="103"/>
      <c r="B419" s="103"/>
      <c r="C419" s="103"/>
      <c r="D419" s="103"/>
      <c r="E419" s="103"/>
      <c r="F419" s="103"/>
      <c r="G419" s="103"/>
      <c r="H419" s="103"/>
      <c r="I419" s="103"/>
      <c r="J419" s="103"/>
      <c r="K419" s="103"/>
    </row>
    <row r="420" spans="1:11" x14ac:dyDescent="0.25">
      <c r="A420" s="103"/>
      <c r="B420" s="103"/>
      <c r="C420" s="103"/>
      <c r="D420" s="103"/>
      <c r="E420" s="103"/>
      <c r="F420" s="103"/>
      <c r="G420" s="103"/>
      <c r="H420" s="103"/>
      <c r="I420" s="103"/>
      <c r="J420" s="103"/>
      <c r="K420" s="103"/>
    </row>
    <row r="421" spans="1:11" x14ac:dyDescent="0.25">
      <c r="A421" s="103"/>
      <c r="B421" s="103"/>
      <c r="C421" s="103"/>
      <c r="D421" s="103"/>
      <c r="E421" s="103"/>
      <c r="F421" s="103"/>
      <c r="G421" s="103"/>
      <c r="H421" s="103"/>
      <c r="I421" s="103"/>
      <c r="J421" s="103"/>
      <c r="K421" s="103"/>
    </row>
    <row r="422" spans="1:11" x14ac:dyDescent="0.25">
      <c r="A422" s="103"/>
      <c r="B422" s="103"/>
      <c r="C422" s="103"/>
      <c r="D422" s="103"/>
      <c r="E422" s="103"/>
      <c r="F422" s="103"/>
      <c r="G422" s="103"/>
      <c r="H422" s="103"/>
      <c r="I422" s="103"/>
      <c r="J422" s="103"/>
      <c r="K422" s="103"/>
    </row>
    <row r="423" spans="1:11" x14ac:dyDescent="0.25">
      <c r="A423" s="103"/>
      <c r="B423" s="103"/>
      <c r="C423" s="103"/>
      <c r="D423" s="103"/>
      <c r="E423" s="103"/>
      <c r="F423" s="103"/>
      <c r="G423" s="103"/>
      <c r="H423" s="103"/>
      <c r="I423" s="103"/>
      <c r="J423" s="103"/>
      <c r="K423" s="103"/>
    </row>
    <row r="424" spans="1:11" x14ac:dyDescent="0.25">
      <c r="A424" s="103"/>
      <c r="B424" s="103"/>
      <c r="C424" s="103"/>
      <c r="D424" s="103"/>
      <c r="E424" s="103"/>
      <c r="F424" s="103"/>
      <c r="G424" s="103"/>
      <c r="H424" s="103"/>
      <c r="I424" s="103"/>
      <c r="J424" s="103"/>
      <c r="K424" s="103"/>
    </row>
    <row r="425" spans="1:11" x14ac:dyDescent="0.25">
      <c r="A425" s="103"/>
      <c r="B425" s="103"/>
      <c r="C425" s="103"/>
      <c r="D425" s="103"/>
      <c r="E425" s="103"/>
      <c r="F425" s="103"/>
      <c r="G425" s="103"/>
      <c r="H425" s="103"/>
      <c r="I425" s="103"/>
      <c r="J425" s="103"/>
      <c r="K425" s="103"/>
    </row>
    <row r="426" spans="1:11" x14ac:dyDescent="0.25">
      <c r="A426" s="103"/>
      <c r="B426" s="103"/>
      <c r="C426" s="103"/>
      <c r="D426" s="103"/>
      <c r="E426" s="103"/>
      <c r="F426" s="103"/>
      <c r="G426" s="103"/>
      <c r="H426" s="103"/>
      <c r="I426" s="103"/>
      <c r="J426" s="103"/>
      <c r="K426" s="103"/>
    </row>
    <row r="427" spans="1:11" x14ac:dyDescent="0.25">
      <c r="A427" s="103"/>
      <c r="B427" s="103"/>
      <c r="C427" s="103"/>
      <c r="D427" s="103"/>
      <c r="E427" s="103"/>
      <c r="F427" s="103"/>
      <c r="G427" s="103"/>
      <c r="H427" s="103"/>
      <c r="I427" s="103"/>
      <c r="J427" s="103"/>
      <c r="K427" s="103"/>
    </row>
    <row r="428" spans="1:11" x14ac:dyDescent="0.25">
      <c r="A428" s="103"/>
      <c r="B428" s="103"/>
      <c r="C428" s="103"/>
      <c r="D428" s="103"/>
      <c r="E428" s="103"/>
      <c r="F428" s="103"/>
      <c r="G428" s="103"/>
      <c r="H428" s="103"/>
      <c r="I428" s="103"/>
      <c r="J428" s="103"/>
      <c r="K428" s="103"/>
    </row>
    <row r="429" spans="1:11" x14ac:dyDescent="0.25">
      <c r="A429" s="103"/>
      <c r="B429" s="103"/>
      <c r="C429" s="103"/>
      <c r="D429" s="103"/>
      <c r="E429" s="103"/>
      <c r="F429" s="103"/>
      <c r="G429" s="103"/>
      <c r="H429" s="103"/>
      <c r="I429" s="103"/>
      <c r="J429" s="103"/>
      <c r="K429" s="103"/>
    </row>
    <row r="430" spans="1:11" x14ac:dyDescent="0.25">
      <c r="A430" s="103"/>
      <c r="B430" s="103"/>
      <c r="C430" s="103"/>
      <c r="D430" s="103"/>
      <c r="E430" s="103"/>
      <c r="F430" s="103"/>
      <c r="G430" s="103"/>
      <c r="H430" s="103"/>
      <c r="I430" s="103"/>
      <c r="J430" s="103"/>
      <c r="K430" s="103"/>
    </row>
    <row r="431" spans="1:11" x14ac:dyDescent="0.25">
      <c r="A431" s="103"/>
      <c r="B431" s="103"/>
      <c r="C431" s="103"/>
      <c r="D431" s="103"/>
      <c r="E431" s="103"/>
      <c r="F431" s="103"/>
      <c r="G431" s="103"/>
      <c r="H431" s="103"/>
      <c r="I431" s="103"/>
      <c r="J431" s="103"/>
      <c r="K431" s="103"/>
    </row>
    <row r="432" spans="1:11" x14ac:dyDescent="0.25">
      <c r="A432" s="103"/>
      <c r="B432" s="103"/>
      <c r="C432" s="103"/>
      <c r="D432" s="103"/>
      <c r="E432" s="103"/>
      <c r="F432" s="103"/>
      <c r="G432" s="103"/>
      <c r="H432" s="103"/>
      <c r="I432" s="103"/>
      <c r="J432" s="103"/>
      <c r="K432" s="103"/>
    </row>
    <row r="433" spans="1:11" x14ac:dyDescent="0.25">
      <c r="A433" s="103"/>
      <c r="B433" s="103"/>
      <c r="C433" s="103"/>
      <c r="D433" s="103"/>
      <c r="E433" s="103"/>
      <c r="F433" s="103"/>
      <c r="G433" s="103"/>
      <c r="H433" s="103"/>
      <c r="I433" s="103"/>
      <c r="J433" s="103"/>
      <c r="K433" s="103"/>
    </row>
    <row r="434" spans="1:11" x14ac:dyDescent="0.25">
      <c r="A434" s="103"/>
      <c r="B434" s="103"/>
      <c r="C434" s="103"/>
      <c r="D434" s="103"/>
      <c r="E434" s="103"/>
      <c r="F434" s="103"/>
      <c r="G434" s="103"/>
      <c r="H434" s="103"/>
      <c r="I434" s="103"/>
      <c r="J434" s="103"/>
      <c r="K434" s="103"/>
    </row>
    <row r="435" spans="1:11" x14ac:dyDescent="0.25">
      <c r="A435" s="103"/>
      <c r="B435" s="103"/>
      <c r="C435" s="103"/>
      <c r="D435" s="103"/>
      <c r="E435" s="103"/>
      <c r="F435" s="103"/>
      <c r="G435" s="103"/>
      <c r="H435" s="103"/>
      <c r="I435" s="103"/>
      <c r="J435" s="103"/>
      <c r="K435" s="103"/>
    </row>
    <row r="436" spans="1:11" x14ac:dyDescent="0.25">
      <c r="A436" s="103"/>
      <c r="B436" s="103"/>
      <c r="C436" s="103"/>
      <c r="D436" s="103"/>
      <c r="E436" s="103"/>
      <c r="F436" s="103"/>
      <c r="G436" s="103"/>
      <c r="H436" s="103"/>
      <c r="I436" s="103"/>
      <c r="J436" s="103"/>
      <c r="K436" s="103"/>
    </row>
    <row r="437" spans="1:11" x14ac:dyDescent="0.25">
      <c r="A437" s="103"/>
      <c r="B437" s="103"/>
      <c r="C437" s="103"/>
      <c r="D437" s="103"/>
      <c r="E437" s="103"/>
      <c r="F437" s="103"/>
      <c r="G437" s="103"/>
      <c r="H437" s="103"/>
      <c r="I437" s="103"/>
      <c r="J437" s="103"/>
      <c r="K437" s="103"/>
    </row>
    <row r="438" spans="1:11" x14ac:dyDescent="0.25">
      <c r="A438" s="103"/>
      <c r="B438" s="103"/>
      <c r="C438" s="103"/>
      <c r="D438" s="103"/>
      <c r="E438" s="103"/>
      <c r="F438" s="103"/>
      <c r="G438" s="103"/>
      <c r="H438" s="103"/>
      <c r="I438" s="103"/>
      <c r="J438" s="103"/>
      <c r="K438" s="103"/>
    </row>
    <row r="439" spans="1:11" x14ac:dyDescent="0.25">
      <c r="A439" s="103"/>
      <c r="B439" s="103"/>
      <c r="C439" s="103"/>
      <c r="D439" s="103"/>
      <c r="E439" s="103"/>
      <c r="F439" s="103"/>
      <c r="G439" s="103"/>
      <c r="H439" s="103"/>
      <c r="I439" s="103"/>
      <c r="J439" s="103"/>
      <c r="K439" s="103"/>
    </row>
    <row r="440" spans="1:11" x14ac:dyDescent="0.25">
      <c r="A440" s="103"/>
      <c r="B440" s="103"/>
      <c r="C440" s="103"/>
      <c r="D440" s="103"/>
      <c r="E440" s="103"/>
      <c r="F440" s="103"/>
      <c r="G440" s="103"/>
      <c r="H440" s="103"/>
      <c r="I440" s="103"/>
      <c r="J440" s="103"/>
      <c r="K440" s="103"/>
    </row>
    <row r="441" spans="1:11" x14ac:dyDescent="0.25">
      <c r="A441" s="103"/>
      <c r="B441" s="103"/>
      <c r="C441" s="103"/>
      <c r="D441" s="103"/>
      <c r="E441" s="103"/>
      <c r="F441" s="103"/>
      <c r="G441" s="103"/>
      <c r="H441" s="103"/>
      <c r="I441" s="103"/>
      <c r="J441" s="103"/>
      <c r="K441" s="103"/>
    </row>
    <row r="442" spans="1:11" x14ac:dyDescent="0.25">
      <c r="A442" s="103"/>
      <c r="B442" s="103"/>
      <c r="C442" s="103"/>
      <c r="D442" s="103"/>
      <c r="E442" s="103"/>
      <c r="F442" s="103"/>
      <c r="G442" s="103"/>
      <c r="H442" s="103"/>
      <c r="I442" s="103"/>
      <c r="J442" s="103"/>
      <c r="K442" s="103"/>
    </row>
    <row r="443" spans="1:11" x14ac:dyDescent="0.25">
      <c r="A443" s="103"/>
      <c r="B443" s="103"/>
      <c r="C443" s="103"/>
      <c r="D443" s="103"/>
      <c r="E443" s="103"/>
      <c r="F443" s="103"/>
      <c r="G443" s="103"/>
      <c r="H443" s="103"/>
      <c r="I443" s="103"/>
      <c r="J443" s="103"/>
      <c r="K443" s="103"/>
    </row>
    <row r="444" spans="1:11" x14ac:dyDescent="0.25">
      <c r="A444" s="103"/>
      <c r="B444" s="103"/>
      <c r="C444" s="103"/>
      <c r="D444" s="103"/>
      <c r="E444" s="103"/>
      <c r="F444" s="103"/>
      <c r="G444" s="103"/>
      <c r="H444" s="103"/>
      <c r="I444" s="103"/>
      <c r="J444" s="103"/>
      <c r="K444" s="103"/>
    </row>
    <row r="445" spans="1:11" x14ac:dyDescent="0.25">
      <c r="A445" s="103"/>
      <c r="B445" s="103"/>
      <c r="C445" s="103"/>
      <c r="D445" s="103"/>
      <c r="E445" s="103"/>
      <c r="F445" s="103"/>
      <c r="G445" s="103"/>
      <c r="H445" s="103"/>
      <c r="I445" s="103"/>
      <c r="J445" s="103"/>
      <c r="K445" s="103"/>
    </row>
    <row r="446" spans="1:11" x14ac:dyDescent="0.25">
      <c r="A446" s="103"/>
      <c r="B446" s="103"/>
      <c r="C446" s="103"/>
      <c r="D446" s="103"/>
      <c r="E446" s="103"/>
      <c r="F446" s="103"/>
      <c r="G446" s="103"/>
      <c r="H446" s="103"/>
      <c r="I446" s="103"/>
      <c r="J446" s="103"/>
      <c r="K446" s="103"/>
    </row>
    <row r="447" spans="1:11" x14ac:dyDescent="0.25">
      <c r="A447" s="103"/>
      <c r="B447" s="103"/>
      <c r="C447" s="103"/>
      <c r="D447" s="103"/>
      <c r="E447" s="103"/>
      <c r="F447" s="103"/>
      <c r="G447" s="103"/>
      <c r="H447" s="103"/>
      <c r="I447" s="103"/>
      <c r="J447" s="103"/>
      <c r="K447" s="103"/>
    </row>
    <row r="448" spans="1:11" x14ac:dyDescent="0.25">
      <c r="A448" s="103"/>
      <c r="B448" s="103"/>
      <c r="C448" s="103"/>
      <c r="D448" s="103"/>
      <c r="E448" s="103"/>
      <c r="F448" s="103"/>
      <c r="G448" s="103"/>
      <c r="H448" s="103"/>
      <c r="I448" s="103"/>
      <c r="J448" s="103"/>
      <c r="K448" s="103"/>
    </row>
    <row r="449" spans="1:11" x14ac:dyDescent="0.25">
      <c r="A449" s="103"/>
      <c r="B449" s="103"/>
      <c r="C449" s="103"/>
      <c r="D449" s="103"/>
      <c r="E449" s="103"/>
      <c r="F449" s="103"/>
      <c r="G449" s="103"/>
      <c r="H449" s="103"/>
      <c r="I449" s="103"/>
      <c r="J449" s="103"/>
      <c r="K449" s="103"/>
    </row>
    <row r="450" spans="1:11" x14ac:dyDescent="0.25">
      <c r="A450" s="103"/>
      <c r="B450" s="103"/>
      <c r="C450" s="103"/>
      <c r="D450" s="103"/>
      <c r="E450" s="103"/>
      <c r="F450" s="103"/>
      <c r="G450" s="103"/>
      <c r="H450" s="103"/>
      <c r="I450" s="103"/>
      <c r="J450" s="103"/>
      <c r="K450" s="103"/>
    </row>
    <row r="451" spans="1:11" x14ac:dyDescent="0.25">
      <c r="A451" s="103"/>
      <c r="B451" s="103"/>
      <c r="C451" s="103"/>
      <c r="D451" s="103"/>
      <c r="E451" s="103"/>
      <c r="F451" s="103"/>
      <c r="G451" s="103"/>
      <c r="H451" s="103"/>
      <c r="I451" s="103"/>
      <c r="J451" s="103"/>
      <c r="K451" s="103"/>
    </row>
    <row r="452" spans="1:11" x14ac:dyDescent="0.25">
      <c r="A452" s="103"/>
      <c r="B452" s="103"/>
      <c r="C452" s="103"/>
      <c r="D452" s="103"/>
      <c r="E452" s="103"/>
      <c r="F452" s="103"/>
      <c r="G452" s="103"/>
      <c r="H452" s="103"/>
      <c r="I452" s="103"/>
      <c r="J452" s="103"/>
      <c r="K452" s="103"/>
    </row>
    <row r="453" spans="1:11" x14ac:dyDescent="0.25">
      <c r="A453" s="103"/>
      <c r="B453" s="103"/>
      <c r="C453" s="103"/>
      <c r="D453" s="103"/>
      <c r="E453" s="103"/>
      <c r="F453" s="103"/>
      <c r="G453" s="103"/>
      <c r="H453" s="103"/>
      <c r="I453" s="103"/>
      <c r="J453" s="103"/>
      <c r="K453" s="103"/>
    </row>
    <row r="454" spans="1:11" x14ac:dyDescent="0.25">
      <c r="A454" s="103"/>
      <c r="B454" s="103"/>
      <c r="C454" s="103"/>
      <c r="D454" s="103"/>
      <c r="E454" s="103"/>
      <c r="F454" s="103"/>
      <c r="G454" s="103"/>
      <c r="H454" s="103"/>
      <c r="I454" s="103"/>
      <c r="J454" s="103"/>
      <c r="K454" s="103"/>
    </row>
    <row r="455" spans="1:11" x14ac:dyDescent="0.25">
      <c r="A455" s="103"/>
      <c r="B455" s="103"/>
      <c r="C455" s="103"/>
      <c r="D455" s="103"/>
      <c r="E455" s="103"/>
      <c r="F455" s="103"/>
      <c r="G455" s="103"/>
      <c r="H455" s="103"/>
      <c r="I455" s="103"/>
      <c r="J455" s="103"/>
      <c r="K455" s="103"/>
    </row>
    <row r="456" spans="1:11" x14ac:dyDescent="0.25">
      <c r="A456" s="103"/>
      <c r="B456" s="103"/>
      <c r="C456" s="103"/>
      <c r="D456" s="103"/>
      <c r="E456" s="103"/>
      <c r="F456" s="103"/>
      <c r="G456" s="103"/>
      <c r="H456" s="103"/>
      <c r="I456" s="103"/>
      <c r="J456" s="103"/>
      <c r="K456" s="103"/>
    </row>
    <row r="457" spans="1:11" x14ac:dyDescent="0.25">
      <c r="A457" s="103"/>
      <c r="B457" s="103"/>
      <c r="C457" s="103"/>
      <c r="D457" s="103"/>
      <c r="E457" s="103"/>
      <c r="F457" s="103"/>
      <c r="G457" s="103"/>
      <c r="H457" s="103"/>
      <c r="I457" s="103"/>
      <c r="J457" s="103"/>
      <c r="K457" s="103"/>
    </row>
    <row r="458" spans="1:11" x14ac:dyDescent="0.25">
      <c r="A458" s="103"/>
      <c r="B458" s="103"/>
      <c r="C458" s="103"/>
      <c r="D458" s="103"/>
      <c r="E458" s="103"/>
      <c r="F458" s="103"/>
      <c r="G458" s="103"/>
      <c r="H458" s="103"/>
      <c r="I458" s="103"/>
      <c r="J458" s="103"/>
      <c r="K458" s="103"/>
    </row>
    <row r="459" spans="1:11" x14ac:dyDescent="0.25">
      <c r="A459" s="103"/>
      <c r="B459" s="103"/>
      <c r="C459" s="103"/>
      <c r="D459" s="103"/>
      <c r="E459" s="103"/>
      <c r="F459" s="103"/>
      <c r="G459" s="103"/>
      <c r="H459" s="103"/>
      <c r="I459" s="103"/>
      <c r="J459" s="103"/>
      <c r="K459" s="103"/>
    </row>
    <row r="460" spans="1:11" x14ac:dyDescent="0.25">
      <c r="A460" s="103"/>
      <c r="B460" s="103"/>
      <c r="C460" s="103"/>
      <c r="D460" s="103"/>
      <c r="E460" s="103"/>
      <c r="F460" s="103"/>
      <c r="G460" s="103"/>
      <c r="H460" s="103"/>
      <c r="I460" s="103"/>
      <c r="J460" s="103"/>
      <c r="K460" s="103"/>
    </row>
    <row r="461" spans="1:11" x14ac:dyDescent="0.25">
      <c r="A461" s="103"/>
      <c r="B461" s="103"/>
      <c r="C461" s="103"/>
      <c r="D461" s="103"/>
      <c r="E461" s="103"/>
      <c r="F461" s="103"/>
      <c r="G461" s="103"/>
      <c r="H461" s="103"/>
      <c r="I461" s="103"/>
      <c r="J461" s="103"/>
      <c r="K461" s="103"/>
    </row>
    <row r="462" spans="1:11" x14ac:dyDescent="0.25">
      <c r="A462" s="103"/>
      <c r="B462" s="103"/>
      <c r="C462" s="103"/>
      <c r="D462" s="103"/>
      <c r="E462" s="103"/>
      <c r="F462" s="103"/>
      <c r="G462" s="103"/>
      <c r="H462" s="103"/>
      <c r="I462" s="103"/>
      <c r="J462" s="103"/>
      <c r="K462" s="103"/>
    </row>
    <row r="463" spans="1:11" x14ac:dyDescent="0.25">
      <c r="A463" s="103"/>
      <c r="B463" s="103"/>
      <c r="C463" s="103"/>
      <c r="D463" s="103"/>
      <c r="E463" s="103"/>
      <c r="F463" s="103"/>
      <c r="G463" s="103"/>
      <c r="H463" s="103"/>
      <c r="I463" s="103"/>
      <c r="J463" s="103"/>
      <c r="K463" s="103"/>
    </row>
    <row r="464" spans="1:11" x14ac:dyDescent="0.25">
      <c r="A464" s="103"/>
      <c r="B464" s="103"/>
      <c r="C464" s="103"/>
      <c r="D464" s="103"/>
      <c r="E464" s="103"/>
      <c r="F464" s="103"/>
      <c r="G464" s="103"/>
      <c r="H464" s="103"/>
      <c r="I464" s="103"/>
      <c r="J464" s="103"/>
      <c r="K464" s="103"/>
    </row>
    <row r="465" spans="1:11" x14ac:dyDescent="0.25">
      <c r="A465" s="103"/>
      <c r="B465" s="103"/>
      <c r="C465" s="103"/>
      <c r="D465" s="103"/>
      <c r="E465" s="103"/>
      <c r="F465" s="103"/>
      <c r="G465" s="103"/>
      <c r="H465" s="103"/>
      <c r="I465" s="103"/>
      <c r="J465" s="103"/>
      <c r="K465" s="103"/>
    </row>
    <row r="466" spans="1:11" x14ac:dyDescent="0.25">
      <c r="A466" s="103"/>
      <c r="B466" s="103"/>
      <c r="C466" s="103"/>
      <c r="D466" s="103"/>
      <c r="E466" s="103"/>
      <c r="F466" s="103"/>
      <c r="G466" s="103"/>
      <c r="H466" s="103"/>
      <c r="I466" s="103"/>
      <c r="J466" s="103"/>
      <c r="K466" s="103"/>
    </row>
    <row r="467" spans="1:11" x14ac:dyDescent="0.25">
      <c r="A467" s="103"/>
      <c r="B467" s="103"/>
      <c r="C467" s="103"/>
      <c r="D467" s="103"/>
      <c r="E467" s="103"/>
      <c r="F467" s="103"/>
      <c r="G467" s="103"/>
      <c r="H467" s="103"/>
      <c r="I467" s="103"/>
      <c r="J467" s="103"/>
      <c r="K467" s="103"/>
    </row>
    <row r="468" spans="1:11" x14ac:dyDescent="0.25">
      <c r="A468" s="103"/>
      <c r="B468" s="103"/>
      <c r="C468" s="103"/>
      <c r="D468" s="103"/>
      <c r="E468" s="103"/>
      <c r="F468" s="103"/>
      <c r="G468" s="103"/>
      <c r="H468" s="103"/>
      <c r="I468" s="103"/>
      <c r="J468" s="103"/>
      <c r="K468" s="103"/>
    </row>
    <row r="469" spans="1:11" x14ac:dyDescent="0.25">
      <c r="A469" s="103"/>
      <c r="B469" s="103"/>
      <c r="C469" s="103"/>
      <c r="D469" s="103"/>
      <c r="E469" s="103"/>
      <c r="F469" s="103"/>
      <c r="G469" s="103"/>
      <c r="H469" s="103"/>
      <c r="I469" s="103"/>
      <c r="J469" s="103"/>
      <c r="K469" s="103"/>
    </row>
    <row r="470" spans="1:11" x14ac:dyDescent="0.25">
      <c r="A470" s="103"/>
      <c r="B470" s="103"/>
      <c r="C470" s="103"/>
      <c r="D470" s="103"/>
      <c r="E470" s="103"/>
      <c r="F470" s="103"/>
      <c r="G470" s="103"/>
      <c r="H470" s="103"/>
      <c r="I470" s="103"/>
      <c r="J470" s="103"/>
      <c r="K470" s="103"/>
    </row>
    <row r="471" spans="1:11" x14ac:dyDescent="0.25">
      <c r="A471" s="103"/>
      <c r="B471" s="103"/>
      <c r="C471" s="103"/>
      <c r="D471" s="103"/>
      <c r="E471" s="103"/>
      <c r="F471" s="103"/>
      <c r="G471" s="103"/>
      <c r="H471" s="103"/>
      <c r="I471" s="103"/>
      <c r="J471" s="103"/>
      <c r="K471" s="103"/>
    </row>
    <row r="472" spans="1:11" x14ac:dyDescent="0.25">
      <c r="A472" s="103"/>
      <c r="B472" s="103"/>
      <c r="C472" s="103"/>
      <c r="D472" s="103"/>
      <c r="E472" s="103"/>
      <c r="F472" s="103"/>
      <c r="G472" s="103"/>
      <c r="H472" s="103"/>
      <c r="I472" s="103"/>
      <c r="J472" s="103"/>
      <c r="K472" s="103"/>
    </row>
    <row r="473" spans="1:11" x14ac:dyDescent="0.25">
      <c r="A473" s="103"/>
      <c r="B473" s="103"/>
      <c r="C473" s="103"/>
      <c r="D473" s="103"/>
      <c r="E473" s="103"/>
      <c r="F473" s="103"/>
      <c r="G473" s="103"/>
      <c r="H473" s="103"/>
      <c r="I473" s="103"/>
      <c r="J473" s="103"/>
      <c r="K473" s="103"/>
    </row>
    <row r="474" spans="1:11" x14ac:dyDescent="0.25">
      <c r="A474" s="103"/>
      <c r="B474" s="103"/>
      <c r="C474" s="103"/>
      <c r="D474" s="103"/>
      <c r="E474" s="103"/>
      <c r="F474" s="103"/>
      <c r="G474" s="103"/>
      <c r="H474" s="103"/>
      <c r="I474" s="103"/>
      <c r="J474" s="103"/>
      <c r="K474" s="103"/>
    </row>
    <row r="475" spans="1:11" x14ac:dyDescent="0.25">
      <c r="A475" s="103"/>
      <c r="B475" s="103"/>
      <c r="C475" s="103"/>
      <c r="D475" s="103"/>
      <c r="E475" s="103"/>
      <c r="F475" s="103"/>
      <c r="G475" s="103"/>
      <c r="H475" s="103"/>
      <c r="I475" s="103"/>
      <c r="J475" s="103"/>
      <c r="K475" s="103"/>
    </row>
    <row r="476" spans="1:11" x14ac:dyDescent="0.25">
      <c r="A476" s="103"/>
      <c r="B476" s="103"/>
      <c r="C476" s="103"/>
      <c r="D476" s="103"/>
      <c r="E476" s="103"/>
      <c r="F476" s="103"/>
      <c r="G476" s="103"/>
      <c r="H476" s="103"/>
      <c r="I476" s="103"/>
      <c r="J476" s="103"/>
      <c r="K476" s="103"/>
    </row>
    <row r="477" spans="1:11" x14ac:dyDescent="0.25">
      <c r="A477" s="103"/>
      <c r="B477" s="103"/>
      <c r="C477" s="103"/>
      <c r="D477" s="103"/>
      <c r="E477" s="103"/>
      <c r="F477" s="103"/>
      <c r="G477" s="103"/>
      <c r="H477" s="103"/>
      <c r="I477" s="103"/>
      <c r="J477" s="103"/>
      <c r="K477" s="103"/>
    </row>
    <row r="478" spans="1:11" x14ac:dyDescent="0.25">
      <c r="A478" s="103"/>
      <c r="B478" s="103"/>
      <c r="C478" s="103"/>
      <c r="D478" s="103"/>
      <c r="E478" s="103"/>
      <c r="F478" s="103"/>
      <c r="G478" s="103"/>
      <c r="H478" s="103"/>
      <c r="I478" s="103"/>
      <c r="J478" s="103"/>
      <c r="K478" s="103"/>
    </row>
    <row r="479" spans="1:11" x14ac:dyDescent="0.25">
      <c r="A479" s="103"/>
      <c r="B479" s="103"/>
      <c r="C479" s="103"/>
      <c r="D479" s="103"/>
      <c r="E479" s="103"/>
      <c r="F479" s="103"/>
      <c r="G479" s="103"/>
      <c r="H479" s="103"/>
      <c r="I479" s="103"/>
      <c r="J479" s="103"/>
      <c r="K479" s="103"/>
    </row>
    <row r="480" spans="1:11" x14ac:dyDescent="0.25">
      <c r="A480" s="103"/>
      <c r="B480" s="103"/>
      <c r="C480" s="103"/>
      <c r="D480" s="103"/>
      <c r="E480" s="103"/>
      <c r="F480" s="103"/>
      <c r="G480" s="103"/>
      <c r="H480" s="103"/>
      <c r="I480" s="103"/>
      <c r="J480" s="103"/>
      <c r="K480" s="103"/>
    </row>
    <row r="481" spans="1:11" x14ac:dyDescent="0.25">
      <c r="A481" s="103"/>
      <c r="B481" s="103"/>
      <c r="C481" s="103"/>
      <c r="D481" s="103"/>
      <c r="E481" s="103"/>
      <c r="F481" s="103"/>
      <c r="G481" s="103"/>
      <c r="H481" s="103"/>
      <c r="I481" s="103"/>
      <c r="J481" s="103"/>
      <c r="K481" s="103"/>
    </row>
    <row r="482" spans="1:11" x14ac:dyDescent="0.25">
      <c r="A482" s="103"/>
      <c r="B482" s="103"/>
      <c r="C482" s="103"/>
      <c r="D482" s="103"/>
      <c r="E482" s="103"/>
      <c r="F482" s="103"/>
      <c r="G482" s="103"/>
      <c r="H482" s="103"/>
      <c r="I482" s="103"/>
      <c r="J482" s="103"/>
      <c r="K482" s="103"/>
    </row>
    <row r="483" spans="1:11" x14ac:dyDescent="0.25">
      <c r="A483" s="103"/>
      <c r="B483" s="103"/>
      <c r="C483" s="103"/>
      <c r="D483" s="103"/>
      <c r="E483" s="103"/>
      <c r="F483" s="103"/>
      <c r="G483" s="103"/>
      <c r="H483" s="103"/>
      <c r="I483" s="103"/>
      <c r="J483" s="103"/>
      <c r="K483" s="103"/>
    </row>
    <row r="484" spans="1:11" x14ac:dyDescent="0.25">
      <c r="A484" s="103"/>
      <c r="B484" s="103"/>
      <c r="C484" s="103"/>
      <c r="D484" s="103"/>
      <c r="E484" s="103"/>
      <c r="F484" s="103"/>
      <c r="G484" s="103"/>
      <c r="H484" s="103"/>
      <c r="I484" s="103"/>
      <c r="J484" s="103"/>
      <c r="K484" s="103"/>
    </row>
    <row r="485" spans="1:11" x14ac:dyDescent="0.25">
      <c r="A485" s="103"/>
      <c r="B485" s="103"/>
      <c r="C485" s="103"/>
      <c r="D485" s="103"/>
      <c r="E485" s="103"/>
      <c r="F485" s="103"/>
      <c r="G485" s="103"/>
      <c r="H485" s="103"/>
      <c r="I485" s="103"/>
      <c r="J485" s="103"/>
      <c r="K485" s="103"/>
    </row>
    <row r="486" spans="1:11" x14ac:dyDescent="0.25">
      <c r="A486" s="103"/>
      <c r="B486" s="103"/>
      <c r="C486" s="103"/>
      <c r="D486" s="103"/>
      <c r="E486" s="103"/>
      <c r="F486" s="103"/>
      <c r="G486" s="103"/>
      <c r="H486" s="103"/>
      <c r="I486" s="103"/>
      <c r="J486" s="103"/>
      <c r="K486" s="103"/>
    </row>
    <row r="487" spans="1:11" x14ac:dyDescent="0.25">
      <c r="A487" s="103"/>
      <c r="B487" s="103"/>
      <c r="C487" s="103"/>
      <c r="D487" s="103"/>
      <c r="E487" s="103"/>
      <c r="F487" s="103"/>
      <c r="G487" s="103"/>
      <c r="H487" s="103"/>
      <c r="I487" s="103"/>
      <c r="J487" s="103"/>
      <c r="K487" s="103"/>
    </row>
    <row r="488" spans="1:11" x14ac:dyDescent="0.25">
      <c r="A488" s="103"/>
      <c r="B488" s="103"/>
      <c r="C488" s="103"/>
      <c r="D488" s="103"/>
      <c r="E488" s="103"/>
      <c r="F488" s="103"/>
      <c r="G488" s="103"/>
      <c r="H488" s="103"/>
      <c r="I488" s="103"/>
      <c r="J488" s="103"/>
      <c r="K488" s="103"/>
    </row>
    <row r="489" spans="1:11" x14ac:dyDescent="0.25">
      <c r="A489" s="103"/>
      <c r="B489" s="103"/>
      <c r="C489" s="103"/>
      <c r="D489" s="103"/>
      <c r="E489" s="103"/>
      <c r="F489" s="103"/>
      <c r="G489" s="103"/>
      <c r="H489" s="103"/>
      <c r="I489" s="103"/>
      <c r="J489" s="103"/>
      <c r="K489" s="103"/>
    </row>
    <row r="490" spans="1:11" x14ac:dyDescent="0.25">
      <c r="A490" s="103"/>
      <c r="B490" s="103"/>
      <c r="C490" s="103"/>
      <c r="D490" s="103"/>
      <c r="E490" s="103"/>
      <c r="F490" s="103"/>
      <c r="G490" s="103"/>
      <c r="H490" s="103"/>
      <c r="I490" s="103"/>
      <c r="J490" s="103"/>
      <c r="K490" s="103"/>
    </row>
    <row r="491" spans="1:11" x14ac:dyDescent="0.25">
      <c r="A491" s="103"/>
      <c r="B491" s="103"/>
      <c r="C491" s="103"/>
      <c r="D491" s="103"/>
      <c r="E491" s="103"/>
      <c r="F491" s="103"/>
      <c r="G491" s="103"/>
      <c r="H491" s="103"/>
      <c r="I491" s="103"/>
      <c r="J491" s="103"/>
      <c r="K491" s="103"/>
    </row>
    <row r="492" spans="1:11" x14ac:dyDescent="0.25">
      <c r="A492" s="103"/>
      <c r="B492" s="103"/>
      <c r="C492" s="103"/>
      <c r="D492" s="103"/>
      <c r="E492" s="103"/>
      <c r="F492" s="103"/>
      <c r="G492" s="103"/>
      <c r="H492" s="103"/>
      <c r="I492" s="103"/>
      <c r="J492" s="103"/>
      <c r="K492" s="103"/>
    </row>
    <row r="493" spans="1:11" x14ac:dyDescent="0.25">
      <c r="A493" s="103"/>
      <c r="B493" s="103"/>
      <c r="C493" s="103"/>
      <c r="D493" s="103"/>
      <c r="E493" s="103"/>
      <c r="F493" s="103"/>
      <c r="G493" s="103"/>
      <c r="H493" s="103"/>
      <c r="I493" s="103"/>
      <c r="J493" s="103"/>
      <c r="K493" s="103"/>
    </row>
    <row r="494" spans="1:11" x14ac:dyDescent="0.25">
      <c r="A494" s="103"/>
      <c r="B494" s="103"/>
      <c r="C494" s="103"/>
      <c r="D494" s="103"/>
      <c r="E494" s="103"/>
      <c r="F494" s="103"/>
      <c r="G494" s="103"/>
      <c r="H494" s="103"/>
      <c r="I494" s="103"/>
      <c r="J494" s="103"/>
      <c r="K494" s="103"/>
    </row>
    <row r="495" spans="1:11" x14ac:dyDescent="0.25">
      <c r="A495" s="103"/>
      <c r="B495" s="103"/>
      <c r="C495" s="103"/>
      <c r="D495" s="103"/>
      <c r="E495" s="103"/>
      <c r="F495" s="103"/>
      <c r="G495" s="103"/>
      <c r="H495" s="103"/>
      <c r="I495" s="103"/>
      <c r="J495" s="103"/>
      <c r="K495" s="103"/>
    </row>
    <row r="496" spans="1:11" x14ac:dyDescent="0.25">
      <c r="A496" s="103"/>
      <c r="B496" s="103"/>
      <c r="C496" s="103"/>
      <c r="D496" s="103"/>
      <c r="E496" s="103"/>
      <c r="F496" s="103"/>
      <c r="G496" s="103"/>
      <c r="H496" s="103"/>
      <c r="I496" s="103"/>
      <c r="J496" s="103"/>
      <c r="K496" s="103"/>
    </row>
    <row r="497" spans="1:11" x14ac:dyDescent="0.25">
      <c r="A497" s="103"/>
      <c r="B497" s="103"/>
      <c r="C497" s="103"/>
      <c r="D497" s="103"/>
      <c r="E497" s="103"/>
      <c r="F497" s="103"/>
      <c r="G497" s="103"/>
      <c r="H497" s="103"/>
      <c r="I497" s="103"/>
      <c r="J497" s="103"/>
      <c r="K497" s="103"/>
    </row>
    <row r="498" spans="1:11" x14ac:dyDescent="0.25">
      <c r="A498" s="103"/>
      <c r="B498" s="103"/>
      <c r="C498" s="103"/>
      <c r="D498" s="103"/>
      <c r="E498" s="103"/>
      <c r="F498" s="103"/>
      <c r="G498" s="103"/>
      <c r="H498" s="103"/>
      <c r="I498" s="103"/>
      <c r="J498" s="103"/>
      <c r="K498" s="103"/>
    </row>
    <row r="499" spans="1:11" x14ac:dyDescent="0.25">
      <c r="A499" s="103"/>
      <c r="B499" s="103"/>
      <c r="C499" s="103"/>
      <c r="D499" s="103"/>
      <c r="E499" s="103"/>
      <c r="F499" s="103"/>
      <c r="G499" s="103"/>
      <c r="H499" s="103"/>
      <c r="I499" s="103"/>
      <c r="J499" s="103"/>
      <c r="K499" s="103"/>
    </row>
    <row r="500" spans="1:11" x14ac:dyDescent="0.25">
      <c r="A500" s="103"/>
      <c r="B500" s="103"/>
      <c r="C500" s="103"/>
      <c r="D500" s="103"/>
      <c r="E500" s="103"/>
      <c r="F500" s="103"/>
      <c r="G500" s="103"/>
      <c r="H500" s="103"/>
      <c r="I500" s="103"/>
      <c r="J500" s="103"/>
      <c r="K500" s="103"/>
    </row>
    <row r="501" spans="1:11" x14ac:dyDescent="0.25">
      <c r="A501" s="103"/>
      <c r="B501" s="103"/>
      <c r="C501" s="103"/>
      <c r="D501" s="103"/>
      <c r="E501" s="103"/>
      <c r="F501" s="103"/>
      <c r="G501" s="103"/>
      <c r="H501" s="103"/>
      <c r="I501" s="103"/>
      <c r="J501" s="103"/>
      <c r="K501" s="103"/>
    </row>
    <row r="502" spans="1:11" x14ac:dyDescent="0.25">
      <c r="A502" s="103"/>
      <c r="B502" s="103"/>
      <c r="C502" s="103"/>
      <c r="D502" s="103"/>
      <c r="E502" s="103"/>
      <c r="F502" s="103"/>
      <c r="G502" s="103"/>
      <c r="H502" s="103"/>
      <c r="I502" s="103"/>
      <c r="J502" s="103"/>
      <c r="K502" s="103"/>
    </row>
    <row r="503" spans="1:11" x14ac:dyDescent="0.25">
      <c r="A503" s="103"/>
      <c r="B503" s="103"/>
      <c r="C503" s="103"/>
      <c r="D503" s="103"/>
      <c r="E503" s="103"/>
      <c r="F503" s="103"/>
      <c r="G503" s="103"/>
      <c r="H503" s="103"/>
      <c r="I503" s="103"/>
      <c r="J503" s="103"/>
      <c r="K503" s="103"/>
    </row>
    <row r="504" spans="1:11" x14ac:dyDescent="0.25">
      <c r="A504" s="103"/>
      <c r="B504" s="103"/>
      <c r="C504" s="103"/>
      <c r="D504" s="103"/>
      <c r="E504" s="103"/>
      <c r="F504" s="103"/>
      <c r="G504" s="103"/>
      <c r="H504" s="103"/>
      <c r="I504" s="103"/>
      <c r="J504" s="103"/>
      <c r="K504" s="103"/>
    </row>
    <row r="505" spans="1:11" x14ac:dyDescent="0.25">
      <c r="A505" s="103"/>
      <c r="B505" s="103"/>
      <c r="C505" s="103"/>
      <c r="D505" s="103"/>
      <c r="E505" s="103"/>
      <c r="F505" s="103"/>
      <c r="G505" s="103"/>
      <c r="H505" s="103"/>
      <c r="I505" s="103"/>
      <c r="J505" s="103"/>
      <c r="K505" s="103"/>
    </row>
    <row r="506" spans="1:11" x14ac:dyDescent="0.25">
      <c r="A506" s="103"/>
      <c r="B506" s="103"/>
      <c r="C506" s="103"/>
      <c r="D506" s="103"/>
      <c r="E506" s="103"/>
      <c r="F506" s="103"/>
      <c r="G506" s="103"/>
      <c r="H506" s="103"/>
      <c r="I506" s="103"/>
      <c r="J506" s="103"/>
      <c r="K506" s="103"/>
    </row>
    <row r="507" spans="1:11" x14ac:dyDescent="0.25">
      <c r="A507" s="103"/>
      <c r="B507" s="103"/>
      <c r="C507" s="103"/>
      <c r="D507" s="103"/>
      <c r="E507" s="103"/>
      <c r="F507" s="103"/>
      <c r="G507" s="103"/>
      <c r="H507" s="103"/>
      <c r="I507" s="103"/>
      <c r="J507" s="103"/>
      <c r="K507" s="103"/>
    </row>
    <row r="508" spans="1:11" x14ac:dyDescent="0.25">
      <c r="A508" s="103"/>
      <c r="B508" s="103"/>
      <c r="C508" s="103"/>
      <c r="D508" s="103"/>
      <c r="E508" s="103"/>
      <c r="F508" s="103"/>
      <c r="G508" s="103"/>
      <c r="H508" s="103"/>
      <c r="I508" s="103"/>
      <c r="J508" s="103"/>
      <c r="K508" s="103"/>
    </row>
    <row r="509" spans="1:11" x14ac:dyDescent="0.25">
      <c r="A509" s="103"/>
      <c r="B509" s="103"/>
      <c r="C509" s="103"/>
      <c r="D509" s="103"/>
      <c r="E509" s="103"/>
      <c r="F509" s="103"/>
      <c r="G509" s="103"/>
      <c r="H509" s="103"/>
      <c r="I509" s="103"/>
      <c r="J509" s="103"/>
      <c r="K509" s="103"/>
    </row>
    <row r="510" spans="1:11" x14ac:dyDescent="0.25">
      <c r="A510" s="103"/>
      <c r="B510" s="103"/>
      <c r="C510" s="103"/>
      <c r="D510" s="103"/>
      <c r="E510" s="103"/>
      <c r="F510" s="103"/>
      <c r="G510" s="103"/>
      <c r="H510" s="103"/>
      <c r="I510" s="103"/>
      <c r="J510" s="103"/>
      <c r="K510" s="103"/>
    </row>
    <row r="511" spans="1:11" x14ac:dyDescent="0.25">
      <c r="A511" s="103"/>
      <c r="B511" s="103"/>
      <c r="C511" s="103"/>
      <c r="D511" s="103"/>
      <c r="E511" s="103"/>
      <c r="F511" s="103"/>
      <c r="G511" s="103"/>
      <c r="H511" s="103"/>
      <c r="I511" s="103"/>
      <c r="J511" s="103"/>
      <c r="K511" s="103"/>
    </row>
    <row r="512" spans="1:11" x14ac:dyDescent="0.25">
      <c r="A512" s="103"/>
      <c r="B512" s="103"/>
      <c r="C512" s="103"/>
      <c r="D512" s="103"/>
      <c r="E512" s="103"/>
      <c r="F512" s="103"/>
      <c r="G512" s="103"/>
      <c r="H512" s="103"/>
      <c r="I512" s="103"/>
      <c r="J512" s="103"/>
      <c r="K512" s="103"/>
    </row>
    <row r="513" spans="1:11" x14ac:dyDescent="0.25">
      <c r="A513" s="103"/>
      <c r="B513" s="103"/>
      <c r="C513" s="103"/>
      <c r="D513" s="103"/>
      <c r="E513" s="103"/>
      <c r="F513" s="103"/>
      <c r="G513" s="103"/>
      <c r="H513" s="103"/>
      <c r="I513" s="103"/>
      <c r="J513" s="103"/>
      <c r="K513" s="103"/>
    </row>
    <row r="514" spans="1:11" x14ac:dyDescent="0.25">
      <c r="A514" s="103"/>
      <c r="B514" s="103"/>
      <c r="C514" s="103"/>
      <c r="D514" s="103"/>
      <c r="E514" s="103"/>
      <c r="F514" s="103"/>
      <c r="G514" s="103"/>
      <c r="H514" s="103"/>
      <c r="I514" s="103"/>
      <c r="J514" s="103"/>
      <c r="K514" s="103"/>
    </row>
    <row r="515" spans="1:11" x14ac:dyDescent="0.25">
      <c r="A515" s="103"/>
      <c r="B515" s="103"/>
      <c r="C515" s="103"/>
      <c r="D515" s="103"/>
      <c r="E515" s="103"/>
      <c r="F515" s="103"/>
      <c r="G515" s="103"/>
      <c r="H515" s="103"/>
      <c r="I515" s="103"/>
      <c r="J515" s="103"/>
      <c r="K515" s="103"/>
    </row>
    <row r="516" spans="1:11" x14ac:dyDescent="0.25">
      <c r="A516" s="103"/>
      <c r="B516" s="103"/>
      <c r="C516" s="103"/>
      <c r="D516" s="103"/>
      <c r="E516" s="103"/>
      <c r="F516" s="103"/>
      <c r="G516" s="103"/>
      <c r="H516" s="103"/>
      <c r="I516" s="103"/>
      <c r="J516" s="103"/>
      <c r="K516" s="103"/>
    </row>
    <row r="517" spans="1:11" x14ac:dyDescent="0.25">
      <c r="A517" s="103"/>
      <c r="B517" s="103"/>
      <c r="C517" s="103"/>
      <c r="D517" s="103"/>
      <c r="E517" s="103"/>
      <c r="F517" s="103"/>
      <c r="G517" s="103"/>
      <c r="H517" s="103"/>
      <c r="I517" s="103"/>
      <c r="J517" s="103"/>
      <c r="K517" s="103"/>
    </row>
    <row r="518" spans="1:11" x14ac:dyDescent="0.25">
      <c r="A518" s="103"/>
      <c r="B518" s="103"/>
      <c r="C518" s="103"/>
      <c r="D518" s="103"/>
      <c r="E518" s="103"/>
      <c r="F518" s="103"/>
      <c r="G518" s="103"/>
      <c r="H518" s="103"/>
      <c r="I518" s="103"/>
      <c r="J518" s="103"/>
      <c r="K518" s="103"/>
    </row>
    <row r="519" spans="1:11" x14ac:dyDescent="0.25">
      <c r="A519" s="103"/>
      <c r="B519" s="103"/>
      <c r="C519" s="103"/>
      <c r="D519" s="103"/>
      <c r="E519" s="103"/>
      <c r="F519" s="103"/>
      <c r="G519" s="103"/>
      <c r="H519" s="103"/>
      <c r="I519" s="103"/>
      <c r="J519" s="103"/>
      <c r="K519" s="103"/>
    </row>
    <row r="520" spans="1:11" x14ac:dyDescent="0.25">
      <c r="A520" s="103"/>
      <c r="B520" s="103"/>
      <c r="C520" s="103"/>
      <c r="D520" s="103"/>
      <c r="E520" s="103"/>
      <c r="F520" s="103"/>
      <c r="G520" s="103"/>
      <c r="H520" s="103"/>
      <c r="I520" s="103"/>
      <c r="J520" s="103"/>
      <c r="K520" s="103"/>
    </row>
    <row r="521" spans="1:11" x14ac:dyDescent="0.25">
      <c r="A521" s="103"/>
      <c r="B521" s="103"/>
      <c r="C521" s="103"/>
      <c r="D521" s="103"/>
      <c r="E521" s="103"/>
      <c r="F521" s="103"/>
      <c r="G521" s="103"/>
      <c r="H521" s="103"/>
      <c r="I521" s="103"/>
      <c r="J521" s="103"/>
      <c r="K521" s="103"/>
    </row>
    <row r="522" spans="1:11" x14ac:dyDescent="0.25">
      <c r="A522" s="103"/>
      <c r="B522" s="103"/>
      <c r="C522" s="103"/>
      <c r="D522" s="103"/>
      <c r="E522" s="103"/>
      <c r="F522" s="103"/>
      <c r="G522" s="103"/>
      <c r="H522" s="103"/>
      <c r="I522" s="103"/>
      <c r="J522" s="103"/>
      <c r="K522" s="103"/>
    </row>
    <row r="523" spans="1:11" x14ac:dyDescent="0.25">
      <c r="A523" s="103"/>
      <c r="B523" s="103"/>
      <c r="C523" s="103"/>
      <c r="D523" s="103"/>
      <c r="E523" s="103"/>
      <c r="F523" s="103"/>
      <c r="G523" s="103"/>
      <c r="H523" s="103"/>
      <c r="I523" s="103"/>
      <c r="J523" s="103"/>
      <c r="K523" s="103"/>
    </row>
    <row r="524" spans="1:11" x14ac:dyDescent="0.25">
      <c r="A524" s="103"/>
      <c r="B524" s="103"/>
      <c r="C524" s="103"/>
      <c r="D524" s="103"/>
      <c r="E524" s="103"/>
      <c r="F524" s="103"/>
      <c r="G524" s="103"/>
      <c r="H524" s="103"/>
      <c r="I524" s="103"/>
      <c r="J524" s="103"/>
      <c r="K524" s="103"/>
    </row>
    <row r="525" spans="1:11" x14ac:dyDescent="0.25">
      <c r="A525" s="103"/>
      <c r="B525" s="103"/>
      <c r="C525" s="103"/>
      <c r="D525" s="103"/>
      <c r="E525" s="103"/>
      <c r="F525" s="103"/>
      <c r="G525" s="103"/>
      <c r="H525" s="103"/>
      <c r="I525" s="103"/>
      <c r="J525" s="103"/>
      <c r="K525" s="103"/>
    </row>
    <row r="526" spans="1:11" x14ac:dyDescent="0.25">
      <c r="A526" s="103"/>
      <c r="B526" s="103"/>
      <c r="C526" s="103"/>
      <c r="D526" s="103"/>
      <c r="E526" s="103"/>
      <c r="F526" s="103"/>
      <c r="G526" s="103"/>
      <c r="H526" s="103"/>
      <c r="I526" s="103"/>
      <c r="J526" s="103"/>
      <c r="K526" s="103"/>
    </row>
    <row r="527" spans="1:11" x14ac:dyDescent="0.25">
      <c r="A527" s="103"/>
      <c r="B527" s="103"/>
      <c r="C527" s="103"/>
      <c r="D527" s="103"/>
      <c r="E527" s="103"/>
      <c r="F527" s="103"/>
      <c r="G527" s="103"/>
      <c r="H527" s="103"/>
      <c r="I527" s="103"/>
      <c r="J527" s="103"/>
      <c r="K527" s="103"/>
    </row>
    <row r="528" spans="1:11" x14ac:dyDescent="0.25">
      <c r="A528" s="103"/>
      <c r="B528" s="103"/>
      <c r="C528" s="103"/>
      <c r="D528" s="103"/>
      <c r="E528" s="103"/>
      <c r="F528" s="103"/>
      <c r="G528" s="103"/>
      <c r="H528" s="103"/>
      <c r="I528" s="103"/>
      <c r="J528" s="103"/>
      <c r="K528" s="103"/>
    </row>
    <row r="529" spans="1:11" x14ac:dyDescent="0.25">
      <c r="A529" s="103"/>
      <c r="B529" s="103"/>
      <c r="C529" s="103"/>
      <c r="D529" s="103"/>
      <c r="E529" s="103"/>
      <c r="F529" s="103"/>
      <c r="G529" s="103"/>
      <c r="H529" s="103"/>
      <c r="I529" s="103"/>
      <c r="J529" s="103"/>
      <c r="K529" s="103"/>
    </row>
    <row r="530" spans="1:11" x14ac:dyDescent="0.25">
      <c r="A530" s="103"/>
      <c r="B530" s="103"/>
      <c r="C530" s="103"/>
      <c r="D530" s="103"/>
      <c r="E530" s="103"/>
      <c r="F530" s="103"/>
      <c r="G530" s="103"/>
      <c r="H530" s="103"/>
      <c r="I530" s="103"/>
      <c r="J530" s="103"/>
      <c r="K530" s="103"/>
    </row>
    <row r="531" spans="1:11" x14ac:dyDescent="0.25">
      <c r="A531" s="103"/>
      <c r="B531" s="103"/>
      <c r="C531" s="103"/>
      <c r="D531" s="103"/>
      <c r="E531" s="103"/>
      <c r="F531" s="103"/>
      <c r="G531" s="103"/>
      <c r="H531" s="103"/>
      <c r="I531" s="103"/>
      <c r="J531" s="103"/>
      <c r="K531" s="103"/>
    </row>
    <row r="532" spans="1:11" x14ac:dyDescent="0.25">
      <c r="A532" s="103"/>
      <c r="B532" s="103"/>
      <c r="C532" s="103"/>
      <c r="D532" s="103"/>
      <c r="E532" s="103"/>
      <c r="F532" s="103"/>
      <c r="G532" s="103"/>
      <c r="H532" s="103"/>
      <c r="I532" s="103"/>
      <c r="J532" s="103"/>
      <c r="K532" s="103"/>
    </row>
    <row r="533" spans="1:11" x14ac:dyDescent="0.25">
      <c r="A533" s="103"/>
      <c r="B533" s="103"/>
      <c r="C533" s="103"/>
      <c r="D533" s="103"/>
      <c r="E533" s="103"/>
      <c r="F533" s="103"/>
      <c r="G533" s="103"/>
      <c r="H533" s="103"/>
      <c r="I533" s="103"/>
      <c r="J533" s="103"/>
      <c r="K533" s="103"/>
    </row>
    <row r="534" spans="1:11" x14ac:dyDescent="0.25">
      <c r="A534" s="103"/>
      <c r="B534" s="103"/>
      <c r="C534" s="103"/>
      <c r="D534" s="103"/>
      <c r="E534" s="103"/>
      <c r="F534" s="103"/>
      <c r="G534" s="103"/>
      <c r="H534" s="103"/>
      <c r="I534" s="103"/>
      <c r="J534" s="103"/>
      <c r="K534" s="103"/>
    </row>
    <row r="535" spans="1:11" x14ac:dyDescent="0.25">
      <c r="A535" s="103"/>
      <c r="B535" s="103"/>
      <c r="C535" s="103"/>
      <c r="D535" s="103"/>
      <c r="E535" s="103"/>
      <c r="F535" s="103"/>
      <c r="G535" s="103"/>
      <c r="H535" s="103"/>
      <c r="I535" s="103"/>
      <c r="J535" s="103"/>
      <c r="K535" s="103"/>
    </row>
    <row r="536" spans="1:11" x14ac:dyDescent="0.25">
      <c r="A536" s="103"/>
      <c r="B536" s="103"/>
      <c r="C536" s="103"/>
      <c r="D536" s="103"/>
      <c r="E536" s="103"/>
      <c r="F536" s="103"/>
      <c r="G536" s="103"/>
      <c r="H536" s="103"/>
      <c r="I536" s="103"/>
      <c r="J536" s="103"/>
      <c r="K536" s="103"/>
    </row>
    <row r="537" spans="1:11" x14ac:dyDescent="0.25">
      <c r="A537" s="103"/>
      <c r="B537" s="103"/>
      <c r="C537" s="103"/>
      <c r="D537" s="103"/>
      <c r="E537" s="103"/>
      <c r="F537" s="103"/>
      <c r="G537" s="103"/>
      <c r="H537" s="103"/>
      <c r="I537" s="103"/>
      <c r="J537" s="103"/>
      <c r="K537" s="103"/>
    </row>
    <row r="538" spans="1:11" x14ac:dyDescent="0.25">
      <c r="A538" s="103"/>
      <c r="B538" s="103"/>
      <c r="C538" s="103"/>
      <c r="D538" s="103"/>
      <c r="E538" s="103"/>
      <c r="F538" s="103"/>
      <c r="G538" s="103"/>
      <c r="H538" s="103"/>
      <c r="I538" s="103"/>
      <c r="J538" s="103"/>
      <c r="K538" s="103"/>
    </row>
    <row r="539" spans="1:11" x14ac:dyDescent="0.25">
      <c r="A539" s="103"/>
      <c r="B539" s="103"/>
      <c r="C539" s="103"/>
      <c r="D539" s="103"/>
      <c r="E539" s="103"/>
      <c r="F539" s="103"/>
      <c r="G539" s="103"/>
      <c r="H539" s="103"/>
      <c r="I539" s="103"/>
      <c r="J539" s="103"/>
      <c r="K539" s="103"/>
    </row>
    <row r="540" spans="1:11" x14ac:dyDescent="0.25">
      <c r="A540" s="103"/>
      <c r="B540" s="103"/>
      <c r="C540" s="103"/>
      <c r="D540" s="103"/>
      <c r="E540" s="103"/>
      <c r="F540" s="103"/>
      <c r="G540" s="103"/>
      <c r="H540" s="103"/>
      <c r="I540" s="103"/>
      <c r="J540" s="103"/>
      <c r="K540" s="103"/>
    </row>
    <row r="541" spans="1:11" x14ac:dyDescent="0.25">
      <c r="A541" s="103"/>
      <c r="B541" s="103"/>
      <c r="C541" s="103"/>
      <c r="D541" s="103"/>
      <c r="E541" s="103"/>
      <c r="F541" s="103"/>
      <c r="G541" s="103"/>
      <c r="H541" s="103"/>
      <c r="I541" s="103"/>
      <c r="J541" s="103"/>
      <c r="K541" s="103"/>
    </row>
    <row r="542" spans="1:11" x14ac:dyDescent="0.25">
      <c r="A542" s="103"/>
      <c r="B542" s="103"/>
      <c r="C542" s="103"/>
      <c r="D542" s="103"/>
      <c r="E542" s="103"/>
      <c r="F542" s="103"/>
      <c r="G542" s="103"/>
      <c r="H542" s="103"/>
      <c r="I542" s="103"/>
      <c r="J542" s="103"/>
      <c r="K542" s="103"/>
    </row>
    <row r="543" spans="1:11" x14ac:dyDescent="0.25">
      <c r="A543" s="103"/>
      <c r="B543" s="103"/>
      <c r="C543" s="103"/>
      <c r="D543" s="103"/>
      <c r="E543" s="103"/>
      <c r="F543" s="103"/>
      <c r="G543" s="103"/>
      <c r="H543" s="103"/>
      <c r="I543" s="103"/>
      <c r="J543" s="103"/>
      <c r="K543" s="103"/>
    </row>
    <row r="544" spans="1:11" x14ac:dyDescent="0.25">
      <c r="A544" s="103"/>
      <c r="B544" s="103"/>
      <c r="C544" s="103"/>
      <c r="D544" s="103"/>
      <c r="E544" s="103"/>
      <c r="F544" s="103"/>
      <c r="G544" s="103"/>
      <c r="H544" s="103"/>
      <c r="I544" s="103"/>
      <c r="J544" s="103"/>
      <c r="K544" s="103"/>
    </row>
    <row r="545" spans="1:11" x14ac:dyDescent="0.25">
      <c r="A545" s="103"/>
      <c r="B545" s="103"/>
      <c r="C545" s="103"/>
      <c r="D545" s="103"/>
      <c r="E545" s="103"/>
      <c r="F545" s="103"/>
      <c r="G545" s="103"/>
      <c r="H545" s="103"/>
      <c r="I545" s="103"/>
      <c r="J545" s="103"/>
      <c r="K545" s="103"/>
    </row>
    <row r="546" spans="1:11" x14ac:dyDescent="0.25">
      <c r="A546" s="103"/>
      <c r="B546" s="103"/>
      <c r="C546" s="103"/>
      <c r="D546" s="103"/>
      <c r="E546" s="103"/>
      <c r="F546" s="103"/>
      <c r="G546" s="103"/>
      <c r="H546" s="103"/>
      <c r="I546" s="103"/>
      <c r="J546" s="103"/>
      <c r="K546" s="103"/>
    </row>
    <row r="547" spans="1:11" x14ac:dyDescent="0.25">
      <c r="A547" s="103"/>
      <c r="B547" s="103"/>
      <c r="C547" s="103"/>
      <c r="D547" s="103"/>
      <c r="E547" s="103"/>
      <c r="F547" s="103"/>
      <c r="G547" s="103"/>
      <c r="H547" s="103"/>
      <c r="I547" s="103"/>
      <c r="J547" s="103"/>
      <c r="K547" s="103"/>
    </row>
    <row r="548" spans="1:11" x14ac:dyDescent="0.25">
      <c r="A548" s="103"/>
      <c r="B548" s="103"/>
      <c r="C548" s="103"/>
      <c r="D548" s="103"/>
      <c r="E548" s="103"/>
      <c r="F548" s="103"/>
      <c r="G548" s="103"/>
      <c r="H548" s="103"/>
      <c r="I548" s="103"/>
      <c r="J548" s="103"/>
      <c r="K548" s="103"/>
    </row>
    <row r="549" spans="1:11" x14ac:dyDescent="0.25">
      <c r="A549" s="103"/>
      <c r="B549" s="103"/>
      <c r="C549" s="103"/>
      <c r="D549" s="103"/>
      <c r="E549" s="103"/>
      <c r="F549" s="103"/>
      <c r="G549" s="103"/>
      <c r="H549" s="103"/>
      <c r="I549" s="103"/>
      <c r="J549" s="103"/>
      <c r="K549" s="103"/>
    </row>
    <row r="550" spans="1:11" x14ac:dyDescent="0.25">
      <c r="A550" s="103"/>
      <c r="B550" s="103"/>
      <c r="C550" s="103"/>
      <c r="D550" s="103"/>
      <c r="E550" s="103"/>
      <c r="F550" s="103"/>
      <c r="G550" s="103"/>
      <c r="H550" s="103"/>
      <c r="I550" s="103"/>
      <c r="J550" s="103"/>
      <c r="K550" s="103"/>
    </row>
    <row r="551" spans="1:11" x14ac:dyDescent="0.25">
      <c r="A551" s="103"/>
      <c r="B551" s="103"/>
      <c r="C551" s="103"/>
      <c r="D551" s="103"/>
      <c r="E551" s="103"/>
      <c r="F551" s="103"/>
      <c r="G551" s="103"/>
      <c r="H551" s="103"/>
      <c r="I551" s="103"/>
      <c r="J551" s="103"/>
      <c r="K551" s="103"/>
    </row>
    <row r="552" spans="1:11" x14ac:dyDescent="0.25">
      <c r="A552" s="103"/>
      <c r="B552" s="103"/>
      <c r="C552" s="103"/>
      <c r="D552" s="103"/>
      <c r="E552" s="103"/>
      <c r="F552" s="103"/>
      <c r="G552" s="103"/>
      <c r="H552" s="103"/>
      <c r="I552" s="103"/>
      <c r="J552" s="103"/>
      <c r="K552" s="103"/>
    </row>
    <row r="553" spans="1:11" x14ac:dyDescent="0.25">
      <c r="A553" s="103"/>
      <c r="B553" s="103"/>
      <c r="C553" s="103"/>
      <c r="D553" s="103"/>
      <c r="E553" s="103"/>
      <c r="F553" s="103"/>
      <c r="G553" s="103"/>
      <c r="H553" s="103"/>
      <c r="I553" s="103"/>
      <c r="J553" s="103"/>
      <c r="K553" s="103"/>
    </row>
    <row r="554" spans="1:11" x14ac:dyDescent="0.25">
      <c r="A554" s="103"/>
      <c r="B554" s="103"/>
      <c r="C554" s="103"/>
      <c r="D554" s="103"/>
      <c r="E554" s="103"/>
      <c r="F554" s="103"/>
      <c r="G554" s="103"/>
      <c r="H554" s="103"/>
      <c r="I554" s="103"/>
      <c r="J554" s="103"/>
      <c r="K554" s="103"/>
    </row>
    <row r="555" spans="1:11" x14ac:dyDescent="0.25">
      <c r="A555" s="103"/>
      <c r="B555" s="103"/>
      <c r="C555" s="103"/>
      <c r="D555" s="103"/>
      <c r="E555" s="103"/>
      <c r="F555" s="103"/>
      <c r="G555" s="103"/>
      <c r="H555" s="103"/>
      <c r="I555" s="103"/>
      <c r="J555" s="103"/>
      <c r="K555" s="103"/>
    </row>
    <row r="556" spans="1:11" x14ac:dyDescent="0.25">
      <c r="A556" s="103"/>
      <c r="B556" s="103"/>
      <c r="C556" s="103"/>
      <c r="D556" s="103"/>
      <c r="E556" s="103"/>
      <c r="F556" s="103"/>
      <c r="G556" s="103"/>
      <c r="H556" s="103"/>
      <c r="I556" s="103"/>
      <c r="J556" s="103"/>
      <c r="K556" s="103"/>
    </row>
    <row r="557" spans="1:11" x14ac:dyDescent="0.25">
      <c r="A557" s="103"/>
      <c r="B557" s="103"/>
      <c r="C557" s="103"/>
      <c r="D557" s="103"/>
      <c r="E557" s="103"/>
      <c r="F557" s="103"/>
      <c r="G557" s="103"/>
      <c r="H557" s="103"/>
      <c r="I557" s="103"/>
      <c r="J557" s="103"/>
      <c r="K557" s="103"/>
    </row>
    <row r="558" spans="1:11" x14ac:dyDescent="0.25">
      <c r="A558" s="103"/>
      <c r="B558" s="103"/>
      <c r="C558" s="103"/>
      <c r="D558" s="103"/>
      <c r="E558" s="103"/>
      <c r="F558" s="103"/>
      <c r="G558" s="103"/>
      <c r="H558" s="103"/>
      <c r="I558" s="103"/>
      <c r="J558" s="103"/>
      <c r="K558" s="103"/>
    </row>
    <row r="559" spans="1:11" x14ac:dyDescent="0.25">
      <c r="A559" s="103"/>
      <c r="B559" s="103"/>
      <c r="C559" s="103"/>
      <c r="D559" s="103"/>
      <c r="E559" s="103"/>
      <c r="F559" s="103"/>
      <c r="G559" s="103"/>
      <c r="H559" s="103"/>
      <c r="I559" s="103"/>
      <c r="J559" s="103"/>
      <c r="K559" s="103"/>
    </row>
    <row r="560" spans="1:11" x14ac:dyDescent="0.25">
      <c r="A560" s="103"/>
      <c r="B560" s="103"/>
      <c r="C560" s="103"/>
      <c r="D560" s="103"/>
      <c r="E560" s="103"/>
      <c r="F560" s="103"/>
      <c r="G560" s="103"/>
      <c r="H560" s="103"/>
      <c r="I560" s="103"/>
      <c r="J560" s="103"/>
      <c r="K560" s="103"/>
    </row>
    <row r="561" spans="1:11" x14ac:dyDescent="0.25">
      <c r="A561" s="103"/>
      <c r="B561" s="103"/>
      <c r="C561" s="103"/>
      <c r="D561" s="103"/>
      <c r="E561" s="103"/>
      <c r="F561" s="103"/>
      <c r="G561" s="103"/>
      <c r="H561" s="103"/>
      <c r="I561" s="103"/>
      <c r="J561" s="103"/>
      <c r="K561" s="103"/>
    </row>
    <row r="562" spans="1:11" x14ac:dyDescent="0.25">
      <c r="A562" s="103"/>
      <c r="B562" s="103"/>
      <c r="C562" s="103"/>
      <c r="D562" s="103"/>
      <c r="E562" s="103"/>
      <c r="F562" s="103"/>
      <c r="G562" s="103"/>
      <c r="H562" s="103"/>
      <c r="I562" s="103"/>
      <c r="J562" s="103"/>
      <c r="K562" s="103"/>
    </row>
    <row r="563" spans="1:11" x14ac:dyDescent="0.25">
      <c r="A563" s="103"/>
      <c r="B563" s="103"/>
      <c r="C563" s="103"/>
      <c r="D563" s="103"/>
      <c r="E563" s="103"/>
      <c r="F563" s="103"/>
      <c r="G563" s="103"/>
      <c r="H563" s="103"/>
      <c r="I563" s="103"/>
      <c r="J563" s="103"/>
      <c r="K563" s="103"/>
    </row>
    <row r="564" spans="1:11" x14ac:dyDescent="0.25">
      <c r="A564" s="103"/>
      <c r="B564" s="103"/>
      <c r="C564" s="103"/>
      <c r="D564" s="103"/>
      <c r="E564" s="103"/>
      <c r="F564" s="103"/>
      <c r="G564" s="103"/>
      <c r="H564" s="103"/>
      <c r="I564" s="103"/>
      <c r="J564" s="103"/>
      <c r="K564" s="103"/>
    </row>
    <row r="565" spans="1:11" x14ac:dyDescent="0.25">
      <c r="A565" s="103"/>
      <c r="B565" s="103"/>
      <c r="C565" s="103"/>
      <c r="D565" s="103"/>
      <c r="E565" s="103"/>
      <c r="F565" s="103"/>
      <c r="G565" s="103"/>
      <c r="H565" s="103"/>
      <c r="I565" s="103"/>
      <c r="J565" s="103"/>
      <c r="K565" s="103"/>
    </row>
    <row r="566" spans="1:11" x14ac:dyDescent="0.25">
      <c r="A566" s="103"/>
      <c r="B566" s="103"/>
      <c r="C566" s="103"/>
      <c r="D566" s="103"/>
      <c r="E566" s="103"/>
      <c r="F566" s="103"/>
      <c r="G566" s="103"/>
      <c r="H566" s="103"/>
      <c r="I566" s="103"/>
      <c r="J566" s="103"/>
      <c r="K566" s="103"/>
    </row>
    <row r="567" spans="1:11" x14ac:dyDescent="0.25">
      <c r="A567" s="103"/>
      <c r="B567" s="103"/>
      <c r="C567" s="103"/>
      <c r="D567" s="103"/>
      <c r="E567" s="103"/>
      <c r="F567" s="103"/>
      <c r="G567" s="103"/>
      <c r="H567" s="103"/>
      <c r="I567" s="103"/>
      <c r="J567" s="103"/>
      <c r="K567" s="103"/>
    </row>
    <row r="568" spans="1:11" x14ac:dyDescent="0.25">
      <c r="A568" s="103"/>
      <c r="B568" s="103"/>
      <c r="C568" s="103"/>
      <c r="D568" s="103"/>
      <c r="E568" s="103"/>
      <c r="F568" s="103"/>
      <c r="G568" s="103"/>
      <c r="H568" s="103"/>
      <c r="I568" s="103"/>
      <c r="J568" s="103"/>
      <c r="K568" s="103"/>
    </row>
    <row r="569" spans="1:11" x14ac:dyDescent="0.25">
      <c r="A569" s="103"/>
      <c r="B569" s="103"/>
      <c r="C569" s="103"/>
      <c r="D569" s="103"/>
      <c r="E569" s="103"/>
      <c r="F569" s="103"/>
      <c r="G569" s="103"/>
      <c r="H569" s="103"/>
      <c r="I569" s="103"/>
      <c r="J569" s="103"/>
      <c r="K569" s="103"/>
    </row>
    <row r="570" spans="1:11" x14ac:dyDescent="0.25">
      <c r="A570" s="103"/>
      <c r="B570" s="103"/>
      <c r="C570" s="103"/>
      <c r="D570" s="103"/>
      <c r="E570" s="103"/>
      <c r="F570" s="103"/>
      <c r="G570" s="103"/>
      <c r="H570" s="103"/>
      <c r="I570" s="103"/>
      <c r="J570" s="103"/>
      <c r="K570" s="103"/>
    </row>
    <row r="571" spans="1:11" x14ac:dyDescent="0.25">
      <c r="A571" s="103"/>
      <c r="B571" s="103"/>
      <c r="C571" s="103"/>
      <c r="D571" s="103"/>
      <c r="E571" s="103"/>
      <c r="F571" s="103"/>
      <c r="G571" s="103"/>
      <c r="H571" s="103"/>
      <c r="I571" s="103"/>
      <c r="J571" s="103"/>
      <c r="K571" s="103"/>
    </row>
    <row r="572" spans="1:11" x14ac:dyDescent="0.25">
      <c r="A572" s="103"/>
      <c r="B572" s="103"/>
      <c r="C572" s="103"/>
      <c r="D572" s="103"/>
      <c r="E572" s="103"/>
      <c r="F572" s="103"/>
      <c r="G572" s="103"/>
      <c r="H572" s="103"/>
      <c r="I572" s="103"/>
      <c r="J572" s="103"/>
      <c r="K572" s="103"/>
    </row>
    <row r="573" spans="1:11" x14ac:dyDescent="0.25">
      <c r="A573" s="103"/>
      <c r="B573" s="103"/>
      <c r="C573" s="103"/>
      <c r="D573" s="103"/>
      <c r="E573" s="103"/>
      <c r="F573" s="103"/>
      <c r="G573" s="103"/>
      <c r="H573" s="103"/>
      <c r="I573" s="103"/>
      <c r="J573" s="103"/>
      <c r="K573" s="103"/>
    </row>
    <row r="574" spans="1:11" x14ac:dyDescent="0.25">
      <c r="A574" s="103"/>
      <c r="B574" s="103"/>
      <c r="C574" s="103"/>
      <c r="D574" s="103"/>
      <c r="E574" s="103"/>
      <c r="F574" s="103"/>
      <c r="G574" s="103"/>
      <c r="H574" s="103"/>
      <c r="I574" s="103"/>
      <c r="J574" s="103"/>
      <c r="K574" s="103"/>
    </row>
    <row r="575" spans="1:11" x14ac:dyDescent="0.25">
      <c r="A575" s="103"/>
      <c r="B575" s="103"/>
      <c r="C575" s="103"/>
      <c r="D575" s="103"/>
      <c r="E575" s="103"/>
      <c r="F575" s="103"/>
      <c r="G575" s="103"/>
      <c r="H575" s="103"/>
      <c r="I575" s="103"/>
      <c r="J575" s="103"/>
      <c r="K575" s="103"/>
    </row>
    <row r="576" spans="1:11" x14ac:dyDescent="0.25">
      <c r="A576" s="103"/>
      <c r="B576" s="103"/>
      <c r="C576" s="103"/>
      <c r="D576" s="103"/>
      <c r="E576" s="103"/>
      <c r="F576" s="103"/>
      <c r="G576" s="103"/>
      <c r="H576" s="103"/>
      <c r="I576" s="103"/>
      <c r="J576" s="103"/>
      <c r="K576" s="103"/>
    </row>
    <row r="577" spans="1:11" x14ac:dyDescent="0.25">
      <c r="A577" s="103"/>
      <c r="B577" s="103"/>
      <c r="C577" s="103"/>
      <c r="D577" s="103"/>
      <c r="E577" s="103"/>
      <c r="F577" s="103"/>
      <c r="G577" s="103"/>
      <c r="H577" s="103"/>
      <c r="I577" s="103"/>
      <c r="J577" s="103"/>
      <c r="K577" s="103"/>
    </row>
    <row r="578" spans="1:11" x14ac:dyDescent="0.25">
      <c r="A578" s="103"/>
      <c r="B578" s="103"/>
      <c r="C578" s="103"/>
      <c r="D578" s="103"/>
      <c r="E578" s="103"/>
      <c r="F578" s="103"/>
      <c r="G578" s="103"/>
      <c r="H578" s="103"/>
      <c r="I578" s="103"/>
      <c r="J578" s="103"/>
      <c r="K578" s="103"/>
    </row>
    <row r="579" spans="1:11" x14ac:dyDescent="0.25">
      <c r="A579" s="103"/>
      <c r="B579" s="103"/>
      <c r="C579" s="103"/>
      <c r="D579" s="103"/>
      <c r="E579" s="103"/>
      <c r="F579" s="103"/>
      <c r="G579" s="103"/>
      <c r="H579" s="103"/>
      <c r="I579" s="103"/>
      <c r="J579" s="103"/>
      <c r="K579" s="103"/>
    </row>
    <row r="580" spans="1:11" x14ac:dyDescent="0.25">
      <c r="A580" s="103"/>
      <c r="B580" s="103"/>
      <c r="C580" s="103"/>
      <c r="D580" s="103"/>
      <c r="E580" s="103"/>
      <c r="F580" s="103"/>
      <c r="G580" s="103"/>
      <c r="H580" s="103"/>
      <c r="I580" s="103"/>
      <c r="J580" s="103"/>
      <c r="K580" s="103"/>
    </row>
    <row r="581" spans="1:11" x14ac:dyDescent="0.25">
      <c r="A581" s="103"/>
      <c r="B581" s="103"/>
      <c r="C581" s="103"/>
      <c r="D581" s="103"/>
      <c r="E581" s="103"/>
      <c r="F581" s="103"/>
      <c r="G581" s="103"/>
      <c r="H581" s="103"/>
      <c r="I581" s="103"/>
      <c r="J581" s="103"/>
      <c r="K581" s="103"/>
    </row>
    <row r="582" spans="1:11" x14ac:dyDescent="0.25">
      <c r="A582" s="103"/>
      <c r="B582" s="103"/>
      <c r="C582" s="103"/>
      <c r="D582" s="103"/>
      <c r="E582" s="103"/>
      <c r="F582" s="103"/>
      <c r="G582" s="103"/>
      <c r="H582" s="103"/>
      <c r="I582" s="103"/>
      <c r="J582" s="103"/>
      <c r="K582" s="103"/>
    </row>
    <row r="583" spans="1:11" x14ac:dyDescent="0.25">
      <c r="A583" s="103"/>
      <c r="B583" s="103"/>
      <c r="C583" s="103"/>
      <c r="D583" s="103"/>
      <c r="E583" s="103"/>
      <c r="F583" s="103"/>
      <c r="G583" s="103"/>
      <c r="H583" s="103"/>
      <c r="I583" s="103"/>
      <c r="J583" s="103"/>
      <c r="K583" s="103"/>
    </row>
    <row r="584" spans="1:11" x14ac:dyDescent="0.25">
      <c r="A584" s="103"/>
      <c r="B584" s="103"/>
      <c r="C584" s="103"/>
      <c r="D584" s="103"/>
      <c r="E584" s="103"/>
      <c r="F584" s="103"/>
      <c r="G584" s="103"/>
      <c r="H584" s="103"/>
      <c r="I584" s="103"/>
      <c r="J584" s="103"/>
      <c r="K584" s="103"/>
    </row>
    <row r="585" spans="1:11" x14ac:dyDescent="0.25">
      <c r="A585" s="103"/>
      <c r="B585" s="103"/>
      <c r="C585" s="103"/>
      <c r="D585" s="103"/>
      <c r="E585" s="103"/>
      <c r="F585" s="103"/>
      <c r="G585" s="103"/>
      <c r="H585" s="103"/>
      <c r="I585" s="103"/>
      <c r="J585" s="103"/>
      <c r="K585" s="103"/>
    </row>
    <row r="586" spans="1:11" x14ac:dyDescent="0.25">
      <c r="A586" s="103"/>
      <c r="B586" s="103"/>
      <c r="C586" s="103"/>
      <c r="D586" s="103"/>
      <c r="E586" s="103"/>
      <c r="F586" s="103"/>
      <c r="G586" s="103"/>
      <c r="H586" s="103"/>
      <c r="I586" s="103"/>
      <c r="J586" s="103"/>
      <c r="K586" s="103"/>
    </row>
    <row r="587" spans="1:11" x14ac:dyDescent="0.25">
      <c r="A587" s="103"/>
      <c r="B587" s="103"/>
      <c r="C587" s="103"/>
      <c r="D587" s="103"/>
      <c r="E587" s="103"/>
      <c r="F587" s="103"/>
      <c r="G587" s="103"/>
      <c r="H587" s="103"/>
      <c r="I587" s="103"/>
      <c r="J587" s="103"/>
      <c r="K587" s="103"/>
    </row>
    <row r="588" spans="1:11" x14ac:dyDescent="0.25">
      <c r="A588" s="103"/>
      <c r="B588" s="103"/>
      <c r="C588" s="103"/>
      <c r="D588" s="103"/>
      <c r="E588" s="103"/>
      <c r="F588" s="103"/>
      <c r="G588" s="103"/>
      <c r="H588" s="103"/>
      <c r="I588" s="103"/>
      <c r="J588" s="103"/>
      <c r="K588" s="103"/>
    </row>
    <row r="589" spans="1:11" x14ac:dyDescent="0.25">
      <c r="A589" s="103"/>
      <c r="B589" s="103"/>
      <c r="C589" s="103"/>
      <c r="D589" s="103"/>
      <c r="E589" s="103"/>
      <c r="F589" s="103"/>
      <c r="G589" s="103"/>
      <c r="H589" s="103"/>
      <c r="I589" s="103"/>
      <c r="J589" s="103"/>
      <c r="K589" s="103"/>
    </row>
    <row r="590" spans="1:11" x14ac:dyDescent="0.25">
      <c r="A590" s="103"/>
      <c r="B590" s="103"/>
      <c r="C590" s="103"/>
      <c r="D590" s="103"/>
      <c r="E590" s="103"/>
      <c r="F590" s="103"/>
      <c r="G590" s="103"/>
      <c r="H590" s="103"/>
      <c r="I590" s="103"/>
      <c r="J590" s="103"/>
      <c r="K590" s="103"/>
    </row>
    <row r="591" spans="1:11" x14ac:dyDescent="0.25">
      <c r="A591" s="103"/>
      <c r="B591" s="103"/>
      <c r="C591" s="103"/>
      <c r="D591" s="103"/>
      <c r="E591" s="103"/>
      <c r="F591" s="103"/>
      <c r="G591" s="103"/>
      <c r="H591" s="103"/>
      <c r="I591" s="103"/>
      <c r="J591" s="103"/>
      <c r="K591" s="103"/>
    </row>
    <row r="592" spans="1:11" x14ac:dyDescent="0.25">
      <c r="A592" s="103"/>
      <c r="B592" s="103"/>
      <c r="C592" s="103"/>
      <c r="D592" s="103"/>
      <c r="E592" s="103"/>
      <c r="F592" s="103"/>
      <c r="G592" s="103"/>
      <c r="H592" s="103"/>
      <c r="I592" s="103"/>
      <c r="J592" s="103"/>
      <c r="K592" s="103"/>
    </row>
    <row r="593" spans="1:11" x14ac:dyDescent="0.25">
      <c r="A593" s="103"/>
      <c r="B593" s="103"/>
      <c r="C593" s="103"/>
      <c r="D593" s="103"/>
      <c r="E593" s="103"/>
      <c r="F593" s="103"/>
      <c r="G593" s="103"/>
      <c r="H593" s="103"/>
      <c r="I593" s="103"/>
      <c r="J593" s="103"/>
      <c r="K593" s="103"/>
    </row>
    <row r="594" spans="1:11" x14ac:dyDescent="0.25">
      <c r="A594" s="103"/>
      <c r="B594" s="103"/>
      <c r="C594" s="103"/>
      <c r="D594" s="103"/>
      <c r="E594" s="103"/>
      <c r="F594" s="103"/>
      <c r="G594" s="103"/>
      <c r="H594" s="103"/>
      <c r="I594" s="103"/>
      <c r="J594" s="103"/>
      <c r="K594" s="103"/>
    </row>
    <row r="595" spans="1:11" x14ac:dyDescent="0.25">
      <c r="A595" s="103"/>
      <c r="B595" s="103"/>
      <c r="C595" s="103"/>
      <c r="D595" s="103"/>
      <c r="E595" s="103"/>
      <c r="F595" s="103"/>
      <c r="G595" s="103"/>
      <c r="H595" s="103"/>
      <c r="I595" s="103"/>
      <c r="J595" s="103"/>
      <c r="K595" s="103"/>
    </row>
    <row r="596" spans="1:11" x14ac:dyDescent="0.25">
      <c r="A596" s="103"/>
      <c r="B596" s="103"/>
      <c r="C596" s="103"/>
      <c r="D596" s="103"/>
      <c r="E596" s="103"/>
      <c r="F596" s="103"/>
      <c r="G596" s="103"/>
      <c r="H596" s="103"/>
      <c r="I596" s="103"/>
      <c r="J596" s="103"/>
      <c r="K596" s="103"/>
    </row>
    <row r="597" spans="1:11" x14ac:dyDescent="0.25">
      <c r="A597" s="103"/>
      <c r="B597" s="103"/>
      <c r="C597" s="103"/>
      <c r="D597" s="103"/>
      <c r="E597" s="103"/>
      <c r="F597" s="103"/>
      <c r="G597" s="103"/>
      <c r="H597" s="103"/>
      <c r="I597" s="103"/>
      <c r="J597" s="103"/>
      <c r="K597" s="103"/>
    </row>
    <row r="598" spans="1:11" x14ac:dyDescent="0.25">
      <c r="A598" s="103"/>
      <c r="B598" s="103"/>
      <c r="C598" s="103"/>
      <c r="D598" s="103"/>
      <c r="E598" s="103"/>
      <c r="F598" s="103"/>
      <c r="G598" s="103"/>
      <c r="H598" s="103"/>
      <c r="I598" s="103"/>
      <c r="J598" s="103"/>
      <c r="K598" s="103"/>
    </row>
    <row r="599" spans="1:11" x14ac:dyDescent="0.25">
      <c r="A599" s="103"/>
      <c r="B599" s="103"/>
      <c r="C599" s="103"/>
      <c r="D599" s="103"/>
      <c r="E599" s="103"/>
      <c r="F599" s="103"/>
      <c r="G599" s="103"/>
      <c r="H599" s="103"/>
      <c r="I599" s="103"/>
      <c r="J599" s="103"/>
      <c r="K599" s="103"/>
    </row>
    <row r="600" spans="1:11" x14ac:dyDescent="0.25">
      <c r="A600" s="103"/>
      <c r="B600" s="103"/>
      <c r="C600" s="103"/>
      <c r="D600" s="103"/>
      <c r="E600" s="103"/>
      <c r="F600" s="103"/>
      <c r="G600" s="103"/>
      <c r="H600" s="103"/>
      <c r="I600" s="103"/>
      <c r="J600" s="103"/>
      <c r="K600" s="103"/>
    </row>
    <row r="601" spans="1:11" x14ac:dyDescent="0.25">
      <c r="A601" s="103"/>
      <c r="B601" s="103"/>
      <c r="C601" s="103"/>
      <c r="D601" s="103"/>
      <c r="E601" s="103"/>
      <c r="F601" s="103"/>
      <c r="G601" s="103"/>
      <c r="H601" s="103"/>
      <c r="I601" s="103"/>
      <c r="J601" s="103"/>
      <c r="K601" s="103"/>
    </row>
    <row r="602" spans="1:11" x14ac:dyDescent="0.25">
      <c r="A602" s="103"/>
      <c r="B602" s="103"/>
      <c r="C602" s="103"/>
      <c r="D602" s="103"/>
      <c r="E602" s="103"/>
      <c r="F602" s="103"/>
      <c r="G602" s="103"/>
      <c r="H602" s="103"/>
      <c r="I602" s="103"/>
      <c r="J602" s="103"/>
      <c r="K602" s="103"/>
    </row>
    <row r="603" spans="1:11" x14ac:dyDescent="0.25">
      <c r="A603" s="103"/>
      <c r="B603" s="103"/>
      <c r="C603" s="103"/>
      <c r="D603" s="103"/>
      <c r="E603" s="103"/>
      <c r="F603" s="103"/>
      <c r="G603" s="103"/>
      <c r="H603" s="103"/>
      <c r="I603" s="103"/>
      <c r="J603" s="103"/>
      <c r="K603" s="103"/>
    </row>
    <row r="604" spans="1:11" x14ac:dyDescent="0.25">
      <c r="A604" s="103"/>
      <c r="B604" s="103"/>
      <c r="C604" s="103"/>
      <c r="D604" s="103"/>
      <c r="E604" s="103"/>
      <c r="F604" s="103"/>
      <c r="G604" s="103"/>
      <c r="H604" s="103"/>
      <c r="I604" s="103"/>
      <c r="J604" s="103"/>
      <c r="K604" s="103"/>
    </row>
    <row r="605" spans="1:11" x14ac:dyDescent="0.25">
      <c r="A605" s="103"/>
      <c r="B605" s="103"/>
      <c r="C605" s="103"/>
      <c r="D605" s="103"/>
      <c r="E605" s="103"/>
      <c r="F605" s="103"/>
      <c r="G605" s="103"/>
      <c r="H605" s="103"/>
      <c r="I605" s="103"/>
      <c r="J605" s="103"/>
      <c r="K605" s="103"/>
    </row>
    <row r="606" spans="1:11" x14ac:dyDescent="0.25">
      <c r="A606" s="103"/>
      <c r="B606" s="103"/>
      <c r="C606" s="103"/>
      <c r="D606" s="103"/>
      <c r="E606" s="103"/>
      <c r="F606" s="103"/>
      <c r="G606" s="103"/>
      <c r="H606" s="103"/>
      <c r="I606" s="103"/>
      <c r="J606" s="103"/>
      <c r="K606" s="103"/>
    </row>
    <row r="607" spans="1:11" x14ac:dyDescent="0.25">
      <c r="A607" s="103"/>
      <c r="B607" s="103"/>
      <c r="C607" s="103"/>
      <c r="D607" s="103"/>
      <c r="E607" s="103"/>
      <c r="F607" s="103"/>
      <c r="G607" s="103"/>
      <c r="H607" s="103"/>
      <c r="I607" s="103"/>
      <c r="J607" s="103"/>
      <c r="K607" s="103"/>
    </row>
    <row r="608" spans="1:11" x14ac:dyDescent="0.25">
      <c r="A608" s="103"/>
      <c r="B608" s="103"/>
      <c r="C608" s="103"/>
      <c r="D608" s="103"/>
      <c r="E608" s="103"/>
      <c r="F608" s="103"/>
      <c r="G608" s="103"/>
      <c r="H608" s="103"/>
      <c r="I608" s="103"/>
      <c r="J608" s="103"/>
      <c r="K608" s="103"/>
    </row>
    <row r="609" spans="1:11" x14ac:dyDescent="0.25">
      <c r="A609" s="103"/>
      <c r="B609" s="103"/>
      <c r="C609" s="103"/>
      <c r="D609" s="103"/>
      <c r="E609" s="103"/>
      <c r="F609" s="103"/>
      <c r="G609" s="103"/>
      <c r="H609" s="103"/>
      <c r="I609" s="103"/>
      <c r="J609" s="103"/>
      <c r="K609" s="103"/>
    </row>
    <row r="610" spans="1:11" x14ac:dyDescent="0.25">
      <c r="A610" s="103"/>
      <c r="B610" s="103"/>
      <c r="C610" s="103"/>
      <c r="D610" s="103"/>
      <c r="E610" s="103"/>
      <c r="F610" s="103"/>
      <c r="G610" s="103"/>
      <c r="H610" s="103"/>
      <c r="I610" s="103"/>
      <c r="J610" s="103"/>
      <c r="K610" s="103"/>
    </row>
    <row r="611" spans="1:11" x14ac:dyDescent="0.25">
      <c r="A611" s="103"/>
      <c r="B611" s="103"/>
      <c r="C611" s="103"/>
      <c r="D611" s="103"/>
      <c r="E611" s="103"/>
      <c r="F611" s="103"/>
      <c r="G611" s="103"/>
      <c r="H611" s="103"/>
      <c r="I611" s="103"/>
      <c r="J611" s="103"/>
      <c r="K611" s="103"/>
    </row>
    <row r="612" spans="1:11" x14ac:dyDescent="0.25">
      <c r="A612" s="103"/>
      <c r="B612" s="103"/>
      <c r="C612" s="103"/>
      <c r="D612" s="103"/>
      <c r="E612" s="103"/>
      <c r="F612" s="103"/>
      <c r="G612" s="103"/>
      <c r="H612" s="103"/>
      <c r="I612" s="103"/>
      <c r="J612" s="103"/>
      <c r="K612" s="103"/>
    </row>
    <row r="613" spans="1:11" x14ac:dyDescent="0.25">
      <c r="A613" s="103"/>
      <c r="B613" s="103"/>
      <c r="C613" s="103"/>
      <c r="D613" s="103"/>
      <c r="E613" s="103"/>
      <c r="F613" s="103"/>
      <c r="G613" s="103"/>
      <c r="H613" s="103"/>
      <c r="I613" s="103"/>
      <c r="J613" s="103"/>
      <c r="K613" s="103"/>
    </row>
    <row r="614" spans="1:11" x14ac:dyDescent="0.25">
      <c r="A614" s="103"/>
      <c r="B614" s="103"/>
      <c r="C614" s="103"/>
      <c r="D614" s="103"/>
      <c r="E614" s="103"/>
      <c r="F614" s="103"/>
      <c r="G614" s="103"/>
      <c r="H614" s="103"/>
      <c r="I614" s="103"/>
      <c r="J614" s="103"/>
      <c r="K614" s="103"/>
    </row>
    <row r="615" spans="1:11" x14ac:dyDescent="0.25">
      <c r="A615" s="103"/>
      <c r="B615" s="103"/>
      <c r="C615" s="103"/>
      <c r="D615" s="103"/>
      <c r="E615" s="103"/>
      <c r="F615" s="103"/>
      <c r="G615" s="103"/>
      <c r="H615" s="103"/>
      <c r="I615" s="103"/>
      <c r="J615" s="103"/>
      <c r="K615" s="103"/>
    </row>
    <row r="616" spans="1:11" x14ac:dyDescent="0.25">
      <c r="A616" s="103"/>
      <c r="B616" s="103"/>
      <c r="C616" s="103"/>
      <c r="D616" s="103"/>
      <c r="E616" s="103"/>
      <c r="F616" s="103"/>
      <c r="G616" s="103"/>
      <c r="H616" s="103"/>
      <c r="I616" s="103"/>
      <c r="J616" s="103"/>
      <c r="K616" s="103"/>
    </row>
    <row r="617" spans="1:11" x14ac:dyDescent="0.25">
      <c r="A617" s="103"/>
      <c r="B617" s="103"/>
      <c r="C617" s="103"/>
      <c r="D617" s="103"/>
      <c r="E617" s="103"/>
      <c r="F617" s="103"/>
      <c r="G617" s="103"/>
      <c r="H617" s="103"/>
      <c r="I617" s="103"/>
      <c r="J617" s="103"/>
      <c r="K617" s="103"/>
    </row>
    <row r="618" spans="1:11" x14ac:dyDescent="0.25">
      <c r="A618" s="103"/>
      <c r="B618" s="103"/>
      <c r="C618" s="103"/>
      <c r="D618" s="103"/>
      <c r="E618" s="103"/>
      <c r="F618" s="103"/>
      <c r="G618" s="103"/>
      <c r="H618" s="103"/>
      <c r="I618" s="103"/>
      <c r="J618" s="103"/>
      <c r="K618" s="103"/>
    </row>
    <row r="619" spans="1:11" x14ac:dyDescent="0.25">
      <c r="A619" s="103"/>
      <c r="B619" s="103"/>
      <c r="C619" s="103"/>
      <c r="D619" s="103"/>
      <c r="E619" s="103"/>
      <c r="F619" s="103"/>
      <c r="G619" s="103"/>
      <c r="H619" s="103"/>
      <c r="I619" s="103"/>
      <c r="J619" s="103"/>
      <c r="K619" s="103"/>
    </row>
    <row r="620" spans="1:11" x14ac:dyDescent="0.25">
      <c r="A620" s="103"/>
      <c r="B620" s="103"/>
      <c r="C620" s="103"/>
      <c r="D620" s="103"/>
      <c r="E620" s="103"/>
      <c r="F620" s="103"/>
      <c r="G620" s="103"/>
      <c r="H620" s="103"/>
      <c r="I620" s="103"/>
      <c r="J620" s="103"/>
      <c r="K620" s="103"/>
    </row>
    <row r="621" spans="1:11" x14ac:dyDescent="0.25">
      <c r="A621" s="103"/>
      <c r="B621" s="103"/>
      <c r="C621" s="103"/>
      <c r="D621" s="103"/>
      <c r="E621" s="103"/>
      <c r="F621" s="103"/>
      <c r="G621" s="103"/>
      <c r="H621" s="103"/>
      <c r="I621" s="103"/>
      <c r="J621" s="103"/>
      <c r="K621" s="103"/>
    </row>
    <row r="622" spans="1:11" x14ac:dyDescent="0.25">
      <c r="A622" s="103"/>
      <c r="B622" s="103"/>
      <c r="C622" s="103"/>
      <c r="D622" s="103"/>
      <c r="E622" s="103"/>
      <c r="F622" s="103"/>
      <c r="G622" s="103"/>
      <c r="H622" s="103"/>
      <c r="I622" s="103"/>
      <c r="J622" s="103"/>
      <c r="K622" s="103"/>
    </row>
    <row r="623" spans="1:11" x14ac:dyDescent="0.25">
      <c r="A623" s="103"/>
      <c r="B623" s="103"/>
      <c r="C623" s="103"/>
      <c r="D623" s="103"/>
      <c r="E623" s="103"/>
      <c r="F623" s="103"/>
      <c r="G623" s="103"/>
      <c r="H623" s="103"/>
      <c r="I623" s="103"/>
      <c r="J623" s="103"/>
      <c r="K623" s="103"/>
    </row>
    <row r="624" spans="1:11" x14ac:dyDescent="0.25">
      <c r="A624" s="103"/>
      <c r="B624" s="103"/>
      <c r="C624" s="103"/>
      <c r="D624" s="103"/>
      <c r="E624" s="103"/>
      <c r="F624" s="103"/>
      <c r="G624" s="103"/>
      <c r="H624" s="103"/>
      <c r="I624" s="103"/>
      <c r="J624" s="103"/>
      <c r="K624" s="103"/>
    </row>
    <row r="625" spans="1:11" x14ac:dyDescent="0.25">
      <c r="A625" s="103"/>
      <c r="B625" s="103"/>
      <c r="C625" s="103"/>
      <c r="D625" s="103"/>
      <c r="E625" s="103"/>
      <c r="F625" s="103"/>
      <c r="G625" s="103"/>
      <c r="H625" s="103"/>
      <c r="I625" s="103"/>
      <c r="J625" s="103"/>
      <c r="K625" s="103"/>
    </row>
    <row r="626" spans="1:11" x14ac:dyDescent="0.25">
      <c r="A626" s="103"/>
      <c r="B626" s="103"/>
      <c r="C626" s="103"/>
      <c r="D626" s="103"/>
      <c r="E626" s="103"/>
      <c r="F626" s="103"/>
      <c r="G626" s="103"/>
      <c r="H626" s="103"/>
      <c r="I626" s="103"/>
      <c r="J626" s="103"/>
      <c r="K626" s="103"/>
    </row>
    <row r="627" spans="1:11" x14ac:dyDescent="0.25">
      <c r="A627" s="103"/>
      <c r="B627" s="103"/>
      <c r="C627" s="103"/>
      <c r="D627" s="103"/>
      <c r="E627" s="103"/>
      <c r="F627" s="103"/>
      <c r="G627" s="103"/>
      <c r="H627" s="103"/>
      <c r="I627" s="103"/>
      <c r="J627" s="103"/>
      <c r="K627" s="103"/>
    </row>
    <row r="628" spans="1:11" x14ac:dyDescent="0.25">
      <c r="A628" s="103"/>
      <c r="B628" s="103"/>
      <c r="C628" s="103"/>
      <c r="D628" s="103"/>
      <c r="E628" s="103"/>
      <c r="F628" s="103"/>
      <c r="G628" s="103"/>
      <c r="H628" s="103"/>
      <c r="I628" s="103"/>
      <c r="J628" s="103"/>
      <c r="K628" s="103"/>
    </row>
    <row r="629" spans="1:11" x14ac:dyDescent="0.25">
      <c r="A629" s="103"/>
      <c r="B629" s="103"/>
      <c r="C629" s="103"/>
      <c r="D629" s="103"/>
      <c r="E629" s="103"/>
      <c r="F629" s="103"/>
      <c r="G629" s="103"/>
      <c r="H629" s="103"/>
      <c r="I629" s="103"/>
      <c r="J629" s="103"/>
      <c r="K629" s="103"/>
    </row>
  </sheetData>
  <sheetProtection algorithmName="SHA-512" hashValue="yb1kqqv3DXcJgrgfoCg2m/rFVToMMprZxkHghToRo96U+9Op4ym74OxdPj4Y85UYSJpGQ5duDeILcusSe0AF9w==" saltValue="anEPqKXBYRXmp6JW7LznOg=="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33:K33"/>
    <mergeCell ref="B22:C22"/>
    <mergeCell ref="A1:K2"/>
    <mergeCell ref="A24:B25"/>
    <mergeCell ref="C24:C25"/>
    <mergeCell ref="D24:E24"/>
    <mergeCell ref="F24:G24"/>
    <mergeCell ref="H24:I24"/>
    <mergeCell ref="A6:I7"/>
    <mergeCell ref="B11:I12"/>
    <mergeCell ref="B16:I18"/>
    <mergeCell ref="A20:K20"/>
    <mergeCell ref="J24:K24"/>
    <mergeCell ref="A42:K43"/>
    <mergeCell ref="E36:I37"/>
    <mergeCell ref="B52:K52"/>
    <mergeCell ref="B49:I51"/>
    <mergeCell ref="B45:I47"/>
    <mergeCell ref="B38:I39"/>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Props1.xml><?xml version="1.0" encoding="utf-8"?>
<ds:datastoreItem xmlns:ds="http://schemas.openxmlformats.org/officeDocument/2006/customXml" ds:itemID="{0CE50B15-3E7A-4872-B47C-F3EDB1791E40}">
  <ds:schemaRefs>
    <ds:schemaRef ds:uri="http://schemas.microsoft.com/sharepoint/v3/contenttype/forms"/>
  </ds:schemaRefs>
</ds:datastoreItem>
</file>

<file path=customXml/itemProps2.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C85C38-9A79-47C1-8DC6-14F544F94ECC}">
  <ds:schemaRefs>
    <ds:schemaRef ds:uri="http://purl.org/dc/elements/1.1/"/>
    <ds:schemaRef ds:uri="http://schemas.microsoft.com/office/2006/metadata/properties"/>
    <ds:schemaRef ds:uri="http://schemas.microsoft.com/sharepoint/v3"/>
    <ds:schemaRef ds:uri="http://purl.org/dc/terms/"/>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Victoria Dang</cp:lastModifiedBy>
  <cp:lastPrinted>2021-11-18T17:24:48Z</cp:lastPrinted>
  <dcterms:created xsi:type="dcterms:W3CDTF">2005-12-15T14:54:44Z</dcterms:created>
  <dcterms:modified xsi:type="dcterms:W3CDTF">2022-08-25T22:09:14Z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