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24-0053 PRE-70-0.00 PID 117139\117139\geotechnical\Highmast Light Poles\Analysis\Lpile\"/>
    </mc:Choice>
  </mc:AlternateContent>
  <xr:revisionPtr revIDLastSave="0" documentId="13_ncr:1_{FA1B1EC9-05EE-4AAB-B1FD-1A2F038F985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U46" i="1" l="1"/>
  <c r="U49" i="1" s="1"/>
  <c r="U11" i="1"/>
  <c r="U14" i="1" s="1"/>
  <c r="U37" i="1"/>
  <c r="U40" i="1" s="1"/>
  <c r="U26" i="1"/>
  <c r="U29" i="1" s="1"/>
  <c r="U9" i="1"/>
  <c r="U44" i="1"/>
  <c r="U24" i="1"/>
  <c r="U35" i="1" l="1"/>
  <c r="T3" i="1" l="1"/>
  <c r="U3" i="1" s="1"/>
  <c r="S2" i="1"/>
  <c r="U2" i="1" s="1"/>
  <c r="B18" i="1" l="1"/>
  <c r="B17" i="1"/>
  <c r="G15" i="1" s="1"/>
  <c r="C15" i="1"/>
  <c r="C16" i="1"/>
  <c r="C17" i="1"/>
  <c r="C18" i="1"/>
  <c r="C19" i="1"/>
  <c r="B16" i="1"/>
  <c r="B15" i="1"/>
  <c r="F15" i="1" s="1"/>
  <c r="B19" i="1"/>
  <c r="C9" i="1"/>
  <c r="C8" i="1"/>
  <c r="G9" i="1" s="1"/>
  <c r="C6" i="1"/>
  <c r="C7" i="1"/>
  <c r="C10" i="1"/>
  <c r="B8" i="1"/>
  <c r="G6" i="1" s="1"/>
  <c r="B7" i="1"/>
  <c r="B6" i="1"/>
  <c r="F6" i="1" s="1"/>
  <c r="B9" i="1"/>
  <c r="B10" i="1"/>
  <c r="H6" i="1" l="1"/>
  <c r="H7" i="1"/>
  <c r="H8" i="1"/>
  <c r="H9" i="1"/>
  <c r="F8" i="1"/>
  <c r="F9" i="1"/>
  <c r="F7" i="1"/>
  <c r="H16" i="1"/>
  <c r="H18" i="1"/>
  <c r="H17" i="1"/>
  <c r="G18" i="1"/>
  <c r="G17" i="1"/>
  <c r="G16" i="1"/>
  <c r="F18" i="1"/>
  <c r="F17" i="1"/>
  <c r="F16" i="1"/>
  <c r="H15" i="1"/>
  <c r="G7" i="1"/>
  <c r="G8" i="1"/>
</calcChain>
</file>

<file path=xl/sharedStrings.xml><?xml version="1.0" encoding="utf-8"?>
<sst xmlns="http://schemas.openxmlformats.org/spreadsheetml/2006/main" count="116" uniqueCount="59">
  <si>
    <t xml:space="preserve">Concrete </t>
  </si>
  <si>
    <t xml:space="preserve">Service Limit </t>
  </si>
  <si>
    <t>Extreme Limit</t>
  </si>
  <si>
    <t>Steel</t>
  </si>
  <si>
    <t>Load Combinations</t>
  </si>
  <si>
    <t>Wind Design Speed - Extreme</t>
  </si>
  <si>
    <t>120 mph</t>
  </si>
  <si>
    <t>76 mph</t>
  </si>
  <si>
    <t xml:space="preserve">Wind Design Speed - Service </t>
  </si>
  <si>
    <t xml:space="preserve">Service 1 </t>
  </si>
  <si>
    <t>Shear V</t>
  </si>
  <si>
    <t>Axial A</t>
  </si>
  <si>
    <t>1.0*(Wsls)</t>
  </si>
  <si>
    <t>Moment M</t>
  </si>
  <si>
    <t>1.25*(Aels+Aice)</t>
  </si>
  <si>
    <t>1.0*(Wels)</t>
  </si>
  <si>
    <t>Extreme 2</t>
  </si>
  <si>
    <t>1.25*(Md)+1.0* (Mw)</t>
  </si>
  <si>
    <t>1.0*(Asls+Aice)</t>
  </si>
  <si>
    <t>1.0*(Mw+Mdl)</t>
  </si>
  <si>
    <t>1.0*(Aels+Aice)</t>
  </si>
  <si>
    <t>1.0*(Md)+1.0* (Mw)</t>
  </si>
  <si>
    <t>Strength 3 (Yp max = 1.25)</t>
  </si>
  <si>
    <t>Strength 3 (Yp Min = 0.9)</t>
  </si>
  <si>
    <t>Shear (lbs)</t>
  </si>
  <si>
    <t>Axial (lbs)</t>
  </si>
  <si>
    <t>Moment (lbs-in)</t>
  </si>
  <si>
    <t>Axial - Dead (lbs)</t>
  </si>
  <si>
    <t>Axial - Ice (lbs)</t>
  </si>
  <si>
    <t>Wind (lbs)</t>
  </si>
  <si>
    <t>Moment - Wind (lbs-in)</t>
  </si>
  <si>
    <t>Moment - Dead (lbs-in)</t>
  </si>
  <si>
    <t>0.9*(Asls+Aice)</t>
  </si>
  <si>
    <t>0.9*(Md)+1.0* (Mw)</t>
  </si>
  <si>
    <t>Service 1 (Wind Speed= 76mph)</t>
  </si>
  <si>
    <t>Extreme 2  (Wind Speed= 120mph)</t>
  </si>
  <si>
    <t>Strength 3 - Yp Max (Wind Speed= 120mph)</t>
  </si>
  <si>
    <t>Strength 3 - Yp Min (Wind Speed= 120mph)</t>
  </si>
  <si>
    <t>Load Combinations - Concrete</t>
  </si>
  <si>
    <t>Load Combinations - Steel</t>
  </si>
  <si>
    <t>Shaft D</t>
  </si>
  <si>
    <t xml:space="preserve">Clear </t>
  </si>
  <si>
    <t>Ties</t>
  </si>
  <si>
    <t>Rebar</t>
  </si>
  <si>
    <t>Selected</t>
  </si>
  <si>
    <t xml:space="preserve">Deflection </t>
  </si>
  <si>
    <r>
      <t>(d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>+d</t>
    </r>
    <r>
      <rPr>
        <vertAlign val="subscript"/>
        <sz val="11"/>
        <color theme="1"/>
        <rFont val="Calibri"/>
        <family val="2"/>
        <scheme val="minor"/>
      </rPr>
      <t>bottom</t>
    </r>
    <r>
      <rPr>
        <sz val="11"/>
        <color theme="1"/>
        <rFont val="Calibri"/>
        <family val="2"/>
        <scheme val="minor"/>
      </rPr>
      <t>)/d</t>
    </r>
    <r>
      <rPr>
        <vertAlign val="subscript"/>
        <sz val="11"/>
        <color theme="1"/>
        <rFont val="Calibri"/>
        <family val="2"/>
        <scheme val="minor"/>
      </rPr>
      <t>top</t>
    </r>
  </si>
  <si>
    <t>H(in)</t>
  </si>
  <si>
    <r>
      <t>d</t>
    </r>
    <r>
      <rPr>
        <vertAlign val="subscript"/>
        <sz val="11"/>
        <color theme="1"/>
        <rFont val="Calibri"/>
        <family val="2"/>
        <scheme val="minor"/>
      </rPr>
      <t>top</t>
    </r>
  </si>
  <si>
    <r>
      <t>d</t>
    </r>
    <r>
      <rPr>
        <vertAlign val="subscript"/>
        <sz val="11"/>
        <color theme="1"/>
        <rFont val="Calibri"/>
        <family val="2"/>
        <scheme val="minor"/>
      </rPr>
      <t>bottom</t>
    </r>
  </si>
  <si>
    <t>B-001</t>
  </si>
  <si>
    <t>B-002</t>
  </si>
  <si>
    <t xml:space="preserve">Steel </t>
  </si>
  <si>
    <t>Slopetop</t>
  </si>
  <si>
    <t>Drilled Shaft (L=19)</t>
  </si>
  <si>
    <t>OK</t>
  </si>
  <si>
    <t xml:space="preserve">Depth </t>
  </si>
  <si>
    <t xml:space="preserve">Pole Diamter ( Concrete) </t>
  </si>
  <si>
    <t>Top (D=0)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</si>
</sst>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8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 textRotation="45"/>
    </xf>
    <xf numFmtId="0" fontId="0" fillId="4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zoomScale="70" zoomScaleNormal="70" workbookViewId="0">
      <selection activeCell="W23" sqref="W23"/>
    </sheetView>
  </sheetViews>
  <sheetFormatPr defaultRowHeight="15" x14ac:dyDescent="0.25"/>
  <cols>
    <col min="1" max="1" width="31" customWidth="1"/>
    <col min="2" max="2" width="12.7109375" bestFit="1" customWidth="1"/>
    <col min="3" max="3" width="13.42578125" bestFit="1" customWidth="1"/>
    <col min="5" max="5" width="24" bestFit="1" customWidth="1"/>
    <col min="6" max="6" width="15.85546875" customWidth="1"/>
    <col min="7" max="7" width="10" bestFit="1" customWidth="1"/>
    <col min="8" max="8" width="15.5703125" bestFit="1" customWidth="1"/>
    <col min="15" max="15" width="24.85546875" bestFit="1" customWidth="1"/>
    <col min="17" max="17" width="23.7109375" bestFit="1" customWidth="1"/>
    <col min="18" max="18" width="16.7109375" bestFit="1" customWidth="1"/>
    <col min="19" max="19" width="16.5703125" bestFit="1" customWidth="1"/>
    <col min="20" max="20" width="11.85546875" bestFit="1" customWidth="1"/>
    <col min="21" max="21" width="37.7109375" customWidth="1"/>
    <col min="22" max="22" width="13.140625" bestFit="1" customWidth="1"/>
    <col min="23" max="23" width="12.140625" bestFit="1" customWidth="1"/>
    <col min="24" max="24" width="15.7109375" bestFit="1" customWidth="1"/>
    <col min="25" max="25" width="12.140625" bestFit="1" customWidth="1"/>
    <col min="26" max="26" width="12" bestFit="1" customWidth="1"/>
    <col min="27" max="28" width="14.28515625" bestFit="1" customWidth="1"/>
    <col min="29" max="29" width="12" bestFit="1" customWidth="1"/>
  </cols>
  <sheetData>
    <row r="1" spans="1:28" x14ac:dyDescent="0.25">
      <c r="A1" s="2" t="s">
        <v>5</v>
      </c>
      <c r="B1" s="2" t="s">
        <v>6</v>
      </c>
      <c r="N1" s="9" t="s">
        <v>56</v>
      </c>
      <c r="O1" s="9" t="s">
        <v>57</v>
      </c>
      <c r="Q1" t="s">
        <v>40</v>
      </c>
      <c r="R1" t="s">
        <v>41</v>
      </c>
      <c r="S1" t="s">
        <v>42</v>
      </c>
      <c r="T1" t="s">
        <v>43</v>
      </c>
    </row>
    <row r="2" spans="1:28" x14ac:dyDescent="0.25">
      <c r="A2" s="2" t="s">
        <v>8</v>
      </c>
      <c r="B2" s="2" t="s">
        <v>7</v>
      </c>
      <c r="N2" t="s">
        <v>58</v>
      </c>
      <c r="O2">
        <v>10.4</v>
      </c>
      <c r="Q2">
        <v>42</v>
      </c>
      <c r="R2">
        <v>6</v>
      </c>
      <c r="S2">
        <f>(5/8)*2</f>
        <v>1.25</v>
      </c>
      <c r="T2">
        <v>2</v>
      </c>
      <c r="U2">
        <f>Q2-R2-S2-T2</f>
        <v>32.75</v>
      </c>
      <c r="W2" s="1"/>
      <c r="X2" s="1"/>
      <c r="Y2" s="1"/>
      <c r="Z2" s="1"/>
      <c r="AA2" s="1"/>
      <c r="AB2" s="1"/>
    </row>
    <row r="3" spans="1:28" x14ac:dyDescent="0.25">
      <c r="N3">
        <v>5</v>
      </c>
      <c r="O3">
        <f>$O$2+N3*0.18</f>
        <v>11.3</v>
      </c>
      <c r="Q3" s="5">
        <v>48</v>
      </c>
      <c r="R3">
        <v>6</v>
      </c>
      <c r="S3">
        <v>1.25</v>
      </c>
      <c r="T3">
        <f>1.125*2</f>
        <v>2.25</v>
      </c>
      <c r="U3">
        <f>Q3-R3-S3-T3</f>
        <v>38.5</v>
      </c>
      <c r="V3" s="9" t="s">
        <v>44</v>
      </c>
      <c r="W3" s="1"/>
      <c r="X3" s="1"/>
      <c r="Y3" s="1"/>
      <c r="Z3" s="1"/>
      <c r="AA3" s="1"/>
      <c r="AB3" s="1"/>
    </row>
    <row r="4" spans="1:28" x14ac:dyDescent="0.25">
      <c r="A4" s="11" t="s">
        <v>0</v>
      </c>
      <c r="B4" s="11"/>
      <c r="C4" s="11"/>
      <c r="E4" s="11" t="s">
        <v>38</v>
      </c>
      <c r="F4" s="11"/>
      <c r="G4" s="11"/>
      <c r="H4" s="11"/>
      <c r="N4">
        <v>90</v>
      </c>
      <c r="O4">
        <f>$O$2+N4*0.18</f>
        <v>26.6</v>
      </c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3"/>
      <c r="B5" t="s">
        <v>1</v>
      </c>
      <c r="C5" t="s">
        <v>2</v>
      </c>
      <c r="F5" t="s">
        <v>25</v>
      </c>
      <c r="G5" t="s">
        <v>24</v>
      </c>
      <c r="H5" t="s">
        <v>26</v>
      </c>
      <c r="N5">
        <v>102</v>
      </c>
      <c r="O5">
        <f>$O$2+N5*0.18</f>
        <v>28.759999999999998</v>
      </c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t="s">
        <v>27</v>
      </c>
      <c r="B6">
        <f>21.35*1000</f>
        <v>21350</v>
      </c>
      <c r="C6">
        <f>21.35*1000</f>
        <v>21350</v>
      </c>
      <c r="E6" t="s">
        <v>9</v>
      </c>
      <c r="F6">
        <f>1*(B6+B7)</f>
        <v>24190</v>
      </c>
      <c r="G6">
        <f>1*B8</f>
        <v>1080</v>
      </c>
      <c r="H6">
        <f>1*(B9+B10)</f>
        <v>598440</v>
      </c>
      <c r="N6">
        <v>103</v>
      </c>
      <c r="O6">
        <f t="shared" ref="O6:O18" si="0">$O$2+N6*0.18</f>
        <v>28.939999999999998</v>
      </c>
      <c r="T6" s="1"/>
      <c r="U6" s="1"/>
      <c r="V6" s="1"/>
      <c r="W6" s="1"/>
      <c r="X6" s="1"/>
      <c r="Y6" s="1"/>
      <c r="Z6" s="1"/>
      <c r="AA6" s="1"/>
      <c r="AB6" s="1"/>
    </row>
    <row r="7" spans="1:28" ht="18" x14ac:dyDescent="0.35">
      <c r="A7" t="s">
        <v>28</v>
      </c>
      <c r="B7">
        <f>2.84*1000</f>
        <v>2840</v>
      </c>
      <c r="C7">
        <f>2.84*1000</f>
        <v>2840</v>
      </c>
      <c r="E7" t="s">
        <v>22</v>
      </c>
      <c r="F7">
        <f>1.25*(C6+C7)</f>
        <v>30237.5</v>
      </c>
      <c r="G7">
        <f>1*C8</f>
        <v>2700</v>
      </c>
      <c r="H7">
        <f>1.25*C10+1*C9</f>
        <v>1489770</v>
      </c>
      <c r="N7">
        <v>104</v>
      </c>
      <c r="O7">
        <f t="shared" si="0"/>
        <v>29.119999999999997</v>
      </c>
      <c r="Q7" s="15" t="s">
        <v>54</v>
      </c>
      <c r="R7" s="14" t="s">
        <v>0</v>
      </c>
      <c r="S7" s="13" t="s">
        <v>50</v>
      </c>
      <c r="T7" t="s">
        <v>48</v>
      </c>
      <c r="U7" s="6">
        <v>1.021E-2</v>
      </c>
      <c r="V7" s="1"/>
      <c r="W7" s="1"/>
      <c r="X7" s="1"/>
      <c r="Y7" s="1"/>
      <c r="Z7" s="1"/>
      <c r="AA7" s="1"/>
      <c r="AB7" s="1"/>
    </row>
    <row r="8" spans="1:28" ht="18" x14ac:dyDescent="0.35">
      <c r="A8" t="s">
        <v>29</v>
      </c>
      <c r="B8">
        <f>1.08*1000</f>
        <v>1080</v>
      </c>
      <c r="C8">
        <f>2.7*1000</f>
        <v>2700</v>
      </c>
      <c r="E8" t="s">
        <v>23</v>
      </c>
      <c r="F8">
        <f>0.9*(C6+C7)</f>
        <v>21771</v>
      </c>
      <c r="G8">
        <f>1*C8</f>
        <v>2700</v>
      </c>
      <c r="H8">
        <f>0.9*C10+1*C9</f>
        <v>1489140</v>
      </c>
      <c r="N8">
        <v>105</v>
      </c>
      <c r="O8">
        <f t="shared" si="0"/>
        <v>29.299999999999997</v>
      </c>
      <c r="Q8" s="15"/>
      <c r="R8" s="14"/>
      <c r="S8" s="13"/>
      <c r="T8" t="s">
        <v>49</v>
      </c>
      <c r="U8" s="6">
        <v>8.5300000000000003E-4</v>
      </c>
      <c r="V8" s="1"/>
      <c r="W8" s="1"/>
      <c r="X8" s="1"/>
      <c r="Y8" s="1"/>
      <c r="Z8" s="1"/>
      <c r="AA8" s="1"/>
      <c r="AB8" s="1"/>
    </row>
    <row r="9" spans="1:28" ht="18" x14ac:dyDescent="0.35">
      <c r="A9" t="s">
        <v>30</v>
      </c>
      <c r="B9">
        <f>12000*49.72</f>
        <v>596640</v>
      </c>
      <c r="C9">
        <f>12000*123.96</f>
        <v>1487520</v>
      </c>
      <c r="E9" t="s">
        <v>16</v>
      </c>
      <c r="F9">
        <f>1*(C6+C7)</f>
        <v>24190</v>
      </c>
      <c r="G9">
        <f>1*C8</f>
        <v>2700</v>
      </c>
      <c r="H9">
        <f>1*C10+1*C9</f>
        <v>1489320</v>
      </c>
      <c r="N9">
        <v>106</v>
      </c>
      <c r="O9">
        <f t="shared" si="0"/>
        <v>29.479999999999997</v>
      </c>
      <c r="Q9" s="15"/>
      <c r="R9" s="14"/>
      <c r="S9" s="13"/>
      <c r="T9" t="s">
        <v>46</v>
      </c>
      <c r="U9">
        <f>(U8+U7)/U7</f>
        <v>1.0835455435847208</v>
      </c>
      <c r="V9" s="1" t="s">
        <v>55</v>
      </c>
      <c r="W9" s="1"/>
      <c r="X9" s="1"/>
      <c r="Y9" s="1"/>
      <c r="Z9" s="1"/>
      <c r="AA9" s="1"/>
      <c r="AB9" s="1"/>
    </row>
    <row r="10" spans="1:28" x14ac:dyDescent="0.25">
      <c r="A10" t="s">
        <v>31</v>
      </c>
      <c r="B10">
        <f>0.15*12000</f>
        <v>1800</v>
      </c>
      <c r="C10">
        <f>0.15*12000</f>
        <v>1800</v>
      </c>
      <c r="N10">
        <v>107</v>
      </c>
      <c r="O10">
        <f t="shared" si="0"/>
        <v>29.659999999999997</v>
      </c>
      <c r="Q10" s="15"/>
      <c r="R10" s="14"/>
      <c r="S10" s="13"/>
      <c r="V10" s="1"/>
      <c r="W10" s="1"/>
      <c r="X10" s="1"/>
      <c r="Y10" s="1"/>
      <c r="Z10" s="1"/>
      <c r="AA10" s="1"/>
      <c r="AB10" s="1"/>
    </row>
    <row r="11" spans="1:28" ht="18" x14ac:dyDescent="0.35">
      <c r="N11">
        <v>108</v>
      </c>
      <c r="O11">
        <f t="shared" si="0"/>
        <v>29.839999999999996</v>
      </c>
      <c r="Q11" s="15"/>
      <c r="R11" s="14"/>
      <c r="S11" s="13"/>
      <c r="T11" t="s">
        <v>48</v>
      </c>
      <c r="U11">
        <f>U7</f>
        <v>1.021E-2</v>
      </c>
      <c r="V11" s="1"/>
      <c r="W11" s="1"/>
      <c r="X11" s="1"/>
      <c r="Y11" s="1"/>
      <c r="Z11" s="1"/>
      <c r="AA11" s="1"/>
      <c r="AB11" s="1"/>
    </row>
    <row r="12" spans="1:28" x14ac:dyDescent="0.25">
      <c r="N12">
        <v>109</v>
      </c>
      <c r="O12">
        <f t="shared" si="0"/>
        <v>30.020000000000003</v>
      </c>
      <c r="Q12" s="15"/>
      <c r="R12" s="14"/>
      <c r="S12" s="13"/>
      <c r="T12" t="s">
        <v>53</v>
      </c>
      <c r="U12" s="6">
        <v>1.03E-4</v>
      </c>
      <c r="V12" s="1"/>
      <c r="W12" s="1"/>
      <c r="X12" s="1"/>
      <c r="Y12" s="1"/>
      <c r="Z12" s="1"/>
      <c r="AA12" s="1"/>
      <c r="AB12" s="1"/>
    </row>
    <row r="13" spans="1:28" x14ac:dyDescent="0.25">
      <c r="A13" s="11" t="s">
        <v>3</v>
      </c>
      <c r="B13" s="11"/>
      <c r="C13" s="11"/>
      <c r="E13" s="11" t="s">
        <v>39</v>
      </c>
      <c r="F13" s="11"/>
      <c r="G13" s="11"/>
      <c r="H13" s="11"/>
      <c r="N13">
        <v>110</v>
      </c>
      <c r="O13">
        <f t="shared" si="0"/>
        <v>30.200000000000003</v>
      </c>
      <c r="Q13" s="15"/>
      <c r="R13" s="14"/>
      <c r="S13" s="13"/>
      <c r="T13" t="s">
        <v>47</v>
      </c>
      <c r="U13">
        <v>90</v>
      </c>
      <c r="V13" s="1"/>
      <c r="W13" s="1"/>
      <c r="X13" s="1"/>
      <c r="Y13" s="1"/>
      <c r="Z13" s="1"/>
      <c r="AA13" s="1"/>
      <c r="AB13" s="1"/>
    </row>
    <row r="14" spans="1:28" x14ac:dyDescent="0.25">
      <c r="A14" s="3"/>
      <c r="B14" t="s">
        <v>1</v>
      </c>
      <c r="C14" t="s">
        <v>2</v>
      </c>
      <c r="F14" t="s">
        <v>25</v>
      </c>
      <c r="G14" t="s">
        <v>24</v>
      </c>
      <c r="H14" t="s">
        <v>26</v>
      </c>
      <c r="N14">
        <v>111</v>
      </c>
      <c r="O14">
        <f t="shared" si="0"/>
        <v>30.380000000000003</v>
      </c>
      <c r="Q14" s="15"/>
      <c r="R14" s="14"/>
      <c r="S14" s="13"/>
      <c r="T14" t="s">
        <v>45</v>
      </c>
      <c r="U14">
        <f>U11+U12*U13*12</f>
        <v>0.12145</v>
      </c>
      <c r="V14" s="1" t="s">
        <v>55</v>
      </c>
      <c r="W14" s="1"/>
      <c r="X14" s="1"/>
      <c r="Y14" s="1"/>
      <c r="Z14" s="1"/>
      <c r="AA14" s="1"/>
      <c r="AB14" s="1"/>
    </row>
    <row r="15" spans="1:28" x14ac:dyDescent="0.25">
      <c r="A15" t="s">
        <v>27</v>
      </c>
      <c r="B15">
        <f>3.75*1000</f>
        <v>3750</v>
      </c>
      <c r="C15">
        <f>3.75*1000</f>
        <v>3750</v>
      </c>
      <c r="E15" t="s">
        <v>9</v>
      </c>
      <c r="F15">
        <f>1*(B15+B16)</f>
        <v>5480</v>
      </c>
      <c r="G15">
        <f>1*B17</f>
        <v>760</v>
      </c>
      <c r="H15">
        <f>1*(B18+B19)</f>
        <v>421800</v>
      </c>
      <c r="N15">
        <v>112</v>
      </c>
      <c r="O15">
        <f t="shared" si="0"/>
        <v>30.560000000000002</v>
      </c>
      <c r="Q15" s="15"/>
      <c r="R15" s="14"/>
      <c r="V15" s="1"/>
      <c r="W15" s="1"/>
      <c r="X15" s="1"/>
      <c r="Y15" s="1"/>
      <c r="Z15" s="1"/>
      <c r="AA15" s="1"/>
      <c r="AB15" s="1"/>
    </row>
    <row r="16" spans="1:28" x14ac:dyDescent="0.25">
      <c r="A16" t="s">
        <v>28</v>
      </c>
      <c r="B16">
        <f>1.73*1000</f>
        <v>1730</v>
      </c>
      <c r="C16">
        <f>1.73*1000</f>
        <v>1730</v>
      </c>
      <c r="E16" t="s">
        <v>22</v>
      </c>
      <c r="F16">
        <f>1.25*(C15+C16)</f>
        <v>6850</v>
      </c>
      <c r="G16">
        <f>1*C17</f>
        <v>1580</v>
      </c>
      <c r="H16">
        <f>1.25*C19+1*C18</f>
        <v>885690</v>
      </c>
      <c r="N16">
        <v>113</v>
      </c>
      <c r="O16">
        <f t="shared" si="0"/>
        <v>30.740000000000002</v>
      </c>
      <c r="Q16" s="15"/>
      <c r="R16" s="14"/>
    </row>
    <row r="17" spans="1:23" x14ac:dyDescent="0.25">
      <c r="A17" t="s">
        <v>29</v>
      </c>
      <c r="B17">
        <f>0.76*1000</f>
        <v>760</v>
      </c>
      <c r="C17">
        <f>1.58*1000</f>
        <v>1580</v>
      </c>
      <c r="E17" t="s">
        <v>23</v>
      </c>
      <c r="F17">
        <f>0.9*(C15+C16)</f>
        <v>4932</v>
      </c>
      <c r="G17">
        <f>1*C17</f>
        <v>1580</v>
      </c>
      <c r="H17">
        <f>0.9*C19+1*C18</f>
        <v>885060</v>
      </c>
      <c r="N17">
        <v>114</v>
      </c>
      <c r="O17">
        <f t="shared" si="0"/>
        <v>30.92</v>
      </c>
      <c r="Q17" s="15"/>
      <c r="R17" s="14"/>
    </row>
    <row r="18" spans="1:23" x14ac:dyDescent="0.25">
      <c r="A18" t="s">
        <v>30</v>
      </c>
      <c r="B18">
        <f>12000*35</f>
        <v>420000</v>
      </c>
      <c r="C18">
        <f>12000*73.62</f>
        <v>883440</v>
      </c>
      <c r="E18" t="s">
        <v>16</v>
      </c>
      <c r="F18">
        <f>1*(C15+C16)</f>
        <v>5480</v>
      </c>
      <c r="G18">
        <f>1*C17</f>
        <v>1580</v>
      </c>
      <c r="H18">
        <f>1*C19+1*C18</f>
        <v>885240</v>
      </c>
      <c r="N18">
        <v>115</v>
      </c>
      <c r="O18">
        <f t="shared" si="0"/>
        <v>31.1</v>
      </c>
      <c r="Q18" s="15"/>
      <c r="R18" s="14"/>
    </row>
    <row r="19" spans="1:23" x14ac:dyDescent="0.25">
      <c r="A19" t="s">
        <v>31</v>
      </c>
      <c r="B19">
        <f>0.15*12000</f>
        <v>1800</v>
      </c>
      <c r="C19">
        <f>0.15*12000</f>
        <v>1800</v>
      </c>
      <c r="Q19" s="15"/>
      <c r="R19" s="14"/>
    </row>
    <row r="20" spans="1:23" x14ac:dyDescent="0.25">
      <c r="Q20" s="15"/>
      <c r="R20" s="14"/>
    </row>
    <row r="21" spans="1:23" x14ac:dyDescent="0.25">
      <c r="Q21" s="15"/>
      <c r="R21" s="14"/>
      <c r="S21" s="7"/>
    </row>
    <row r="22" spans="1:23" ht="18" x14ac:dyDescent="0.35">
      <c r="Q22" s="15"/>
      <c r="R22" s="14"/>
      <c r="S22" s="13" t="s">
        <v>51</v>
      </c>
      <c r="T22" t="s">
        <v>48</v>
      </c>
      <c r="U22" s="6">
        <v>9.6900000000000007E-3</v>
      </c>
    </row>
    <row r="23" spans="1:23" ht="18" x14ac:dyDescent="0.35">
      <c r="Q23" s="15"/>
      <c r="R23" s="14"/>
      <c r="S23" s="13"/>
      <c r="T23" t="s">
        <v>49</v>
      </c>
      <c r="U23" s="6">
        <v>7.0500000000000001E-4</v>
      </c>
    </row>
    <row r="24" spans="1:23" ht="18" x14ac:dyDescent="0.35">
      <c r="A24" s="12" t="s">
        <v>4</v>
      </c>
      <c r="B24" s="12"/>
      <c r="C24" s="12"/>
      <c r="Q24" s="15"/>
      <c r="R24" s="14"/>
      <c r="S24" s="13"/>
      <c r="T24" t="s">
        <v>46</v>
      </c>
      <c r="U24">
        <f>(U23+U22)/U22</f>
        <v>1.0727554179566565</v>
      </c>
      <c r="V24" t="s">
        <v>55</v>
      </c>
    </row>
    <row r="25" spans="1:23" x14ac:dyDescent="0.25">
      <c r="A25" s="10" t="s">
        <v>34</v>
      </c>
      <c r="B25" s="10"/>
      <c r="C25" s="10"/>
      <c r="Q25" s="15"/>
      <c r="R25" s="14"/>
      <c r="S25" s="13"/>
    </row>
    <row r="26" spans="1:23" ht="18" x14ac:dyDescent="0.35">
      <c r="A26" t="s">
        <v>11</v>
      </c>
      <c r="B26" t="s">
        <v>18</v>
      </c>
      <c r="Q26" s="15"/>
      <c r="R26" s="14"/>
      <c r="S26" s="13"/>
      <c r="T26" t="s">
        <v>48</v>
      </c>
      <c r="U26">
        <f>U22</f>
        <v>9.6900000000000007E-3</v>
      </c>
    </row>
    <row r="27" spans="1:23" x14ac:dyDescent="0.25">
      <c r="A27" t="s">
        <v>10</v>
      </c>
      <c r="B27" t="s">
        <v>12</v>
      </c>
      <c r="Q27" s="15"/>
      <c r="R27" s="14"/>
      <c r="S27" s="13"/>
      <c r="T27" t="s">
        <v>53</v>
      </c>
      <c r="U27" s="6">
        <v>1E-4</v>
      </c>
    </row>
    <row r="28" spans="1:23" x14ac:dyDescent="0.25">
      <c r="A28" t="s">
        <v>13</v>
      </c>
      <c r="B28" t="s">
        <v>19</v>
      </c>
      <c r="Q28" s="15"/>
      <c r="R28" s="14"/>
      <c r="S28" s="13"/>
      <c r="T28" t="s">
        <v>47</v>
      </c>
      <c r="U28">
        <v>90</v>
      </c>
    </row>
    <row r="29" spans="1:23" x14ac:dyDescent="0.25">
      <c r="A29" s="4"/>
      <c r="B29" s="4"/>
      <c r="C29" s="4"/>
      <c r="Q29" s="15"/>
      <c r="R29" s="14"/>
      <c r="S29" s="13"/>
      <c r="T29" t="s">
        <v>45</v>
      </c>
      <c r="U29">
        <f>U26+U27*U28*12</f>
        <v>0.11769000000000002</v>
      </c>
      <c r="V29" s="7" t="s">
        <v>55</v>
      </c>
      <c r="W29" s="8"/>
    </row>
    <row r="30" spans="1:23" x14ac:dyDescent="0.25">
      <c r="A30" s="10" t="s">
        <v>36</v>
      </c>
      <c r="B30" s="10"/>
      <c r="C30" s="10"/>
      <c r="Q30" s="15"/>
      <c r="V30" s="7"/>
      <c r="W30" s="8"/>
    </row>
    <row r="31" spans="1:23" x14ac:dyDescent="0.25">
      <c r="A31" t="s">
        <v>11</v>
      </c>
      <c r="B31" t="s">
        <v>14</v>
      </c>
      <c r="Q31" s="15"/>
      <c r="V31" s="7"/>
      <c r="W31" s="8"/>
    </row>
    <row r="32" spans="1:23" x14ac:dyDescent="0.25">
      <c r="A32" t="s">
        <v>10</v>
      </c>
      <c r="B32" t="s">
        <v>15</v>
      </c>
      <c r="Q32" s="15"/>
      <c r="R32" s="14" t="s">
        <v>52</v>
      </c>
      <c r="V32" s="7"/>
      <c r="W32" s="8"/>
    </row>
    <row r="33" spans="1:23" ht="18" x14ac:dyDescent="0.35">
      <c r="A33" t="s">
        <v>13</v>
      </c>
      <c r="B33" t="s">
        <v>17</v>
      </c>
      <c r="Q33" s="15"/>
      <c r="R33" s="14"/>
      <c r="S33" s="13" t="s">
        <v>50</v>
      </c>
      <c r="T33" t="s">
        <v>48</v>
      </c>
      <c r="U33" s="6">
        <v>6.8799999999999998E-3</v>
      </c>
      <c r="V33" s="7"/>
      <c r="W33" s="8"/>
    </row>
    <row r="34" spans="1:23" ht="18" x14ac:dyDescent="0.35">
      <c r="A34" s="4"/>
      <c r="B34" s="4"/>
      <c r="C34" s="4"/>
      <c r="Q34" s="15"/>
      <c r="R34" s="14"/>
      <c r="S34" s="13"/>
      <c r="T34" t="s">
        <v>49</v>
      </c>
      <c r="U34" s="6">
        <v>5.6700000000000001E-4</v>
      </c>
      <c r="V34" s="7"/>
      <c r="W34" s="8"/>
    </row>
    <row r="35" spans="1:23" ht="18" x14ac:dyDescent="0.35">
      <c r="A35" s="10" t="s">
        <v>37</v>
      </c>
      <c r="B35" s="10"/>
      <c r="C35" s="10"/>
      <c r="Q35" s="15"/>
      <c r="R35" s="14"/>
      <c r="S35" s="13"/>
      <c r="T35" t="s">
        <v>46</v>
      </c>
      <c r="U35">
        <f>(U34+U33)/U33</f>
        <v>1.0824127906976744</v>
      </c>
      <c r="V35" s="7" t="s">
        <v>55</v>
      </c>
      <c r="W35" s="8"/>
    </row>
    <row r="36" spans="1:23" x14ac:dyDescent="0.25">
      <c r="A36" t="s">
        <v>11</v>
      </c>
      <c r="B36" t="s">
        <v>32</v>
      </c>
      <c r="Q36" s="15"/>
      <c r="R36" s="14"/>
      <c r="S36" s="13"/>
      <c r="V36" s="7"/>
      <c r="W36" s="8"/>
    </row>
    <row r="37" spans="1:23" ht="18" x14ac:dyDescent="0.35">
      <c r="A37" t="s">
        <v>10</v>
      </c>
      <c r="B37" t="s">
        <v>12</v>
      </c>
      <c r="Q37" s="15"/>
      <c r="R37" s="14"/>
      <c r="S37" s="13"/>
      <c r="T37" t="s">
        <v>48</v>
      </c>
      <c r="U37">
        <f>U33</f>
        <v>6.8799999999999998E-3</v>
      </c>
      <c r="V37" s="7"/>
      <c r="W37" s="8"/>
    </row>
    <row r="38" spans="1:23" x14ac:dyDescent="0.25">
      <c r="A38" t="s">
        <v>13</v>
      </c>
      <c r="B38" t="s">
        <v>33</v>
      </c>
      <c r="Q38" s="15"/>
      <c r="R38" s="14"/>
      <c r="S38" s="13"/>
      <c r="T38" t="s">
        <v>53</v>
      </c>
      <c r="U38" s="6">
        <v>7.0300000000000001E-5</v>
      </c>
      <c r="V38" s="7"/>
    </row>
    <row r="39" spans="1:23" x14ac:dyDescent="0.25">
      <c r="A39" s="4"/>
      <c r="B39" s="4"/>
      <c r="C39" s="4"/>
      <c r="Q39" s="15"/>
      <c r="R39" s="14"/>
      <c r="S39" s="13"/>
      <c r="T39" t="s">
        <v>47</v>
      </c>
      <c r="U39">
        <v>90</v>
      </c>
      <c r="V39" s="7"/>
      <c r="W39" s="8"/>
    </row>
    <row r="40" spans="1:23" x14ac:dyDescent="0.25">
      <c r="A40" s="10" t="s">
        <v>35</v>
      </c>
      <c r="B40" s="10"/>
      <c r="C40" s="10"/>
      <c r="Q40" s="15"/>
      <c r="R40" s="14"/>
      <c r="S40" s="13"/>
      <c r="T40" t="s">
        <v>45</v>
      </c>
      <c r="U40">
        <f>U37+U38*U39*12</f>
        <v>8.2804000000000003E-2</v>
      </c>
      <c r="V40" s="7" t="s">
        <v>55</v>
      </c>
      <c r="W40" s="8"/>
    </row>
    <row r="41" spans="1:23" x14ac:dyDescent="0.25">
      <c r="A41" t="s">
        <v>11</v>
      </c>
      <c r="B41" t="s">
        <v>20</v>
      </c>
      <c r="Q41" s="15"/>
      <c r="R41" s="14"/>
      <c r="V41" s="7"/>
      <c r="W41" s="8"/>
    </row>
    <row r="42" spans="1:23" ht="18" x14ac:dyDescent="0.35">
      <c r="A42" t="s">
        <v>10</v>
      </c>
      <c r="B42" t="s">
        <v>15</v>
      </c>
      <c r="Q42" s="15"/>
      <c r="R42" s="14"/>
      <c r="S42" s="13" t="s">
        <v>51</v>
      </c>
      <c r="T42" t="s">
        <v>48</v>
      </c>
      <c r="U42" s="6">
        <v>6.5900000000000004E-3</v>
      </c>
      <c r="V42" s="7"/>
      <c r="W42" s="8"/>
    </row>
    <row r="43" spans="1:23" ht="18" x14ac:dyDescent="0.35">
      <c r="A43" t="s">
        <v>13</v>
      </c>
      <c r="B43" t="s">
        <v>21</v>
      </c>
      <c r="Q43" s="15"/>
      <c r="R43" s="14"/>
      <c r="S43" s="13"/>
      <c r="T43" t="s">
        <v>49</v>
      </c>
      <c r="U43" s="6">
        <v>4.73E-4</v>
      </c>
      <c r="V43" s="7"/>
      <c r="W43" s="8"/>
    </row>
    <row r="44" spans="1:23" ht="18" x14ac:dyDescent="0.35">
      <c r="Q44" s="15"/>
      <c r="R44" s="14"/>
      <c r="S44" s="13"/>
      <c r="T44" t="s">
        <v>46</v>
      </c>
      <c r="U44">
        <f>(U43+U42)/U42</f>
        <v>1.0717754172989378</v>
      </c>
      <c r="V44" s="7" t="s">
        <v>55</v>
      </c>
      <c r="W44" s="8"/>
    </row>
    <row r="45" spans="1:23" x14ac:dyDescent="0.25">
      <c r="Q45" s="15"/>
      <c r="R45" s="14"/>
      <c r="S45" s="13"/>
      <c r="V45" s="7"/>
      <c r="W45" s="8"/>
    </row>
    <row r="46" spans="1:23" ht="18" x14ac:dyDescent="0.35">
      <c r="Q46" s="15"/>
      <c r="R46" s="14"/>
      <c r="S46" s="13"/>
      <c r="T46" t="s">
        <v>48</v>
      </c>
      <c r="U46">
        <f>U42</f>
        <v>6.5900000000000004E-3</v>
      </c>
      <c r="V46" s="7"/>
      <c r="W46" s="8"/>
    </row>
    <row r="47" spans="1:23" x14ac:dyDescent="0.25">
      <c r="Q47" s="15"/>
      <c r="R47" s="14"/>
      <c r="S47" s="13"/>
      <c r="T47" t="s">
        <v>53</v>
      </c>
      <c r="U47" s="6">
        <v>6.8700000000000003E-5</v>
      </c>
      <c r="V47" s="7"/>
      <c r="W47" s="8"/>
    </row>
    <row r="48" spans="1:23" x14ac:dyDescent="0.25">
      <c r="Q48" s="15"/>
      <c r="R48" s="14"/>
      <c r="S48" s="13"/>
      <c r="T48" t="s">
        <v>47</v>
      </c>
      <c r="U48">
        <v>90</v>
      </c>
    </row>
    <row r="49" spans="17:32" x14ac:dyDescent="0.25">
      <c r="Q49" s="15"/>
      <c r="R49" s="14"/>
      <c r="S49" s="13"/>
      <c r="T49" t="s">
        <v>45</v>
      </c>
      <c r="U49">
        <f>U46+U47*U48*12</f>
        <v>8.0785999999999997E-2</v>
      </c>
      <c r="V49" t="s">
        <v>55</v>
      </c>
    </row>
    <row r="54" spans="17:32" x14ac:dyDescent="0.25">
      <c r="AE54" s="1"/>
      <c r="AF54" s="1"/>
    </row>
  </sheetData>
  <mergeCells count="16">
    <mergeCell ref="S7:S14"/>
    <mergeCell ref="S33:S40"/>
    <mergeCell ref="S42:S49"/>
    <mergeCell ref="E4:H4"/>
    <mergeCell ref="E13:H13"/>
    <mergeCell ref="R7:R29"/>
    <mergeCell ref="R32:R49"/>
    <mergeCell ref="Q7:Q49"/>
    <mergeCell ref="S22:S29"/>
    <mergeCell ref="A30:C30"/>
    <mergeCell ref="A40:C40"/>
    <mergeCell ref="A4:C4"/>
    <mergeCell ref="A13:C13"/>
    <mergeCell ref="A24:C24"/>
    <mergeCell ref="A25:C25"/>
    <mergeCell ref="A35:C35"/>
  </mergeCells>
  <conditionalFormatting sqref="AA37">
    <cfRule type="expression" dxfId="0" priority="2">
      <formula>"$W$37&lt;1.84 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Momen Alassi</dc:creator>
  <cp:lastModifiedBy>Momen Alassi</cp:lastModifiedBy>
  <dcterms:created xsi:type="dcterms:W3CDTF">2015-06-05T18:17:20Z</dcterms:created>
  <dcterms:modified xsi:type="dcterms:W3CDTF">2025-08-29T15:52:43Z</dcterms:modified>
</cp:coreProperties>
</file>