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eters1\appdata\local\bentley\projectwise\workingdir\ohiodot-pw.bentley.com_ohiodot-pw-02\benjamin.peters@dot.ohio.gov\d0441603\"/>
    </mc:Choice>
  </mc:AlternateContent>
  <xr:revisionPtr revIDLastSave="0" documentId="13_ncr:1_{8D7E02EB-FCDE-4FBD-9099-10E7D6B8D73F}" xr6:coauthVersionLast="47" xr6:coauthVersionMax="47" xr10:uidLastSave="{00000000-0000-0000-0000-000000000000}"/>
  <bookViews>
    <workbookView xWindow="-120" yWindow="-120" windowWidth="29040" windowHeight="15720" xr2:uid="{FCF1BCE3-85A8-460A-81A9-4C583322E905}"/>
  </bookViews>
  <sheets>
    <sheet name="Revised" sheetId="3" r:id="rId1"/>
    <sheet name="Sheet2" sheetId="4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5" i="3"/>
  <c r="D28" i="3"/>
  <c r="D27" i="3"/>
  <c r="D26" i="3"/>
  <c r="D5" i="3"/>
  <c r="D21" i="3"/>
  <c r="D25" i="3" l="1"/>
  <c r="D22" i="3"/>
  <c r="D19" i="3"/>
  <c r="I82" i="4"/>
  <c r="I81" i="4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H73" i="4"/>
  <c r="H74" i="4"/>
  <c r="H75" i="4"/>
  <c r="H76" i="4"/>
  <c r="H77" i="4"/>
  <c r="I77" i="4" s="1"/>
  <c r="H78" i="4"/>
  <c r="I78" i="4" s="1"/>
  <c r="H79" i="4"/>
  <c r="I79" i="4" s="1"/>
  <c r="H80" i="4"/>
  <c r="I80" i="4" s="1"/>
  <c r="I72" i="4"/>
  <c r="I73" i="4"/>
  <c r="I74" i="4"/>
  <c r="I75" i="4"/>
  <c r="I76" i="4"/>
  <c r="I65" i="4"/>
  <c r="H65" i="4"/>
  <c r="H24" i="3"/>
  <c r="P32" i="3"/>
  <c r="P31" i="3"/>
  <c r="P30" i="3"/>
  <c r="P28" i="3"/>
  <c r="P27" i="3"/>
  <c r="P26" i="3"/>
  <c r="P25" i="3"/>
  <c r="P24" i="3"/>
  <c r="P22" i="3"/>
  <c r="P19" i="3"/>
  <c r="P18" i="3"/>
  <c r="P17" i="3"/>
  <c r="P16" i="3"/>
  <c r="P15" i="3"/>
  <c r="P14" i="3"/>
  <c r="P12" i="3"/>
  <c r="P11" i="3"/>
  <c r="P10" i="3"/>
  <c r="P9" i="3"/>
  <c r="P8" i="3"/>
  <c r="P7" i="3"/>
  <c r="P6" i="3"/>
  <c r="P4" i="3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51" i="1"/>
  <c r="P43" i="1"/>
  <c r="P44" i="1"/>
  <c r="P45" i="1"/>
  <c r="P46" i="1"/>
  <c r="P47" i="1"/>
  <c r="P48" i="1"/>
  <c r="P49" i="1"/>
  <c r="P42" i="1"/>
  <c r="D9" i="3"/>
  <c r="D16" i="3"/>
  <c r="D8" i="3" l="1"/>
  <c r="C41" i="4"/>
  <c r="C40" i="4"/>
  <c r="E41" i="4"/>
  <c r="E40" i="4"/>
  <c r="D18" i="1"/>
  <c r="D5" i="1"/>
  <c r="C30" i="4"/>
  <c r="E30" i="4" s="1"/>
  <c r="C35" i="4"/>
  <c r="E35" i="4" s="1"/>
  <c r="C34" i="4"/>
  <c r="E34" i="4" s="1"/>
  <c r="C32" i="4"/>
  <c r="E32" i="4" s="1"/>
  <c r="C26" i="4"/>
  <c r="E26" i="4" s="1"/>
  <c r="C24" i="4"/>
  <c r="E24" i="4" s="1"/>
  <c r="C20" i="4"/>
  <c r="E20" i="4" s="1"/>
  <c r="C18" i="4"/>
  <c r="E18" i="4" s="1"/>
  <c r="C28" i="4"/>
  <c r="E28" i="4" s="1"/>
  <c r="C22" i="4"/>
  <c r="E22" i="4" s="1"/>
  <c r="C16" i="4"/>
  <c r="E16" i="4" s="1"/>
  <c r="C60" i="4"/>
  <c r="C57" i="4"/>
  <c r="C55" i="4"/>
  <c r="C47" i="4"/>
  <c r="C45" i="4"/>
  <c r="C37" i="4" l="1"/>
  <c r="C43" i="4"/>
  <c r="C14" i="4"/>
  <c r="D14" i="3" l="1"/>
  <c r="D13" i="3"/>
  <c r="D24" i="3"/>
  <c r="Q46" i="3"/>
  <c r="R46" i="3" s="1"/>
  <c r="T42" i="3"/>
  <c r="U42" i="3" s="1"/>
  <c r="O38" i="3"/>
  <c r="N38" i="3"/>
  <c r="F35" i="3"/>
  <c r="D30" i="3"/>
  <c r="D18" i="3"/>
  <c r="D12" i="3"/>
  <c r="D11" i="3"/>
  <c r="D6" i="3"/>
  <c r="F27" i="1"/>
  <c r="D20" i="1"/>
  <c r="D19" i="1"/>
  <c r="D21" i="1"/>
  <c r="D22" i="1"/>
  <c r="D17" i="1"/>
  <c r="T33" i="1"/>
  <c r="U33" i="1" s="1"/>
  <c r="D13" i="1"/>
  <c r="D7" i="1"/>
  <c r="Q37" i="1"/>
  <c r="R37" i="1" s="1"/>
  <c r="O29" i="1"/>
  <c r="N29" i="1"/>
  <c r="D11" i="1"/>
  <c r="G9" i="1"/>
  <c r="H9" i="1"/>
  <c r="I9" i="1"/>
  <c r="I8" i="1"/>
  <c r="H8" i="1"/>
  <c r="G8" i="1"/>
  <c r="D12" i="1"/>
  <c r="D14" i="1"/>
  <c r="D6" i="1"/>
  <c r="T26" i="1" l="1"/>
  <c r="U26" i="1" s="1"/>
  <c r="T35" i="3"/>
  <c r="U35" i="3" s="1"/>
  <c r="Q40" i="3"/>
  <c r="R40" i="3" s="1"/>
  <c r="D7" i="3"/>
  <c r="D8" i="1"/>
  <c r="Q31" i="1"/>
  <c r="R31" i="1" s="1"/>
  <c r="D9" i="1"/>
</calcChain>
</file>

<file path=xl/sharedStrings.xml><?xml version="1.0" encoding="utf-8"?>
<sst xmlns="http://schemas.openxmlformats.org/spreadsheetml/2006/main" count="320" uniqueCount="175">
  <si>
    <t>ITEM</t>
  </si>
  <si>
    <t>EXTENSION</t>
  </si>
  <si>
    <t>TOTAL</t>
  </si>
  <si>
    <t>UNIT</t>
  </si>
  <si>
    <t>DESCRIPTION</t>
  </si>
  <si>
    <t>ABUT.</t>
  </si>
  <si>
    <t>PIERS</t>
  </si>
  <si>
    <t>SUPER.</t>
  </si>
  <si>
    <t>GEN.</t>
  </si>
  <si>
    <t>SEE SHEET #</t>
  </si>
  <si>
    <t>EACH</t>
  </si>
  <si>
    <t>LS</t>
  </si>
  <si>
    <t>SY</t>
  </si>
  <si>
    <t>STRUCTURE DRAINAGE, MISC.: CLEANING SCUPPERS AND BRIDGE DRAINAGE SYSTEMS</t>
  </si>
  <si>
    <t>ESTIMATED QUANTITIES - STRUCTURE No.: HAM-71-0505 (SFN 3114600)</t>
  </si>
  <si>
    <t>PORTIONS OF STRUCTURE REMOVED, OVER 20 FOOT SPAN, AS PER PLAN</t>
  </si>
  <si>
    <t>512</t>
  </si>
  <si>
    <t>74000</t>
  </si>
  <si>
    <t>REMOVAL OF EXISTING COATINGS FROM CONCRETE SURFACES</t>
  </si>
  <si>
    <t>514</t>
  </si>
  <si>
    <t>00050</t>
  </si>
  <si>
    <t>SF</t>
  </si>
  <si>
    <t>SURFACE PREPARATION OF EXISTING STRUCTURAL STEEL</t>
  </si>
  <si>
    <t>FT</t>
  </si>
  <si>
    <t>VANDAL PROTECTION FENCE REMOVED</t>
  </si>
  <si>
    <t>RAILING, CONCRETE PARAPET WITH CHAIN LINK FENCE, AS PER PLAN</t>
  </si>
  <si>
    <t>FIELD PAINTING, MISC.: FIELD PAINTING OF STRUCTURAL STEEL WITH THREE COAT OZEU PAINT SYSTEM</t>
  </si>
  <si>
    <t>PATCHING CONCRETE STRUCTURE</t>
  </si>
  <si>
    <t>PATCHING QUANTITY</t>
  </si>
  <si>
    <t>SIDEWALK</t>
  </si>
  <si>
    <t>ABUTMENT</t>
  </si>
  <si>
    <t>TREATING CONCRETE BRIDGE DECKS WITH GRAVITY FED RESIN</t>
  </si>
  <si>
    <t>CONCRETE PATCHING WITH GALVANIC ANODE PROTECTION</t>
  </si>
  <si>
    <t>CONCRETE BARRIER END SECTION, TYPE D</t>
  </si>
  <si>
    <t>CONCRETE BARRIER, SINGLE SLOPE, TYPE D</t>
  </si>
  <si>
    <t>CONCRETE BARRIER, END ANCHORAGE, REINFORCED, TYPE D, AS PER PLAN</t>
  </si>
  <si>
    <t>STRUCTURAL EXPANSION JOINT INCLUDING ELASTOMERIC STRIP SEAL</t>
  </si>
  <si>
    <t>SEALING OF CONCRETE SURFACES, AS PER PLAN</t>
  </si>
  <si>
    <t>FENCE, MISC.: VANDAL PROTECTION FENCE REBUILT</t>
  </si>
  <si>
    <t>PATCHING CONCRETE STRUCTURE, AS PER PLAN</t>
  </si>
  <si>
    <t>FIELD PAINTING OF EXISTING STRUCTURAL STEEL, PRIME COAT</t>
  </si>
  <si>
    <t>FIELD PAINTING STRUCTURAL STEEL, INTERMEDIATE COAT</t>
  </si>
  <si>
    <t>FIELD PAINTING STRUCTURAL STEEL, FINISH COAT</t>
  </si>
  <si>
    <t>ELASTOMERIC STRIP SEAL WITHOUT STEEL EXTRUSIONS</t>
  </si>
  <si>
    <t>GRINDING FINS, TEARS, AND SLIVERS IN EXISTING STRUCTURAL STEEL</t>
  </si>
  <si>
    <t>FINAL INSPECTION REPAIR</t>
  </si>
  <si>
    <t>MNHR</t>
  </si>
  <si>
    <t>SEALING OF CONCRETE SURFACES (NON-EPOXY)</t>
  </si>
  <si>
    <t>519E00100</t>
  </si>
  <si>
    <t>SPECIAL</t>
  </si>
  <si>
    <t>690E98600</t>
  </si>
  <si>
    <t>HOUR</t>
  </si>
  <si>
    <t>SPECIAL - MISC.: DRAINAGE SYSTEM CLEANING, 36" AND UNDER</t>
  </si>
  <si>
    <t>LB</t>
  </si>
  <si>
    <t>SIDEWALK COVER PLATE</t>
  </si>
  <si>
    <t>STATE OF OHIO</t>
  </si>
  <si>
    <t>DEPARTMENT OF TRANSPORTATION</t>
  </si>
  <si>
    <t>DISTRICT 8</t>
  </si>
  <si>
    <t>505 S. STATE ROUTE 741</t>
  </si>
  <si>
    <t>LEBANON, OHIO  45036 </t>
  </si>
  <si>
    <t>PHONE: (513) 932-3030</t>
  </si>
  <si>
    <t>FAX: (513) 932-7651 </t>
  </si>
  <si>
    <t xml:space="preserve">JOB/ PID # </t>
  </si>
  <si>
    <t>CALC BY</t>
  </si>
  <si>
    <t>GTF</t>
  </si>
  <si>
    <t>DATE</t>
  </si>
  <si>
    <t>-</t>
  </si>
  <si>
    <t>CHECKED BY</t>
  </si>
  <si>
    <t>202E11201</t>
  </si>
  <si>
    <t>PORTIONS OF STRUCTURE REMOVED, AS PER PLAN</t>
  </si>
  <si>
    <t>LUMP</t>
  </si>
  <si>
    <t>512E10100</t>
  </si>
  <si>
    <t>SEALING OF CONCRETE SURFACES (EPOXY-URETHANE), AS PER PLAN</t>
  </si>
  <si>
    <t>Rear Abutment</t>
  </si>
  <si>
    <t>&lt;= FRONT FACE OF WING WALLS SEEMS TO BE MISSING FROM CALC.</t>
  </si>
  <si>
    <t>Forward Abutment</t>
  </si>
  <si>
    <t>Deck Edge</t>
  </si>
  <si>
    <t>&lt;=INCLUDE TOP OF PIER CAP = 13' x 6' = 78 SF * 2 PIERS = 156 SF</t>
  </si>
  <si>
    <t>&lt;=Increase Deck Perimeter to 3.33'</t>
  </si>
  <si>
    <t>512E74000</t>
  </si>
  <si>
    <t>516E31000</t>
  </si>
  <si>
    <t>JOINT SEALER, HOT APPLIED 705.04</t>
  </si>
  <si>
    <t>REAR ABUTMENT</t>
  </si>
  <si>
    <t>=32/COS(RADIANS(64))</t>
  </si>
  <si>
    <t>FORWARD ABUTMENT</t>
  </si>
  <si>
    <t>514E00051</t>
  </si>
  <si>
    <t>SURFACE PREPARATION OF EXISTING STRUCTURAL STEEL, AS PER PLAN</t>
  </si>
  <si>
    <t>PaintCalcs_BUT-126-0308 '!</t>
  </si>
  <si>
    <t>514E00057</t>
  </si>
  <si>
    <t>FIELD PAINTING OF EXISTING STRUCTURAL STEEL, PRIME COAT, AS PER PLAN</t>
  </si>
  <si>
    <t>514E00061</t>
  </si>
  <si>
    <t>FIELD PAINTING STRUCTURAL STEEL, INTERMEDIATE COAT, AS PER PLAN</t>
  </si>
  <si>
    <t>514E00067</t>
  </si>
  <si>
    <t>FIELD PAINTING STRUCTURAL STEEL, FINISH COAT, AS PER PLAN</t>
  </si>
  <si>
    <t>514E00504</t>
  </si>
  <si>
    <t>GRINDING FINS, TEARS, SLIVERS ON EXISTING STRUCTURAL STEEL</t>
  </si>
  <si>
    <t>Qty = [Total length to be coated = 837.50 LF]*1min/60min</t>
  </si>
  <si>
    <t>514E10000</t>
  </si>
  <si>
    <t>Qty = {[Total length to be coated = 837.50 LF] / 300} + {0.025*[No. Crossframes = 36]}</t>
  </si>
  <si>
    <t>517E75601</t>
  </si>
  <si>
    <t>DEEP BEAM BRIDGE RETROFIT RAILING, AS PER PLAN</t>
  </si>
  <si>
    <t>From Sta. in Existing Plans -&gt; 187.5*2</t>
  </si>
  <si>
    <t>HAM IR 71 5.05 PID105220</t>
  </si>
  <si>
    <t>(Length of Abut. Face + Beam Seat + Backwall Face = 9.5)* (Length of Abutment = 65.25')</t>
  </si>
  <si>
    <t>R.A. Left Wingwall</t>
  </si>
  <si>
    <t>F.A. Right Wingwall</t>
  </si>
  <si>
    <t>R.A. Right Wingwall</t>
  </si>
  <si>
    <t>F.A. Left Wingwall</t>
  </si>
  <si>
    <t>SQ YD</t>
  </si>
  <si>
    <t>(Length of Abut. Face + Beam Seat + Backwall Face = 9.5)* (Length of Abutment = 59.75')</t>
  </si>
  <si>
    <t>Pier 1</t>
  </si>
  <si>
    <t xml:space="preserve">(Perimeter of Cap = 14')* (Length of Cap = 55.5) + ((Circumference of Column = 9.42')*(Ave Height of Column = 10.5')*(No. of Columns = 4)) </t>
  </si>
  <si>
    <t>(Area of Face above ground line = 58 SF) + ((Perimeter of WW mounted Barrier = 4')* (Length of WW mounted Barrier= 25.75'))</t>
  </si>
  <si>
    <t>(Area of Face = 47 SF) + ((Perimeter of WW mounted Barrier = 4')* (Length of WW mounted Barrier= 18.25'))</t>
  </si>
  <si>
    <t>(Area of Face = 70 SF) + ((Perimeter of WW mounted Barrier = 4')* (Length of WW mounted Barrier= 22'))</t>
  </si>
  <si>
    <t>(Area of Face = 92 SF) + ((Perimeter of WW mounted Barrier = 4')* (Length of WW mounted Barrier= 20'))</t>
  </si>
  <si>
    <t>Pier 2</t>
  </si>
  <si>
    <t>Pier 3</t>
  </si>
  <si>
    <t xml:space="preserve">(Perimeter of Cap = 14')* (Length of Cap = 55.5) + ((Circumference of Column = 9.42')*(Ave Height of Column = 19')*(No. of Columns = 4)) </t>
  </si>
  <si>
    <t xml:space="preserve">(Perimeter of Deck Edge/Parapet = 9.626)* ((L. Edge Length= 317.25) = </t>
  </si>
  <si>
    <t xml:space="preserve">(Perimeter of Deck Edge/Parapet = 9.626)* ((R. Edge Length=316.833) = </t>
  </si>
  <si>
    <t xml:space="preserve">(Perimeter of Cap = 14')* (Length of Cap = 55.5) + ((Circumference of Column = 9.42')*(Ave Height of Column = 14.5'-3.5' Barrier)*(No. of Columns = 4)) </t>
  </si>
  <si>
    <t>CONCRETE SLOPE PROTECTION REMOVED</t>
  </si>
  <si>
    <t>CONCRETE SLOPE PROTECTION</t>
  </si>
  <si>
    <t>SEALING OF CONCRETE SURFACES, AS PER PLAN (PERMANENT GRAFFITI PROTECTION)</t>
  </si>
  <si>
    <t>Sidewalk</t>
  </si>
  <si>
    <t>See SEALING OF CONCRETE SURFACES Quantity Calculations</t>
  </si>
  <si>
    <t xml:space="preserve">(Perimeter of Sidewalk/Curb = 6.64)* ((L. Edge Length= 317.25) = </t>
  </si>
  <si>
    <t xml:space="preserve">(Perimeter of Deck Edge/Parapet = 6.64)* ((R. Edge Length=316.833) = </t>
  </si>
  <si>
    <t>GALVANIC ANODE PROTECTION</t>
  </si>
  <si>
    <t>SIZE</t>
  </si>
  <si>
    <t>LOCATION</t>
  </si>
  <si>
    <t>QUANTITY</t>
  </si>
  <si>
    <t>Thickness</t>
  </si>
  <si>
    <t>(FT)</t>
  </si>
  <si>
    <t>Length</t>
  </si>
  <si>
    <t>Width</t>
  </si>
  <si>
    <t>VOLUME</t>
  </si>
  <si>
    <t>(CU FT)</t>
  </si>
  <si>
    <t>WEIGHT</t>
  </si>
  <si>
    <t>(LBS)</t>
  </si>
  <si>
    <t>1/2" PLATE</t>
  </si>
  <si>
    <t>R.A. LEFT</t>
  </si>
  <si>
    <t>1/2"x4" BAR</t>
  </si>
  <si>
    <t>1/2" x 8" PLATE</t>
  </si>
  <si>
    <t>1/2" x 1" BAR</t>
  </si>
  <si>
    <t>R.A. RIGHT</t>
  </si>
  <si>
    <t>F.A. LEFT</t>
  </si>
  <si>
    <t>F.A. RIGHT</t>
  </si>
  <si>
    <t>Total Plates</t>
  </si>
  <si>
    <t>+86 LBS STUDS +10 LBS BOLTS)</t>
  </si>
  <si>
    <t>CONCRETE BARRIER END SECTION, TYPE D, AS PER PLAN</t>
  </si>
  <si>
    <t>00056</t>
  </si>
  <si>
    <t>00060</t>
  </si>
  <si>
    <t>00066</t>
  </si>
  <si>
    <t>00504</t>
  </si>
  <si>
    <t>202E11203</t>
  </si>
  <si>
    <t>202E32800</t>
  </si>
  <si>
    <t>512E73500</t>
  </si>
  <si>
    <t>512E10001</t>
  </si>
  <si>
    <t>512E10050</t>
  </si>
  <si>
    <t>514E00050</t>
  </si>
  <si>
    <t>514E00056</t>
  </si>
  <si>
    <t>514E00060</t>
  </si>
  <si>
    <t>514E00066</t>
  </si>
  <si>
    <t>516E12310</t>
  </si>
  <si>
    <t>601E21000</t>
  </si>
  <si>
    <t>607E98000</t>
  </si>
  <si>
    <t>519E11101</t>
  </si>
  <si>
    <t>622E25001</t>
  </si>
  <si>
    <t>622E25051</t>
  </si>
  <si>
    <t>844E20000</t>
  </si>
  <si>
    <t>516E01300</t>
  </si>
  <si>
    <t>SPECIAL - COMPOSITE FIBER WRAP SYSTEM (PROPOSAL NOTE 519)</t>
  </si>
  <si>
    <t>6" PIPE DOWNSPOUT, INCLUDING SPECIALS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</si>
</sst>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\-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rgb="FF0000FF"/>
      <name val="Arial"/>
      <family val="2"/>
    </font>
    <font>
      <i/>
      <sz val="9"/>
      <color indexed="12"/>
      <name val="Arial"/>
      <family val="2"/>
    </font>
    <font>
      <i/>
      <sz val="9"/>
      <color rgb="FF0000FF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6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" fillId="0" borderId="9" xfId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0" fillId="0" borderId="9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49" fontId="0" fillId="0" borderId="9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3" fontId="0" fillId="0" borderId="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49" fontId="0" fillId="0" borderId="16" xfId="0" applyNumberFormat="1" applyBorder="1" applyAlignment="1">
      <alignment horizontal="center"/>
    </xf>
    <xf numFmtId="11" fontId="0" fillId="0" borderId="13" xfId="0" applyNumberFormat="1" applyBorder="1" applyAlignment="1">
      <alignment horizontal="center"/>
    </xf>
    <xf numFmtId="0" fontId="3" fillId="0" borderId="5" xfId="2" applyFont="1" applyBorder="1" applyAlignment="1">
      <alignment vertical="top" wrapText="1" readingOrder="1"/>
    </xf>
    <xf numFmtId="0" fontId="4" fillId="0" borderId="5" xfId="1" applyFont="1" applyBorder="1" applyAlignment="1">
      <alignment horizontal="left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8" fillId="0" borderId="0" xfId="0" applyFont="1" applyAlignment="1">
      <alignment horizontal="center"/>
    </xf>
    <xf numFmtId="0" fontId="0" fillId="0" borderId="22" xfId="0" applyBorder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22" xfId="0" applyFont="1" applyBorder="1" applyAlignment="1">
      <alignment vertical="center"/>
    </xf>
    <xf numFmtId="0" fontId="0" fillId="0" borderId="26" xfId="0" applyBorder="1"/>
    <xf numFmtId="0" fontId="8" fillId="0" borderId="9" xfId="0" applyFont="1" applyBorder="1" applyAlignment="1">
      <alignment horizontal="center"/>
    </xf>
    <xf numFmtId="0" fontId="0" fillId="0" borderId="9" xfId="0" applyBorder="1"/>
    <xf numFmtId="0" fontId="0" fillId="0" borderId="27" xfId="0" applyBorder="1"/>
    <xf numFmtId="0" fontId="11" fillId="0" borderId="1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165" fontId="13" fillId="0" borderId="2" xfId="0" applyNumberFormat="1" applyFont="1" applyBorder="1" applyProtection="1">
      <protection locked="0"/>
    </xf>
    <xf numFmtId="0" fontId="0" fillId="0" borderId="2" xfId="0" applyBorder="1"/>
    <xf numFmtId="0" fontId="0" fillId="0" borderId="3" xfId="0" applyBorder="1"/>
    <xf numFmtId="0" fontId="11" fillId="0" borderId="4" xfId="0" applyFont="1" applyBorder="1" applyAlignment="1">
      <alignment horizontal="right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center"/>
      <protection locked="0"/>
    </xf>
    <xf numFmtId="14" fontId="14" fillId="0" borderId="6" xfId="0" applyNumberFormat="1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14" fontId="14" fillId="0" borderId="2" xfId="0" applyNumberFormat="1" applyFont="1" applyBorder="1" applyAlignment="1" applyProtection="1">
      <alignment horizontal="left"/>
      <protection locked="0"/>
    </xf>
    <xf numFmtId="0" fontId="3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2" fillId="0" borderId="5" xfId="0" applyFont="1" applyBorder="1"/>
    <xf numFmtId="0" fontId="0" fillId="0" borderId="5" xfId="0" applyBorder="1"/>
    <xf numFmtId="1" fontId="2" fillId="0" borderId="5" xfId="0" applyNumberFormat="1" applyFont="1" applyBorder="1"/>
    <xf numFmtId="0" fontId="16" fillId="0" borderId="5" xfId="0" applyFont="1" applyBorder="1" applyAlignment="1">
      <alignment vertical="center"/>
    </xf>
    <xf numFmtId="2" fontId="0" fillId="0" borderId="5" xfId="0" applyNumberFormat="1" applyBorder="1"/>
    <xf numFmtId="0" fontId="17" fillId="0" borderId="0" xfId="0" applyFont="1"/>
    <xf numFmtId="11" fontId="3" fillId="0" borderId="5" xfId="0" applyNumberFormat="1" applyFont="1" applyBorder="1" applyAlignment="1">
      <alignment vertical="center"/>
    </xf>
    <xf numFmtId="2" fontId="2" fillId="0" borderId="5" xfId="0" applyNumberFormat="1" applyFont="1" applyBorder="1"/>
    <xf numFmtId="0" fontId="0" fillId="0" borderId="5" xfId="0" quotePrefix="1" applyBorder="1"/>
    <xf numFmtId="0" fontId="3" fillId="0" borderId="5" xfId="0" applyFont="1" applyBorder="1" applyAlignment="1">
      <alignment vertical="center" wrapText="1"/>
    </xf>
    <xf numFmtId="0" fontId="7" fillId="0" borderId="0" xfId="3" quotePrefix="1" applyFill="1"/>
    <xf numFmtId="164" fontId="0" fillId="0" borderId="5" xfId="0" applyNumberForma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0" fontId="15" fillId="0" borderId="13" xfId="0" applyFont="1" applyBorder="1" applyAlignment="1">
      <alignment vertical="center"/>
    </xf>
    <xf numFmtId="2" fontId="0" fillId="0" borderId="0" xfId="0" applyNumberFormat="1"/>
    <xf numFmtId="0" fontId="1" fillId="0" borderId="10" xfId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1" fontId="0" fillId="0" borderId="0" xfId="0" applyNumberFormat="1"/>
    <xf numFmtId="164" fontId="0" fillId="0" borderId="16" xfId="0" applyNumberForma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2" xr:uid="{EB5C3850-867E-431E-8FF3-5B0119E4CCFA}"/>
    <cellStyle name="Normal 2 2" xfId="1" xr:uid="{E25F2C27-7441-4836-B9F5-C78299F0E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243840</xdr:colOff>
      <xdr:row>6</xdr:row>
      <xdr:rowOff>20955</xdr:rowOff>
    </xdr:to>
    <xdr:pic>
      <xdr:nvPicPr>
        <xdr:cNvPr id="2" name="Picture 1" descr="ODOTLogoSm.jpg">
          <a:extLst>
            <a:ext uri="{FF2B5EF4-FFF2-40B4-BE49-F238E27FC236}">
              <a16:creationId xmlns:a16="http://schemas.microsoft.com/office/drawing/2014/main" id="{7B676579-DC9F-435A-989C-C79C0443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62990" cy="107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C102-1D95-4851-8CC1-B2127666998F}">
  <dimension ref="A1:U59"/>
  <sheetViews>
    <sheetView tabSelected="1" zoomScale="85" zoomScaleNormal="85" workbookViewId="0">
      <selection activeCell="J18" sqref="J18"/>
    </sheetView>
  </sheetViews>
  <sheetFormatPr defaultRowHeight="15" x14ac:dyDescent="0.25"/>
  <cols>
    <col min="3" max="3" width="11.42578125" bestFit="1" customWidth="1"/>
    <col min="6" max="6" width="99.85546875" bestFit="1" customWidth="1"/>
    <col min="11" max="11" width="15.5703125" bestFit="1" customWidth="1"/>
    <col min="13" max="13" width="19.85546875" bestFit="1" customWidth="1"/>
  </cols>
  <sheetData>
    <row r="1" spans="2:16" ht="15.75" thickBot="1" x14ac:dyDescent="0.3">
      <c r="B1" s="4"/>
      <c r="C1" s="4"/>
      <c r="D1" s="4"/>
      <c r="E1" s="5"/>
      <c r="F1" s="5"/>
      <c r="G1" s="6"/>
      <c r="H1" s="7"/>
      <c r="I1" s="6"/>
      <c r="J1" s="6"/>
      <c r="K1" s="8"/>
    </row>
    <row r="2" spans="2:16" x14ac:dyDescent="0.25">
      <c r="B2" s="108" t="s">
        <v>14</v>
      </c>
      <c r="C2" s="109"/>
      <c r="D2" s="109"/>
      <c r="E2" s="109"/>
      <c r="F2" s="109"/>
      <c r="G2" s="109"/>
      <c r="H2" s="109"/>
      <c r="I2" s="109"/>
      <c r="J2" s="109"/>
      <c r="K2" s="110"/>
      <c r="M2" s="33" t="s">
        <v>28</v>
      </c>
    </row>
    <row r="3" spans="2:16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1" t="s">
        <v>9</v>
      </c>
      <c r="M3" s="34" t="s">
        <v>29</v>
      </c>
    </row>
    <row r="4" spans="2:16" x14ac:dyDescent="0.25">
      <c r="B4" s="15">
        <v>202</v>
      </c>
      <c r="C4" s="16">
        <v>11203</v>
      </c>
      <c r="D4" s="16" t="s">
        <v>70</v>
      </c>
      <c r="E4" s="16" t="s">
        <v>11</v>
      </c>
      <c r="F4" s="49" t="s">
        <v>15</v>
      </c>
      <c r="G4" s="16"/>
      <c r="H4" s="16"/>
      <c r="I4" s="16"/>
      <c r="J4" s="16" t="s">
        <v>11</v>
      </c>
      <c r="K4" s="17">
        <v>13</v>
      </c>
      <c r="N4">
        <v>2</v>
      </c>
      <c r="O4">
        <v>4</v>
      </c>
      <c r="P4">
        <f>N4*O4</f>
        <v>8</v>
      </c>
    </row>
    <row r="5" spans="2:16" x14ac:dyDescent="0.25">
      <c r="B5" s="15">
        <v>202</v>
      </c>
      <c r="C5" s="16">
        <v>32800</v>
      </c>
      <c r="D5" s="9">
        <f>SUM(G5:J5)</f>
        <v>40</v>
      </c>
      <c r="E5" s="16" t="s">
        <v>12</v>
      </c>
      <c r="F5" s="49" t="s">
        <v>122</v>
      </c>
      <c r="G5" s="16"/>
      <c r="H5" s="16"/>
      <c r="I5" s="16"/>
      <c r="J5" s="99">
        <v>40</v>
      </c>
      <c r="K5" s="17"/>
    </row>
    <row r="6" spans="2:16" x14ac:dyDescent="0.25">
      <c r="B6" s="11">
        <v>512</v>
      </c>
      <c r="C6" s="19">
        <v>73500</v>
      </c>
      <c r="D6" s="9">
        <f>SUM(G6:J6)</f>
        <v>1587</v>
      </c>
      <c r="E6" s="20" t="s">
        <v>12</v>
      </c>
      <c r="F6" s="32" t="s">
        <v>31</v>
      </c>
      <c r="G6" s="9"/>
      <c r="H6" s="9"/>
      <c r="I6" s="10">
        <v>1587</v>
      </c>
      <c r="J6" s="28"/>
      <c r="K6" s="12"/>
      <c r="N6">
        <v>4</v>
      </c>
      <c r="O6">
        <v>1</v>
      </c>
      <c r="P6">
        <f t="shared" ref="P6:P32" si="0">N6*O6</f>
        <v>4</v>
      </c>
    </row>
    <row r="7" spans="2:16" x14ac:dyDescent="0.25">
      <c r="B7" s="11">
        <v>512</v>
      </c>
      <c r="C7" s="19">
        <v>10001</v>
      </c>
      <c r="D7" s="9">
        <f t="shared" ref="D7:D21" si="1">SUM(G7:J7)</f>
        <v>1321</v>
      </c>
      <c r="E7" s="20" t="s">
        <v>12</v>
      </c>
      <c r="F7" s="32" t="s">
        <v>124</v>
      </c>
      <c r="G7" s="9">
        <v>197</v>
      </c>
      <c r="H7" s="9">
        <v>444</v>
      </c>
      <c r="I7" s="10">
        <v>680</v>
      </c>
      <c r="J7" s="28"/>
      <c r="K7" s="12">
        <v>13</v>
      </c>
      <c r="N7">
        <v>2</v>
      </c>
      <c r="O7">
        <v>1</v>
      </c>
      <c r="P7">
        <f t="shared" si="0"/>
        <v>2</v>
      </c>
    </row>
    <row r="8" spans="2:16" x14ac:dyDescent="0.25">
      <c r="B8" s="11">
        <v>512</v>
      </c>
      <c r="C8" s="19">
        <v>10050</v>
      </c>
      <c r="D8" s="9">
        <f t="shared" si="1"/>
        <v>468</v>
      </c>
      <c r="E8" s="20" t="s">
        <v>12</v>
      </c>
      <c r="F8" s="32" t="s">
        <v>47</v>
      </c>
      <c r="G8" s="9"/>
      <c r="H8" s="9"/>
      <c r="I8" s="10">
        <v>468</v>
      </c>
      <c r="J8" s="28"/>
      <c r="K8" s="12"/>
      <c r="N8">
        <v>4</v>
      </c>
      <c r="O8">
        <v>3</v>
      </c>
      <c r="P8">
        <f t="shared" si="0"/>
        <v>12</v>
      </c>
    </row>
    <row r="9" spans="2:16" x14ac:dyDescent="0.25">
      <c r="B9" s="11">
        <v>512</v>
      </c>
      <c r="C9" s="9">
        <v>74000</v>
      </c>
      <c r="D9" s="9">
        <f>SUM(G9:J9)</f>
        <v>1789</v>
      </c>
      <c r="E9" s="20" t="s">
        <v>12</v>
      </c>
      <c r="F9" s="32" t="s">
        <v>18</v>
      </c>
      <c r="G9" s="9">
        <v>197</v>
      </c>
      <c r="H9" s="9">
        <v>444</v>
      </c>
      <c r="I9" s="10">
        <v>1148</v>
      </c>
      <c r="J9" s="9"/>
      <c r="K9" s="12"/>
      <c r="N9">
        <v>2</v>
      </c>
      <c r="O9">
        <v>1</v>
      </c>
      <c r="P9">
        <f t="shared" si="0"/>
        <v>2</v>
      </c>
    </row>
    <row r="10" spans="2:16" x14ac:dyDescent="0.25">
      <c r="B10" s="11"/>
      <c r="C10" s="9"/>
      <c r="D10" s="9"/>
      <c r="E10" s="20"/>
      <c r="F10" s="32"/>
      <c r="G10" s="9"/>
      <c r="H10" s="9"/>
      <c r="I10" s="10"/>
      <c r="J10" s="9"/>
      <c r="K10" s="12"/>
      <c r="N10">
        <v>6</v>
      </c>
      <c r="O10">
        <v>4</v>
      </c>
      <c r="P10">
        <f t="shared" si="0"/>
        <v>24</v>
      </c>
    </row>
    <row r="11" spans="2:16" x14ac:dyDescent="0.25">
      <c r="B11" s="11">
        <v>514</v>
      </c>
      <c r="C11" s="19">
        <v>50</v>
      </c>
      <c r="D11" s="10">
        <f>SUM(G11:J11)</f>
        <v>42042</v>
      </c>
      <c r="E11" s="21" t="s">
        <v>21</v>
      </c>
      <c r="F11" s="32" t="s">
        <v>22</v>
      </c>
      <c r="G11" s="9"/>
      <c r="H11" s="9"/>
      <c r="I11" s="10">
        <v>42042</v>
      </c>
      <c r="J11" s="9"/>
      <c r="K11" s="12"/>
      <c r="N11">
        <v>1</v>
      </c>
      <c r="O11">
        <v>1</v>
      </c>
      <c r="P11">
        <f t="shared" si="0"/>
        <v>1</v>
      </c>
    </row>
    <row r="12" spans="2:16" x14ac:dyDescent="0.25">
      <c r="B12" s="11">
        <v>514</v>
      </c>
      <c r="C12" s="19">
        <v>56</v>
      </c>
      <c r="D12" s="10">
        <f t="shared" si="1"/>
        <v>42042</v>
      </c>
      <c r="E12" s="20" t="s">
        <v>21</v>
      </c>
      <c r="F12" s="32" t="s">
        <v>40</v>
      </c>
      <c r="G12" s="9"/>
      <c r="H12" s="9"/>
      <c r="I12" s="10">
        <v>42042</v>
      </c>
      <c r="J12" s="27"/>
      <c r="K12" s="12"/>
      <c r="N12">
        <v>3</v>
      </c>
      <c r="O12">
        <v>3</v>
      </c>
      <c r="P12">
        <f t="shared" si="0"/>
        <v>9</v>
      </c>
    </row>
    <row r="13" spans="2:16" x14ac:dyDescent="0.25">
      <c r="B13" s="11">
        <v>514</v>
      </c>
      <c r="C13" s="19">
        <v>60</v>
      </c>
      <c r="D13" s="10">
        <f t="shared" ref="D13:D15" si="2">SUM(G13:J13)</f>
        <v>42042</v>
      </c>
      <c r="E13" s="20" t="s">
        <v>21</v>
      </c>
      <c r="F13" s="32" t="s">
        <v>41</v>
      </c>
      <c r="G13" s="9"/>
      <c r="H13" s="9"/>
      <c r="I13" s="10">
        <v>42042</v>
      </c>
      <c r="J13" s="27"/>
      <c r="K13" s="12"/>
    </row>
    <row r="14" spans="2:16" x14ac:dyDescent="0.25">
      <c r="B14" s="11">
        <v>514</v>
      </c>
      <c r="C14" s="19">
        <v>66</v>
      </c>
      <c r="D14" s="10">
        <f t="shared" si="2"/>
        <v>42042</v>
      </c>
      <c r="E14" s="20" t="s">
        <v>21</v>
      </c>
      <c r="F14" s="32" t="s">
        <v>42</v>
      </c>
      <c r="G14" s="9"/>
      <c r="H14" s="9"/>
      <c r="I14" s="10">
        <v>42042</v>
      </c>
      <c r="J14" s="27"/>
      <c r="K14" s="12"/>
      <c r="N14">
        <v>5</v>
      </c>
      <c r="O14">
        <v>3</v>
      </c>
      <c r="P14">
        <f t="shared" si="0"/>
        <v>15</v>
      </c>
    </row>
    <row r="15" spans="2:16" x14ac:dyDescent="0.25">
      <c r="B15" s="11">
        <v>514</v>
      </c>
      <c r="C15" s="19">
        <v>504</v>
      </c>
      <c r="D15" s="10">
        <f t="shared" si="2"/>
        <v>5</v>
      </c>
      <c r="E15" s="20" t="s">
        <v>46</v>
      </c>
      <c r="F15" s="32" t="s">
        <v>44</v>
      </c>
      <c r="G15" s="9"/>
      <c r="H15" s="9"/>
      <c r="I15" s="10"/>
      <c r="J15" s="27">
        <v>5</v>
      </c>
      <c r="K15" s="12"/>
      <c r="N15">
        <v>9</v>
      </c>
      <c r="O15">
        <v>3</v>
      </c>
      <c r="P15">
        <f t="shared" si="0"/>
        <v>27</v>
      </c>
    </row>
    <row r="16" spans="2:16" x14ac:dyDescent="0.25">
      <c r="B16" s="11">
        <v>514</v>
      </c>
      <c r="C16" s="19">
        <v>10000</v>
      </c>
      <c r="D16" s="10">
        <f t="shared" si="1"/>
        <v>10</v>
      </c>
      <c r="E16" s="20" t="s">
        <v>10</v>
      </c>
      <c r="F16" s="32" t="s">
        <v>45</v>
      </c>
      <c r="G16" s="9"/>
      <c r="H16" s="9"/>
      <c r="I16" s="10">
        <v>10</v>
      </c>
      <c r="J16" s="27"/>
      <c r="K16" s="12"/>
      <c r="N16">
        <v>3</v>
      </c>
      <c r="O16">
        <v>4</v>
      </c>
      <c r="P16">
        <f t="shared" si="0"/>
        <v>12</v>
      </c>
    </row>
    <row r="17" spans="2:16" x14ac:dyDescent="0.25">
      <c r="B17" s="11"/>
      <c r="C17" s="19"/>
      <c r="D17" s="10"/>
      <c r="E17" s="20"/>
      <c r="F17" s="32"/>
      <c r="G17" s="9"/>
      <c r="H17" s="9"/>
      <c r="I17" s="10"/>
      <c r="J17" s="27"/>
      <c r="K17" s="12"/>
      <c r="N17">
        <v>3</v>
      </c>
      <c r="O17">
        <v>4</v>
      </c>
      <c r="P17">
        <f t="shared" si="0"/>
        <v>12</v>
      </c>
    </row>
    <row r="18" spans="2:16" x14ac:dyDescent="0.25">
      <c r="B18" s="11">
        <v>516</v>
      </c>
      <c r="C18" s="19">
        <v>1300</v>
      </c>
      <c r="D18" s="10">
        <f t="shared" si="1"/>
        <v>100</v>
      </c>
      <c r="E18" s="20" t="s">
        <v>23</v>
      </c>
      <c r="F18" s="48" t="s">
        <v>43</v>
      </c>
      <c r="G18" s="9"/>
      <c r="H18" s="9"/>
      <c r="I18" s="10">
        <v>100</v>
      </c>
      <c r="J18" s="27"/>
      <c r="K18" s="12"/>
      <c r="N18">
        <v>9</v>
      </c>
      <c r="O18">
        <v>3</v>
      </c>
      <c r="P18">
        <f t="shared" si="0"/>
        <v>27</v>
      </c>
    </row>
    <row r="19" spans="2:16" x14ac:dyDescent="0.25">
      <c r="B19" s="11">
        <v>516</v>
      </c>
      <c r="C19" s="19">
        <v>12310</v>
      </c>
      <c r="D19" s="9">
        <f t="shared" si="1"/>
        <v>997</v>
      </c>
      <c r="E19" s="20" t="s">
        <v>53</v>
      </c>
      <c r="F19" s="48" t="s">
        <v>54</v>
      </c>
      <c r="G19" s="9"/>
      <c r="H19" s="9"/>
      <c r="I19" s="10">
        <v>997</v>
      </c>
      <c r="J19" s="27"/>
      <c r="K19" s="12"/>
      <c r="N19">
        <v>1</v>
      </c>
      <c r="O19">
        <v>1</v>
      </c>
      <c r="P19">
        <f t="shared" si="0"/>
        <v>1</v>
      </c>
    </row>
    <row r="20" spans="2:16" x14ac:dyDescent="0.25">
      <c r="B20" s="11">
        <v>518</v>
      </c>
      <c r="C20" s="19">
        <v>43300</v>
      </c>
      <c r="D20" s="9">
        <f t="shared" si="1"/>
        <v>55</v>
      </c>
      <c r="E20" s="20" t="s">
        <v>23</v>
      </c>
      <c r="F20" s="48" t="s">
        <v>174</v>
      </c>
      <c r="G20" s="9"/>
      <c r="H20" s="9">
        <v>55</v>
      </c>
      <c r="I20" s="10"/>
      <c r="J20" s="27"/>
      <c r="K20" s="12">
        <v>20</v>
      </c>
    </row>
    <row r="21" spans="2:16" x14ac:dyDescent="0.25">
      <c r="B21" s="11">
        <v>601</v>
      </c>
      <c r="C21" s="19">
        <v>21000</v>
      </c>
      <c r="D21" s="9">
        <f t="shared" si="1"/>
        <v>40</v>
      </c>
      <c r="E21" s="20" t="s">
        <v>12</v>
      </c>
      <c r="F21" s="48" t="s">
        <v>123</v>
      </c>
      <c r="G21" s="9"/>
      <c r="H21" s="9"/>
      <c r="I21" s="10"/>
      <c r="J21" s="27">
        <v>40</v>
      </c>
      <c r="K21" s="12"/>
    </row>
    <row r="22" spans="2:16" x14ac:dyDescent="0.25">
      <c r="B22" s="11">
        <v>607</v>
      </c>
      <c r="C22" s="19">
        <v>98000</v>
      </c>
      <c r="D22" s="31">
        <f>SUM(G22:J22)</f>
        <v>1029</v>
      </c>
      <c r="E22" s="9" t="s">
        <v>23</v>
      </c>
      <c r="F22" s="26" t="s">
        <v>38</v>
      </c>
      <c r="G22" s="9"/>
      <c r="H22" s="9"/>
      <c r="I22" s="9">
        <v>1029</v>
      </c>
      <c r="J22" s="9"/>
      <c r="K22" s="12">
        <v>13</v>
      </c>
      <c r="N22">
        <v>4</v>
      </c>
      <c r="O22">
        <v>1</v>
      </c>
      <c r="P22">
        <f t="shared" si="0"/>
        <v>4</v>
      </c>
    </row>
    <row r="23" spans="2:16" x14ac:dyDescent="0.25">
      <c r="B23" s="29"/>
      <c r="C23" s="105"/>
      <c r="D23" s="31"/>
      <c r="E23" s="9"/>
      <c r="F23" s="26"/>
      <c r="G23" s="38"/>
      <c r="H23" s="37"/>
      <c r="I23" s="30"/>
      <c r="J23" s="30"/>
      <c r="K23" s="12"/>
    </row>
    <row r="24" spans="2:16" x14ac:dyDescent="0.25">
      <c r="B24" s="29">
        <v>519</v>
      </c>
      <c r="C24" s="37">
        <v>11101</v>
      </c>
      <c r="D24" s="31">
        <f>SUM(G24:J24)</f>
        <v>1155</v>
      </c>
      <c r="E24" s="9" t="s">
        <v>21</v>
      </c>
      <c r="F24" s="32" t="s">
        <v>39</v>
      </c>
      <c r="G24" s="38">
        <v>220</v>
      </c>
      <c r="H24" s="37">
        <f>36+78+23</f>
        <v>137</v>
      </c>
      <c r="I24" s="31">
        <v>798</v>
      </c>
      <c r="J24" s="30"/>
      <c r="K24" s="12">
        <v>13</v>
      </c>
      <c r="L24" s="36"/>
      <c r="N24">
        <v>13</v>
      </c>
      <c r="O24">
        <v>4</v>
      </c>
      <c r="P24">
        <f t="shared" si="0"/>
        <v>52</v>
      </c>
    </row>
    <row r="25" spans="2:16" x14ac:dyDescent="0.25">
      <c r="B25" s="39" t="s">
        <v>49</v>
      </c>
      <c r="C25" s="46" t="s">
        <v>48</v>
      </c>
      <c r="D25" s="31">
        <f>SUM(G25:J25)</f>
        <v>112</v>
      </c>
      <c r="E25" s="28" t="s">
        <v>21</v>
      </c>
      <c r="F25" s="45" t="s">
        <v>173</v>
      </c>
      <c r="G25" s="41"/>
      <c r="H25" s="37">
        <v>112</v>
      </c>
      <c r="I25" s="31"/>
      <c r="J25" s="30"/>
      <c r="K25" s="12"/>
      <c r="N25">
        <v>4</v>
      </c>
      <c r="O25">
        <v>4</v>
      </c>
      <c r="P25">
        <f t="shared" si="0"/>
        <v>16</v>
      </c>
    </row>
    <row r="26" spans="2:16" x14ac:dyDescent="0.25">
      <c r="B26" s="39">
        <v>622</v>
      </c>
      <c r="C26" s="37">
        <v>25001</v>
      </c>
      <c r="D26" s="31">
        <f>SUM(G26:J26)</f>
        <v>1</v>
      </c>
      <c r="E26" s="28" t="s">
        <v>10</v>
      </c>
      <c r="F26" s="43" t="s">
        <v>151</v>
      </c>
      <c r="G26" s="41"/>
      <c r="H26" s="37">
        <v>1</v>
      </c>
      <c r="I26" s="31"/>
      <c r="J26" s="30"/>
      <c r="K26" s="12">
        <v>2</v>
      </c>
      <c r="N26">
        <v>5</v>
      </c>
      <c r="O26">
        <v>6</v>
      </c>
      <c r="P26">
        <f t="shared" si="0"/>
        <v>30</v>
      </c>
    </row>
    <row r="27" spans="2:16" x14ac:dyDescent="0.25">
      <c r="B27" s="39">
        <v>622</v>
      </c>
      <c r="C27" s="9">
        <v>25051</v>
      </c>
      <c r="D27" s="31">
        <f>SUM(G27:J27)</f>
        <v>1</v>
      </c>
      <c r="E27" s="28" t="s">
        <v>10</v>
      </c>
      <c r="F27" s="43" t="s">
        <v>35</v>
      </c>
      <c r="G27" s="35"/>
      <c r="H27" s="35">
        <v>1</v>
      </c>
      <c r="I27" s="31"/>
      <c r="J27" s="30"/>
      <c r="K27" s="12">
        <v>2</v>
      </c>
      <c r="N27">
        <v>5</v>
      </c>
      <c r="O27">
        <v>3</v>
      </c>
      <c r="P27">
        <f t="shared" si="0"/>
        <v>15</v>
      </c>
    </row>
    <row r="28" spans="2:16" x14ac:dyDescent="0.25">
      <c r="B28" s="39" t="s">
        <v>49</v>
      </c>
      <c r="C28" s="47" t="s">
        <v>50</v>
      </c>
      <c r="D28" s="31">
        <f>SUM(G28:J28)</f>
        <v>10</v>
      </c>
      <c r="E28" s="38" t="s">
        <v>51</v>
      </c>
      <c r="F28" s="44" t="s">
        <v>52</v>
      </c>
      <c r="G28" s="9"/>
      <c r="H28" s="9"/>
      <c r="I28" s="10"/>
      <c r="J28" s="9">
        <v>10</v>
      </c>
      <c r="K28" s="12">
        <v>13</v>
      </c>
      <c r="N28">
        <v>4</v>
      </c>
      <c r="O28">
        <v>1</v>
      </c>
      <c r="P28">
        <f t="shared" si="0"/>
        <v>4</v>
      </c>
    </row>
    <row r="29" spans="2:16" x14ac:dyDescent="0.25">
      <c r="B29" s="39"/>
      <c r="C29" s="47"/>
      <c r="D29" s="31"/>
      <c r="E29" s="38"/>
      <c r="F29" s="106"/>
      <c r="G29" s="30"/>
      <c r="H29" s="37"/>
      <c r="I29" s="31"/>
      <c r="J29" s="30"/>
      <c r="K29" s="107"/>
    </row>
    <row r="30" spans="2:16" ht="15.75" thickBot="1" x14ac:dyDescent="0.3">
      <c r="B30" s="22">
        <v>844</v>
      </c>
      <c r="C30" s="23">
        <v>20000</v>
      </c>
      <c r="D30" s="24">
        <f>SUM(G30:J30)</f>
        <v>199</v>
      </c>
      <c r="E30" s="23" t="s">
        <v>10</v>
      </c>
      <c r="F30" s="25" t="s">
        <v>129</v>
      </c>
      <c r="G30" s="23">
        <v>149</v>
      </c>
      <c r="H30" s="40">
        <v>50</v>
      </c>
      <c r="I30" s="24"/>
      <c r="J30" s="23"/>
      <c r="K30" s="13"/>
      <c r="N30">
        <v>5</v>
      </c>
      <c r="O30">
        <v>4</v>
      </c>
      <c r="P30">
        <f t="shared" si="0"/>
        <v>20</v>
      </c>
    </row>
    <row r="31" spans="2:16" x14ac:dyDescent="0.25">
      <c r="N31">
        <v>9</v>
      </c>
      <c r="O31">
        <v>6</v>
      </c>
      <c r="P31">
        <f t="shared" si="0"/>
        <v>54</v>
      </c>
    </row>
    <row r="32" spans="2:16" x14ac:dyDescent="0.25">
      <c r="N32">
        <v>1</v>
      </c>
      <c r="O32">
        <v>1</v>
      </c>
      <c r="P32">
        <f t="shared" si="0"/>
        <v>1</v>
      </c>
    </row>
    <row r="33" spans="1:21" x14ac:dyDescent="0.25">
      <c r="M33" s="33" t="s">
        <v>28</v>
      </c>
    </row>
    <row r="34" spans="1:21" x14ac:dyDescent="0.25">
      <c r="A34" s="15">
        <v>202</v>
      </c>
      <c r="B34" s="100">
        <v>11203</v>
      </c>
      <c r="C34" t="s">
        <v>156</v>
      </c>
      <c r="D34" t="s">
        <v>70</v>
      </c>
      <c r="M34" s="34" t="s">
        <v>29</v>
      </c>
    </row>
    <row r="35" spans="1:21" x14ac:dyDescent="0.25">
      <c r="A35" s="15">
        <v>202</v>
      </c>
      <c r="B35" s="100">
        <v>32800</v>
      </c>
      <c r="C35" t="s">
        <v>157</v>
      </c>
      <c r="D35">
        <v>40</v>
      </c>
      <c r="F35">
        <f>8+15+47+6+10+4</f>
        <v>90</v>
      </c>
      <c r="M35">
        <v>9</v>
      </c>
      <c r="N35">
        <v>1</v>
      </c>
      <c r="O35">
        <v>30</v>
      </c>
      <c r="P35">
        <v>27</v>
      </c>
      <c r="Q35">
        <v>2</v>
      </c>
      <c r="T35">
        <f>SUM(M35,M37,M39,M40,N36,N37,N38,N40,O38,O37,O36,O35,P35,P36,P37,P38,P39,P40)</f>
        <v>549</v>
      </c>
      <c r="U35">
        <f>T35*1.5</f>
        <v>823.5</v>
      </c>
    </row>
    <row r="36" spans="1:21" x14ac:dyDescent="0.25">
      <c r="A36" s="11">
        <v>512</v>
      </c>
      <c r="B36" s="101">
        <v>73500</v>
      </c>
      <c r="C36" t="s">
        <v>158</v>
      </c>
      <c r="D36">
        <v>1587</v>
      </c>
      <c r="M36">
        <v>1</v>
      </c>
      <c r="N36">
        <v>54</v>
      </c>
      <c r="O36">
        <v>72</v>
      </c>
      <c r="P36">
        <v>12</v>
      </c>
      <c r="Q36">
        <v>4</v>
      </c>
    </row>
    <row r="37" spans="1:21" x14ac:dyDescent="0.25">
      <c r="A37" s="11">
        <v>512</v>
      </c>
      <c r="B37" s="101">
        <v>10001</v>
      </c>
      <c r="C37" t="s">
        <v>159</v>
      </c>
      <c r="D37">
        <v>1321</v>
      </c>
      <c r="M37">
        <v>24</v>
      </c>
      <c r="N37">
        <v>20</v>
      </c>
      <c r="O37">
        <v>16</v>
      </c>
      <c r="P37">
        <v>12</v>
      </c>
      <c r="Q37">
        <v>8</v>
      </c>
    </row>
    <row r="38" spans="1:21" x14ac:dyDescent="0.25">
      <c r="A38" s="11">
        <v>512</v>
      </c>
      <c r="B38" s="101">
        <v>10050</v>
      </c>
      <c r="C38" t="s">
        <v>160</v>
      </c>
      <c r="D38">
        <v>468</v>
      </c>
      <c r="M38">
        <v>2</v>
      </c>
      <c r="N38">
        <f>18*6</f>
        <v>108</v>
      </c>
      <c r="O38">
        <f>13*4</f>
        <v>52</v>
      </c>
      <c r="P38">
        <v>27</v>
      </c>
    </row>
    <row r="39" spans="1:21" x14ac:dyDescent="0.25">
      <c r="A39" s="11">
        <v>512</v>
      </c>
      <c r="B39" s="101">
        <v>74000</v>
      </c>
      <c r="C39" t="s">
        <v>79</v>
      </c>
      <c r="D39">
        <v>1789</v>
      </c>
      <c r="M39">
        <v>36</v>
      </c>
      <c r="N39">
        <v>4</v>
      </c>
      <c r="O39">
        <v>4</v>
      </c>
      <c r="P39">
        <v>15</v>
      </c>
    </row>
    <row r="40" spans="1:21" x14ac:dyDescent="0.25">
      <c r="A40" s="11"/>
      <c r="B40" s="101"/>
      <c r="M40">
        <v>8</v>
      </c>
      <c r="N40">
        <v>15</v>
      </c>
      <c r="O40">
        <v>1</v>
      </c>
      <c r="P40">
        <v>12</v>
      </c>
      <c r="Q40">
        <f>SUM(M35:Q37)+SUM(M38:P40)</f>
        <v>576</v>
      </c>
      <c r="R40">
        <f>Q40*1.5</f>
        <v>864</v>
      </c>
    </row>
    <row r="41" spans="1:21" x14ac:dyDescent="0.25">
      <c r="A41" s="11">
        <v>514</v>
      </c>
      <c r="B41" s="101" t="s">
        <v>20</v>
      </c>
      <c r="C41" t="s">
        <v>161</v>
      </c>
      <c r="D41">
        <v>42042</v>
      </c>
      <c r="M41" s="34" t="s">
        <v>30</v>
      </c>
    </row>
    <row r="42" spans="1:21" x14ac:dyDescent="0.25">
      <c r="A42" s="11">
        <v>514</v>
      </c>
      <c r="B42" s="101" t="s">
        <v>152</v>
      </c>
      <c r="C42" t="s">
        <v>162</v>
      </c>
      <c r="D42">
        <v>42042</v>
      </c>
      <c r="M42">
        <v>9</v>
      </c>
      <c r="N42">
        <v>3</v>
      </c>
      <c r="O42">
        <v>6</v>
      </c>
      <c r="P42">
        <v>18</v>
      </c>
      <c r="T42">
        <f>SUM(M42,M43,N44,N45,O46,O45,O42,P42,P44)</f>
        <v>74</v>
      </c>
      <c r="U42">
        <f>T42*1.5</f>
        <v>111</v>
      </c>
    </row>
    <row r="43" spans="1:21" x14ac:dyDescent="0.25">
      <c r="A43" s="11">
        <v>514</v>
      </c>
      <c r="B43" s="101" t="s">
        <v>153</v>
      </c>
      <c r="C43" t="s">
        <v>163</v>
      </c>
      <c r="D43">
        <v>42042</v>
      </c>
      <c r="M43">
        <v>6</v>
      </c>
      <c r="N43">
        <v>2</v>
      </c>
      <c r="O43">
        <v>1</v>
      </c>
      <c r="P43">
        <v>4</v>
      </c>
    </row>
    <row r="44" spans="1:21" x14ac:dyDescent="0.25">
      <c r="A44" s="11">
        <v>514</v>
      </c>
      <c r="B44" s="101" t="s">
        <v>154</v>
      </c>
      <c r="C44" t="s">
        <v>164</v>
      </c>
      <c r="D44">
        <v>42042</v>
      </c>
      <c r="M44">
        <v>2</v>
      </c>
      <c r="N44">
        <v>8</v>
      </c>
      <c r="O44">
        <v>2</v>
      </c>
      <c r="P44">
        <v>6</v>
      </c>
    </row>
    <row r="45" spans="1:21" x14ac:dyDescent="0.25">
      <c r="A45" s="11">
        <v>514</v>
      </c>
      <c r="B45" s="101" t="s">
        <v>155</v>
      </c>
      <c r="C45" t="s">
        <v>94</v>
      </c>
      <c r="D45">
        <v>5</v>
      </c>
      <c r="M45">
        <v>2</v>
      </c>
      <c r="N45">
        <v>6</v>
      </c>
      <c r="O45">
        <v>6</v>
      </c>
      <c r="P45">
        <v>3</v>
      </c>
    </row>
    <row r="46" spans="1:21" x14ac:dyDescent="0.25">
      <c r="A46" s="11">
        <v>514</v>
      </c>
      <c r="B46" s="101">
        <v>10000</v>
      </c>
      <c r="C46" t="s">
        <v>97</v>
      </c>
      <c r="D46">
        <v>10</v>
      </c>
      <c r="M46">
        <v>2</v>
      </c>
      <c r="N46">
        <v>3</v>
      </c>
      <c r="O46">
        <v>9</v>
      </c>
      <c r="P46">
        <v>3</v>
      </c>
      <c r="Q46">
        <f>SUM(M42:P46)</f>
        <v>101</v>
      </c>
      <c r="R46">
        <f>Q46*1.5</f>
        <v>151.5</v>
      </c>
    </row>
    <row r="47" spans="1:21" x14ac:dyDescent="0.25">
      <c r="A47" s="11"/>
      <c r="B47" s="101"/>
    </row>
    <row r="48" spans="1:21" x14ac:dyDescent="0.25">
      <c r="A48" s="11">
        <v>516</v>
      </c>
      <c r="B48" s="101">
        <v>1300</v>
      </c>
      <c r="C48" s="104" t="s">
        <v>172</v>
      </c>
      <c r="D48">
        <v>100</v>
      </c>
    </row>
    <row r="49" spans="1:4" x14ac:dyDescent="0.25">
      <c r="A49" s="11">
        <v>516</v>
      </c>
      <c r="B49" s="101">
        <v>12310</v>
      </c>
      <c r="C49" t="s">
        <v>165</v>
      </c>
      <c r="D49">
        <v>997</v>
      </c>
    </row>
    <row r="50" spans="1:4" x14ac:dyDescent="0.25">
      <c r="A50" s="11">
        <v>601</v>
      </c>
      <c r="B50" s="101">
        <v>21000</v>
      </c>
      <c r="C50" t="s">
        <v>166</v>
      </c>
      <c r="D50">
        <v>40</v>
      </c>
    </row>
    <row r="51" spans="1:4" x14ac:dyDescent="0.25">
      <c r="A51" s="11">
        <v>607</v>
      </c>
      <c r="B51" s="101">
        <v>98000</v>
      </c>
      <c r="C51" t="s">
        <v>167</v>
      </c>
      <c r="D51">
        <v>1029</v>
      </c>
    </row>
    <row r="52" spans="1:4" x14ac:dyDescent="0.25">
      <c r="A52" s="29">
        <v>519</v>
      </c>
      <c r="B52" s="46">
        <v>11101</v>
      </c>
      <c r="C52" t="s">
        <v>168</v>
      </c>
      <c r="D52">
        <v>889</v>
      </c>
    </row>
    <row r="53" spans="1:4" x14ac:dyDescent="0.25">
      <c r="A53" s="39" t="s">
        <v>49</v>
      </c>
      <c r="B53" s="46" t="s">
        <v>48</v>
      </c>
      <c r="C53" t="s">
        <v>48</v>
      </c>
      <c r="D53">
        <v>112</v>
      </c>
    </row>
    <row r="54" spans="1:4" x14ac:dyDescent="0.25">
      <c r="A54" s="39"/>
      <c r="B54" s="46"/>
    </row>
    <row r="55" spans="1:4" x14ac:dyDescent="0.25">
      <c r="A55" s="39">
        <v>622</v>
      </c>
      <c r="B55" s="46">
        <v>25001</v>
      </c>
      <c r="C55" t="s">
        <v>169</v>
      </c>
      <c r="D55">
        <v>1</v>
      </c>
    </row>
    <row r="56" spans="1:4" x14ac:dyDescent="0.25">
      <c r="A56" s="39">
        <v>622</v>
      </c>
      <c r="B56" s="101">
        <v>25051</v>
      </c>
      <c r="C56" t="s">
        <v>170</v>
      </c>
      <c r="D56">
        <v>1</v>
      </c>
    </row>
    <row r="57" spans="1:4" x14ac:dyDescent="0.25">
      <c r="A57" s="39"/>
      <c r="B57" s="102" t="s">
        <v>50</v>
      </c>
      <c r="C57" t="s">
        <v>50</v>
      </c>
      <c r="D57">
        <v>10</v>
      </c>
    </row>
    <row r="58" spans="1:4" x14ac:dyDescent="0.25">
      <c r="A58" s="39"/>
      <c r="B58" s="102"/>
    </row>
    <row r="59" spans="1:4" ht="15.75" thickBot="1" x14ac:dyDescent="0.3">
      <c r="A59" s="22">
        <v>844</v>
      </c>
      <c r="B59" s="103">
        <v>20000</v>
      </c>
      <c r="C59" t="s">
        <v>171</v>
      </c>
      <c r="D59">
        <v>199</v>
      </c>
    </row>
  </sheetData>
  <mergeCells count="1">
    <mergeCell ref="B2:K2"/>
  </mergeCells>
  <phoneticPr fontId="5" type="noConversion"/>
  <pageMargins left="0.7" right="0.7" top="0.75" bottom="0.75" header="0.3" footer="0.3"/>
  <pageSetup orientation="portrait" r:id="rId1"/>
  <ignoredErrors>
    <ignoredError sqref="D7 D22 D26:D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54B1-9918-420B-9029-3E689402C938}">
  <dimension ref="A1:I82"/>
  <sheetViews>
    <sheetView topLeftCell="A48" workbookViewId="0">
      <selection activeCell="I82" sqref="I82"/>
    </sheetView>
  </sheetViews>
  <sheetFormatPr defaultRowHeight="15" x14ac:dyDescent="0.25"/>
  <cols>
    <col min="1" max="1" width="14" style="85" customWidth="1"/>
    <col min="2" max="2" width="126" style="85" bestFit="1" customWidth="1"/>
    <col min="3" max="3" width="8.42578125" style="85" bestFit="1" customWidth="1"/>
    <col min="4" max="4" width="6" style="85" bestFit="1" customWidth="1"/>
    <col min="5" max="5" width="9.7109375" style="85" bestFit="1" customWidth="1"/>
    <col min="6" max="6" width="9.7109375" bestFit="1" customWidth="1"/>
    <col min="8" max="8" width="9.28515625" bestFit="1" customWidth="1"/>
    <col min="9" max="9" width="9.5703125" bestFit="1" customWidth="1"/>
  </cols>
  <sheetData>
    <row r="1" spans="1:7" x14ac:dyDescent="0.25">
      <c r="A1" s="50"/>
      <c r="B1" s="51" t="s">
        <v>55</v>
      </c>
      <c r="C1" s="52"/>
      <c r="D1" s="52"/>
      <c r="E1" s="53"/>
    </row>
    <row r="2" spans="1:7" x14ac:dyDescent="0.25">
      <c r="A2" s="36"/>
      <c r="B2" s="54" t="s">
        <v>56</v>
      </c>
      <c r="C2"/>
      <c r="D2"/>
      <c r="E2" s="55"/>
    </row>
    <row r="3" spans="1:7" x14ac:dyDescent="0.25">
      <c r="A3" s="36"/>
      <c r="B3" s="54" t="s">
        <v>57</v>
      </c>
      <c r="C3"/>
      <c r="D3"/>
      <c r="E3" s="55"/>
    </row>
    <row r="4" spans="1:7" x14ac:dyDescent="0.25">
      <c r="A4" s="36"/>
      <c r="B4" s="56" t="s">
        <v>58</v>
      </c>
      <c r="C4"/>
      <c r="D4"/>
      <c r="E4" s="55"/>
    </row>
    <row r="5" spans="1:7" x14ac:dyDescent="0.25">
      <c r="A5" s="36"/>
      <c r="B5" s="54" t="s">
        <v>59</v>
      </c>
      <c r="C5" s="57"/>
      <c r="D5" s="57"/>
      <c r="E5" s="58"/>
    </row>
    <row r="6" spans="1:7" x14ac:dyDescent="0.25">
      <c r="A6" s="36"/>
      <c r="B6" s="56" t="s">
        <v>60</v>
      </c>
      <c r="C6"/>
      <c r="D6"/>
      <c r="E6" s="55"/>
    </row>
    <row r="7" spans="1:7" ht="15.75" thickBot="1" x14ac:dyDescent="0.3">
      <c r="A7" s="59"/>
      <c r="B7" s="60" t="s">
        <v>61</v>
      </c>
      <c r="C7" s="61"/>
      <c r="D7" s="61"/>
      <c r="E7" s="62"/>
    </row>
    <row r="8" spans="1:7" x14ac:dyDescent="0.25">
      <c r="A8" s="63" t="s">
        <v>62</v>
      </c>
      <c r="B8" s="64" t="s">
        <v>102</v>
      </c>
      <c r="C8" s="65"/>
      <c r="D8" s="66"/>
      <c r="E8" s="67"/>
    </row>
    <row r="9" spans="1:7" x14ac:dyDescent="0.25">
      <c r="A9" s="68" t="s">
        <v>63</v>
      </c>
      <c r="B9" s="69" t="s">
        <v>64</v>
      </c>
      <c r="C9" s="69" t="s">
        <v>65</v>
      </c>
      <c r="D9" s="70" t="s">
        <v>66</v>
      </c>
      <c r="E9" s="71">
        <v>45996</v>
      </c>
    </row>
    <row r="10" spans="1:7" ht="15.75" thickBot="1" x14ac:dyDescent="0.3">
      <c r="A10" s="72" t="s">
        <v>67</v>
      </c>
      <c r="B10" s="73"/>
      <c r="C10" s="74" t="s">
        <v>65</v>
      </c>
      <c r="D10" s="75" t="s">
        <v>66</v>
      </c>
      <c r="E10" s="76"/>
    </row>
    <row r="11" spans="1:7" x14ac:dyDescent="0.25">
      <c r="A11" s="77"/>
      <c r="B11" s="78"/>
      <c r="C11" s="79"/>
      <c r="D11" s="80"/>
      <c r="E11" s="81"/>
    </row>
    <row r="12" spans="1:7" x14ac:dyDescent="0.25">
      <c r="A12" s="82" t="s">
        <v>68</v>
      </c>
      <c r="B12" s="83" t="s">
        <v>69</v>
      </c>
      <c r="C12" s="84" t="s">
        <v>70</v>
      </c>
      <c r="D12" s="82" t="s">
        <v>11</v>
      </c>
    </row>
    <row r="14" spans="1:7" x14ac:dyDescent="0.25">
      <c r="A14" s="82" t="s">
        <v>71</v>
      </c>
      <c r="B14" s="83" t="s">
        <v>72</v>
      </c>
      <c r="C14" s="86">
        <f>ROUNDUP(SUM(C16:C34)/9,0)</f>
        <v>965</v>
      </c>
      <c r="D14" s="83" t="s">
        <v>12</v>
      </c>
    </row>
    <row r="15" spans="1:7" x14ac:dyDescent="0.25">
      <c r="B15" s="87" t="s">
        <v>73</v>
      </c>
      <c r="C15" s="88"/>
    </row>
    <row r="16" spans="1:7" x14ac:dyDescent="0.25">
      <c r="B16" s="82" t="s">
        <v>103</v>
      </c>
      <c r="C16" s="88">
        <f>9.5*62.25</f>
        <v>591.375</v>
      </c>
      <c r="D16" s="85" t="s">
        <v>21</v>
      </c>
      <c r="E16" s="88">
        <f>C16/9</f>
        <v>65.708333333333329</v>
      </c>
      <c r="F16" t="s">
        <v>108</v>
      </c>
      <c r="G16" s="89" t="s">
        <v>74</v>
      </c>
    </row>
    <row r="17" spans="2:7" x14ac:dyDescent="0.25">
      <c r="B17" s="87" t="s">
        <v>104</v>
      </c>
      <c r="C17" s="88"/>
      <c r="G17" s="89"/>
    </row>
    <row r="18" spans="2:7" x14ac:dyDescent="0.25">
      <c r="B18" s="82" t="s">
        <v>112</v>
      </c>
      <c r="C18" s="88">
        <f>58+(4*25.75)</f>
        <v>161</v>
      </c>
      <c r="D18" s="85" t="s">
        <v>21</v>
      </c>
      <c r="E18" s="88">
        <f>C18/9</f>
        <v>17.888888888888889</v>
      </c>
      <c r="F18" t="s">
        <v>108</v>
      </c>
      <c r="G18" s="89"/>
    </row>
    <row r="19" spans="2:7" x14ac:dyDescent="0.25">
      <c r="B19" s="87" t="s">
        <v>106</v>
      </c>
      <c r="C19" s="88"/>
      <c r="G19" s="89"/>
    </row>
    <row r="20" spans="2:7" x14ac:dyDescent="0.25">
      <c r="B20" s="82" t="s">
        <v>113</v>
      </c>
      <c r="C20" s="88">
        <f>47+(4*18.25)</f>
        <v>120</v>
      </c>
      <c r="D20" s="85" t="s">
        <v>21</v>
      </c>
      <c r="E20" s="88">
        <f>C20/9</f>
        <v>13.333333333333334</v>
      </c>
      <c r="F20" t="s">
        <v>108</v>
      </c>
      <c r="G20" s="89"/>
    </row>
    <row r="21" spans="2:7" x14ac:dyDescent="0.25">
      <c r="B21" s="87" t="s">
        <v>75</v>
      </c>
      <c r="C21" s="88"/>
    </row>
    <row r="22" spans="2:7" x14ac:dyDescent="0.25">
      <c r="B22" s="82" t="s">
        <v>109</v>
      </c>
      <c r="C22" s="88">
        <f>9.5*59.75</f>
        <v>567.625</v>
      </c>
      <c r="D22" s="85" t="s">
        <v>21</v>
      </c>
      <c r="E22" s="88">
        <f>C22/9</f>
        <v>63.069444444444443</v>
      </c>
      <c r="F22" t="s">
        <v>108</v>
      </c>
    </row>
    <row r="23" spans="2:7" x14ac:dyDescent="0.25">
      <c r="B23" s="87" t="s">
        <v>107</v>
      </c>
      <c r="C23" s="88"/>
    </row>
    <row r="24" spans="2:7" x14ac:dyDescent="0.25">
      <c r="B24" s="82" t="s">
        <v>114</v>
      </c>
      <c r="C24" s="88">
        <f>70+(4*22)</f>
        <v>158</v>
      </c>
      <c r="D24" s="85" t="s">
        <v>21</v>
      </c>
      <c r="E24" s="88">
        <f>C24/9</f>
        <v>17.555555555555557</v>
      </c>
      <c r="F24" t="s">
        <v>108</v>
      </c>
    </row>
    <row r="25" spans="2:7" x14ac:dyDescent="0.25">
      <c r="B25" s="87" t="s">
        <v>105</v>
      </c>
      <c r="C25" s="88"/>
    </row>
    <row r="26" spans="2:7" x14ac:dyDescent="0.25">
      <c r="B26" s="82" t="s">
        <v>115</v>
      </c>
      <c r="C26" s="88">
        <f>92+(4*20)</f>
        <v>172</v>
      </c>
      <c r="D26" s="85" t="s">
        <v>21</v>
      </c>
      <c r="E26" s="88">
        <f>C26/9</f>
        <v>19.111111111111111</v>
      </c>
      <c r="F26" t="s">
        <v>108</v>
      </c>
    </row>
    <row r="27" spans="2:7" x14ac:dyDescent="0.25">
      <c r="B27" s="87" t="s">
        <v>110</v>
      </c>
      <c r="C27" s="88"/>
      <c r="G27" s="89" t="s">
        <v>74</v>
      </c>
    </row>
    <row r="28" spans="2:7" x14ac:dyDescent="0.25">
      <c r="B28" s="82" t="s">
        <v>111</v>
      </c>
      <c r="C28" s="88">
        <f>(14*55.5)+(9.42*10.5*4)</f>
        <v>1172.6399999999999</v>
      </c>
      <c r="D28" s="85" t="s">
        <v>21</v>
      </c>
      <c r="E28" s="88">
        <f>C28/9</f>
        <v>130.29333333333332</v>
      </c>
      <c r="F28" t="s">
        <v>108</v>
      </c>
    </row>
    <row r="29" spans="2:7" x14ac:dyDescent="0.25">
      <c r="B29" s="87" t="s">
        <v>116</v>
      </c>
      <c r="C29" s="88"/>
    </row>
    <row r="30" spans="2:7" x14ac:dyDescent="0.25">
      <c r="B30" s="82" t="s">
        <v>121</v>
      </c>
      <c r="C30" s="88">
        <f>(14*55.5)+(9.42*(14.5-3.5)*4)</f>
        <v>1191.48</v>
      </c>
      <c r="D30" s="85" t="s">
        <v>21</v>
      </c>
      <c r="E30" s="88">
        <f>C30/9</f>
        <v>132.38666666666666</v>
      </c>
      <c r="F30" t="s">
        <v>108</v>
      </c>
    </row>
    <row r="31" spans="2:7" x14ac:dyDescent="0.25">
      <c r="B31" s="87" t="s">
        <v>117</v>
      </c>
      <c r="C31" s="88"/>
    </row>
    <row r="32" spans="2:7" x14ac:dyDescent="0.25">
      <c r="B32" s="82" t="s">
        <v>118</v>
      </c>
      <c r="C32" s="88">
        <f>(14*55.5)+(9.42*19*4)</f>
        <v>1492.92</v>
      </c>
      <c r="D32" s="85" t="s">
        <v>21</v>
      </c>
      <c r="E32" s="88">
        <f>C32/9</f>
        <v>165.88</v>
      </c>
      <c r="F32" t="s">
        <v>108</v>
      </c>
    </row>
    <row r="33" spans="1:7" x14ac:dyDescent="0.25">
      <c r="B33" s="87" t="s">
        <v>76</v>
      </c>
      <c r="C33" s="88"/>
      <c r="G33" s="89" t="s">
        <v>77</v>
      </c>
    </row>
    <row r="34" spans="1:7" x14ac:dyDescent="0.25">
      <c r="B34" s="82" t="s">
        <v>119</v>
      </c>
      <c r="C34" s="88">
        <f>9.626*(317.25)</f>
        <v>3053.8484999999996</v>
      </c>
      <c r="D34" s="85" t="s">
        <v>21</v>
      </c>
      <c r="E34" s="88">
        <f>C34/9</f>
        <v>339.31649999999996</v>
      </c>
      <c r="F34" t="s">
        <v>108</v>
      </c>
    </row>
    <row r="35" spans="1:7" x14ac:dyDescent="0.25">
      <c r="B35" s="82" t="s">
        <v>120</v>
      </c>
      <c r="C35" s="88">
        <f>9.626*(316.833)</f>
        <v>3049.8344580000003</v>
      </c>
      <c r="D35" s="85" t="s">
        <v>21</v>
      </c>
      <c r="E35" s="88">
        <f>C35/9</f>
        <v>338.87049533333334</v>
      </c>
      <c r="F35" t="s">
        <v>108</v>
      </c>
    </row>
    <row r="36" spans="1:7" x14ac:dyDescent="0.25">
      <c r="B36" s="82"/>
      <c r="C36" s="88"/>
      <c r="G36" s="89" t="s">
        <v>78</v>
      </c>
    </row>
    <row r="37" spans="1:7" x14ac:dyDescent="0.25">
      <c r="A37" s="90" t="s">
        <v>79</v>
      </c>
      <c r="B37" s="83" t="s">
        <v>18</v>
      </c>
      <c r="C37" s="86">
        <f>ROUNDUP(SUM(C40:C41)/9,0)</f>
        <v>468</v>
      </c>
      <c r="D37" s="83" t="s">
        <v>12</v>
      </c>
    </row>
    <row r="38" spans="1:7" x14ac:dyDescent="0.25">
      <c r="A38" s="90"/>
      <c r="B38" s="87" t="s">
        <v>126</v>
      </c>
      <c r="C38" s="86"/>
      <c r="D38" s="83"/>
    </row>
    <row r="39" spans="1:7" x14ac:dyDescent="0.25">
      <c r="B39" s="87" t="s">
        <v>125</v>
      </c>
      <c r="C39" s="88"/>
    </row>
    <row r="40" spans="1:7" x14ac:dyDescent="0.25">
      <c r="B40" s="82" t="s">
        <v>127</v>
      </c>
      <c r="C40" s="88">
        <f>6.64*(317.25)</f>
        <v>2106.54</v>
      </c>
      <c r="D40" s="85" t="s">
        <v>21</v>
      </c>
      <c r="E40" s="88">
        <f>C40/9</f>
        <v>234.06</v>
      </c>
      <c r="F40" t="s">
        <v>108</v>
      </c>
    </row>
    <row r="41" spans="1:7" x14ac:dyDescent="0.25">
      <c r="B41" s="82" t="s">
        <v>128</v>
      </c>
      <c r="C41" s="88">
        <f>6.64*(316.833)</f>
        <v>2103.7711199999999</v>
      </c>
      <c r="D41" s="85" t="s">
        <v>21</v>
      </c>
      <c r="E41" s="88">
        <f>C41/9</f>
        <v>233.75234666666665</v>
      </c>
      <c r="F41" t="s">
        <v>108</v>
      </c>
    </row>
    <row r="42" spans="1:7" x14ac:dyDescent="0.25">
      <c r="B42" s="82"/>
      <c r="C42" s="88"/>
      <c r="E42" s="88"/>
    </row>
    <row r="43" spans="1:7" x14ac:dyDescent="0.25">
      <c r="A43" s="90" t="s">
        <v>80</v>
      </c>
      <c r="B43" s="83" t="s">
        <v>81</v>
      </c>
      <c r="C43" s="91">
        <f>C45+C47</f>
        <v>145.99501009311098</v>
      </c>
      <c r="D43" s="84" t="s">
        <v>23</v>
      </c>
    </row>
    <row r="44" spans="1:7" x14ac:dyDescent="0.25">
      <c r="B44" s="87" t="s">
        <v>82</v>
      </c>
    </row>
    <row r="45" spans="1:7" x14ac:dyDescent="0.25">
      <c r="B45" s="92" t="s">
        <v>83</v>
      </c>
      <c r="C45" s="92">
        <f>32/COS(RADIANS(64))</f>
        <v>72.997505046555489</v>
      </c>
      <c r="D45" s="85" t="s">
        <v>23</v>
      </c>
    </row>
    <row r="46" spans="1:7" x14ac:dyDescent="0.25">
      <c r="B46" s="87" t="s">
        <v>84</v>
      </c>
    </row>
    <row r="47" spans="1:7" x14ac:dyDescent="0.25">
      <c r="B47" s="92" t="s">
        <v>83</v>
      </c>
      <c r="C47" s="92">
        <f>32/COS(RADIANS(64))</f>
        <v>72.997505046555489</v>
      </c>
      <c r="D47" s="85" t="s">
        <v>23</v>
      </c>
    </row>
    <row r="48" spans="1:7" x14ac:dyDescent="0.25">
      <c r="B48" s="87"/>
    </row>
    <row r="49" spans="1:9" x14ac:dyDescent="0.25">
      <c r="A49" s="93" t="s">
        <v>85</v>
      </c>
      <c r="B49" s="83" t="s">
        <v>86</v>
      </c>
      <c r="C49" s="84">
        <v>7326</v>
      </c>
      <c r="D49" s="83" t="s">
        <v>21</v>
      </c>
    </row>
    <row r="50" spans="1:9" x14ac:dyDescent="0.25">
      <c r="A50" s="93"/>
      <c r="B50" s="94" t="s">
        <v>87</v>
      </c>
      <c r="D50" s="82"/>
    </row>
    <row r="51" spans="1:9" x14ac:dyDescent="0.25">
      <c r="A51" s="93" t="s">
        <v>88</v>
      </c>
      <c r="B51" s="83" t="s">
        <v>89</v>
      </c>
      <c r="C51" s="84">
        <v>7326</v>
      </c>
      <c r="D51" s="83" t="s">
        <v>21</v>
      </c>
    </row>
    <row r="52" spans="1:9" x14ac:dyDescent="0.25">
      <c r="A52" s="93" t="s">
        <v>90</v>
      </c>
      <c r="B52" s="83" t="s">
        <v>91</v>
      </c>
      <c r="C52" s="84">
        <v>7326</v>
      </c>
      <c r="D52" s="83" t="s">
        <v>21</v>
      </c>
    </row>
    <row r="53" spans="1:9" x14ac:dyDescent="0.25">
      <c r="A53" s="93" t="s">
        <v>92</v>
      </c>
      <c r="B53" s="83" t="s">
        <v>93</v>
      </c>
      <c r="C53" s="84">
        <v>7326</v>
      </c>
      <c r="D53" s="83" t="s">
        <v>21</v>
      </c>
    </row>
    <row r="54" spans="1:9" x14ac:dyDescent="0.25">
      <c r="A54" s="93"/>
      <c r="B54" s="83"/>
      <c r="C54" s="84"/>
      <c r="D54" s="83"/>
    </row>
    <row r="55" spans="1:9" x14ac:dyDescent="0.25">
      <c r="A55" s="95" t="s">
        <v>94</v>
      </c>
      <c r="B55" s="83" t="s">
        <v>95</v>
      </c>
      <c r="C55" s="84">
        <f>ROUNDUP(837.5*(1/60),0)</f>
        <v>14</v>
      </c>
      <c r="D55" s="83" t="s">
        <v>46</v>
      </c>
    </row>
    <row r="56" spans="1:9" x14ac:dyDescent="0.25">
      <c r="A56" s="95"/>
      <c r="B56" s="82" t="s">
        <v>96</v>
      </c>
      <c r="C56" s="84"/>
      <c r="D56" s="83"/>
    </row>
    <row r="57" spans="1:9" x14ac:dyDescent="0.25">
      <c r="A57" s="95" t="s">
        <v>97</v>
      </c>
      <c r="B57" s="83" t="s">
        <v>45</v>
      </c>
      <c r="C57" s="84">
        <f>ROUNDUP(837.5/300,0)+ROUNDUP(0.025*36,0)</f>
        <v>4</v>
      </c>
      <c r="D57" s="83" t="s">
        <v>10</v>
      </c>
    </row>
    <row r="58" spans="1:9" x14ac:dyDescent="0.25">
      <c r="A58" s="95"/>
      <c r="B58" s="82" t="s">
        <v>98</v>
      </c>
      <c r="C58" s="84"/>
      <c r="D58" s="83"/>
    </row>
    <row r="60" spans="1:9" x14ac:dyDescent="0.25">
      <c r="A60" s="96" t="s">
        <v>99</v>
      </c>
      <c r="B60" s="97" t="s">
        <v>100</v>
      </c>
      <c r="C60" s="84">
        <f>187.5*2</f>
        <v>375</v>
      </c>
      <c r="D60" s="83" t="s">
        <v>23</v>
      </c>
    </row>
    <row r="61" spans="1:9" x14ac:dyDescent="0.25">
      <c r="B61" s="85" t="s">
        <v>101</v>
      </c>
    </row>
    <row r="63" spans="1:9" x14ac:dyDescent="0.25">
      <c r="A63" s="85" t="s">
        <v>54</v>
      </c>
      <c r="B63" s="85" t="s">
        <v>130</v>
      </c>
      <c r="C63" s="85" t="s">
        <v>131</v>
      </c>
      <c r="D63" s="85" t="s">
        <v>132</v>
      </c>
      <c r="E63" s="85" t="s">
        <v>133</v>
      </c>
      <c r="F63" t="s">
        <v>135</v>
      </c>
      <c r="G63" t="s">
        <v>136</v>
      </c>
      <c r="H63" t="s">
        <v>137</v>
      </c>
      <c r="I63" t="s">
        <v>139</v>
      </c>
    </row>
    <row r="64" spans="1:9" x14ac:dyDescent="0.25">
      <c r="E64" s="85" t="s">
        <v>134</v>
      </c>
      <c r="F64" t="s">
        <v>134</v>
      </c>
      <c r="G64" t="s">
        <v>134</v>
      </c>
      <c r="H64" t="s">
        <v>138</v>
      </c>
      <c r="I64" t="s">
        <v>140</v>
      </c>
    </row>
    <row r="65" spans="2:9" x14ac:dyDescent="0.25">
      <c r="B65" s="85" t="s">
        <v>141</v>
      </c>
      <c r="C65" s="85" t="s">
        <v>142</v>
      </c>
      <c r="D65" s="85">
        <v>1</v>
      </c>
      <c r="E65" s="85">
        <v>4.2000000000000003E-2</v>
      </c>
      <c r="F65">
        <v>5.5833000000000004</v>
      </c>
      <c r="G65">
        <v>0.88</v>
      </c>
      <c r="H65" s="98">
        <f>G65*F65*E65</f>
        <v>0.20635876800000003</v>
      </c>
      <c r="I65" s="98">
        <f>H65*490</f>
        <v>101.11579632000002</v>
      </c>
    </row>
    <row r="66" spans="2:9" x14ac:dyDescent="0.25">
      <c r="B66" s="85" t="s">
        <v>143</v>
      </c>
      <c r="C66" s="85" t="s">
        <v>142</v>
      </c>
      <c r="D66" s="85">
        <v>2</v>
      </c>
      <c r="E66" s="85">
        <v>4.2000000000000003E-2</v>
      </c>
      <c r="F66">
        <v>5.5833000000000004</v>
      </c>
      <c r="G66">
        <v>0.33</v>
      </c>
      <c r="H66" s="98">
        <f t="shared" ref="H66:H80" si="0">G66*F66*E66</f>
        <v>7.7384538000000017E-2</v>
      </c>
      <c r="I66" s="98">
        <f t="shared" ref="I66:I80" si="1">H66*490</f>
        <v>37.918423620000006</v>
      </c>
    </row>
    <row r="67" spans="2:9" x14ac:dyDescent="0.25">
      <c r="B67" s="85" t="s">
        <v>144</v>
      </c>
      <c r="C67" s="85" t="s">
        <v>142</v>
      </c>
      <c r="D67" s="85">
        <v>1</v>
      </c>
      <c r="E67" s="85">
        <v>4.2000000000000003E-2</v>
      </c>
      <c r="F67">
        <v>5.5833000000000004</v>
      </c>
      <c r="G67">
        <v>0.67</v>
      </c>
      <c r="H67" s="98">
        <f t="shared" si="0"/>
        <v>0.15711406200000003</v>
      </c>
      <c r="I67" s="98">
        <f t="shared" si="1"/>
        <v>76.985890380000015</v>
      </c>
    </row>
    <row r="68" spans="2:9" x14ac:dyDescent="0.25">
      <c r="B68" s="85" t="s">
        <v>145</v>
      </c>
      <c r="C68" s="85" t="s">
        <v>142</v>
      </c>
      <c r="D68" s="85">
        <v>1</v>
      </c>
      <c r="E68" s="85">
        <v>4.2000000000000003E-2</v>
      </c>
      <c r="F68">
        <v>5.5833000000000004</v>
      </c>
      <c r="G68">
        <v>0.08</v>
      </c>
      <c r="H68" s="98">
        <f t="shared" si="0"/>
        <v>1.8759888000000002E-2</v>
      </c>
      <c r="I68" s="98">
        <f t="shared" si="1"/>
        <v>9.1923451200000006</v>
      </c>
    </row>
    <row r="69" spans="2:9" x14ac:dyDescent="0.25">
      <c r="B69" s="85" t="s">
        <v>141</v>
      </c>
      <c r="C69" s="85" t="s">
        <v>146</v>
      </c>
      <c r="D69" s="85">
        <v>1</v>
      </c>
      <c r="E69" s="85">
        <v>4.2000000000000003E-2</v>
      </c>
      <c r="F69">
        <v>5.5833000000000004</v>
      </c>
      <c r="G69">
        <v>0.88</v>
      </c>
      <c r="H69" s="98">
        <f t="shared" si="0"/>
        <v>0.20635876800000003</v>
      </c>
      <c r="I69" s="98">
        <f t="shared" si="1"/>
        <v>101.11579632000002</v>
      </c>
    </row>
    <row r="70" spans="2:9" x14ac:dyDescent="0.25">
      <c r="B70" s="85" t="s">
        <v>143</v>
      </c>
      <c r="C70" s="85" t="s">
        <v>146</v>
      </c>
      <c r="D70" s="85">
        <v>2</v>
      </c>
      <c r="E70" s="85">
        <v>4.2000000000000003E-2</v>
      </c>
      <c r="F70">
        <v>5.5833000000000004</v>
      </c>
      <c r="G70">
        <v>0.33</v>
      </c>
      <c r="H70" s="98">
        <f t="shared" si="0"/>
        <v>7.7384538000000017E-2</v>
      </c>
      <c r="I70" s="98">
        <f t="shared" si="1"/>
        <v>37.918423620000006</v>
      </c>
    </row>
    <row r="71" spans="2:9" x14ac:dyDescent="0.25">
      <c r="B71" s="85" t="s">
        <v>144</v>
      </c>
      <c r="C71" s="85" t="s">
        <v>146</v>
      </c>
      <c r="D71" s="85">
        <v>1</v>
      </c>
      <c r="E71" s="85">
        <v>4.2000000000000003E-2</v>
      </c>
      <c r="F71">
        <v>5.5833000000000004</v>
      </c>
      <c r="G71">
        <v>0.67</v>
      </c>
      <c r="H71" s="98">
        <f t="shared" si="0"/>
        <v>0.15711406200000003</v>
      </c>
      <c r="I71" s="98">
        <f t="shared" si="1"/>
        <v>76.985890380000015</v>
      </c>
    </row>
    <row r="72" spans="2:9" x14ac:dyDescent="0.25">
      <c r="B72" s="85" t="s">
        <v>145</v>
      </c>
      <c r="C72" s="85" t="s">
        <v>146</v>
      </c>
      <c r="D72" s="85">
        <v>1</v>
      </c>
      <c r="E72" s="85">
        <v>4.2000000000000003E-2</v>
      </c>
      <c r="F72">
        <v>5.5833000000000004</v>
      </c>
      <c r="G72">
        <v>0.08</v>
      </c>
      <c r="H72" s="98">
        <f t="shared" si="0"/>
        <v>1.8759888000000002E-2</v>
      </c>
      <c r="I72" s="98">
        <f t="shared" si="1"/>
        <v>9.1923451200000006</v>
      </c>
    </row>
    <row r="73" spans="2:9" x14ac:dyDescent="0.25">
      <c r="B73" s="85" t="s">
        <v>141</v>
      </c>
      <c r="C73" s="85" t="s">
        <v>147</v>
      </c>
      <c r="D73" s="85">
        <v>1</v>
      </c>
      <c r="E73" s="85">
        <v>4.2000000000000003E-2</v>
      </c>
      <c r="F73">
        <v>5.5833000000000004</v>
      </c>
      <c r="G73">
        <v>0.88</v>
      </c>
      <c r="H73" s="98">
        <f t="shared" si="0"/>
        <v>0.20635876800000003</v>
      </c>
      <c r="I73" s="98">
        <f t="shared" si="1"/>
        <v>101.11579632000002</v>
      </c>
    </row>
    <row r="74" spans="2:9" x14ac:dyDescent="0.25">
      <c r="B74" s="85" t="s">
        <v>143</v>
      </c>
      <c r="C74" s="85" t="s">
        <v>147</v>
      </c>
      <c r="D74" s="85">
        <v>2</v>
      </c>
      <c r="E74" s="85">
        <v>4.2000000000000003E-2</v>
      </c>
      <c r="F74">
        <v>5.5833000000000004</v>
      </c>
      <c r="G74">
        <v>0.33</v>
      </c>
      <c r="H74" s="98">
        <f t="shared" si="0"/>
        <v>7.7384538000000017E-2</v>
      </c>
      <c r="I74" s="98">
        <f t="shared" si="1"/>
        <v>37.918423620000006</v>
      </c>
    </row>
    <row r="75" spans="2:9" x14ac:dyDescent="0.25">
      <c r="B75" s="85" t="s">
        <v>144</v>
      </c>
      <c r="C75" s="85" t="s">
        <v>147</v>
      </c>
      <c r="D75" s="85">
        <v>1</v>
      </c>
      <c r="E75" s="85">
        <v>4.2000000000000003E-2</v>
      </c>
      <c r="F75">
        <v>5.5833000000000004</v>
      </c>
      <c r="G75">
        <v>0.67</v>
      </c>
      <c r="H75" s="98">
        <f t="shared" si="0"/>
        <v>0.15711406200000003</v>
      </c>
      <c r="I75" s="98">
        <f t="shared" si="1"/>
        <v>76.985890380000015</v>
      </c>
    </row>
    <row r="76" spans="2:9" x14ac:dyDescent="0.25">
      <c r="B76" s="85" t="s">
        <v>145</v>
      </c>
      <c r="C76" s="85" t="s">
        <v>147</v>
      </c>
      <c r="D76" s="85">
        <v>1</v>
      </c>
      <c r="E76" s="85">
        <v>4.2000000000000003E-2</v>
      </c>
      <c r="F76">
        <v>5.5833000000000004</v>
      </c>
      <c r="G76">
        <v>0.08</v>
      </c>
      <c r="H76" s="98">
        <f t="shared" si="0"/>
        <v>1.8759888000000002E-2</v>
      </c>
      <c r="I76" s="98">
        <f t="shared" si="1"/>
        <v>9.1923451200000006</v>
      </c>
    </row>
    <row r="77" spans="2:9" x14ac:dyDescent="0.25">
      <c r="B77" s="85" t="s">
        <v>141</v>
      </c>
      <c r="C77" s="85" t="s">
        <v>148</v>
      </c>
      <c r="D77" s="85">
        <v>1</v>
      </c>
      <c r="E77" s="85">
        <v>4.2000000000000003E-2</v>
      </c>
      <c r="F77">
        <v>5.5833000000000004</v>
      </c>
      <c r="G77">
        <v>0.88</v>
      </c>
      <c r="H77" s="98">
        <f t="shared" si="0"/>
        <v>0.20635876800000003</v>
      </c>
      <c r="I77" s="98">
        <f t="shared" si="1"/>
        <v>101.11579632000002</v>
      </c>
    </row>
    <row r="78" spans="2:9" x14ac:dyDescent="0.25">
      <c r="B78" s="85" t="s">
        <v>143</v>
      </c>
      <c r="C78" s="85" t="s">
        <v>148</v>
      </c>
      <c r="D78" s="85">
        <v>2</v>
      </c>
      <c r="E78" s="85">
        <v>4.2000000000000003E-2</v>
      </c>
      <c r="F78">
        <v>5.5833000000000004</v>
      </c>
      <c r="G78">
        <v>0.33</v>
      </c>
      <c r="H78" s="98">
        <f t="shared" si="0"/>
        <v>7.7384538000000017E-2</v>
      </c>
      <c r="I78" s="98">
        <f t="shared" si="1"/>
        <v>37.918423620000006</v>
      </c>
    </row>
    <row r="79" spans="2:9" x14ac:dyDescent="0.25">
      <c r="B79" s="85" t="s">
        <v>144</v>
      </c>
      <c r="C79" s="85" t="s">
        <v>148</v>
      </c>
      <c r="D79" s="85">
        <v>1</v>
      </c>
      <c r="E79" s="85">
        <v>4.2000000000000003E-2</v>
      </c>
      <c r="F79">
        <v>5.5833000000000004</v>
      </c>
      <c r="G79">
        <v>0.67</v>
      </c>
      <c r="H79" s="98">
        <f t="shared" si="0"/>
        <v>0.15711406200000003</v>
      </c>
      <c r="I79" s="98">
        <f t="shared" si="1"/>
        <v>76.985890380000015</v>
      </c>
    </row>
    <row r="80" spans="2:9" x14ac:dyDescent="0.25">
      <c r="B80" s="85" t="s">
        <v>145</v>
      </c>
      <c r="C80" s="85" t="s">
        <v>148</v>
      </c>
      <c r="D80" s="85">
        <v>1</v>
      </c>
      <c r="E80" s="85">
        <v>4.2000000000000003E-2</v>
      </c>
      <c r="F80">
        <v>5.5833000000000004</v>
      </c>
      <c r="G80">
        <v>0.08</v>
      </c>
      <c r="H80" s="98">
        <f t="shared" si="0"/>
        <v>1.8759888000000002E-2</v>
      </c>
      <c r="I80" s="98">
        <f t="shared" si="1"/>
        <v>9.1923451200000006</v>
      </c>
    </row>
    <row r="81" spans="6:9" x14ac:dyDescent="0.25">
      <c r="H81" t="s">
        <v>149</v>
      </c>
      <c r="I81" s="98">
        <f>SUM(I65:I80)</f>
        <v>900.84982176000005</v>
      </c>
    </row>
    <row r="82" spans="6:9" x14ac:dyDescent="0.25">
      <c r="F82" t="s">
        <v>150</v>
      </c>
      <c r="H82" t="s">
        <v>2</v>
      </c>
      <c r="I82" s="98">
        <f>I81+96</f>
        <v>996.84982176000005</v>
      </c>
    </row>
  </sheetData>
  <hyperlinks>
    <hyperlink ref="B50" location="'PaintCalcs_BUT-126-0308 '!A1" display="'PaintCalcs_BUT-126-0308 '!A1" xr:uid="{446781C8-6893-41E0-99AA-BEED4905CAF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A7E7-F3F9-4FBA-A2A5-9026B7100202}">
  <dimension ref="B1:U67"/>
  <sheetViews>
    <sheetView topLeftCell="A24" zoomScale="80" zoomScaleNormal="80" workbookViewId="0">
      <selection activeCell="M40" sqref="M40:P67"/>
    </sheetView>
  </sheetViews>
  <sheetFormatPr defaultRowHeight="15" x14ac:dyDescent="0.25"/>
  <cols>
    <col min="3" max="3" width="11.42578125" bestFit="1" customWidth="1"/>
    <col min="6" max="6" width="99.85546875" bestFit="1" customWidth="1"/>
    <col min="11" max="11" width="15.5703125" bestFit="1" customWidth="1"/>
    <col min="13" max="13" width="19.85546875" bestFit="1" customWidth="1"/>
  </cols>
  <sheetData>
    <row r="1" spans="2:11" ht="15.75" thickBot="1" x14ac:dyDescent="0.3">
      <c r="B1" s="4"/>
      <c r="C1" s="4"/>
      <c r="D1" s="4"/>
      <c r="E1" s="5"/>
      <c r="F1" s="5"/>
      <c r="G1" s="6"/>
      <c r="H1" s="7"/>
      <c r="I1" s="6"/>
      <c r="J1" s="6"/>
      <c r="K1" s="8"/>
    </row>
    <row r="2" spans="2:11" x14ac:dyDescent="0.25">
      <c r="B2" s="108" t="s">
        <v>14</v>
      </c>
      <c r="C2" s="109"/>
      <c r="D2" s="109"/>
      <c r="E2" s="109"/>
      <c r="F2" s="109"/>
      <c r="G2" s="109"/>
      <c r="H2" s="109"/>
      <c r="I2" s="109"/>
      <c r="J2" s="109"/>
      <c r="K2" s="110"/>
    </row>
    <row r="3" spans="2:11" x14ac:dyDescent="0.25">
      <c r="B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1" t="s">
        <v>9</v>
      </c>
    </row>
    <row r="4" spans="2:11" x14ac:dyDescent="0.25">
      <c r="B4" s="15">
        <v>202</v>
      </c>
      <c r="C4" s="16">
        <v>11203</v>
      </c>
      <c r="D4" s="16"/>
      <c r="E4" s="16" t="s">
        <v>11</v>
      </c>
      <c r="F4" s="18" t="s">
        <v>15</v>
      </c>
      <c r="G4" s="16"/>
      <c r="H4" s="16"/>
      <c r="I4" s="16"/>
      <c r="J4" s="16" t="s">
        <v>11</v>
      </c>
      <c r="K4" s="17"/>
    </row>
    <row r="5" spans="2:11" x14ac:dyDescent="0.25">
      <c r="B5" s="15">
        <v>202</v>
      </c>
      <c r="C5" s="16">
        <v>32800</v>
      </c>
      <c r="D5" s="9">
        <f>SUM(G5:J5)</f>
        <v>0</v>
      </c>
      <c r="E5" s="16" t="s">
        <v>12</v>
      </c>
      <c r="F5" s="18" t="s">
        <v>122</v>
      </c>
      <c r="G5" s="16"/>
      <c r="H5" s="16"/>
      <c r="I5" s="16"/>
      <c r="J5" s="16"/>
      <c r="K5" s="17"/>
    </row>
    <row r="6" spans="2:11" x14ac:dyDescent="0.25">
      <c r="B6" s="11">
        <v>202</v>
      </c>
      <c r="C6" s="9">
        <v>75260</v>
      </c>
      <c r="D6" s="9">
        <f>SUM(G6:J6)</f>
        <v>560</v>
      </c>
      <c r="E6" s="9" t="s">
        <v>23</v>
      </c>
      <c r="F6" s="14" t="s">
        <v>24</v>
      </c>
      <c r="G6" s="9"/>
      <c r="H6" s="9"/>
      <c r="I6" s="9">
        <v>560</v>
      </c>
      <c r="J6" s="9"/>
      <c r="K6" s="12"/>
    </row>
    <row r="7" spans="2:11" x14ac:dyDescent="0.25">
      <c r="B7" s="11">
        <v>512</v>
      </c>
      <c r="C7" s="19">
        <v>73500</v>
      </c>
      <c r="D7" s="9">
        <f>SUM(G7:J7)</f>
        <v>159</v>
      </c>
      <c r="E7" s="20" t="s">
        <v>12</v>
      </c>
      <c r="F7" s="32" t="s">
        <v>31</v>
      </c>
      <c r="G7" s="9"/>
      <c r="H7" s="9"/>
      <c r="I7" s="10">
        <v>159</v>
      </c>
      <c r="J7" s="28"/>
      <c r="K7" s="12"/>
    </row>
    <row r="8" spans="2:11" x14ac:dyDescent="0.25">
      <c r="B8" s="11">
        <v>512</v>
      </c>
      <c r="C8" s="19">
        <v>10001</v>
      </c>
      <c r="D8" s="9">
        <f t="shared" ref="D8:D14" si="0">SUM(G8:J8)</f>
        <v>1715</v>
      </c>
      <c r="E8" s="20" t="s">
        <v>12</v>
      </c>
      <c r="F8" s="32" t="s">
        <v>37</v>
      </c>
      <c r="G8" s="9">
        <f>140+278</f>
        <v>418</v>
      </c>
      <c r="H8" s="9">
        <f>183+396+592</f>
        <v>1171</v>
      </c>
      <c r="I8" s="10">
        <f>63+63</f>
        <v>126</v>
      </c>
      <c r="J8" s="28"/>
      <c r="K8" s="12"/>
    </row>
    <row r="9" spans="2:11" x14ac:dyDescent="0.25">
      <c r="B9" s="11" t="s">
        <v>16</v>
      </c>
      <c r="C9" s="19" t="s">
        <v>17</v>
      </c>
      <c r="D9" s="9">
        <f t="shared" si="0"/>
        <v>1715</v>
      </c>
      <c r="E9" s="20" t="s">
        <v>12</v>
      </c>
      <c r="F9" s="32" t="s">
        <v>18</v>
      </c>
      <c r="G9" s="9">
        <f>140+278</f>
        <v>418</v>
      </c>
      <c r="H9" s="9">
        <f>183+396+592</f>
        <v>1171</v>
      </c>
      <c r="I9" s="10">
        <f>63+63</f>
        <v>126</v>
      </c>
      <c r="J9" s="9"/>
      <c r="K9" s="12"/>
    </row>
    <row r="10" spans="2:11" x14ac:dyDescent="0.25">
      <c r="B10" s="11"/>
      <c r="C10" s="19"/>
      <c r="D10" s="9"/>
      <c r="E10" s="20"/>
      <c r="F10" s="32"/>
      <c r="G10" s="9"/>
      <c r="H10" s="9"/>
      <c r="I10" s="10"/>
      <c r="J10" s="9"/>
      <c r="K10" s="12"/>
    </row>
    <row r="11" spans="2:11" x14ac:dyDescent="0.25">
      <c r="B11" s="11" t="s">
        <v>19</v>
      </c>
      <c r="C11" s="19" t="s">
        <v>20</v>
      </c>
      <c r="D11" s="10">
        <f>SUM(G11:J11)</f>
        <v>38830</v>
      </c>
      <c r="E11" s="21" t="s">
        <v>21</v>
      </c>
      <c r="F11" s="32" t="s">
        <v>22</v>
      </c>
      <c r="G11" s="9"/>
      <c r="H11" s="9"/>
      <c r="I11" s="10">
        <v>38830</v>
      </c>
      <c r="J11" s="9"/>
      <c r="K11" s="12"/>
    </row>
    <row r="12" spans="2:11" x14ac:dyDescent="0.25">
      <c r="B12" s="11" t="s">
        <v>19</v>
      </c>
      <c r="C12" s="19">
        <v>27700</v>
      </c>
      <c r="D12" s="10">
        <f t="shared" si="0"/>
        <v>38830</v>
      </c>
      <c r="E12" s="20" t="s">
        <v>21</v>
      </c>
      <c r="F12" s="32" t="s">
        <v>26</v>
      </c>
      <c r="G12" s="9"/>
      <c r="H12" s="9"/>
      <c r="I12" s="10">
        <v>38830</v>
      </c>
      <c r="J12" s="27"/>
      <c r="K12" s="12"/>
    </row>
    <row r="13" spans="2:11" x14ac:dyDescent="0.25">
      <c r="B13" s="11">
        <v>516</v>
      </c>
      <c r="C13" s="19">
        <v>11210</v>
      </c>
      <c r="D13" s="10">
        <f t="shared" si="0"/>
        <v>91</v>
      </c>
      <c r="E13" s="20" t="s">
        <v>23</v>
      </c>
      <c r="F13" s="44" t="s">
        <v>36</v>
      </c>
      <c r="G13" s="9"/>
      <c r="H13" s="9"/>
      <c r="I13" s="27">
        <v>91</v>
      </c>
      <c r="J13" s="27"/>
      <c r="K13" s="12"/>
    </row>
    <row r="14" spans="2:11" x14ac:dyDescent="0.25">
      <c r="B14" s="11">
        <v>517</v>
      </c>
      <c r="C14" s="9">
        <v>75301</v>
      </c>
      <c r="D14" s="9">
        <f t="shared" si="0"/>
        <v>560</v>
      </c>
      <c r="E14" s="9" t="s">
        <v>23</v>
      </c>
      <c r="F14" s="26" t="s">
        <v>25</v>
      </c>
      <c r="G14" s="9"/>
      <c r="H14" s="9"/>
      <c r="I14" s="9">
        <v>560</v>
      </c>
      <c r="J14" s="9"/>
      <c r="K14" s="12"/>
    </row>
    <row r="15" spans="2:11" x14ac:dyDescent="0.25">
      <c r="B15" s="11">
        <v>518</v>
      </c>
      <c r="C15" s="9">
        <v>63300</v>
      </c>
      <c r="D15" s="10"/>
      <c r="E15" s="9" t="s">
        <v>11</v>
      </c>
      <c r="F15" s="14" t="s">
        <v>13</v>
      </c>
      <c r="G15" s="9"/>
      <c r="H15" s="9"/>
      <c r="I15" s="10"/>
      <c r="J15" s="9" t="s">
        <v>11</v>
      </c>
      <c r="K15" s="12"/>
    </row>
    <row r="16" spans="2:11" x14ac:dyDescent="0.25">
      <c r="B16" s="29"/>
      <c r="C16" s="37"/>
      <c r="D16" s="31"/>
      <c r="E16" s="9"/>
      <c r="F16" s="14"/>
      <c r="G16" s="38"/>
      <c r="H16" s="37"/>
      <c r="I16" s="31"/>
      <c r="J16" s="30"/>
      <c r="K16" s="12"/>
    </row>
    <row r="17" spans="2:21" x14ac:dyDescent="0.25">
      <c r="B17" s="29">
        <v>519</v>
      </c>
      <c r="C17" s="37">
        <v>11100</v>
      </c>
      <c r="D17" s="31">
        <f t="shared" ref="D17:D22" si="1">SUM(G17:J17)</f>
        <v>81</v>
      </c>
      <c r="E17" s="9" t="s">
        <v>21</v>
      </c>
      <c r="F17" s="32" t="s">
        <v>27</v>
      </c>
      <c r="G17" s="38">
        <v>40</v>
      </c>
      <c r="H17" s="37"/>
      <c r="I17" s="31">
        <v>41</v>
      </c>
      <c r="J17" s="30"/>
      <c r="K17" s="12"/>
      <c r="L17" s="36"/>
    </row>
    <row r="18" spans="2:21" x14ac:dyDescent="0.25">
      <c r="B18" s="39">
        <v>601</v>
      </c>
      <c r="C18" s="37">
        <v>21000</v>
      </c>
      <c r="D18" s="31">
        <f t="shared" si="1"/>
        <v>0</v>
      </c>
      <c r="E18" s="9" t="s">
        <v>12</v>
      </c>
      <c r="F18" s="45" t="s">
        <v>123</v>
      </c>
      <c r="G18" s="41"/>
      <c r="H18" s="37"/>
      <c r="I18" s="31"/>
      <c r="J18" s="30"/>
      <c r="K18" s="12"/>
    </row>
    <row r="19" spans="2:21" x14ac:dyDescent="0.25">
      <c r="B19" s="39">
        <v>622</v>
      </c>
      <c r="C19" s="37">
        <v>10160</v>
      </c>
      <c r="D19" s="31">
        <f t="shared" si="1"/>
        <v>47</v>
      </c>
      <c r="E19" s="28" t="s">
        <v>23</v>
      </c>
      <c r="F19" s="43" t="s">
        <v>34</v>
      </c>
      <c r="G19" s="41"/>
      <c r="H19" s="37">
        <v>47</v>
      </c>
      <c r="I19" s="31"/>
      <c r="J19" s="30"/>
      <c r="K19" s="12"/>
    </row>
    <row r="20" spans="2:21" x14ac:dyDescent="0.25">
      <c r="B20" s="39">
        <v>622</v>
      </c>
      <c r="C20" s="37">
        <v>25000</v>
      </c>
      <c r="D20" s="31">
        <f t="shared" si="1"/>
        <v>2</v>
      </c>
      <c r="E20" s="28" t="s">
        <v>10</v>
      </c>
      <c r="F20" s="43" t="s">
        <v>33</v>
      </c>
      <c r="G20" s="41"/>
      <c r="H20" s="37">
        <v>2</v>
      </c>
      <c r="I20" s="31"/>
      <c r="J20" s="30"/>
      <c r="K20" s="12"/>
    </row>
    <row r="21" spans="2:21" x14ac:dyDescent="0.25">
      <c r="B21" s="39">
        <v>622</v>
      </c>
      <c r="C21" s="9">
        <v>25051</v>
      </c>
      <c r="D21" s="10">
        <f t="shared" si="1"/>
        <v>2</v>
      </c>
      <c r="E21" s="28" t="s">
        <v>10</v>
      </c>
      <c r="F21" s="43" t="s">
        <v>35</v>
      </c>
      <c r="G21" s="35"/>
      <c r="H21" s="35">
        <v>2</v>
      </c>
      <c r="I21" s="31"/>
      <c r="J21" s="30"/>
      <c r="K21" s="42"/>
    </row>
    <row r="22" spans="2:21" ht="15.75" thickBot="1" x14ac:dyDescent="0.3">
      <c r="B22" s="22">
        <v>844</v>
      </c>
      <c r="C22" s="23">
        <v>10000</v>
      </c>
      <c r="D22" s="24">
        <f t="shared" si="1"/>
        <v>935</v>
      </c>
      <c r="E22" s="23" t="s">
        <v>21</v>
      </c>
      <c r="F22" s="25" t="s">
        <v>32</v>
      </c>
      <c r="G22" s="23">
        <v>824</v>
      </c>
      <c r="H22" s="40"/>
      <c r="I22" s="24">
        <v>111</v>
      </c>
      <c r="J22" s="23"/>
      <c r="K22" s="13"/>
    </row>
    <row r="24" spans="2:21" x14ac:dyDescent="0.25">
      <c r="M24" s="33" t="s">
        <v>28</v>
      </c>
    </row>
    <row r="25" spans="2:21" x14ac:dyDescent="0.25">
      <c r="M25" s="34" t="s">
        <v>29</v>
      </c>
    </row>
    <row r="26" spans="2:21" x14ac:dyDescent="0.25">
      <c r="M26">
        <v>9</v>
      </c>
      <c r="N26">
        <v>1</v>
      </c>
      <c r="O26">
        <v>30</v>
      </c>
      <c r="P26">
        <v>27</v>
      </c>
      <c r="Q26">
        <v>2</v>
      </c>
      <c r="T26">
        <f>SUM(M26,M28,M30,M31,N27,N28,N29,N31,O29,O28,O27,O26,P26,P27,P28,P29,P30,P31)</f>
        <v>549</v>
      </c>
      <c r="U26">
        <f>T26*1.5</f>
        <v>823.5</v>
      </c>
    </row>
    <row r="27" spans="2:21" x14ac:dyDescent="0.25">
      <c r="F27">
        <f>8+15+47+6+10+4</f>
        <v>90</v>
      </c>
      <c r="M27">
        <v>1</v>
      </c>
      <c r="N27">
        <v>54</v>
      </c>
      <c r="O27">
        <v>72</v>
      </c>
      <c r="P27">
        <v>12</v>
      </c>
      <c r="Q27">
        <v>4</v>
      </c>
    </row>
    <row r="28" spans="2:21" x14ac:dyDescent="0.25">
      <c r="M28">
        <v>24</v>
      </c>
      <c r="N28">
        <v>20</v>
      </c>
      <c r="O28">
        <v>16</v>
      </c>
      <c r="P28">
        <v>12</v>
      </c>
      <c r="Q28">
        <v>8</v>
      </c>
    </row>
    <row r="29" spans="2:21" x14ac:dyDescent="0.25">
      <c r="M29">
        <v>2</v>
      </c>
      <c r="N29">
        <f>18*6</f>
        <v>108</v>
      </c>
      <c r="O29">
        <f>13*4</f>
        <v>52</v>
      </c>
      <c r="P29">
        <v>27</v>
      </c>
    </row>
    <row r="30" spans="2:21" x14ac:dyDescent="0.25">
      <c r="M30">
        <v>36</v>
      </c>
      <c r="N30">
        <v>4</v>
      </c>
      <c r="O30">
        <v>4</v>
      </c>
      <c r="P30">
        <v>15</v>
      </c>
    </row>
    <row r="31" spans="2:21" x14ac:dyDescent="0.25">
      <c r="M31">
        <v>8</v>
      </c>
      <c r="N31">
        <v>15</v>
      </c>
      <c r="O31">
        <v>1</v>
      </c>
      <c r="P31">
        <v>12</v>
      </c>
      <c r="Q31">
        <f>SUM(M26:Q28)+SUM(M29:P31)</f>
        <v>576</v>
      </c>
      <c r="R31">
        <f>Q31*1.5</f>
        <v>864</v>
      </c>
    </row>
    <row r="32" spans="2:21" x14ac:dyDescent="0.25">
      <c r="M32" s="34" t="s">
        <v>30</v>
      </c>
    </row>
    <row r="33" spans="13:21" x14ac:dyDescent="0.25">
      <c r="M33">
        <v>9</v>
      </c>
      <c r="N33">
        <v>3</v>
      </c>
      <c r="O33">
        <v>6</v>
      </c>
      <c r="P33">
        <v>18</v>
      </c>
      <c r="T33">
        <f>SUM(M33,M34,N35,N36,O37,O36,O33,P33,P35)</f>
        <v>74</v>
      </c>
      <c r="U33">
        <f>T33*1.5</f>
        <v>111</v>
      </c>
    </row>
    <row r="34" spans="13:21" x14ac:dyDescent="0.25">
      <c r="M34">
        <v>6</v>
      </c>
      <c r="N34">
        <v>2</v>
      </c>
      <c r="O34">
        <v>1</v>
      </c>
      <c r="P34">
        <v>4</v>
      </c>
    </row>
    <row r="35" spans="13:21" x14ac:dyDescent="0.25">
      <c r="M35">
        <v>2</v>
      </c>
      <c r="N35">
        <v>8</v>
      </c>
      <c r="O35">
        <v>2</v>
      </c>
      <c r="P35">
        <v>6</v>
      </c>
    </row>
    <row r="36" spans="13:21" x14ac:dyDescent="0.25">
      <c r="M36">
        <v>2</v>
      </c>
      <c r="N36">
        <v>6</v>
      </c>
      <c r="O36">
        <v>6</v>
      </c>
      <c r="P36">
        <v>3</v>
      </c>
    </row>
    <row r="37" spans="13:21" x14ac:dyDescent="0.25">
      <c r="M37">
        <v>2</v>
      </c>
      <c r="N37">
        <v>3</v>
      </c>
      <c r="O37">
        <v>9</v>
      </c>
      <c r="P37">
        <v>3</v>
      </c>
      <c r="Q37">
        <f>SUM(M33:P37)</f>
        <v>101</v>
      </c>
      <c r="R37">
        <f>Q37*1.5</f>
        <v>151.5</v>
      </c>
    </row>
    <row r="40" spans="13:21" x14ac:dyDescent="0.25">
      <c r="M40" s="33" t="s">
        <v>28</v>
      </c>
    </row>
    <row r="41" spans="13:21" x14ac:dyDescent="0.25">
      <c r="M41" s="34" t="s">
        <v>29</v>
      </c>
    </row>
    <row r="42" spans="13:21" x14ac:dyDescent="0.25">
      <c r="N42">
        <v>2</v>
      </c>
      <c r="O42">
        <v>4</v>
      </c>
      <c r="P42">
        <f>N42*O42</f>
        <v>8</v>
      </c>
    </row>
    <row r="43" spans="13:21" x14ac:dyDescent="0.25">
      <c r="N43">
        <v>4</v>
      </c>
      <c r="O43">
        <v>1</v>
      </c>
      <c r="P43">
        <f t="shared" ref="P43:P67" si="2">N43*O43</f>
        <v>4</v>
      </c>
    </row>
    <row r="44" spans="13:21" x14ac:dyDescent="0.25">
      <c r="N44">
        <v>2</v>
      </c>
      <c r="O44">
        <v>1</v>
      </c>
      <c r="P44">
        <f t="shared" si="2"/>
        <v>2</v>
      </c>
    </row>
    <row r="45" spans="13:21" x14ac:dyDescent="0.25">
      <c r="N45">
        <v>4</v>
      </c>
      <c r="O45">
        <v>3</v>
      </c>
      <c r="P45">
        <f t="shared" si="2"/>
        <v>12</v>
      </c>
    </row>
    <row r="46" spans="13:21" x14ac:dyDescent="0.25">
      <c r="N46">
        <v>2</v>
      </c>
      <c r="O46">
        <v>1</v>
      </c>
      <c r="P46">
        <f t="shared" si="2"/>
        <v>2</v>
      </c>
    </row>
    <row r="47" spans="13:21" x14ac:dyDescent="0.25">
      <c r="N47">
        <v>6</v>
      </c>
      <c r="O47">
        <v>4</v>
      </c>
      <c r="P47">
        <f t="shared" si="2"/>
        <v>24</v>
      </c>
    </row>
    <row r="48" spans="13:21" x14ac:dyDescent="0.25">
      <c r="N48">
        <v>1</v>
      </c>
      <c r="O48">
        <v>1</v>
      </c>
      <c r="P48">
        <f t="shared" si="2"/>
        <v>1</v>
      </c>
    </row>
    <row r="49" spans="14:16" x14ac:dyDescent="0.25">
      <c r="N49">
        <v>3</v>
      </c>
      <c r="O49">
        <v>3</v>
      </c>
      <c r="P49">
        <f t="shared" si="2"/>
        <v>9</v>
      </c>
    </row>
    <row r="51" spans="14:16" x14ac:dyDescent="0.25">
      <c r="N51">
        <v>5</v>
      </c>
      <c r="O51">
        <v>3</v>
      </c>
      <c r="P51">
        <f t="shared" si="2"/>
        <v>15</v>
      </c>
    </row>
    <row r="52" spans="14:16" x14ac:dyDescent="0.25">
      <c r="N52">
        <v>9</v>
      </c>
      <c r="O52">
        <v>3</v>
      </c>
      <c r="P52">
        <f t="shared" si="2"/>
        <v>27</v>
      </c>
    </row>
    <row r="53" spans="14:16" x14ac:dyDescent="0.25">
      <c r="N53">
        <v>3</v>
      </c>
      <c r="O53">
        <v>4</v>
      </c>
      <c r="P53">
        <f t="shared" si="2"/>
        <v>12</v>
      </c>
    </row>
    <row r="54" spans="14:16" x14ac:dyDescent="0.25">
      <c r="N54">
        <v>3</v>
      </c>
      <c r="O54">
        <v>4</v>
      </c>
      <c r="P54">
        <f t="shared" si="2"/>
        <v>12</v>
      </c>
    </row>
    <row r="55" spans="14:16" x14ac:dyDescent="0.25">
      <c r="N55">
        <v>9</v>
      </c>
      <c r="O55">
        <v>3</v>
      </c>
      <c r="P55">
        <f t="shared" si="2"/>
        <v>27</v>
      </c>
    </row>
    <row r="56" spans="14:16" x14ac:dyDescent="0.25">
      <c r="N56">
        <v>1</v>
      </c>
      <c r="O56">
        <v>1</v>
      </c>
      <c r="P56">
        <f t="shared" si="2"/>
        <v>1</v>
      </c>
    </row>
    <row r="57" spans="14:16" x14ac:dyDescent="0.25">
      <c r="N57">
        <v>4</v>
      </c>
      <c r="O57">
        <v>1</v>
      </c>
      <c r="P57">
        <f t="shared" si="2"/>
        <v>4</v>
      </c>
    </row>
    <row r="58" spans="14:16" x14ac:dyDescent="0.25">
      <c r="N58">
        <v>13</v>
      </c>
      <c r="O58">
        <v>4</v>
      </c>
      <c r="P58">
        <f t="shared" si="2"/>
        <v>52</v>
      </c>
    </row>
    <row r="59" spans="14:16" x14ac:dyDescent="0.25">
      <c r="N59">
        <v>4</v>
      </c>
      <c r="O59">
        <v>4</v>
      </c>
      <c r="P59">
        <f t="shared" si="2"/>
        <v>16</v>
      </c>
    </row>
    <row r="60" spans="14:16" x14ac:dyDescent="0.25">
      <c r="N60">
        <v>12</v>
      </c>
      <c r="O60">
        <v>6</v>
      </c>
      <c r="P60">
        <f t="shared" si="2"/>
        <v>72</v>
      </c>
    </row>
    <row r="61" spans="14:16" x14ac:dyDescent="0.25">
      <c r="N61">
        <v>5</v>
      </c>
      <c r="O61">
        <v>6</v>
      </c>
      <c r="P61">
        <f t="shared" si="2"/>
        <v>30</v>
      </c>
    </row>
    <row r="62" spans="14:16" x14ac:dyDescent="0.25">
      <c r="N62">
        <v>5</v>
      </c>
      <c r="O62">
        <v>3</v>
      </c>
      <c r="P62">
        <f t="shared" si="2"/>
        <v>15</v>
      </c>
    </row>
    <row r="63" spans="14:16" x14ac:dyDescent="0.25">
      <c r="N63">
        <v>4</v>
      </c>
      <c r="O63">
        <v>1</v>
      </c>
      <c r="P63">
        <f t="shared" si="2"/>
        <v>4</v>
      </c>
    </row>
    <row r="64" spans="14:16" x14ac:dyDescent="0.25">
      <c r="N64">
        <v>18</v>
      </c>
      <c r="O64">
        <v>6</v>
      </c>
      <c r="P64">
        <f t="shared" si="2"/>
        <v>108</v>
      </c>
    </row>
    <row r="65" spans="14:16" x14ac:dyDescent="0.25">
      <c r="N65">
        <v>5</v>
      </c>
      <c r="O65">
        <v>4</v>
      </c>
      <c r="P65">
        <f t="shared" si="2"/>
        <v>20</v>
      </c>
    </row>
    <row r="66" spans="14:16" x14ac:dyDescent="0.25">
      <c r="N66">
        <v>9</v>
      </c>
      <c r="O66">
        <v>6</v>
      </c>
      <c r="P66">
        <f t="shared" si="2"/>
        <v>54</v>
      </c>
    </row>
    <row r="67" spans="14:16" x14ac:dyDescent="0.25">
      <c r="N67">
        <v>1</v>
      </c>
      <c r="O67">
        <v>1</v>
      </c>
      <c r="P67">
        <f t="shared" si="2"/>
        <v>1</v>
      </c>
    </row>
  </sheetData>
  <mergeCells count="1">
    <mergeCell ref="B2:K2"/>
  </mergeCells>
  <phoneticPr fontId="5" type="noConversion"/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Revised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Benjamin</dc:creator>
  <cp:lastModifiedBy>Peters, Benjamin</cp:lastModifiedBy>
  <dcterms:created xsi:type="dcterms:W3CDTF">2024-07-29T13:18:13Z</dcterms:created>
  <dcterms:modified xsi:type="dcterms:W3CDTF">2026-03-18T17:37:27Z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