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7115" windowHeight="10230"/>
  </bookViews>
  <sheets>
    <sheet name="Gateway Pkg Earthwork Summary" sheetId="4" r:id="rId1"/>
    <sheet name="Gateway Pkg Cross Sections" sheetId="2" r:id="rId2"/>
  </sheets>
  <externalReferences>
    <externalReference r:id="rId3"/>
  </externalReferences>
  <definedNames>
    <definedName name="JOB___24810">[0]!job_number</definedName>
    <definedName name="_xlnm.Print_Area" localSheetId="1">'Gateway Pkg Cross Sections'!$A$1:$I$203</definedName>
    <definedName name="_xlnm.Print_Area" localSheetId="0">'Gateway Pkg Earthwork Summary'!$A$1:$K$52</definedName>
    <definedName name="_xlnm.Print_Titles" localSheetId="1">'Gateway Pkg Cross Sections'!$1:$7</definedName>
  </definedNames>
  <calcPr calcId="145621"/>
</workbook>
</file>

<file path=xl/calcChain.xml><?xml version="1.0" encoding="utf-8"?>
<calcChain xmlns="http://schemas.openxmlformats.org/spreadsheetml/2006/main">
  <c r="F200" i="2" l="1"/>
  <c r="E200" i="2"/>
  <c r="F199" i="2"/>
  <c r="E199" i="2"/>
  <c r="H198" i="2"/>
  <c r="G198" i="2"/>
  <c r="B121" i="2"/>
  <c r="B120" i="2"/>
  <c r="C118" i="2"/>
  <c r="B98" i="2"/>
  <c r="B97" i="2"/>
  <c r="B96" i="2"/>
  <c r="C83" i="2"/>
  <c r="B83" i="2"/>
  <c r="B81" i="2"/>
  <c r="B82" i="2"/>
  <c r="B79" i="2"/>
  <c r="C78" i="2"/>
  <c r="B78" i="2"/>
  <c r="C77" i="2"/>
  <c r="C76" i="2"/>
  <c r="B76" i="2"/>
  <c r="B75" i="2"/>
  <c r="C73" i="2"/>
  <c r="C72" i="2"/>
  <c r="B36" i="2"/>
  <c r="B37" i="2"/>
  <c r="C28" i="2"/>
  <c r="B22" i="2"/>
  <c r="B21" i="2"/>
  <c r="B19" i="2"/>
  <c r="B18" i="2"/>
  <c r="C65" i="2"/>
  <c r="D65" i="2"/>
  <c r="B65" i="2"/>
  <c r="D64" i="2"/>
  <c r="B64" i="2"/>
  <c r="D63" i="2"/>
  <c r="C63" i="2"/>
  <c r="B63" i="2"/>
  <c r="D62" i="2"/>
  <c r="B62" i="2"/>
  <c r="D61" i="2"/>
  <c r="B61" i="2"/>
  <c r="D60" i="2"/>
  <c r="B60" i="2"/>
  <c r="D59" i="2"/>
  <c r="B59" i="2"/>
  <c r="B56" i="2"/>
  <c r="D57" i="2"/>
  <c r="B57" i="2"/>
  <c r="C58" i="2"/>
  <c r="D58" i="2"/>
  <c r="B58" i="2"/>
  <c r="D55" i="2"/>
  <c r="B55" i="2"/>
  <c r="C57" i="2"/>
  <c r="D56" i="2"/>
  <c r="H199" i="2" l="1"/>
  <c r="H200" i="2" s="1"/>
  <c r="G199" i="2"/>
  <c r="G200" i="2" s="1"/>
  <c r="F42" i="4" l="1"/>
  <c r="D42" i="4"/>
  <c r="J42" i="4" s="1"/>
  <c r="F36" i="4"/>
  <c r="D36" i="4"/>
  <c r="J36" i="4" s="1"/>
  <c r="F40" i="4"/>
  <c r="D40" i="4"/>
  <c r="J40" i="4" s="1"/>
  <c r="F38" i="4"/>
  <c r="D38" i="4"/>
  <c r="J38" i="4" s="1"/>
  <c r="F34" i="4"/>
  <c r="D34" i="4"/>
  <c r="J34" i="4" s="1"/>
  <c r="F32" i="4"/>
  <c r="D32" i="4"/>
  <c r="H30" i="4"/>
  <c r="H28" i="4"/>
  <c r="H26" i="4"/>
  <c r="H24" i="4"/>
  <c r="H22" i="4"/>
  <c r="H20" i="4"/>
  <c r="H18" i="4"/>
  <c r="H16" i="4"/>
  <c r="H14" i="4"/>
  <c r="J32" i="4" l="1"/>
  <c r="F192" i="2"/>
  <c r="E192" i="2"/>
  <c r="F191" i="2"/>
  <c r="E191" i="2"/>
  <c r="E190" i="2"/>
  <c r="E189" i="2"/>
  <c r="F190" i="2"/>
  <c r="F188" i="2"/>
  <c r="E188" i="2"/>
  <c r="F187" i="2"/>
  <c r="E187" i="2"/>
  <c r="F186" i="2"/>
  <c r="E186" i="2"/>
  <c r="F185" i="2"/>
  <c r="E185" i="2"/>
  <c r="H184" i="2"/>
  <c r="G184" i="2"/>
  <c r="F178" i="2"/>
  <c r="E178" i="2"/>
  <c r="F177" i="2"/>
  <c r="E177" i="2"/>
  <c r="F176" i="2"/>
  <c r="E176" i="2"/>
  <c r="F175" i="2"/>
  <c r="E175" i="2"/>
  <c r="H174" i="2"/>
  <c r="G174" i="2"/>
  <c r="G185" i="2" l="1"/>
  <c r="G186" i="2" s="1"/>
  <c r="G187" i="2" s="1"/>
  <c r="G188" i="2" s="1"/>
  <c r="G189" i="2" s="1"/>
  <c r="G190" i="2" s="1"/>
  <c r="G191" i="2" s="1"/>
  <c r="G192" i="2" s="1"/>
  <c r="D28" i="4" s="1"/>
  <c r="H185" i="2"/>
  <c r="H186" i="2" s="1"/>
  <c r="H187" i="2" s="1"/>
  <c r="H188" i="2" s="1"/>
  <c r="F189" i="2"/>
  <c r="G175" i="2"/>
  <c r="G176" i="2" s="1"/>
  <c r="G177" i="2" s="1"/>
  <c r="G178" i="2" s="1"/>
  <c r="D30" i="4" s="1"/>
  <c r="H175" i="2"/>
  <c r="H176" i="2" s="1"/>
  <c r="H177" i="2" s="1"/>
  <c r="H178" i="2" s="1"/>
  <c r="F30" i="4" s="1"/>
  <c r="F168" i="2"/>
  <c r="F166" i="2"/>
  <c r="E167" i="2"/>
  <c r="F165" i="2"/>
  <c r="E165" i="2"/>
  <c r="F164" i="2"/>
  <c r="E164" i="2"/>
  <c r="F163" i="2"/>
  <c r="E163" i="2"/>
  <c r="F162" i="2"/>
  <c r="E162" i="2"/>
  <c r="F161" i="2"/>
  <c r="E161" i="2"/>
  <c r="F160" i="2"/>
  <c r="E160" i="2"/>
  <c r="F159" i="2"/>
  <c r="E159" i="2"/>
  <c r="F158" i="2"/>
  <c r="E158" i="2"/>
  <c r="F157" i="2"/>
  <c r="E157" i="2"/>
  <c r="H156" i="2"/>
  <c r="G156" i="2"/>
  <c r="H189" i="2" l="1"/>
  <c r="H190" i="2" s="1"/>
  <c r="H191" i="2" s="1"/>
  <c r="H192" i="2" s="1"/>
  <c r="F28" i="4" s="1"/>
  <c r="J30" i="4"/>
  <c r="H157" i="2"/>
  <c r="H158" i="2" s="1"/>
  <c r="H159" i="2" s="1"/>
  <c r="H160" i="2" s="1"/>
  <c r="H161" i="2" s="1"/>
  <c r="H162" i="2" s="1"/>
  <c r="H163" i="2" s="1"/>
  <c r="H164" i="2" s="1"/>
  <c r="H165" i="2" s="1"/>
  <c r="H166" i="2" s="1"/>
  <c r="G157" i="2"/>
  <c r="G158" i="2" s="1"/>
  <c r="G159" i="2" s="1"/>
  <c r="G160" i="2" s="1"/>
  <c r="G161" i="2" s="1"/>
  <c r="G162" i="2" s="1"/>
  <c r="G163" i="2" s="1"/>
  <c r="G164" i="2" s="1"/>
  <c r="G165" i="2" s="1"/>
  <c r="F167" i="2"/>
  <c r="E166" i="2"/>
  <c r="E168" i="2"/>
  <c r="F150" i="2"/>
  <c r="E150" i="2"/>
  <c r="F149" i="2"/>
  <c r="E149" i="2"/>
  <c r="F148" i="2"/>
  <c r="E148" i="2"/>
  <c r="F147" i="2"/>
  <c r="E147" i="2"/>
  <c r="F146" i="2"/>
  <c r="E146" i="2"/>
  <c r="H145" i="2"/>
  <c r="G145" i="2"/>
  <c r="G166" i="2" l="1"/>
  <c r="G167" i="2" s="1"/>
  <c r="G168" i="2" s="1"/>
  <c r="D26" i="4" s="1"/>
  <c r="H167" i="2"/>
  <c r="H168" i="2" s="1"/>
  <c r="F26" i="4" s="1"/>
  <c r="H146" i="2"/>
  <c r="G146" i="2"/>
  <c r="G147" i="2" s="1"/>
  <c r="G148" i="2" s="1"/>
  <c r="G149" i="2" s="1"/>
  <c r="G150" i="2" s="1"/>
  <c r="D24" i="4" s="1"/>
  <c r="H147" i="2"/>
  <c r="H148" i="2" s="1"/>
  <c r="H149" i="2" s="1"/>
  <c r="H150" i="2" s="1"/>
  <c r="F24" i="4" s="1"/>
  <c r="J24" i="4" l="1"/>
  <c r="E139" i="2"/>
  <c r="F139" i="2"/>
  <c r="E133" i="2"/>
  <c r="F133" i="2"/>
  <c r="E134" i="2"/>
  <c r="F134" i="2"/>
  <c r="E135" i="2"/>
  <c r="F135" i="2"/>
  <c r="E136" i="2"/>
  <c r="F136" i="2"/>
  <c r="E137" i="2"/>
  <c r="F137" i="2"/>
  <c r="E138" i="2"/>
  <c r="F138" i="2"/>
  <c r="F132" i="2"/>
  <c r="E132" i="2"/>
  <c r="F131" i="2"/>
  <c r="E131" i="2"/>
  <c r="F130" i="2"/>
  <c r="E130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H105" i="2"/>
  <c r="G105" i="2"/>
  <c r="G106" i="2" l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D22" i="4" s="1"/>
  <c r="H106" i="2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F22" i="4" s="1"/>
  <c r="E98" i="2"/>
  <c r="F98" i="2"/>
  <c r="E99" i="2"/>
  <c r="F99" i="2"/>
  <c r="E91" i="2"/>
  <c r="F91" i="2"/>
  <c r="E92" i="2"/>
  <c r="F92" i="2"/>
  <c r="E93" i="2"/>
  <c r="F93" i="2"/>
  <c r="E94" i="2"/>
  <c r="F94" i="2"/>
  <c r="E95" i="2"/>
  <c r="F95" i="2"/>
  <c r="E96" i="2"/>
  <c r="F96" i="2"/>
  <c r="E97" i="2"/>
  <c r="F97" i="2"/>
  <c r="F90" i="2"/>
  <c r="E90" i="2"/>
  <c r="E89" i="2"/>
  <c r="E88" i="2"/>
  <c r="F89" i="2"/>
  <c r="F86" i="2"/>
  <c r="E87" i="2"/>
  <c r="F85" i="2"/>
  <c r="E85" i="2"/>
  <c r="F84" i="2"/>
  <c r="E84" i="2"/>
  <c r="F83" i="2"/>
  <c r="E83" i="2"/>
  <c r="F82" i="2"/>
  <c r="E82" i="2"/>
  <c r="F81" i="2"/>
  <c r="E81" i="2"/>
  <c r="E80" i="2"/>
  <c r="F80" i="2"/>
  <c r="F78" i="2"/>
  <c r="E78" i="2"/>
  <c r="E79" i="2"/>
  <c r="F77" i="2"/>
  <c r="E77" i="2"/>
  <c r="F76" i="2"/>
  <c r="E76" i="2"/>
  <c r="F75" i="2"/>
  <c r="E75" i="2"/>
  <c r="F74" i="2"/>
  <c r="E74" i="2"/>
  <c r="F73" i="2"/>
  <c r="E73" i="2"/>
  <c r="H72" i="2"/>
  <c r="G72" i="2"/>
  <c r="H73" i="2" l="1"/>
  <c r="H74" i="2" s="1"/>
  <c r="H75" i="2" s="1"/>
  <c r="H76" i="2" s="1"/>
  <c r="H77" i="2" s="1"/>
  <c r="H78" i="2" s="1"/>
  <c r="G73" i="2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F87" i="2"/>
  <c r="E86" i="2"/>
  <c r="F88" i="2"/>
  <c r="F79" i="2"/>
  <c r="C29" i="2"/>
  <c r="C27" i="2"/>
  <c r="C26" i="2"/>
  <c r="C25" i="2"/>
  <c r="C24" i="2"/>
  <c r="C23" i="2"/>
  <c r="G86" i="2" l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D20" i="4" s="1"/>
  <c r="H79" i="2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F20" i="4" s="1"/>
  <c r="B14" i="2"/>
  <c r="E66" i="2" l="1"/>
  <c r="E64" i="2"/>
  <c r="F58" i="2"/>
  <c r="F63" i="2"/>
  <c r="E63" i="2"/>
  <c r="F62" i="2"/>
  <c r="E62" i="2"/>
  <c r="F61" i="2"/>
  <c r="F60" i="2"/>
  <c r="E61" i="2"/>
  <c r="F59" i="2"/>
  <c r="E59" i="2"/>
  <c r="E58" i="2"/>
  <c r="F57" i="2"/>
  <c r="E57" i="2"/>
  <c r="F56" i="2"/>
  <c r="E56" i="2"/>
  <c r="F55" i="2"/>
  <c r="E55" i="2"/>
  <c r="F54" i="2"/>
  <c r="E54" i="2"/>
  <c r="H53" i="2"/>
  <c r="G53" i="2"/>
  <c r="G54" i="2" l="1"/>
  <c r="G55" i="2" s="1"/>
  <c r="G56" i="2" s="1"/>
  <c r="G57" i="2" s="1"/>
  <c r="G58" i="2" s="1"/>
  <c r="G59" i="2" s="1"/>
  <c r="F66" i="2"/>
  <c r="F65" i="2"/>
  <c r="F64" i="2"/>
  <c r="H54" i="2"/>
  <c r="H55" i="2" s="1"/>
  <c r="H56" i="2" s="1"/>
  <c r="H57" i="2" s="1"/>
  <c r="H58" i="2" s="1"/>
  <c r="H59" i="2" s="1"/>
  <c r="H60" i="2" s="1"/>
  <c r="H61" i="2" s="1"/>
  <c r="H62" i="2" s="1"/>
  <c r="H63" i="2" s="1"/>
  <c r="E65" i="2"/>
  <c r="E60" i="2"/>
  <c r="E47" i="2"/>
  <c r="E46" i="2"/>
  <c r="H44" i="2"/>
  <c r="G44" i="2"/>
  <c r="F47" i="2" l="1"/>
  <c r="H64" i="2"/>
  <c r="H65" i="2" s="1"/>
  <c r="H66" i="2" s="1"/>
  <c r="F18" i="4" s="1"/>
  <c r="G60" i="2"/>
  <c r="G61" i="2" s="1"/>
  <c r="G62" i="2" s="1"/>
  <c r="G63" i="2" s="1"/>
  <c r="G64" i="2" s="1"/>
  <c r="G65" i="2" s="1"/>
  <c r="G66" i="2" s="1"/>
  <c r="D18" i="4" s="1"/>
  <c r="F46" i="2"/>
  <c r="F45" i="2"/>
  <c r="H45" i="2" s="1"/>
  <c r="E45" i="2"/>
  <c r="G45" i="2" s="1"/>
  <c r="G46" i="2" s="1"/>
  <c r="G47" i="2" s="1"/>
  <c r="D16" i="4" s="1"/>
  <c r="F37" i="2"/>
  <c r="H36" i="2"/>
  <c r="G36" i="2"/>
  <c r="D30" i="2"/>
  <c r="H12" i="4" s="1"/>
  <c r="H44" i="4" s="1"/>
  <c r="H46" i="2" l="1"/>
  <c r="H47" i="2" s="1"/>
  <c r="F16" i="4" s="1"/>
  <c r="H37" i="2"/>
  <c r="E37" i="2"/>
  <c r="G37" i="2" s="1"/>
  <c r="F38" i="2"/>
  <c r="E38" i="2"/>
  <c r="E30" i="2"/>
  <c r="F30" i="2"/>
  <c r="E29" i="2"/>
  <c r="G11" i="2"/>
  <c r="H11" i="2"/>
  <c r="H38" i="2" l="1"/>
  <c r="F14" i="4" s="1"/>
  <c r="G38" i="2"/>
  <c r="D14" i="4" s="1"/>
  <c r="F29" i="2"/>
  <c r="C18" i="2"/>
  <c r="E18" i="2" l="1"/>
  <c r="E28" i="2"/>
  <c r="F27" i="2"/>
  <c r="F28" i="2"/>
  <c r="E27" i="2"/>
  <c r="E25" i="2"/>
  <c r="F25" i="2"/>
  <c r="F24" i="2"/>
  <c r="E24" i="2"/>
  <c r="F23" i="2"/>
  <c r="E23" i="2"/>
  <c r="F22" i="2"/>
  <c r="E22" i="2"/>
  <c r="F21" i="2"/>
  <c r="E21" i="2"/>
  <c r="F20" i="2"/>
  <c r="E20" i="2"/>
  <c r="F19" i="2"/>
  <c r="F18" i="2"/>
  <c r="F17" i="2"/>
  <c r="E17" i="2"/>
  <c r="F16" i="2"/>
  <c r="E16" i="2"/>
  <c r="F15" i="2"/>
  <c r="E15" i="2"/>
  <c r="F14" i="2"/>
  <c r="E14" i="2"/>
  <c r="F13" i="2"/>
  <c r="E13" i="2"/>
  <c r="F12" i="2"/>
  <c r="E12" i="2"/>
  <c r="E19" i="2" l="1"/>
  <c r="G12" i="2"/>
  <c r="G13" i="2" s="1"/>
  <c r="G14" i="2" s="1"/>
  <c r="G15" i="2" s="1"/>
  <c r="G16" i="2" s="1"/>
  <c r="G17" i="2" s="1"/>
  <c r="G18" i="2" s="1"/>
  <c r="H12" i="2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E26" i="2"/>
  <c r="F26" i="2"/>
  <c r="G19" i="2" l="1"/>
  <c r="G20" i="2" s="1"/>
  <c r="G21" i="2" s="1"/>
  <c r="G22" i="2" s="1"/>
  <c r="G23" i="2" s="1"/>
  <c r="G24" i="2" s="1"/>
  <c r="G25" i="2" s="1"/>
  <c r="G26" i="2" s="1"/>
  <c r="G27" i="2" s="1"/>
  <c r="G28" i="2" s="1"/>
  <c r="H26" i="2"/>
  <c r="H27" i="2" s="1"/>
  <c r="H28" i="2" s="1"/>
  <c r="H29" i="2" l="1"/>
  <c r="G29" i="2"/>
  <c r="G30" i="2" l="1"/>
  <c r="D12" i="4" s="1"/>
  <c r="J47" i="4" s="1"/>
  <c r="H30" i="2"/>
  <c r="F12" i="4" s="1"/>
  <c r="J49" i="4" s="1"/>
  <c r="J12" i="4" l="1"/>
  <c r="J14" i="4" l="1"/>
  <c r="J18" i="4"/>
  <c r="J20" i="4"/>
  <c r="J22" i="4"/>
  <c r="J16" i="4" l="1"/>
  <c r="J28" i="4"/>
  <c r="J26" i="4" l="1"/>
  <c r="J44" i="4" s="1"/>
</calcChain>
</file>

<file path=xl/sharedStrings.xml><?xml version="1.0" encoding="utf-8"?>
<sst xmlns="http://schemas.openxmlformats.org/spreadsheetml/2006/main" count="170" uniqueCount="57">
  <si>
    <t>PROJECT - Cleveland Innerbelt - CCG1</t>
  </si>
  <si>
    <t>ODOT PROJECT # - CUY-90-14.90</t>
  </si>
  <si>
    <t>PID 77332 / 85531</t>
  </si>
  <si>
    <t>HNTB PROJECT # - 49633 PA 002</t>
  </si>
  <si>
    <t>*Cut/Fill Factor of 1.00</t>
  </si>
  <si>
    <t>CUT</t>
  </si>
  <si>
    <t>FILL</t>
  </si>
  <si>
    <t>Accumulated Section Total</t>
  </si>
  <si>
    <t>TOTAL</t>
  </si>
  <si>
    <t>VOLUME</t>
  </si>
  <si>
    <t>(+)</t>
  </si>
  <si>
    <t>(-)</t>
  </si>
  <si>
    <t>BORROW</t>
  </si>
  <si>
    <t>WASTE</t>
  </si>
  <si>
    <t>(CYS)</t>
  </si>
  <si>
    <t>203E10000</t>
  </si>
  <si>
    <t>EXCAVATION</t>
  </si>
  <si>
    <t>CYS</t>
  </si>
  <si>
    <t>203E20000</t>
  </si>
  <si>
    <t>EMBANKMENT</t>
  </si>
  <si>
    <t>STRUCTURE BACKFILL</t>
  </si>
  <si>
    <t>**** Quantity of Structural Backfill for retaining walls has not been calculated.  The earthwork quantity should be adjusted once those amounts are known. ****</t>
  </si>
  <si>
    <t>Location - Street</t>
  </si>
  <si>
    <t>Station</t>
  </si>
  <si>
    <t>Area Cut
(SFT)</t>
  </si>
  <si>
    <t>Area Fill
(SFT)</t>
  </si>
  <si>
    <t>Pavement Removal (SFT)</t>
  </si>
  <si>
    <t>Vol Cut
(CYS)</t>
  </si>
  <si>
    <t>Vol Fill
(CYS)</t>
  </si>
  <si>
    <t>RampA4</t>
  </si>
  <si>
    <t>RampA5</t>
  </si>
  <si>
    <t>ML-90</t>
  </si>
  <si>
    <t>ML-90 Temp</t>
  </si>
  <si>
    <t>I-90 WB</t>
  </si>
  <si>
    <t>I-90 WB TEMP</t>
  </si>
  <si>
    <t>Carnegie Ave</t>
  </si>
  <si>
    <t>Pvmt Removal taken by plan view area in microstation (InnerbeltRoadwayQuantities-Gateway-Earthwork.dgn)</t>
  </si>
  <si>
    <t>Ontario Ave</t>
  </si>
  <si>
    <t>ORANGE AVE (Sta. 32+50 to 35+00)</t>
  </si>
  <si>
    <t>Orange Ave (Sta. 32+50 to 35+00)</t>
  </si>
  <si>
    <t>CENTRAL VIADUCT WAY</t>
  </si>
  <si>
    <t>COMMERCIAL - DRIVE STA 18 (Sta. 0+50 to 2+50)</t>
  </si>
  <si>
    <t>Commercial - Drive Sta 18 (Sta. 0+50 to 2+50)</t>
  </si>
  <si>
    <t>COMMERCIAL (Sta. 17+00 to 19+50)</t>
  </si>
  <si>
    <t>Commercial (Sta. 17+00 to 19+50)</t>
  </si>
  <si>
    <t>PAVEMENT</t>
  </si>
  <si>
    <t>REMOVED</t>
  </si>
  <si>
    <t>(SFT)</t>
  </si>
  <si>
    <t>AREA</t>
  </si>
  <si>
    <t>Tri-C Parking Lot</t>
  </si>
  <si>
    <t>Downtown Parking Lot</t>
  </si>
  <si>
    <t>Tri-C/RampA4 BMP</t>
  </si>
  <si>
    <t>W. 3rd Street BMP</t>
  </si>
  <si>
    <t>BMP 143+00</t>
  </si>
  <si>
    <t>Broadway Mills Wall &amp; Plaza</t>
  </si>
  <si>
    <t>Central Viaduct Way</t>
  </si>
  <si>
    <t>E9th (Sta. 38+00 to 39+00)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</si>
</sst>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\+00.00"/>
  </numFmts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10"/>
      <color indexed="17"/>
      <name val="Arial"/>
      <family val="2"/>
    </font>
    <font>
      <sz val="10"/>
      <color rgb="FF3333FF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3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Font="1"/>
    <xf numFmtId="14" fontId="0" fillId="0" borderId="0" xfId="0" applyNumberFormat="1" applyFont="1"/>
    <xf numFmtId="0" fontId="2" fillId="0" borderId="0" xfId="0" applyFont="1"/>
    <xf numFmtId="0" fontId="3" fillId="0" borderId="0" xfId="0" applyFont="1"/>
    <xf numFmtId="0" fontId="5" fillId="0" borderId="0" xfId="1" applyFont="1" applyFill="1"/>
    <xf numFmtId="0" fontId="4" fillId="0" borderId="0" xfId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1" fontId="4" fillId="0" borderId="0" xfId="1" applyNumberFormat="1" applyFont="1" applyFill="1" applyAlignment="1">
      <alignment horizontal="center"/>
    </xf>
    <xf numFmtId="3" fontId="4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0" fontId="4" fillId="0" borderId="0" xfId="1" applyFill="1" applyAlignment="1">
      <alignment horizontal="left"/>
    </xf>
    <xf numFmtId="0" fontId="4" fillId="0" borderId="0" xfId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4" fillId="0" borderId="0" xfId="1" applyFill="1" applyAlignment="1">
      <alignment horizontal="right"/>
    </xf>
    <xf numFmtId="0" fontId="4" fillId="0" borderId="0" xfId="1" applyFill="1"/>
    <xf numFmtId="0" fontId="7" fillId="0" borderId="0" xfId="1" applyFont="1" applyFill="1" applyAlignment="1">
      <alignment horizontal="left" vertical="center"/>
    </xf>
    <xf numFmtId="0" fontId="4" fillId="0" borderId="0" xfId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2" fontId="4" fillId="0" borderId="0" xfId="1" applyNumberFormat="1" applyFill="1" applyAlignment="1">
      <alignment horizontal="center" vertical="center"/>
    </xf>
    <xf numFmtId="0" fontId="5" fillId="0" borderId="0" xfId="1" applyFont="1" applyFill="1" applyAlignment="1">
      <alignment horizontal="center"/>
    </xf>
    <xf numFmtId="2" fontId="4" fillId="0" borderId="0" xfId="1" applyNumberForma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8" fillId="0" borderId="0" xfId="1" applyFont="1" applyFill="1"/>
    <xf numFmtId="0" fontId="9" fillId="0" borderId="1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3" fontId="4" fillId="0" borderId="3" xfId="1" applyNumberFormat="1" applyFont="1" applyFill="1" applyBorder="1" applyAlignment="1">
      <alignment horizontal="center"/>
    </xf>
    <xf numFmtId="3" fontId="4" fillId="0" borderId="0" xfId="1" applyNumberFormat="1" applyFont="1" applyFill="1" applyAlignment="1">
      <alignment horizontal="right"/>
    </xf>
    <xf numFmtId="2" fontId="4" fillId="0" borderId="0" xfId="1" applyNumberFormat="1" applyFont="1" applyFill="1" applyBorder="1" applyAlignment="1">
      <alignment horizontal="center"/>
    </xf>
    <xf numFmtId="0" fontId="4" fillId="0" borderId="0" xfId="1" applyFont="1" applyFill="1"/>
    <xf numFmtId="2" fontId="4" fillId="0" borderId="0" xfId="1" applyNumberFormat="1" applyFont="1" applyFill="1" applyAlignment="1">
      <alignment horizontal="center"/>
    </xf>
    <xf numFmtId="11" fontId="5" fillId="0" borderId="0" xfId="1" applyNumberFormat="1" applyFont="1" applyFill="1" applyBorder="1" applyAlignment="1">
      <alignment horizontal="left"/>
    </xf>
    <xf numFmtId="0" fontId="5" fillId="0" borderId="4" xfId="1" applyFont="1" applyFill="1" applyBorder="1"/>
    <xf numFmtId="0" fontId="4" fillId="0" borderId="5" xfId="1" applyFill="1" applyBorder="1"/>
    <xf numFmtId="1" fontId="8" fillId="0" borderId="5" xfId="1" applyNumberFormat="1" applyFont="1" applyFill="1" applyBorder="1" applyAlignment="1">
      <alignment horizontal="center"/>
    </xf>
    <xf numFmtId="0" fontId="8" fillId="0" borderId="5" xfId="1" applyFont="1" applyFill="1" applyBorder="1"/>
    <xf numFmtId="2" fontId="8" fillId="0" borderId="5" xfId="1" applyNumberFormat="1" applyFont="1" applyFill="1" applyBorder="1" applyAlignment="1">
      <alignment horizontal="center"/>
    </xf>
    <xf numFmtId="1" fontId="8" fillId="0" borderId="6" xfId="1" applyNumberFormat="1" applyFont="1" applyFill="1" applyBorder="1" applyAlignment="1">
      <alignment horizontal="center"/>
    </xf>
    <xf numFmtId="3" fontId="11" fillId="0" borderId="6" xfId="1" applyNumberFormat="1" applyFont="1" applyFill="1" applyBorder="1" applyAlignment="1">
      <alignment horizontal="center"/>
    </xf>
    <xf numFmtId="164" fontId="11" fillId="0" borderId="7" xfId="1" applyNumberFormat="1" applyFont="1" applyFill="1" applyBorder="1" applyAlignment="1">
      <alignment horizontal="center"/>
    </xf>
    <xf numFmtId="1" fontId="8" fillId="0" borderId="0" xfId="1" applyNumberFormat="1" applyFont="1" applyFill="1" applyAlignment="1">
      <alignment horizontal="center"/>
    </xf>
    <xf numFmtId="0" fontId="5" fillId="0" borderId="0" xfId="1" applyFont="1" applyFill="1" applyBorder="1" applyAlignment="1">
      <alignment horizontal="left"/>
    </xf>
    <xf numFmtId="0" fontId="0" fillId="0" borderId="0" xfId="0" applyFill="1"/>
    <xf numFmtId="1" fontId="0" fillId="0" borderId="0" xfId="0" applyNumberFormat="1" applyFill="1"/>
    <xf numFmtId="1" fontId="3" fillId="0" borderId="0" xfId="0" applyNumberFormat="1" applyFont="1" applyFill="1"/>
    <xf numFmtId="165" fontId="0" fillId="0" borderId="8" xfId="0" applyNumberFormat="1" applyFill="1" applyBorder="1" applyAlignment="1">
      <alignment horizontal="right" vertical="center"/>
    </xf>
    <xf numFmtId="1" fontId="12" fillId="0" borderId="8" xfId="0" applyNumberFormat="1" applyFont="1" applyFill="1" applyBorder="1"/>
    <xf numFmtId="1" fontId="0" fillId="0" borderId="8" xfId="0" applyNumberFormat="1" applyFill="1" applyBorder="1"/>
    <xf numFmtId="1" fontId="3" fillId="0" borderId="8" xfId="0" applyNumberFormat="1" applyFont="1" applyFill="1" applyBorder="1"/>
    <xf numFmtId="165" fontId="0" fillId="0" borderId="8" xfId="0" applyNumberFormat="1" applyFill="1" applyBorder="1" applyAlignment="1">
      <alignment horizontal="right"/>
    </xf>
    <xf numFmtId="1" fontId="12" fillId="0" borderId="0" xfId="0" applyNumberFormat="1" applyFont="1" applyFill="1" applyBorder="1"/>
    <xf numFmtId="1" fontId="0" fillId="0" borderId="0" xfId="0" applyNumberFormat="1" applyFill="1" applyBorder="1"/>
    <xf numFmtId="1" fontId="2" fillId="0" borderId="0" xfId="0" applyNumberFormat="1" applyFont="1" applyFill="1" applyBorder="1"/>
    <xf numFmtId="0" fontId="4" fillId="0" borderId="0" xfId="0" applyFont="1"/>
    <xf numFmtId="14" fontId="4" fillId="0" borderId="0" xfId="0" applyNumberFormat="1" applyFont="1"/>
    <xf numFmtId="0" fontId="1" fillId="0" borderId="8" xfId="2" applyFont="1" applyBorder="1" applyAlignment="1">
      <alignment horizontal="center" vertical="center" wrapText="1"/>
    </xf>
    <xf numFmtId="0" fontId="1" fillId="0" borderId="8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left"/>
    </xf>
    <xf numFmtId="0" fontId="4" fillId="0" borderId="3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rking,BMP,LS%20earthwor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 C"/>
      <sheetName val="Downtown"/>
      <sheetName val="Tri C RmpA4 BMP "/>
      <sheetName val="BMP W3rd"/>
      <sheetName val="BMP 143+00"/>
      <sheetName val="Broadway Mills Grdg and Plaza"/>
      <sheetName val="Tri C-check-101011-DF"/>
      <sheetName val="Downtown-check-101011-DF"/>
      <sheetName val="Tri C RmpA4 BMP-check-101011-DF"/>
      <sheetName val="BMP W3rd-check-101011-DF"/>
      <sheetName val="BMP 143+00-check-101011-DF"/>
      <sheetName val="Broadway Mills-check-101011-DF"/>
    </sheetNames>
    <sheetDataSet>
      <sheetData sheetId="0">
        <row r="25">
          <cell r="B25">
            <v>1772.5</v>
          </cell>
        </row>
        <row r="26">
          <cell r="B26">
            <v>1734.83</v>
          </cell>
        </row>
      </sheetData>
      <sheetData sheetId="1">
        <row r="25">
          <cell r="B25">
            <v>5828.19</v>
          </cell>
        </row>
        <row r="26">
          <cell r="B26">
            <v>122.95</v>
          </cell>
        </row>
      </sheetData>
      <sheetData sheetId="2">
        <row r="25">
          <cell r="D25">
            <v>1801.22</v>
          </cell>
        </row>
        <row r="26">
          <cell r="D26">
            <v>13.03</v>
          </cell>
        </row>
      </sheetData>
      <sheetData sheetId="3">
        <row r="25">
          <cell r="B25">
            <v>1472.5</v>
          </cell>
        </row>
        <row r="26">
          <cell r="B26">
            <v>18.64</v>
          </cell>
        </row>
      </sheetData>
      <sheetData sheetId="4">
        <row r="25">
          <cell r="B25">
            <v>7928.38</v>
          </cell>
        </row>
        <row r="26">
          <cell r="B26">
            <v>4.25</v>
          </cell>
        </row>
      </sheetData>
      <sheetData sheetId="5">
        <row r="25">
          <cell r="D25">
            <v>1937.51</v>
          </cell>
        </row>
        <row r="26">
          <cell r="D26">
            <v>2824.05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2"/>
  <sheetViews>
    <sheetView tabSelected="1" view="pageBreakPreview" zoomScaleNormal="7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M16" sqref="M16"/>
    </sheetView>
  </sheetViews>
  <sheetFormatPr defaultRowHeight="12.75" x14ac:dyDescent="0.2"/>
  <cols>
    <col min="1" max="1" width="2.5703125" style="18" customWidth="1"/>
    <col min="2" max="2" width="23.5703125" style="18" customWidth="1"/>
    <col min="3" max="3" width="21.7109375" style="7" customWidth="1"/>
    <col min="4" max="4" width="10.28515625" style="7" bestFit="1" customWidth="1"/>
    <col min="5" max="5" width="7.7109375" style="7" customWidth="1"/>
    <col min="6" max="6" width="10.28515625" style="7" bestFit="1" customWidth="1"/>
    <col min="7" max="7" width="10.28515625" style="7" customWidth="1"/>
    <col min="8" max="8" width="12.85546875" style="18" customWidth="1"/>
    <col min="9" max="9" width="8.7109375" style="18" customWidth="1"/>
    <col min="10" max="10" width="11" style="7" customWidth="1"/>
    <col min="11" max="11" width="11.140625" style="24" bestFit="1" customWidth="1"/>
    <col min="12" max="13" width="8.7109375" style="7" customWidth="1"/>
    <col min="14" max="14" width="1.7109375" style="18" hidden="1" customWidth="1"/>
    <col min="15" max="15" width="8.7109375" style="7" customWidth="1"/>
    <col min="16" max="257" width="9.140625" style="18"/>
    <col min="258" max="258" width="2.5703125" style="18" customWidth="1"/>
    <col min="259" max="259" width="13.85546875" style="18" customWidth="1"/>
    <col min="260" max="260" width="23.42578125" style="18" customWidth="1"/>
    <col min="261" max="261" width="10.28515625" style="18" bestFit="1" customWidth="1"/>
    <col min="262" max="262" width="7.7109375" style="18" customWidth="1"/>
    <col min="263" max="263" width="10.28515625" style="18" bestFit="1" customWidth="1"/>
    <col min="264" max="264" width="6.7109375" style="18" customWidth="1"/>
    <col min="265" max="265" width="8.7109375" style="18" customWidth="1"/>
    <col min="266" max="266" width="12" style="18" bestFit="1" customWidth="1"/>
    <col min="267" max="267" width="11.140625" style="18" bestFit="1" customWidth="1"/>
    <col min="268" max="269" width="8.7109375" style="18" customWidth="1"/>
    <col min="270" max="270" width="0" style="18" hidden="1" customWidth="1"/>
    <col min="271" max="271" width="8.7109375" style="18" customWidth="1"/>
    <col min="272" max="513" width="9.140625" style="18"/>
    <col min="514" max="514" width="2.5703125" style="18" customWidth="1"/>
    <col min="515" max="515" width="13.85546875" style="18" customWidth="1"/>
    <col min="516" max="516" width="23.42578125" style="18" customWidth="1"/>
    <col min="517" max="517" width="10.28515625" style="18" bestFit="1" customWidth="1"/>
    <col min="518" max="518" width="7.7109375" style="18" customWidth="1"/>
    <col min="519" max="519" width="10.28515625" style="18" bestFit="1" customWidth="1"/>
    <col min="520" max="520" width="6.7109375" style="18" customWidth="1"/>
    <col min="521" max="521" width="8.7109375" style="18" customWidth="1"/>
    <col min="522" max="522" width="12" style="18" bestFit="1" customWidth="1"/>
    <col min="523" max="523" width="11.140625" style="18" bestFit="1" customWidth="1"/>
    <col min="524" max="525" width="8.7109375" style="18" customWidth="1"/>
    <col min="526" max="526" width="0" style="18" hidden="1" customWidth="1"/>
    <col min="527" max="527" width="8.7109375" style="18" customWidth="1"/>
    <col min="528" max="769" width="9.140625" style="18"/>
    <col min="770" max="770" width="2.5703125" style="18" customWidth="1"/>
    <col min="771" max="771" width="13.85546875" style="18" customWidth="1"/>
    <col min="772" max="772" width="23.42578125" style="18" customWidth="1"/>
    <col min="773" max="773" width="10.28515625" style="18" bestFit="1" customWidth="1"/>
    <col min="774" max="774" width="7.7109375" style="18" customWidth="1"/>
    <col min="775" max="775" width="10.28515625" style="18" bestFit="1" customWidth="1"/>
    <col min="776" max="776" width="6.7109375" style="18" customWidth="1"/>
    <col min="777" max="777" width="8.7109375" style="18" customWidth="1"/>
    <col min="778" max="778" width="12" style="18" bestFit="1" customWidth="1"/>
    <col min="779" max="779" width="11.140625" style="18" bestFit="1" customWidth="1"/>
    <col min="780" max="781" width="8.7109375" style="18" customWidth="1"/>
    <col min="782" max="782" width="0" style="18" hidden="1" customWidth="1"/>
    <col min="783" max="783" width="8.7109375" style="18" customWidth="1"/>
    <col min="784" max="1025" width="9.140625" style="18"/>
    <col min="1026" max="1026" width="2.5703125" style="18" customWidth="1"/>
    <col min="1027" max="1027" width="13.85546875" style="18" customWidth="1"/>
    <col min="1028" max="1028" width="23.42578125" style="18" customWidth="1"/>
    <col min="1029" max="1029" width="10.28515625" style="18" bestFit="1" customWidth="1"/>
    <col min="1030" max="1030" width="7.7109375" style="18" customWidth="1"/>
    <col min="1031" max="1031" width="10.28515625" style="18" bestFit="1" customWidth="1"/>
    <col min="1032" max="1032" width="6.7109375" style="18" customWidth="1"/>
    <col min="1033" max="1033" width="8.7109375" style="18" customWidth="1"/>
    <col min="1034" max="1034" width="12" style="18" bestFit="1" customWidth="1"/>
    <col min="1035" max="1035" width="11.140625" style="18" bestFit="1" customWidth="1"/>
    <col min="1036" max="1037" width="8.7109375" style="18" customWidth="1"/>
    <col min="1038" max="1038" width="0" style="18" hidden="1" customWidth="1"/>
    <col min="1039" max="1039" width="8.7109375" style="18" customWidth="1"/>
    <col min="1040" max="1281" width="9.140625" style="18"/>
    <col min="1282" max="1282" width="2.5703125" style="18" customWidth="1"/>
    <col min="1283" max="1283" width="13.85546875" style="18" customWidth="1"/>
    <col min="1284" max="1284" width="23.42578125" style="18" customWidth="1"/>
    <col min="1285" max="1285" width="10.28515625" style="18" bestFit="1" customWidth="1"/>
    <col min="1286" max="1286" width="7.7109375" style="18" customWidth="1"/>
    <col min="1287" max="1287" width="10.28515625" style="18" bestFit="1" customWidth="1"/>
    <col min="1288" max="1288" width="6.7109375" style="18" customWidth="1"/>
    <col min="1289" max="1289" width="8.7109375" style="18" customWidth="1"/>
    <col min="1290" max="1290" width="12" style="18" bestFit="1" customWidth="1"/>
    <col min="1291" max="1291" width="11.140625" style="18" bestFit="1" customWidth="1"/>
    <col min="1292" max="1293" width="8.7109375" style="18" customWidth="1"/>
    <col min="1294" max="1294" width="0" style="18" hidden="1" customWidth="1"/>
    <col min="1295" max="1295" width="8.7109375" style="18" customWidth="1"/>
    <col min="1296" max="1537" width="9.140625" style="18"/>
    <col min="1538" max="1538" width="2.5703125" style="18" customWidth="1"/>
    <col min="1539" max="1539" width="13.85546875" style="18" customWidth="1"/>
    <col min="1540" max="1540" width="23.42578125" style="18" customWidth="1"/>
    <col min="1541" max="1541" width="10.28515625" style="18" bestFit="1" customWidth="1"/>
    <col min="1542" max="1542" width="7.7109375" style="18" customWidth="1"/>
    <col min="1543" max="1543" width="10.28515625" style="18" bestFit="1" customWidth="1"/>
    <col min="1544" max="1544" width="6.7109375" style="18" customWidth="1"/>
    <col min="1545" max="1545" width="8.7109375" style="18" customWidth="1"/>
    <col min="1546" max="1546" width="12" style="18" bestFit="1" customWidth="1"/>
    <col min="1547" max="1547" width="11.140625" style="18" bestFit="1" customWidth="1"/>
    <col min="1548" max="1549" width="8.7109375" style="18" customWidth="1"/>
    <col min="1550" max="1550" width="0" style="18" hidden="1" customWidth="1"/>
    <col min="1551" max="1551" width="8.7109375" style="18" customWidth="1"/>
    <col min="1552" max="1793" width="9.140625" style="18"/>
    <col min="1794" max="1794" width="2.5703125" style="18" customWidth="1"/>
    <col min="1795" max="1795" width="13.85546875" style="18" customWidth="1"/>
    <col min="1796" max="1796" width="23.42578125" style="18" customWidth="1"/>
    <col min="1797" max="1797" width="10.28515625" style="18" bestFit="1" customWidth="1"/>
    <col min="1798" max="1798" width="7.7109375" style="18" customWidth="1"/>
    <col min="1799" max="1799" width="10.28515625" style="18" bestFit="1" customWidth="1"/>
    <col min="1800" max="1800" width="6.7109375" style="18" customWidth="1"/>
    <col min="1801" max="1801" width="8.7109375" style="18" customWidth="1"/>
    <col min="1802" max="1802" width="12" style="18" bestFit="1" customWidth="1"/>
    <col min="1803" max="1803" width="11.140625" style="18" bestFit="1" customWidth="1"/>
    <col min="1804" max="1805" width="8.7109375" style="18" customWidth="1"/>
    <col min="1806" max="1806" width="0" style="18" hidden="1" customWidth="1"/>
    <col min="1807" max="1807" width="8.7109375" style="18" customWidth="1"/>
    <col min="1808" max="2049" width="9.140625" style="18"/>
    <col min="2050" max="2050" width="2.5703125" style="18" customWidth="1"/>
    <col min="2051" max="2051" width="13.85546875" style="18" customWidth="1"/>
    <col min="2052" max="2052" width="23.42578125" style="18" customWidth="1"/>
    <col min="2053" max="2053" width="10.28515625" style="18" bestFit="1" customWidth="1"/>
    <col min="2054" max="2054" width="7.7109375" style="18" customWidth="1"/>
    <col min="2055" max="2055" width="10.28515625" style="18" bestFit="1" customWidth="1"/>
    <col min="2056" max="2056" width="6.7109375" style="18" customWidth="1"/>
    <col min="2057" max="2057" width="8.7109375" style="18" customWidth="1"/>
    <col min="2058" max="2058" width="12" style="18" bestFit="1" customWidth="1"/>
    <col min="2059" max="2059" width="11.140625" style="18" bestFit="1" customWidth="1"/>
    <col min="2060" max="2061" width="8.7109375" style="18" customWidth="1"/>
    <col min="2062" max="2062" width="0" style="18" hidden="1" customWidth="1"/>
    <col min="2063" max="2063" width="8.7109375" style="18" customWidth="1"/>
    <col min="2064" max="2305" width="9.140625" style="18"/>
    <col min="2306" max="2306" width="2.5703125" style="18" customWidth="1"/>
    <col min="2307" max="2307" width="13.85546875" style="18" customWidth="1"/>
    <col min="2308" max="2308" width="23.42578125" style="18" customWidth="1"/>
    <col min="2309" max="2309" width="10.28515625" style="18" bestFit="1" customWidth="1"/>
    <col min="2310" max="2310" width="7.7109375" style="18" customWidth="1"/>
    <col min="2311" max="2311" width="10.28515625" style="18" bestFit="1" customWidth="1"/>
    <col min="2312" max="2312" width="6.7109375" style="18" customWidth="1"/>
    <col min="2313" max="2313" width="8.7109375" style="18" customWidth="1"/>
    <col min="2314" max="2314" width="12" style="18" bestFit="1" customWidth="1"/>
    <col min="2315" max="2315" width="11.140625" style="18" bestFit="1" customWidth="1"/>
    <col min="2316" max="2317" width="8.7109375" style="18" customWidth="1"/>
    <col min="2318" max="2318" width="0" style="18" hidden="1" customWidth="1"/>
    <col min="2319" max="2319" width="8.7109375" style="18" customWidth="1"/>
    <col min="2320" max="2561" width="9.140625" style="18"/>
    <col min="2562" max="2562" width="2.5703125" style="18" customWidth="1"/>
    <col min="2563" max="2563" width="13.85546875" style="18" customWidth="1"/>
    <col min="2564" max="2564" width="23.42578125" style="18" customWidth="1"/>
    <col min="2565" max="2565" width="10.28515625" style="18" bestFit="1" customWidth="1"/>
    <col min="2566" max="2566" width="7.7109375" style="18" customWidth="1"/>
    <col min="2567" max="2567" width="10.28515625" style="18" bestFit="1" customWidth="1"/>
    <col min="2568" max="2568" width="6.7109375" style="18" customWidth="1"/>
    <col min="2569" max="2569" width="8.7109375" style="18" customWidth="1"/>
    <col min="2570" max="2570" width="12" style="18" bestFit="1" customWidth="1"/>
    <col min="2571" max="2571" width="11.140625" style="18" bestFit="1" customWidth="1"/>
    <col min="2572" max="2573" width="8.7109375" style="18" customWidth="1"/>
    <col min="2574" max="2574" width="0" style="18" hidden="1" customWidth="1"/>
    <col min="2575" max="2575" width="8.7109375" style="18" customWidth="1"/>
    <col min="2576" max="2817" width="9.140625" style="18"/>
    <col min="2818" max="2818" width="2.5703125" style="18" customWidth="1"/>
    <col min="2819" max="2819" width="13.85546875" style="18" customWidth="1"/>
    <col min="2820" max="2820" width="23.42578125" style="18" customWidth="1"/>
    <col min="2821" max="2821" width="10.28515625" style="18" bestFit="1" customWidth="1"/>
    <col min="2822" max="2822" width="7.7109375" style="18" customWidth="1"/>
    <col min="2823" max="2823" width="10.28515625" style="18" bestFit="1" customWidth="1"/>
    <col min="2824" max="2824" width="6.7109375" style="18" customWidth="1"/>
    <col min="2825" max="2825" width="8.7109375" style="18" customWidth="1"/>
    <col min="2826" max="2826" width="12" style="18" bestFit="1" customWidth="1"/>
    <col min="2827" max="2827" width="11.140625" style="18" bestFit="1" customWidth="1"/>
    <col min="2828" max="2829" width="8.7109375" style="18" customWidth="1"/>
    <col min="2830" max="2830" width="0" style="18" hidden="1" customWidth="1"/>
    <col min="2831" max="2831" width="8.7109375" style="18" customWidth="1"/>
    <col min="2832" max="3073" width="9.140625" style="18"/>
    <col min="3074" max="3074" width="2.5703125" style="18" customWidth="1"/>
    <col min="3075" max="3075" width="13.85546875" style="18" customWidth="1"/>
    <col min="3076" max="3076" width="23.42578125" style="18" customWidth="1"/>
    <col min="3077" max="3077" width="10.28515625" style="18" bestFit="1" customWidth="1"/>
    <col min="3078" max="3078" width="7.7109375" style="18" customWidth="1"/>
    <col min="3079" max="3079" width="10.28515625" style="18" bestFit="1" customWidth="1"/>
    <col min="3080" max="3080" width="6.7109375" style="18" customWidth="1"/>
    <col min="3081" max="3081" width="8.7109375" style="18" customWidth="1"/>
    <col min="3082" max="3082" width="12" style="18" bestFit="1" customWidth="1"/>
    <col min="3083" max="3083" width="11.140625" style="18" bestFit="1" customWidth="1"/>
    <col min="3084" max="3085" width="8.7109375" style="18" customWidth="1"/>
    <col min="3086" max="3086" width="0" style="18" hidden="1" customWidth="1"/>
    <col min="3087" max="3087" width="8.7109375" style="18" customWidth="1"/>
    <col min="3088" max="3329" width="9.140625" style="18"/>
    <col min="3330" max="3330" width="2.5703125" style="18" customWidth="1"/>
    <col min="3331" max="3331" width="13.85546875" style="18" customWidth="1"/>
    <col min="3332" max="3332" width="23.42578125" style="18" customWidth="1"/>
    <col min="3333" max="3333" width="10.28515625" style="18" bestFit="1" customWidth="1"/>
    <col min="3334" max="3334" width="7.7109375" style="18" customWidth="1"/>
    <col min="3335" max="3335" width="10.28515625" style="18" bestFit="1" customWidth="1"/>
    <col min="3336" max="3336" width="6.7109375" style="18" customWidth="1"/>
    <col min="3337" max="3337" width="8.7109375" style="18" customWidth="1"/>
    <col min="3338" max="3338" width="12" style="18" bestFit="1" customWidth="1"/>
    <col min="3339" max="3339" width="11.140625" style="18" bestFit="1" customWidth="1"/>
    <col min="3340" max="3341" width="8.7109375" style="18" customWidth="1"/>
    <col min="3342" max="3342" width="0" style="18" hidden="1" customWidth="1"/>
    <col min="3343" max="3343" width="8.7109375" style="18" customWidth="1"/>
    <col min="3344" max="3585" width="9.140625" style="18"/>
    <col min="3586" max="3586" width="2.5703125" style="18" customWidth="1"/>
    <col min="3587" max="3587" width="13.85546875" style="18" customWidth="1"/>
    <col min="3588" max="3588" width="23.42578125" style="18" customWidth="1"/>
    <col min="3589" max="3589" width="10.28515625" style="18" bestFit="1" customWidth="1"/>
    <col min="3590" max="3590" width="7.7109375" style="18" customWidth="1"/>
    <col min="3591" max="3591" width="10.28515625" style="18" bestFit="1" customWidth="1"/>
    <col min="3592" max="3592" width="6.7109375" style="18" customWidth="1"/>
    <col min="3593" max="3593" width="8.7109375" style="18" customWidth="1"/>
    <col min="3594" max="3594" width="12" style="18" bestFit="1" customWidth="1"/>
    <col min="3595" max="3595" width="11.140625" style="18" bestFit="1" customWidth="1"/>
    <col min="3596" max="3597" width="8.7109375" style="18" customWidth="1"/>
    <col min="3598" max="3598" width="0" style="18" hidden="1" customWidth="1"/>
    <col min="3599" max="3599" width="8.7109375" style="18" customWidth="1"/>
    <col min="3600" max="3841" width="9.140625" style="18"/>
    <col min="3842" max="3842" width="2.5703125" style="18" customWidth="1"/>
    <col min="3843" max="3843" width="13.85546875" style="18" customWidth="1"/>
    <col min="3844" max="3844" width="23.42578125" style="18" customWidth="1"/>
    <col min="3845" max="3845" width="10.28515625" style="18" bestFit="1" customWidth="1"/>
    <col min="3846" max="3846" width="7.7109375" style="18" customWidth="1"/>
    <col min="3847" max="3847" width="10.28515625" style="18" bestFit="1" customWidth="1"/>
    <col min="3848" max="3848" width="6.7109375" style="18" customWidth="1"/>
    <col min="3849" max="3849" width="8.7109375" style="18" customWidth="1"/>
    <col min="3850" max="3850" width="12" style="18" bestFit="1" customWidth="1"/>
    <col min="3851" max="3851" width="11.140625" style="18" bestFit="1" customWidth="1"/>
    <col min="3852" max="3853" width="8.7109375" style="18" customWidth="1"/>
    <col min="3854" max="3854" width="0" style="18" hidden="1" customWidth="1"/>
    <col min="3855" max="3855" width="8.7109375" style="18" customWidth="1"/>
    <col min="3856" max="4097" width="9.140625" style="18"/>
    <col min="4098" max="4098" width="2.5703125" style="18" customWidth="1"/>
    <col min="4099" max="4099" width="13.85546875" style="18" customWidth="1"/>
    <col min="4100" max="4100" width="23.42578125" style="18" customWidth="1"/>
    <col min="4101" max="4101" width="10.28515625" style="18" bestFit="1" customWidth="1"/>
    <col min="4102" max="4102" width="7.7109375" style="18" customWidth="1"/>
    <col min="4103" max="4103" width="10.28515625" style="18" bestFit="1" customWidth="1"/>
    <col min="4104" max="4104" width="6.7109375" style="18" customWidth="1"/>
    <col min="4105" max="4105" width="8.7109375" style="18" customWidth="1"/>
    <col min="4106" max="4106" width="12" style="18" bestFit="1" customWidth="1"/>
    <col min="4107" max="4107" width="11.140625" style="18" bestFit="1" customWidth="1"/>
    <col min="4108" max="4109" width="8.7109375" style="18" customWidth="1"/>
    <col min="4110" max="4110" width="0" style="18" hidden="1" customWidth="1"/>
    <col min="4111" max="4111" width="8.7109375" style="18" customWidth="1"/>
    <col min="4112" max="4353" width="9.140625" style="18"/>
    <col min="4354" max="4354" width="2.5703125" style="18" customWidth="1"/>
    <col min="4355" max="4355" width="13.85546875" style="18" customWidth="1"/>
    <col min="4356" max="4356" width="23.42578125" style="18" customWidth="1"/>
    <col min="4357" max="4357" width="10.28515625" style="18" bestFit="1" customWidth="1"/>
    <col min="4358" max="4358" width="7.7109375" style="18" customWidth="1"/>
    <col min="4359" max="4359" width="10.28515625" style="18" bestFit="1" customWidth="1"/>
    <col min="4360" max="4360" width="6.7109375" style="18" customWidth="1"/>
    <col min="4361" max="4361" width="8.7109375" style="18" customWidth="1"/>
    <col min="4362" max="4362" width="12" style="18" bestFit="1" customWidth="1"/>
    <col min="4363" max="4363" width="11.140625" style="18" bestFit="1" customWidth="1"/>
    <col min="4364" max="4365" width="8.7109375" style="18" customWidth="1"/>
    <col min="4366" max="4366" width="0" style="18" hidden="1" customWidth="1"/>
    <col min="4367" max="4367" width="8.7109375" style="18" customWidth="1"/>
    <col min="4368" max="4609" width="9.140625" style="18"/>
    <col min="4610" max="4610" width="2.5703125" style="18" customWidth="1"/>
    <col min="4611" max="4611" width="13.85546875" style="18" customWidth="1"/>
    <col min="4612" max="4612" width="23.42578125" style="18" customWidth="1"/>
    <col min="4613" max="4613" width="10.28515625" style="18" bestFit="1" customWidth="1"/>
    <col min="4614" max="4614" width="7.7109375" style="18" customWidth="1"/>
    <col min="4615" max="4615" width="10.28515625" style="18" bestFit="1" customWidth="1"/>
    <col min="4616" max="4616" width="6.7109375" style="18" customWidth="1"/>
    <col min="4617" max="4617" width="8.7109375" style="18" customWidth="1"/>
    <col min="4618" max="4618" width="12" style="18" bestFit="1" customWidth="1"/>
    <col min="4619" max="4619" width="11.140625" style="18" bestFit="1" customWidth="1"/>
    <col min="4620" max="4621" width="8.7109375" style="18" customWidth="1"/>
    <col min="4622" max="4622" width="0" style="18" hidden="1" customWidth="1"/>
    <col min="4623" max="4623" width="8.7109375" style="18" customWidth="1"/>
    <col min="4624" max="4865" width="9.140625" style="18"/>
    <col min="4866" max="4866" width="2.5703125" style="18" customWidth="1"/>
    <col min="4867" max="4867" width="13.85546875" style="18" customWidth="1"/>
    <col min="4868" max="4868" width="23.42578125" style="18" customWidth="1"/>
    <col min="4869" max="4869" width="10.28515625" style="18" bestFit="1" customWidth="1"/>
    <col min="4870" max="4870" width="7.7109375" style="18" customWidth="1"/>
    <col min="4871" max="4871" width="10.28515625" style="18" bestFit="1" customWidth="1"/>
    <col min="4872" max="4872" width="6.7109375" style="18" customWidth="1"/>
    <col min="4873" max="4873" width="8.7109375" style="18" customWidth="1"/>
    <col min="4874" max="4874" width="12" style="18" bestFit="1" customWidth="1"/>
    <col min="4875" max="4875" width="11.140625" style="18" bestFit="1" customWidth="1"/>
    <col min="4876" max="4877" width="8.7109375" style="18" customWidth="1"/>
    <col min="4878" max="4878" width="0" style="18" hidden="1" customWidth="1"/>
    <col min="4879" max="4879" width="8.7109375" style="18" customWidth="1"/>
    <col min="4880" max="5121" width="9.140625" style="18"/>
    <col min="5122" max="5122" width="2.5703125" style="18" customWidth="1"/>
    <col min="5123" max="5123" width="13.85546875" style="18" customWidth="1"/>
    <col min="5124" max="5124" width="23.42578125" style="18" customWidth="1"/>
    <col min="5125" max="5125" width="10.28515625" style="18" bestFit="1" customWidth="1"/>
    <col min="5126" max="5126" width="7.7109375" style="18" customWidth="1"/>
    <col min="5127" max="5127" width="10.28515625" style="18" bestFit="1" customWidth="1"/>
    <col min="5128" max="5128" width="6.7109375" style="18" customWidth="1"/>
    <col min="5129" max="5129" width="8.7109375" style="18" customWidth="1"/>
    <col min="5130" max="5130" width="12" style="18" bestFit="1" customWidth="1"/>
    <col min="5131" max="5131" width="11.140625" style="18" bestFit="1" customWidth="1"/>
    <col min="5132" max="5133" width="8.7109375" style="18" customWidth="1"/>
    <col min="5134" max="5134" width="0" style="18" hidden="1" customWidth="1"/>
    <col min="5135" max="5135" width="8.7109375" style="18" customWidth="1"/>
    <col min="5136" max="5377" width="9.140625" style="18"/>
    <col min="5378" max="5378" width="2.5703125" style="18" customWidth="1"/>
    <col min="5379" max="5379" width="13.85546875" style="18" customWidth="1"/>
    <col min="5380" max="5380" width="23.42578125" style="18" customWidth="1"/>
    <col min="5381" max="5381" width="10.28515625" style="18" bestFit="1" customWidth="1"/>
    <col min="5382" max="5382" width="7.7109375" style="18" customWidth="1"/>
    <col min="5383" max="5383" width="10.28515625" style="18" bestFit="1" customWidth="1"/>
    <col min="5384" max="5384" width="6.7109375" style="18" customWidth="1"/>
    <col min="5385" max="5385" width="8.7109375" style="18" customWidth="1"/>
    <col min="5386" max="5386" width="12" style="18" bestFit="1" customWidth="1"/>
    <col min="5387" max="5387" width="11.140625" style="18" bestFit="1" customWidth="1"/>
    <col min="5388" max="5389" width="8.7109375" style="18" customWidth="1"/>
    <col min="5390" max="5390" width="0" style="18" hidden="1" customWidth="1"/>
    <col min="5391" max="5391" width="8.7109375" style="18" customWidth="1"/>
    <col min="5392" max="5633" width="9.140625" style="18"/>
    <col min="5634" max="5634" width="2.5703125" style="18" customWidth="1"/>
    <col min="5635" max="5635" width="13.85546875" style="18" customWidth="1"/>
    <col min="5636" max="5636" width="23.42578125" style="18" customWidth="1"/>
    <col min="5637" max="5637" width="10.28515625" style="18" bestFit="1" customWidth="1"/>
    <col min="5638" max="5638" width="7.7109375" style="18" customWidth="1"/>
    <col min="5639" max="5639" width="10.28515625" style="18" bestFit="1" customWidth="1"/>
    <col min="5640" max="5640" width="6.7109375" style="18" customWidth="1"/>
    <col min="5641" max="5641" width="8.7109375" style="18" customWidth="1"/>
    <col min="5642" max="5642" width="12" style="18" bestFit="1" customWidth="1"/>
    <col min="5643" max="5643" width="11.140625" style="18" bestFit="1" customWidth="1"/>
    <col min="5644" max="5645" width="8.7109375" style="18" customWidth="1"/>
    <col min="5646" max="5646" width="0" style="18" hidden="1" customWidth="1"/>
    <col min="5647" max="5647" width="8.7109375" style="18" customWidth="1"/>
    <col min="5648" max="5889" width="9.140625" style="18"/>
    <col min="5890" max="5890" width="2.5703125" style="18" customWidth="1"/>
    <col min="5891" max="5891" width="13.85546875" style="18" customWidth="1"/>
    <col min="5892" max="5892" width="23.42578125" style="18" customWidth="1"/>
    <col min="5893" max="5893" width="10.28515625" style="18" bestFit="1" customWidth="1"/>
    <col min="5894" max="5894" width="7.7109375" style="18" customWidth="1"/>
    <col min="5895" max="5895" width="10.28515625" style="18" bestFit="1" customWidth="1"/>
    <col min="5896" max="5896" width="6.7109375" style="18" customWidth="1"/>
    <col min="5897" max="5897" width="8.7109375" style="18" customWidth="1"/>
    <col min="5898" max="5898" width="12" style="18" bestFit="1" customWidth="1"/>
    <col min="5899" max="5899" width="11.140625" style="18" bestFit="1" customWidth="1"/>
    <col min="5900" max="5901" width="8.7109375" style="18" customWidth="1"/>
    <col min="5902" max="5902" width="0" style="18" hidden="1" customWidth="1"/>
    <col min="5903" max="5903" width="8.7109375" style="18" customWidth="1"/>
    <col min="5904" max="6145" width="9.140625" style="18"/>
    <col min="6146" max="6146" width="2.5703125" style="18" customWidth="1"/>
    <col min="6147" max="6147" width="13.85546875" style="18" customWidth="1"/>
    <col min="6148" max="6148" width="23.42578125" style="18" customWidth="1"/>
    <col min="6149" max="6149" width="10.28515625" style="18" bestFit="1" customWidth="1"/>
    <col min="6150" max="6150" width="7.7109375" style="18" customWidth="1"/>
    <col min="6151" max="6151" width="10.28515625" style="18" bestFit="1" customWidth="1"/>
    <col min="6152" max="6152" width="6.7109375" style="18" customWidth="1"/>
    <col min="6153" max="6153" width="8.7109375" style="18" customWidth="1"/>
    <col min="6154" max="6154" width="12" style="18" bestFit="1" customWidth="1"/>
    <col min="6155" max="6155" width="11.140625" style="18" bestFit="1" customWidth="1"/>
    <col min="6156" max="6157" width="8.7109375" style="18" customWidth="1"/>
    <col min="6158" max="6158" width="0" style="18" hidden="1" customWidth="1"/>
    <col min="6159" max="6159" width="8.7109375" style="18" customWidth="1"/>
    <col min="6160" max="6401" width="9.140625" style="18"/>
    <col min="6402" max="6402" width="2.5703125" style="18" customWidth="1"/>
    <col min="6403" max="6403" width="13.85546875" style="18" customWidth="1"/>
    <col min="6404" max="6404" width="23.42578125" style="18" customWidth="1"/>
    <col min="6405" max="6405" width="10.28515625" style="18" bestFit="1" customWidth="1"/>
    <col min="6406" max="6406" width="7.7109375" style="18" customWidth="1"/>
    <col min="6407" max="6407" width="10.28515625" style="18" bestFit="1" customWidth="1"/>
    <col min="6408" max="6408" width="6.7109375" style="18" customWidth="1"/>
    <col min="6409" max="6409" width="8.7109375" style="18" customWidth="1"/>
    <col min="6410" max="6410" width="12" style="18" bestFit="1" customWidth="1"/>
    <col min="6411" max="6411" width="11.140625" style="18" bestFit="1" customWidth="1"/>
    <col min="6412" max="6413" width="8.7109375" style="18" customWidth="1"/>
    <col min="6414" max="6414" width="0" style="18" hidden="1" customWidth="1"/>
    <col min="6415" max="6415" width="8.7109375" style="18" customWidth="1"/>
    <col min="6416" max="6657" width="9.140625" style="18"/>
    <col min="6658" max="6658" width="2.5703125" style="18" customWidth="1"/>
    <col min="6659" max="6659" width="13.85546875" style="18" customWidth="1"/>
    <col min="6660" max="6660" width="23.42578125" style="18" customWidth="1"/>
    <col min="6661" max="6661" width="10.28515625" style="18" bestFit="1" customWidth="1"/>
    <col min="6662" max="6662" width="7.7109375" style="18" customWidth="1"/>
    <col min="6663" max="6663" width="10.28515625" style="18" bestFit="1" customWidth="1"/>
    <col min="6664" max="6664" width="6.7109375" style="18" customWidth="1"/>
    <col min="6665" max="6665" width="8.7109375" style="18" customWidth="1"/>
    <col min="6666" max="6666" width="12" style="18" bestFit="1" customWidth="1"/>
    <col min="6667" max="6667" width="11.140625" style="18" bestFit="1" customWidth="1"/>
    <col min="6668" max="6669" width="8.7109375" style="18" customWidth="1"/>
    <col min="6670" max="6670" width="0" style="18" hidden="1" customWidth="1"/>
    <col min="6671" max="6671" width="8.7109375" style="18" customWidth="1"/>
    <col min="6672" max="6913" width="9.140625" style="18"/>
    <col min="6914" max="6914" width="2.5703125" style="18" customWidth="1"/>
    <col min="6915" max="6915" width="13.85546875" style="18" customWidth="1"/>
    <col min="6916" max="6916" width="23.42578125" style="18" customWidth="1"/>
    <col min="6917" max="6917" width="10.28515625" style="18" bestFit="1" customWidth="1"/>
    <col min="6918" max="6918" width="7.7109375" style="18" customWidth="1"/>
    <col min="6919" max="6919" width="10.28515625" style="18" bestFit="1" customWidth="1"/>
    <col min="6920" max="6920" width="6.7109375" style="18" customWidth="1"/>
    <col min="6921" max="6921" width="8.7109375" style="18" customWidth="1"/>
    <col min="6922" max="6922" width="12" style="18" bestFit="1" customWidth="1"/>
    <col min="6923" max="6923" width="11.140625" style="18" bestFit="1" customWidth="1"/>
    <col min="6924" max="6925" width="8.7109375" style="18" customWidth="1"/>
    <col min="6926" max="6926" width="0" style="18" hidden="1" customWidth="1"/>
    <col min="6927" max="6927" width="8.7109375" style="18" customWidth="1"/>
    <col min="6928" max="7169" width="9.140625" style="18"/>
    <col min="7170" max="7170" width="2.5703125" style="18" customWidth="1"/>
    <col min="7171" max="7171" width="13.85546875" style="18" customWidth="1"/>
    <col min="7172" max="7172" width="23.42578125" style="18" customWidth="1"/>
    <col min="7173" max="7173" width="10.28515625" style="18" bestFit="1" customWidth="1"/>
    <col min="7174" max="7174" width="7.7109375" style="18" customWidth="1"/>
    <col min="7175" max="7175" width="10.28515625" style="18" bestFit="1" customWidth="1"/>
    <col min="7176" max="7176" width="6.7109375" style="18" customWidth="1"/>
    <col min="7177" max="7177" width="8.7109375" style="18" customWidth="1"/>
    <col min="7178" max="7178" width="12" style="18" bestFit="1" customWidth="1"/>
    <col min="7179" max="7179" width="11.140625" style="18" bestFit="1" customWidth="1"/>
    <col min="7180" max="7181" width="8.7109375" style="18" customWidth="1"/>
    <col min="7182" max="7182" width="0" style="18" hidden="1" customWidth="1"/>
    <col min="7183" max="7183" width="8.7109375" style="18" customWidth="1"/>
    <col min="7184" max="7425" width="9.140625" style="18"/>
    <col min="7426" max="7426" width="2.5703125" style="18" customWidth="1"/>
    <col min="7427" max="7427" width="13.85546875" style="18" customWidth="1"/>
    <col min="7428" max="7428" width="23.42578125" style="18" customWidth="1"/>
    <col min="7429" max="7429" width="10.28515625" style="18" bestFit="1" customWidth="1"/>
    <col min="7430" max="7430" width="7.7109375" style="18" customWidth="1"/>
    <col min="7431" max="7431" width="10.28515625" style="18" bestFit="1" customWidth="1"/>
    <col min="7432" max="7432" width="6.7109375" style="18" customWidth="1"/>
    <col min="7433" max="7433" width="8.7109375" style="18" customWidth="1"/>
    <col min="7434" max="7434" width="12" style="18" bestFit="1" customWidth="1"/>
    <col min="7435" max="7435" width="11.140625" style="18" bestFit="1" customWidth="1"/>
    <col min="7436" max="7437" width="8.7109375" style="18" customWidth="1"/>
    <col min="7438" max="7438" width="0" style="18" hidden="1" customWidth="1"/>
    <col min="7439" max="7439" width="8.7109375" style="18" customWidth="1"/>
    <col min="7440" max="7681" width="9.140625" style="18"/>
    <col min="7682" max="7682" width="2.5703125" style="18" customWidth="1"/>
    <col min="7683" max="7683" width="13.85546875" style="18" customWidth="1"/>
    <col min="7684" max="7684" width="23.42578125" style="18" customWidth="1"/>
    <col min="7685" max="7685" width="10.28515625" style="18" bestFit="1" customWidth="1"/>
    <col min="7686" max="7686" width="7.7109375" style="18" customWidth="1"/>
    <col min="7687" max="7687" width="10.28515625" style="18" bestFit="1" customWidth="1"/>
    <col min="7688" max="7688" width="6.7109375" style="18" customWidth="1"/>
    <col min="7689" max="7689" width="8.7109375" style="18" customWidth="1"/>
    <col min="7690" max="7690" width="12" style="18" bestFit="1" customWidth="1"/>
    <col min="7691" max="7691" width="11.140625" style="18" bestFit="1" customWidth="1"/>
    <col min="7692" max="7693" width="8.7109375" style="18" customWidth="1"/>
    <col min="7694" max="7694" width="0" style="18" hidden="1" customWidth="1"/>
    <col min="7695" max="7695" width="8.7109375" style="18" customWidth="1"/>
    <col min="7696" max="7937" width="9.140625" style="18"/>
    <col min="7938" max="7938" width="2.5703125" style="18" customWidth="1"/>
    <col min="7939" max="7939" width="13.85546875" style="18" customWidth="1"/>
    <col min="7940" max="7940" width="23.42578125" style="18" customWidth="1"/>
    <col min="7941" max="7941" width="10.28515625" style="18" bestFit="1" customWidth="1"/>
    <col min="7942" max="7942" width="7.7109375" style="18" customWidth="1"/>
    <col min="7943" max="7943" width="10.28515625" style="18" bestFit="1" customWidth="1"/>
    <col min="7944" max="7944" width="6.7109375" style="18" customWidth="1"/>
    <col min="7945" max="7945" width="8.7109375" style="18" customWidth="1"/>
    <col min="7946" max="7946" width="12" style="18" bestFit="1" customWidth="1"/>
    <col min="7947" max="7947" width="11.140625" style="18" bestFit="1" customWidth="1"/>
    <col min="7948" max="7949" width="8.7109375" style="18" customWidth="1"/>
    <col min="7950" max="7950" width="0" style="18" hidden="1" customWidth="1"/>
    <col min="7951" max="7951" width="8.7109375" style="18" customWidth="1"/>
    <col min="7952" max="8193" width="9.140625" style="18"/>
    <col min="8194" max="8194" width="2.5703125" style="18" customWidth="1"/>
    <col min="8195" max="8195" width="13.85546875" style="18" customWidth="1"/>
    <col min="8196" max="8196" width="23.42578125" style="18" customWidth="1"/>
    <col min="8197" max="8197" width="10.28515625" style="18" bestFit="1" customWidth="1"/>
    <col min="8198" max="8198" width="7.7109375" style="18" customWidth="1"/>
    <col min="8199" max="8199" width="10.28515625" style="18" bestFit="1" customWidth="1"/>
    <col min="8200" max="8200" width="6.7109375" style="18" customWidth="1"/>
    <col min="8201" max="8201" width="8.7109375" style="18" customWidth="1"/>
    <col min="8202" max="8202" width="12" style="18" bestFit="1" customWidth="1"/>
    <col min="8203" max="8203" width="11.140625" style="18" bestFit="1" customWidth="1"/>
    <col min="8204" max="8205" width="8.7109375" style="18" customWidth="1"/>
    <col min="8206" max="8206" width="0" style="18" hidden="1" customWidth="1"/>
    <col min="8207" max="8207" width="8.7109375" style="18" customWidth="1"/>
    <col min="8208" max="8449" width="9.140625" style="18"/>
    <col min="8450" max="8450" width="2.5703125" style="18" customWidth="1"/>
    <col min="8451" max="8451" width="13.85546875" style="18" customWidth="1"/>
    <col min="8452" max="8452" width="23.42578125" style="18" customWidth="1"/>
    <col min="8453" max="8453" width="10.28515625" style="18" bestFit="1" customWidth="1"/>
    <col min="8454" max="8454" width="7.7109375" style="18" customWidth="1"/>
    <col min="8455" max="8455" width="10.28515625" style="18" bestFit="1" customWidth="1"/>
    <col min="8456" max="8456" width="6.7109375" style="18" customWidth="1"/>
    <col min="8457" max="8457" width="8.7109375" style="18" customWidth="1"/>
    <col min="8458" max="8458" width="12" style="18" bestFit="1" customWidth="1"/>
    <col min="8459" max="8459" width="11.140625" style="18" bestFit="1" customWidth="1"/>
    <col min="8460" max="8461" width="8.7109375" style="18" customWidth="1"/>
    <col min="8462" max="8462" width="0" style="18" hidden="1" customWidth="1"/>
    <col min="8463" max="8463" width="8.7109375" style="18" customWidth="1"/>
    <col min="8464" max="8705" width="9.140625" style="18"/>
    <col min="8706" max="8706" width="2.5703125" style="18" customWidth="1"/>
    <col min="8707" max="8707" width="13.85546875" style="18" customWidth="1"/>
    <col min="8708" max="8708" width="23.42578125" style="18" customWidth="1"/>
    <col min="8709" max="8709" width="10.28515625" style="18" bestFit="1" customWidth="1"/>
    <col min="8710" max="8710" width="7.7109375" style="18" customWidth="1"/>
    <col min="8711" max="8711" width="10.28515625" style="18" bestFit="1" customWidth="1"/>
    <col min="8712" max="8712" width="6.7109375" style="18" customWidth="1"/>
    <col min="8713" max="8713" width="8.7109375" style="18" customWidth="1"/>
    <col min="8714" max="8714" width="12" style="18" bestFit="1" customWidth="1"/>
    <col min="8715" max="8715" width="11.140625" style="18" bestFit="1" customWidth="1"/>
    <col min="8716" max="8717" width="8.7109375" style="18" customWidth="1"/>
    <col min="8718" max="8718" width="0" style="18" hidden="1" customWidth="1"/>
    <col min="8719" max="8719" width="8.7109375" style="18" customWidth="1"/>
    <col min="8720" max="8961" width="9.140625" style="18"/>
    <col min="8962" max="8962" width="2.5703125" style="18" customWidth="1"/>
    <col min="8963" max="8963" width="13.85546875" style="18" customWidth="1"/>
    <col min="8964" max="8964" width="23.42578125" style="18" customWidth="1"/>
    <col min="8965" max="8965" width="10.28515625" style="18" bestFit="1" customWidth="1"/>
    <col min="8966" max="8966" width="7.7109375" style="18" customWidth="1"/>
    <col min="8967" max="8967" width="10.28515625" style="18" bestFit="1" customWidth="1"/>
    <col min="8968" max="8968" width="6.7109375" style="18" customWidth="1"/>
    <col min="8969" max="8969" width="8.7109375" style="18" customWidth="1"/>
    <col min="8970" max="8970" width="12" style="18" bestFit="1" customWidth="1"/>
    <col min="8971" max="8971" width="11.140625" style="18" bestFit="1" customWidth="1"/>
    <col min="8972" max="8973" width="8.7109375" style="18" customWidth="1"/>
    <col min="8974" max="8974" width="0" style="18" hidden="1" customWidth="1"/>
    <col min="8975" max="8975" width="8.7109375" style="18" customWidth="1"/>
    <col min="8976" max="9217" width="9.140625" style="18"/>
    <col min="9218" max="9218" width="2.5703125" style="18" customWidth="1"/>
    <col min="9219" max="9219" width="13.85546875" style="18" customWidth="1"/>
    <col min="9220" max="9220" width="23.42578125" style="18" customWidth="1"/>
    <col min="9221" max="9221" width="10.28515625" style="18" bestFit="1" customWidth="1"/>
    <col min="9222" max="9222" width="7.7109375" style="18" customWidth="1"/>
    <col min="9223" max="9223" width="10.28515625" style="18" bestFit="1" customWidth="1"/>
    <col min="9224" max="9224" width="6.7109375" style="18" customWidth="1"/>
    <col min="9225" max="9225" width="8.7109375" style="18" customWidth="1"/>
    <col min="9226" max="9226" width="12" style="18" bestFit="1" customWidth="1"/>
    <col min="9227" max="9227" width="11.140625" style="18" bestFit="1" customWidth="1"/>
    <col min="9228" max="9229" width="8.7109375" style="18" customWidth="1"/>
    <col min="9230" max="9230" width="0" style="18" hidden="1" customWidth="1"/>
    <col min="9231" max="9231" width="8.7109375" style="18" customWidth="1"/>
    <col min="9232" max="9473" width="9.140625" style="18"/>
    <col min="9474" max="9474" width="2.5703125" style="18" customWidth="1"/>
    <col min="9475" max="9475" width="13.85546875" style="18" customWidth="1"/>
    <col min="9476" max="9476" width="23.42578125" style="18" customWidth="1"/>
    <col min="9477" max="9477" width="10.28515625" style="18" bestFit="1" customWidth="1"/>
    <col min="9478" max="9478" width="7.7109375" style="18" customWidth="1"/>
    <col min="9479" max="9479" width="10.28515625" style="18" bestFit="1" customWidth="1"/>
    <col min="9480" max="9480" width="6.7109375" style="18" customWidth="1"/>
    <col min="9481" max="9481" width="8.7109375" style="18" customWidth="1"/>
    <col min="9482" max="9482" width="12" style="18" bestFit="1" customWidth="1"/>
    <col min="9483" max="9483" width="11.140625" style="18" bestFit="1" customWidth="1"/>
    <col min="9484" max="9485" width="8.7109375" style="18" customWidth="1"/>
    <col min="9486" max="9486" width="0" style="18" hidden="1" customWidth="1"/>
    <col min="9487" max="9487" width="8.7109375" style="18" customWidth="1"/>
    <col min="9488" max="9729" width="9.140625" style="18"/>
    <col min="9730" max="9730" width="2.5703125" style="18" customWidth="1"/>
    <col min="9731" max="9731" width="13.85546875" style="18" customWidth="1"/>
    <col min="9732" max="9732" width="23.42578125" style="18" customWidth="1"/>
    <col min="9733" max="9733" width="10.28515625" style="18" bestFit="1" customWidth="1"/>
    <col min="9734" max="9734" width="7.7109375" style="18" customWidth="1"/>
    <col min="9735" max="9735" width="10.28515625" style="18" bestFit="1" customWidth="1"/>
    <col min="9736" max="9736" width="6.7109375" style="18" customWidth="1"/>
    <col min="9737" max="9737" width="8.7109375" style="18" customWidth="1"/>
    <col min="9738" max="9738" width="12" style="18" bestFit="1" customWidth="1"/>
    <col min="9739" max="9739" width="11.140625" style="18" bestFit="1" customWidth="1"/>
    <col min="9740" max="9741" width="8.7109375" style="18" customWidth="1"/>
    <col min="9742" max="9742" width="0" style="18" hidden="1" customWidth="1"/>
    <col min="9743" max="9743" width="8.7109375" style="18" customWidth="1"/>
    <col min="9744" max="9985" width="9.140625" style="18"/>
    <col min="9986" max="9986" width="2.5703125" style="18" customWidth="1"/>
    <col min="9987" max="9987" width="13.85546875" style="18" customWidth="1"/>
    <col min="9988" max="9988" width="23.42578125" style="18" customWidth="1"/>
    <col min="9989" max="9989" width="10.28515625" style="18" bestFit="1" customWidth="1"/>
    <col min="9990" max="9990" width="7.7109375" style="18" customWidth="1"/>
    <col min="9991" max="9991" width="10.28515625" style="18" bestFit="1" customWidth="1"/>
    <col min="9992" max="9992" width="6.7109375" style="18" customWidth="1"/>
    <col min="9993" max="9993" width="8.7109375" style="18" customWidth="1"/>
    <col min="9994" max="9994" width="12" style="18" bestFit="1" customWidth="1"/>
    <col min="9995" max="9995" width="11.140625" style="18" bestFit="1" customWidth="1"/>
    <col min="9996" max="9997" width="8.7109375" style="18" customWidth="1"/>
    <col min="9998" max="9998" width="0" style="18" hidden="1" customWidth="1"/>
    <col min="9999" max="9999" width="8.7109375" style="18" customWidth="1"/>
    <col min="10000" max="10241" width="9.140625" style="18"/>
    <col min="10242" max="10242" width="2.5703125" style="18" customWidth="1"/>
    <col min="10243" max="10243" width="13.85546875" style="18" customWidth="1"/>
    <col min="10244" max="10244" width="23.42578125" style="18" customWidth="1"/>
    <col min="10245" max="10245" width="10.28515625" style="18" bestFit="1" customWidth="1"/>
    <col min="10246" max="10246" width="7.7109375" style="18" customWidth="1"/>
    <col min="10247" max="10247" width="10.28515625" style="18" bestFit="1" customWidth="1"/>
    <col min="10248" max="10248" width="6.7109375" style="18" customWidth="1"/>
    <col min="10249" max="10249" width="8.7109375" style="18" customWidth="1"/>
    <col min="10250" max="10250" width="12" style="18" bestFit="1" customWidth="1"/>
    <col min="10251" max="10251" width="11.140625" style="18" bestFit="1" customWidth="1"/>
    <col min="10252" max="10253" width="8.7109375" style="18" customWidth="1"/>
    <col min="10254" max="10254" width="0" style="18" hidden="1" customWidth="1"/>
    <col min="10255" max="10255" width="8.7109375" style="18" customWidth="1"/>
    <col min="10256" max="10497" width="9.140625" style="18"/>
    <col min="10498" max="10498" width="2.5703125" style="18" customWidth="1"/>
    <col min="10499" max="10499" width="13.85546875" style="18" customWidth="1"/>
    <col min="10500" max="10500" width="23.42578125" style="18" customWidth="1"/>
    <col min="10501" max="10501" width="10.28515625" style="18" bestFit="1" customWidth="1"/>
    <col min="10502" max="10502" width="7.7109375" style="18" customWidth="1"/>
    <col min="10503" max="10503" width="10.28515625" style="18" bestFit="1" customWidth="1"/>
    <col min="10504" max="10504" width="6.7109375" style="18" customWidth="1"/>
    <col min="10505" max="10505" width="8.7109375" style="18" customWidth="1"/>
    <col min="10506" max="10506" width="12" style="18" bestFit="1" customWidth="1"/>
    <col min="10507" max="10507" width="11.140625" style="18" bestFit="1" customWidth="1"/>
    <col min="10508" max="10509" width="8.7109375" style="18" customWidth="1"/>
    <col min="10510" max="10510" width="0" style="18" hidden="1" customWidth="1"/>
    <col min="10511" max="10511" width="8.7109375" style="18" customWidth="1"/>
    <col min="10512" max="10753" width="9.140625" style="18"/>
    <col min="10754" max="10754" width="2.5703125" style="18" customWidth="1"/>
    <col min="10755" max="10755" width="13.85546875" style="18" customWidth="1"/>
    <col min="10756" max="10756" width="23.42578125" style="18" customWidth="1"/>
    <col min="10757" max="10757" width="10.28515625" style="18" bestFit="1" customWidth="1"/>
    <col min="10758" max="10758" width="7.7109375" style="18" customWidth="1"/>
    <col min="10759" max="10759" width="10.28515625" style="18" bestFit="1" customWidth="1"/>
    <col min="10760" max="10760" width="6.7109375" style="18" customWidth="1"/>
    <col min="10761" max="10761" width="8.7109375" style="18" customWidth="1"/>
    <col min="10762" max="10762" width="12" style="18" bestFit="1" customWidth="1"/>
    <col min="10763" max="10763" width="11.140625" style="18" bestFit="1" customWidth="1"/>
    <col min="10764" max="10765" width="8.7109375" style="18" customWidth="1"/>
    <col min="10766" max="10766" width="0" style="18" hidden="1" customWidth="1"/>
    <col min="10767" max="10767" width="8.7109375" style="18" customWidth="1"/>
    <col min="10768" max="11009" width="9.140625" style="18"/>
    <col min="11010" max="11010" width="2.5703125" style="18" customWidth="1"/>
    <col min="11011" max="11011" width="13.85546875" style="18" customWidth="1"/>
    <col min="11012" max="11012" width="23.42578125" style="18" customWidth="1"/>
    <col min="11013" max="11013" width="10.28515625" style="18" bestFit="1" customWidth="1"/>
    <col min="11014" max="11014" width="7.7109375" style="18" customWidth="1"/>
    <col min="11015" max="11015" width="10.28515625" style="18" bestFit="1" customWidth="1"/>
    <col min="11016" max="11016" width="6.7109375" style="18" customWidth="1"/>
    <col min="11017" max="11017" width="8.7109375" style="18" customWidth="1"/>
    <col min="11018" max="11018" width="12" style="18" bestFit="1" customWidth="1"/>
    <col min="11019" max="11019" width="11.140625" style="18" bestFit="1" customWidth="1"/>
    <col min="11020" max="11021" width="8.7109375" style="18" customWidth="1"/>
    <col min="11022" max="11022" width="0" style="18" hidden="1" customWidth="1"/>
    <col min="11023" max="11023" width="8.7109375" style="18" customWidth="1"/>
    <col min="11024" max="11265" width="9.140625" style="18"/>
    <col min="11266" max="11266" width="2.5703125" style="18" customWidth="1"/>
    <col min="11267" max="11267" width="13.85546875" style="18" customWidth="1"/>
    <col min="11268" max="11268" width="23.42578125" style="18" customWidth="1"/>
    <col min="11269" max="11269" width="10.28515625" style="18" bestFit="1" customWidth="1"/>
    <col min="11270" max="11270" width="7.7109375" style="18" customWidth="1"/>
    <col min="11271" max="11271" width="10.28515625" style="18" bestFit="1" customWidth="1"/>
    <col min="11272" max="11272" width="6.7109375" style="18" customWidth="1"/>
    <col min="11273" max="11273" width="8.7109375" style="18" customWidth="1"/>
    <col min="11274" max="11274" width="12" style="18" bestFit="1" customWidth="1"/>
    <col min="11275" max="11275" width="11.140625" style="18" bestFit="1" customWidth="1"/>
    <col min="11276" max="11277" width="8.7109375" style="18" customWidth="1"/>
    <col min="11278" max="11278" width="0" style="18" hidden="1" customWidth="1"/>
    <col min="11279" max="11279" width="8.7109375" style="18" customWidth="1"/>
    <col min="11280" max="11521" width="9.140625" style="18"/>
    <col min="11522" max="11522" width="2.5703125" style="18" customWidth="1"/>
    <col min="11523" max="11523" width="13.85546875" style="18" customWidth="1"/>
    <col min="11524" max="11524" width="23.42578125" style="18" customWidth="1"/>
    <col min="11525" max="11525" width="10.28515625" style="18" bestFit="1" customWidth="1"/>
    <col min="11526" max="11526" width="7.7109375" style="18" customWidth="1"/>
    <col min="11527" max="11527" width="10.28515625" style="18" bestFit="1" customWidth="1"/>
    <col min="11528" max="11528" width="6.7109375" style="18" customWidth="1"/>
    <col min="11529" max="11529" width="8.7109375" style="18" customWidth="1"/>
    <col min="11530" max="11530" width="12" style="18" bestFit="1" customWidth="1"/>
    <col min="11531" max="11531" width="11.140625" style="18" bestFit="1" customWidth="1"/>
    <col min="11532" max="11533" width="8.7109375" style="18" customWidth="1"/>
    <col min="11534" max="11534" width="0" style="18" hidden="1" customWidth="1"/>
    <col min="11535" max="11535" width="8.7109375" style="18" customWidth="1"/>
    <col min="11536" max="11777" width="9.140625" style="18"/>
    <col min="11778" max="11778" width="2.5703125" style="18" customWidth="1"/>
    <col min="11779" max="11779" width="13.85546875" style="18" customWidth="1"/>
    <col min="11780" max="11780" width="23.42578125" style="18" customWidth="1"/>
    <col min="11781" max="11781" width="10.28515625" style="18" bestFit="1" customWidth="1"/>
    <col min="11782" max="11782" width="7.7109375" style="18" customWidth="1"/>
    <col min="11783" max="11783" width="10.28515625" style="18" bestFit="1" customWidth="1"/>
    <col min="11784" max="11784" width="6.7109375" style="18" customWidth="1"/>
    <col min="11785" max="11785" width="8.7109375" style="18" customWidth="1"/>
    <col min="11786" max="11786" width="12" style="18" bestFit="1" customWidth="1"/>
    <col min="11787" max="11787" width="11.140625" style="18" bestFit="1" customWidth="1"/>
    <col min="11788" max="11789" width="8.7109375" style="18" customWidth="1"/>
    <col min="11790" max="11790" width="0" style="18" hidden="1" customWidth="1"/>
    <col min="11791" max="11791" width="8.7109375" style="18" customWidth="1"/>
    <col min="11792" max="12033" width="9.140625" style="18"/>
    <col min="12034" max="12034" width="2.5703125" style="18" customWidth="1"/>
    <col min="12035" max="12035" width="13.85546875" style="18" customWidth="1"/>
    <col min="12036" max="12036" width="23.42578125" style="18" customWidth="1"/>
    <col min="12037" max="12037" width="10.28515625" style="18" bestFit="1" customWidth="1"/>
    <col min="12038" max="12038" width="7.7109375" style="18" customWidth="1"/>
    <col min="12039" max="12039" width="10.28515625" style="18" bestFit="1" customWidth="1"/>
    <col min="12040" max="12040" width="6.7109375" style="18" customWidth="1"/>
    <col min="12041" max="12041" width="8.7109375" style="18" customWidth="1"/>
    <col min="12042" max="12042" width="12" style="18" bestFit="1" customWidth="1"/>
    <col min="12043" max="12043" width="11.140625" style="18" bestFit="1" customWidth="1"/>
    <col min="12044" max="12045" width="8.7109375" style="18" customWidth="1"/>
    <col min="12046" max="12046" width="0" style="18" hidden="1" customWidth="1"/>
    <col min="12047" max="12047" width="8.7109375" style="18" customWidth="1"/>
    <col min="12048" max="12289" width="9.140625" style="18"/>
    <col min="12290" max="12290" width="2.5703125" style="18" customWidth="1"/>
    <col min="12291" max="12291" width="13.85546875" style="18" customWidth="1"/>
    <col min="12292" max="12292" width="23.42578125" style="18" customWidth="1"/>
    <col min="12293" max="12293" width="10.28515625" style="18" bestFit="1" customWidth="1"/>
    <col min="12294" max="12294" width="7.7109375" style="18" customWidth="1"/>
    <col min="12295" max="12295" width="10.28515625" style="18" bestFit="1" customWidth="1"/>
    <col min="12296" max="12296" width="6.7109375" style="18" customWidth="1"/>
    <col min="12297" max="12297" width="8.7109375" style="18" customWidth="1"/>
    <col min="12298" max="12298" width="12" style="18" bestFit="1" customWidth="1"/>
    <col min="12299" max="12299" width="11.140625" style="18" bestFit="1" customWidth="1"/>
    <col min="12300" max="12301" width="8.7109375" style="18" customWidth="1"/>
    <col min="12302" max="12302" width="0" style="18" hidden="1" customWidth="1"/>
    <col min="12303" max="12303" width="8.7109375" style="18" customWidth="1"/>
    <col min="12304" max="12545" width="9.140625" style="18"/>
    <col min="12546" max="12546" width="2.5703125" style="18" customWidth="1"/>
    <col min="12547" max="12547" width="13.85546875" style="18" customWidth="1"/>
    <col min="12548" max="12548" width="23.42578125" style="18" customWidth="1"/>
    <col min="12549" max="12549" width="10.28515625" style="18" bestFit="1" customWidth="1"/>
    <col min="12550" max="12550" width="7.7109375" style="18" customWidth="1"/>
    <col min="12551" max="12551" width="10.28515625" style="18" bestFit="1" customWidth="1"/>
    <col min="12552" max="12552" width="6.7109375" style="18" customWidth="1"/>
    <col min="12553" max="12553" width="8.7109375" style="18" customWidth="1"/>
    <col min="12554" max="12554" width="12" style="18" bestFit="1" customWidth="1"/>
    <col min="12555" max="12555" width="11.140625" style="18" bestFit="1" customWidth="1"/>
    <col min="12556" max="12557" width="8.7109375" style="18" customWidth="1"/>
    <col min="12558" max="12558" width="0" style="18" hidden="1" customWidth="1"/>
    <col min="12559" max="12559" width="8.7109375" style="18" customWidth="1"/>
    <col min="12560" max="12801" width="9.140625" style="18"/>
    <col min="12802" max="12802" width="2.5703125" style="18" customWidth="1"/>
    <col min="12803" max="12803" width="13.85546875" style="18" customWidth="1"/>
    <col min="12804" max="12804" width="23.42578125" style="18" customWidth="1"/>
    <col min="12805" max="12805" width="10.28515625" style="18" bestFit="1" customWidth="1"/>
    <col min="12806" max="12806" width="7.7109375" style="18" customWidth="1"/>
    <col min="12807" max="12807" width="10.28515625" style="18" bestFit="1" customWidth="1"/>
    <col min="12808" max="12808" width="6.7109375" style="18" customWidth="1"/>
    <col min="12809" max="12809" width="8.7109375" style="18" customWidth="1"/>
    <col min="12810" max="12810" width="12" style="18" bestFit="1" customWidth="1"/>
    <col min="12811" max="12811" width="11.140625" style="18" bestFit="1" customWidth="1"/>
    <col min="12812" max="12813" width="8.7109375" style="18" customWidth="1"/>
    <col min="12814" max="12814" width="0" style="18" hidden="1" customWidth="1"/>
    <col min="12815" max="12815" width="8.7109375" style="18" customWidth="1"/>
    <col min="12816" max="13057" width="9.140625" style="18"/>
    <col min="13058" max="13058" width="2.5703125" style="18" customWidth="1"/>
    <col min="13059" max="13059" width="13.85546875" style="18" customWidth="1"/>
    <col min="13060" max="13060" width="23.42578125" style="18" customWidth="1"/>
    <col min="13061" max="13061" width="10.28515625" style="18" bestFit="1" customWidth="1"/>
    <col min="13062" max="13062" width="7.7109375" style="18" customWidth="1"/>
    <col min="13063" max="13063" width="10.28515625" style="18" bestFit="1" customWidth="1"/>
    <col min="13064" max="13064" width="6.7109375" style="18" customWidth="1"/>
    <col min="13065" max="13065" width="8.7109375" style="18" customWidth="1"/>
    <col min="13066" max="13066" width="12" style="18" bestFit="1" customWidth="1"/>
    <col min="13067" max="13067" width="11.140625" style="18" bestFit="1" customWidth="1"/>
    <col min="13068" max="13069" width="8.7109375" style="18" customWidth="1"/>
    <col min="13070" max="13070" width="0" style="18" hidden="1" customWidth="1"/>
    <col min="13071" max="13071" width="8.7109375" style="18" customWidth="1"/>
    <col min="13072" max="13313" width="9.140625" style="18"/>
    <col min="13314" max="13314" width="2.5703125" style="18" customWidth="1"/>
    <col min="13315" max="13315" width="13.85546875" style="18" customWidth="1"/>
    <col min="13316" max="13316" width="23.42578125" style="18" customWidth="1"/>
    <col min="13317" max="13317" width="10.28515625" style="18" bestFit="1" customWidth="1"/>
    <col min="13318" max="13318" width="7.7109375" style="18" customWidth="1"/>
    <col min="13319" max="13319" width="10.28515625" style="18" bestFit="1" customWidth="1"/>
    <col min="13320" max="13320" width="6.7109375" style="18" customWidth="1"/>
    <col min="13321" max="13321" width="8.7109375" style="18" customWidth="1"/>
    <col min="13322" max="13322" width="12" style="18" bestFit="1" customWidth="1"/>
    <col min="13323" max="13323" width="11.140625" style="18" bestFit="1" customWidth="1"/>
    <col min="13324" max="13325" width="8.7109375" style="18" customWidth="1"/>
    <col min="13326" max="13326" width="0" style="18" hidden="1" customWidth="1"/>
    <col min="13327" max="13327" width="8.7109375" style="18" customWidth="1"/>
    <col min="13328" max="13569" width="9.140625" style="18"/>
    <col min="13570" max="13570" width="2.5703125" style="18" customWidth="1"/>
    <col min="13571" max="13571" width="13.85546875" style="18" customWidth="1"/>
    <col min="13572" max="13572" width="23.42578125" style="18" customWidth="1"/>
    <col min="13573" max="13573" width="10.28515625" style="18" bestFit="1" customWidth="1"/>
    <col min="13574" max="13574" width="7.7109375" style="18" customWidth="1"/>
    <col min="13575" max="13575" width="10.28515625" style="18" bestFit="1" customWidth="1"/>
    <col min="13576" max="13576" width="6.7109375" style="18" customWidth="1"/>
    <col min="13577" max="13577" width="8.7109375" style="18" customWidth="1"/>
    <col min="13578" max="13578" width="12" style="18" bestFit="1" customWidth="1"/>
    <col min="13579" max="13579" width="11.140625" style="18" bestFit="1" customWidth="1"/>
    <col min="13580" max="13581" width="8.7109375" style="18" customWidth="1"/>
    <col min="13582" max="13582" width="0" style="18" hidden="1" customWidth="1"/>
    <col min="13583" max="13583" width="8.7109375" style="18" customWidth="1"/>
    <col min="13584" max="13825" width="9.140625" style="18"/>
    <col min="13826" max="13826" width="2.5703125" style="18" customWidth="1"/>
    <col min="13827" max="13827" width="13.85546875" style="18" customWidth="1"/>
    <col min="13828" max="13828" width="23.42578125" style="18" customWidth="1"/>
    <col min="13829" max="13829" width="10.28515625" style="18" bestFit="1" customWidth="1"/>
    <col min="13830" max="13830" width="7.7109375" style="18" customWidth="1"/>
    <col min="13831" max="13831" width="10.28515625" style="18" bestFit="1" customWidth="1"/>
    <col min="13832" max="13832" width="6.7109375" style="18" customWidth="1"/>
    <col min="13833" max="13833" width="8.7109375" style="18" customWidth="1"/>
    <col min="13834" max="13834" width="12" style="18" bestFit="1" customWidth="1"/>
    <col min="13835" max="13835" width="11.140625" style="18" bestFit="1" customWidth="1"/>
    <col min="13836" max="13837" width="8.7109375" style="18" customWidth="1"/>
    <col min="13838" max="13838" width="0" style="18" hidden="1" customWidth="1"/>
    <col min="13839" max="13839" width="8.7109375" style="18" customWidth="1"/>
    <col min="13840" max="14081" width="9.140625" style="18"/>
    <col min="14082" max="14082" width="2.5703125" style="18" customWidth="1"/>
    <col min="14083" max="14083" width="13.85546875" style="18" customWidth="1"/>
    <col min="14084" max="14084" width="23.42578125" style="18" customWidth="1"/>
    <col min="14085" max="14085" width="10.28515625" style="18" bestFit="1" customWidth="1"/>
    <col min="14086" max="14086" width="7.7109375" style="18" customWidth="1"/>
    <col min="14087" max="14087" width="10.28515625" style="18" bestFit="1" customWidth="1"/>
    <col min="14088" max="14088" width="6.7109375" style="18" customWidth="1"/>
    <col min="14089" max="14089" width="8.7109375" style="18" customWidth="1"/>
    <col min="14090" max="14090" width="12" style="18" bestFit="1" customWidth="1"/>
    <col min="14091" max="14091" width="11.140625" style="18" bestFit="1" customWidth="1"/>
    <col min="14092" max="14093" width="8.7109375" style="18" customWidth="1"/>
    <col min="14094" max="14094" width="0" style="18" hidden="1" customWidth="1"/>
    <col min="14095" max="14095" width="8.7109375" style="18" customWidth="1"/>
    <col min="14096" max="14337" width="9.140625" style="18"/>
    <col min="14338" max="14338" width="2.5703125" style="18" customWidth="1"/>
    <col min="14339" max="14339" width="13.85546875" style="18" customWidth="1"/>
    <col min="14340" max="14340" width="23.42578125" style="18" customWidth="1"/>
    <col min="14341" max="14341" width="10.28515625" style="18" bestFit="1" customWidth="1"/>
    <col min="14342" max="14342" width="7.7109375" style="18" customWidth="1"/>
    <col min="14343" max="14343" width="10.28515625" style="18" bestFit="1" customWidth="1"/>
    <col min="14344" max="14344" width="6.7109375" style="18" customWidth="1"/>
    <col min="14345" max="14345" width="8.7109375" style="18" customWidth="1"/>
    <col min="14346" max="14346" width="12" style="18" bestFit="1" customWidth="1"/>
    <col min="14347" max="14347" width="11.140625" style="18" bestFit="1" customWidth="1"/>
    <col min="14348" max="14349" width="8.7109375" style="18" customWidth="1"/>
    <col min="14350" max="14350" width="0" style="18" hidden="1" customWidth="1"/>
    <col min="14351" max="14351" width="8.7109375" style="18" customWidth="1"/>
    <col min="14352" max="14593" width="9.140625" style="18"/>
    <col min="14594" max="14594" width="2.5703125" style="18" customWidth="1"/>
    <col min="14595" max="14595" width="13.85546875" style="18" customWidth="1"/>
    <col min="14596" max="14596" width="23.42578125" style="18" customWidth="1"/>
    <col min="14597" max="14597" width="10.28515625" style="18" bestFit="1" customWidth="1"/>
    <col min="14598" max="14598" width="7.7109375" style="18" customWidth="1"/>
    <col min="14599" max="14599" width="10.28515625" style="18" bestFit="1" customWidth="1"/>
    <col min="14600" max="14600" width="6.7109375" style="18" customWidth="1"/>
    <col min="14601" max="14601" width="8.7109375" style="18" customWidth="1"/>
    <col min="14602" max="14602" width="12" style="18" bestFit="1" customWidth="1"/>
    <col min="14603" max="14603" width="11.140625" style="18" bestFit="1" customWidth="1"/>
    <col min="14604" max="14605" width="8.7109375" style="18" customWidth="1"/>
    <col min="14606" max="14606" width="0" style="18" hidden="1" customWidth="1"/>
    <col min="14607" max="14607" width="8.7109375" style="18" customWidth="1"/>
    <col min="14608" max="14849" width="9.140625" style="18"/>
    <col min="14850" max="14850" width="2.5703125" style="18" customWidth="1"/>
    <col min="14851" max="14851" width="13.85546875" style="18" customWidth="1"/>
    <col min="14852" max="14852" width="23.42578125" style="18" customWidth="1"/>
    <col min="14853" max="14853" width="10.28515625" style="18" bestFit="1" customWidth="1"/>
    <col min="14854" max="14854" width="7.7109375" style="18" customWidth="1"/>
    <col min="14855" max="14855" width="10.28515625" style="18" bestFit="1" customWidth="1"/>
    <col min="14856" max="14856" width="6.7109375" style="18" customWidth="1"/>
    <col min="14857" max="14857" width="8.7109375" style="18" customWidth="1"/>
    <col min="14858" max="14858" width="12" style="18" bestFit="1" customWidth="1"/>
    <col min="14859" max="14859" width="11.140625" style="18" bestFit="1" customWidth="1"/>
    <col min="14860" max="14861" width="8.7109375" style="18" customWidth="1"/>
    <col min="14862" max="14862" width="0" style="18" hidden="1" customWidth="1"/>
    <col min="14863" max="14863" width="8.7109375" style="18" customWidth="1"/>
    <col min="14864" max="15105" width="9.140625" style="18"/>
    <col min="15106" max="15106" width="2.5703125" style="18" customWidth="1"/>
    <col min="15107" max="15107" width="13.85546875" style="18" customWidth="1"/>
    <col min="15108" max="15108" width="23.42578125" style="18" customWidth="1"/>
    <col min="15109" max="15109" width="10.28515625" style="18" bestFit="1" customWidth="1"/>
    <col min="15110" max="15110" width="7.7109375" style="18" customWidth="1"/>
    <col min="15111" max="15111" width="10.28515625" style="18" bestFit="1" customWidth="1"/>
    <col min="15112" max="15112" width="6.7109375" style="18" customWidth="1"/>
    <col min="15113" max="15113" width="8.7109375" style="18" customWidth="1"/>
    <col min="15114" max="15114" width="12" style="18" bestFit="1" customWidth="1"/>
    <col min="15115" max="15115" width="11.140625" style="18" bestFit="1" customWidth="1"/>
    <col min="15116" max="15117" width="8.7109375" style="18" customWidth="1"/>
    <col min="15118" max="15118" width="0" style="18" hidden="1" customWidth="1"/>
    <col min="15119" max="15119" width="8.7109375" style="18" customWidth="1"/>
    <col min="15120" max="15361" width="9.140625" style="18"/>
    <col min="15362" max="15362" width="2.5703125" style="18" customWidth="1"/>
    <col min="15363" max="15363" width="13.85546875" style="18" customWidth="1"/>
    <col min="15364" max="15364" width="23.42578125" style="18" customWidth="1"/>
    <col min="15365" max="15365" width="10.28515625" style="18" bestFit="1" customWidth="1"/>
    <col min="15366" max="15366" width="7.7109375" style="18" customWidth="1"/>
    <col min="15367" max="15367" width="10.28515625" style="18" bestFit="1" customWidth="1"/>
    <col min="15368" max="15368" width="6.7109375" style="18" customWidth="1"/>
    <col min="15369" max="15369" width="8.7109375" style="18" customWidth="1"/>
    <col min="15370" max="15370" width="12" style="18" bestFit="1" customWidth="1"/>
    <col min="15371" max="15371" width="11.140625" style="18" bestFit="1" customWidth="1"/>
    <col min="15372" max="15373" width="8.7109375" style="18" customWidth="1"/>
    <col min="15374" max="15374" width="0" style="18" hidden="1" customWidth="1"/>
    <col min="15375" max="15375" width="8.7109375" style="18" customWidth="1"/>
    <col min="15376" max="15617" width="9.140625" style="18"/>
    <col min="15618" max="15618" width="2.5703125" style="18" customWidth="1"/>
    <col min="15619" max="15619" width="13.85546875" style="18" customWidth="1"/>
    <col min="15620" max="15620" width="23.42578125" style="18" customWidth="1"/>
    <col min="15621" max="15621" width="10.28515625" style="18" bestFit="1" customWidth="1"/>
    <col min="15622" max="15622" width="7.7109375" style="18" customWidth="1"/>
    <col min="15623" max="15623" width="10.28515625" style="18" bestFit="1" customWidth="1"/>
    <col min="15624" max="15624" width="6.7109375" style="18" customWidth="1"/>
    <col min="15625" max="15625" width="8.7109375" style="18" customWidth="1"/>
    <col min="15626" max="15626" width="12" style="18" bestFit="1" customWidth="1"/>
    <col min="15627" max="15627" width="11.140625" style="18" bestFit="1" customWidth="1"/>
    <col min="15628" max="15629" width="8.7109375" style="18" customWidth="1"/>
    <col min="15630" max="15630" width="0" style="18" hidden="1" customWidth="1"/>
    <col min="15631" max="15631" width="8.7109375" style="18" customWidth="1"/>
    <col min="15632" max="15873" width="9.140625" style="18"/>
    <col min="15874" max="15874" width="2.5703125" style="18" customWidth="1"/>
    <col min="15875" max="15875" width="13.85546875" style="18" customWidth="1"/>
    <col min="15876" max="15876" width="23.42578125" style="18" customWidth="1"/>
    <col min="15877" max="15877" width="10.28515625" style="18" bestFit="1" customWidth="1"/>
    <col min="15878" max="15878" width="7.7109375" style="18" customWidth="1"/>
    <col min="15879" max="15879" width="10.28515625" style="18" bestFit="1" customWidth="1"/>
    <col min="15880" max="15880" width="6.7109375" style="18" customWidth="1"/>
    <col min="15881" max="15881" width="8.7109375" style="18" customWidth="1"/>
    <col min="15882" max="15882" width="12" style="18" bestFit="1" customWidth="1"/>
    <col min="15883" max="15883" width="11.140625" style="18" bestFit="1" customWidth="1"/>
    <col min="15884" max="15885" width="8.7109375" style="18" customWidth="1"/>
    <col min="15886" max="15886" width="0" style="18" hidden="1" customWidth="1"/>
    <col min="15887" max="15887" width="8.7109375" style="18" customWidth="1"/>
    <col min="15888" max="16129" width="9.140625" style="18"/>
    <col min="16130" max="16130" width="2.5703125" style="18" customWidth="1"/>
    <col min="16131" max="16131" width="13.85546875" style="18" customWidth="1"/>
    <col min="16132" max="16132" width="23.42578125" style="18" customWidth="1"/>
    <col min="16133" max="16133" width="10.28515625" style="18" bestFit="1" customWidth="1"/>
    <col min="16134" max="16134" width="7.7109375" style="18" customWidth="1"/>
    <col min="16135" max="16135" width="10.28515625" style="18" bestFit="1" customWidth="1"/>
    <col min="16136" max="16136" width="6.7109375" style="18" customWidth="1"/>
    <col min="16137" max="16137" width="8.7109375" style="18" customWidth="1"/>
    <col min="16138" max="16138" width="12" style="18" bestFit="1" customWidth="1"/>
    <col min="16139" max="16139" width="11.140625" style="18" bestFit="1" customWidth="1"/>
    <col min="16140" max="16141" width="8.7109375" style="18" customWidth="1"/>
    <col min="16142" max="16142" width="0" style="18" hidden="1" customWidth="1"/>
    <col min="16143" max="16143" width="8.7109375" style="18" customWidth="1"/>
    <col min="16144" max="16384" width="9.140625" style="18"/>
  </cols>
  <sheetData>
    <row r="1" spans="2:17" ht="12.75" customHeight="1" x14ac:dyDescent="0.2">
      <c r="B1" s="6" t="s">
        <v>0</v>
      </c>
      <c r="C1" s="15"/>
      <c r="D1" s="15"/>
      <c r="E1" s="15"/>
      <c r="F1" s="16"/>
      <c r="G1" s="16"/>
      <c r="H1" s="2"/>
      <c r="I1" s="2"/>
      <c r="J1" s="2"/>
      <c r="K1" s="3"/>
      <c r="L1" s="18"/>
      <c r="M1" s="15"/>
      <c r="N1" s="15"/>
      <c r="O1" s="15"/>
      <c r="P1" s="15"/>
      <c r="Q1" s="15"/>
    </row>
    <row r="2" spans="2:17" ht="12.75" customHeight="1" x14ac:dyDescent="0.2">
      <c r="B2" s="6" t="s">
        <v>1</v>
      </c>
      <c r="C2" s="15"/>
      <c r="D2" s="15"/>
      <c r="E2" s="15"/>
      <c r="F2" s="19"/>
      <c r="G2" s="19"/>
      <c r="H2" s="58"/>
      <c r="I2" s="58"/>
      <c r="J2" s="58"/>
      <c r="K2" s="59"/>
      <c r="L2" s="18"/>
      <c r="M2" s="15"/>
      <c r="N2" s="15"/>
      <c r="O2" s="15"/>
      <c r="P2" s="15"/>
      <c r="Q2" s="15"/>
    </row>
    <row r="3" spans="2:17" ht="12.75" customHeight="1" x14ac:dyDescent="0.2">
      <c r="B3" s="6" t="s">
        <v>2</v>
      </c>
      <c r="C3" s="15"/>
      <c r="D3" s="15"/>
      <c r="E3" s="15"/>
      <c r="F3" s="19"/>
      <c r="G3" s="19"/>
      <c r="H3" s="2"/>
      <c r="I3" s="2"/>
      <c r="J3" s="2"/>
      <c r="K3" s="3"/>
      <c r="L3" s="18"/>
      <c r="M3" s="15"/>
      <c r="N3" s="15"/>
      <c r="O3" s="15"/>
      <c r="P3" s="15"/>
      <c r="Q3" s="15"/>
    </row>
    <row r="4" spans="2:17" ht="12.75" customHeight="1" x14ac:dyDescent="0.2">
      <c r="B4" s="6" t="s">
        <v>3</v>
      </c>
      <c r="C4" s="15"/>
      <c r="D4" s="20"/>
      <c r="E4" s="18"/>
      <c r="F4" s="18"/>
      <c r="G4" s="18"/>
      <c r="H4" s="58"/>
      <c r="I4" s="58"/>
      <c r="J4" s="58"/>
      <c r="K4" s="59"/>
      <c r="L4" s="15"/>
      <c r="M4" s="15"/>
      <c r="N4" s="15"/>
      <c r="O4" s="15"/>
      <c r="P4" s="15"/>
      <c r="Q4" s="15"/>
    </row>
    <row r="5" spans="2:17" ht="15" x14ac:dyDescent="0.2">
      <c r="B5" s="20"/>
      <c r="C5" s="20"/>
      <c r="D5" s="20"/>
      <c r="E5" s="20"/>
      <c r="F5" s="21"/>
      <c r="G5" s="21"/>
      <c r="H5" s="20"/>
      <c r="I5" s="20"/>
      <c r="J5" s="20"/>
      <c r="K5" s="22"/>
      <c r="L5" s="15"/>
      <c r="M5" s="15"/>
      <c r="N5" s="15"/>
      <c r="O5" s="15"/>
      <c r="P5" s="15"/>
      <c r="Q5" s="15"/>
    </row>
    <row r="6" spans="2:17" x14ac:dyDescent="0.2">
      <c r="B6" s="14"/>
      <c r="C6" s="23"/>
      <c r="H6" s="7"/>
      <c r="I6" s="7"/>
      <c r="J6" s="23" t="s">
        <v>8</v>
      </c>
    </row>
    <row r="7" spans="2:17" x14ac:dyDescent="0.2">
      <c r="B7" s="7"/>
      <c r="D7" s="23" t="s">
        <v>9</v>
      </c>
      <c r="F7" s="23" t="s">
        <v>9</v>
      </c>
      <c r="G7" s="23"/>
      <c r="H7" s="23" t="s">
        <v>48</v>
      </c>
      <c r="I7" s="7"/>
      <c r="J7" s="23" t="s">
        <v>9</v>
      </c>
      <c r="K7" s="7"/>
      <c r="L7" s="18"/>
      <c r="M7" s="18"/>
      <c r="O7" s="18"/>
    </row>
    <row r="8" spans="2:17" x14ac:dyDescent="0.2">
      <c r="B8" s="7"/>
      <c r="D8" s="7" t="s">
        <v>10</v>
      </c>
      <c r="F8" s="7" t="s">
        <v>11</v>
      </c>
      <c r="H8" s="23" t="s">
        <v>45</v>
      </c>
      <c r="I8" s="17" t="s">
        <v>11</v>
      </c>
      <c r="J8" s="25" t="s">
        <v>12</v>
      </c>
      <c r="K8" s="7"/>
      <c r="L8" s="18"/>
      <c r="M8" s="18"/>
      <c r="O8" s="18"/>
    </row>
    <row r="9" spans="2:17" s="26" customFormat="1" x14ac:dyDescent="0.2">
      <c r="B9" s="25"/>
      <c r="C9" s="25"/>
      <c r="D9" s="23" t="s">
        <v>5</v>
      </c>
      <c r="E9" s="7"/>
      <c r="F9" s="23" t="s">
        <v>6</v>
      </c>
      <c r="G9" s="23"/>
      <c r="H9" s="23" t="s">
        <v>46</v>
      </c>
      <c r="I9" s="17" t="s">
        <v>10</v>
      </c>
      <c r="J9" s="25" t="s">
        <v>13</v>
      </c>
      <c r="K9" s="25"/>
    </row>
    <row r="10" spans="2:17" s="26" customFormat="1" ht="12" thickBot="1" x14ac:dyDescent="0.25">
      <c r="B10" s="27" t="s">
        <v>22</v>
      </c>
      <c r="C10" s="28"/>
      <c r="D10" s="29" t="s">
        <v>14</v>
      </c>
      <c r="E10" s="29"/>
      <c r="F10" s="29" t="s">
        <v>14</v>
      </c>
      <c r="G10" s="29"/>
      <c r="H10" s="29" t="s">
        <v>47</v>
      </c>
      <c r="I10" s="28"/>
      <c r="J10" s="29" t="s">
        <v>14</v>
      </c>
      <c r="K10" s="28"/>
    </row>
    <row r="11" spans="2:17" s="26" customFormat="1" x14ac:dyDescent="0.2">
      <c r="B11" s="65"/>
      <c r="C11" s="65"/>
      <c r="D11" s="12"/>
      <c r="E11" s="8"/>
      <c r="F11" s="12"/>
      <c r="G11" s="12"/>
      <c r="H11" s="12"/>
      <c r="I11" s="12"/>
      <c r="J11" s="12"/>
      <c r="K11" s="12"/>
    </row>
    <row r="12" spans="2:17" s="26" customFormat="1" x14ac:dyDescent="0.2">
      <c r="B12" t="s">
        <v>29</v>
      </c>
      <c r="C12" s="8"/>
      <c r="D12" s="9">
        <f>'Gateway Pkg Cross Sections'!G30</f>
        <v>3587.7924740740718</v>
      </c>
      <c r="E12" s="10"/>
      <c r="F12" s="9">
        <f>'Gateway Pkg Cross Sections'!H30</f>
        <v>5090.8119999999763</v>
      </c>
      <c r="G12" s="9"/>
      <c r="H12" s="9">
        <f>'Gateway Pkg Cross Sections'!D30</f>
        <v>6461.81</v>
      </c>
      <c r="I12" s="11"/>
      <c r="J12" s="11">
        <f>D12-F12</f>
        <v>-1503.0195259259044</v>
      </c>
      <c r="K12" s="30"/>
    </row>
    <row r="13" spans="2:17" s="26" customFormat="1" x14ac:dyDescent="0.2">
      <c r="C13" s="8"/>
      <c r="D13" s="9"/>
      <c r="E13" s="10"/>
      <c r="F13" s="9"/>
      <c r="G13" s="9"/>
      <c r="H13" s="8"/>
      <c r="I13" s="11"/>
      <c r="J13" s="11"/>
      <c r="K13" s="30"/>
    </row>
    <row r="14" spans="2:17" s="26" customFormat="1" x14ac:dyDescent="0.2">
      <c r="B14" t="s">
        <v>30</v>
      </c>
      <c r="C14" s="8"/>
      <c r="D14" s="9">
        <f>'Gateway Pkg Cross Sections'!G38</f>
        <v>118.89732407407877</v>
      </c>
      <c r="E14" s="10"/>
      <c r="F14" s="9">
        <f>'Gateway Pkg Cross Sections'!H38</f>
        <v>1.3438240740741296</v>
      </c>
      <c r="G14" s="9"/>
      <c r="H14" s="9">
        <f>'Gateway Pkg Cross Sections'!D38</f>
        <v>0</v>
      </c>
      <c r="I14" s="11"/>
      <c r="J14" s="11">
        <f>D14-F14</f>
        <v>117.55350000000463</v>
      </c>
      <c r="K14" s="30"/>
    </row>
    <row r="15" spans="2:17" s="26" customFormat="1" x14ac:dyDescent="0.2">
      <c r="C15" s="8"/>
      <c r="D15" s="9"/>
      <c r="E15" s="10"/>
      <c r="F15" s="9"/>
      <c r="G15" s="9"/>
      <c r="H15" s="8"/>
      <c r="I15" s="11"/>
      <c r="J15" s="11"/>
      <c r="K15" s="30"/>
    </row>
    <row r="16" spans="2:17" s="26" customFormat="1" x14ac:dyDescent="0.2">
      <c r="B16" t="s">
        <v>31</v>
      </c>
      <c r="C16" s="8"/>
      <c r="D16" s="9">
        <f>'Gateway Pkg Cross Sections'!G47</f>
        <v>76.343259259259597</v>
      </c>
      <c r="E16" s="10"/>
      <c r="F16" s="9">
        <f>'Gateway Pkg Cross Sections'!H47</f>
        <v>6772.8671407407592</v>
      </c>
      <c r="G16" s="9"/>
      <c r="H16" s="9">
        <f>'Gateway Pkg Cross Sections'!D47</f>
        <v>0</v>
      </c>
      <c r="I16" s="11"/>
      <c r="J16" s="11">
        <f>D16-F16</f>
        <v>-6696.5238814814993</v>
      </c>
      <c r="K16" s="30"/>
    </row>
    <row r="17" spans="2:11" s="26" customFormat="1" x14ac:dyDescent="0.2">
      <c r="C17" s="8"/>
      <c r="D17" s="9"/>
      <c r="E17" s="10"/>
      <c r="F17" s="9"/>
      <c r="G17" s="9"/>
      <c r="H17" s="8"/>
      <c r="I17" s="11"/>
      <c r="J17" s="11"/>
      <c r="K17" s="30"/>
    </row>
    <row r="18" spans="2:11" s="26" customFormat="1" x14ac:dyDescent="0.2">
      <c r="B18" t="s">
        <v>32</v>
      </c>
      <c r="C18" s="8"/>
      <c r="D18" s="9">
        <f>'Gateway Pkg Cross Sections'!G66</f>
        <v>1807.0840740740728</v>
      </c>
      <c r="E18" s="10"/>
      <c r="F18" s="9">
        <f>'Gateway Pkg Cross Sections'!H66</f>
        <v>14962.554111111165</v>
      </c>
      <c r="G18" s="9"/>
      <c r="H18" s="9">
        <f>'Gateway Pkg Cross Sections'!D66</f>
        <v>0</v>
      </c>
      <c r="I18" s="11"/>
      <c r="J18" s="11">
        <f>D18-F18</f>
        <v>-13155.470037037092</v>
      </c>
      <c r="K18" s="30"/>
    </row>
    <row r="19" spans="2:11" s="26" customFormat="1" x14ac:dyDescent="0.2">
      <c r="C19" s="8"/>
      <c r="D19" s="9"/>
      <c r="E19" s="10"/>
      <c r="F19" s="9"/>
      <c r="G19" s="9"/>
      <c r="H19" s="8"/>
      <c r="I19" s="11"/>
      <c r="J19" s="11"/>
      <c r="K19" s="30"/>
    </row>
    <row r="20" spans="2:11" s="26" customFormat="1" x14ac:dyDescent="0.2">
      <c r="B20" t="s">
        <v>35</v>
      </c>
      <c r="C20" s="8"/>
      <c r="D20" s="9">
        <f>'Gateway Pkg Cross Sections'!G99</f>
        <v>2405.5062962962961</v>
      </c>
      <c r="E20" s="10"/>
      <c r="F20" s="9">
        <f>'Gateway Pkg Cross Sections'!H99</f>
        <v>989.39185185185192</v>
      </c>
      <c r="G20" s="9"/>
      <c r="H20" s="9">
        <f>'Gateway Pkg Cross Sections'!D99</f>
        <v>73282.94</v>
      </c>
      <c r="I20" s="11"/>
      <c r="J20" s="11">
        <f>D20-F20</f>
        <v>1416.1144444444442</v>
      </c>
      <c r="K20" s="30"/>
    </row>
    <row r="21" spans="2:11" s="26" customFormat="1" x14ac:dyDescent="0.2">
      <c r="B21" s="13"/>
      <c r="C21" s="8"/>
      <c r="D21" s="9"/>
      <c r="E21" s="10"/>
      <c r="F21" s="9"/>
      <c r="G21" s="9"/>
      <c r="H21" s="8"/>
      <c r="I21" s="11"/>
      <c r="J21" s="11"/>
      <c r="K21" s="30"/>
    </row>
    <row r="22" spans="2:11" s="26" customFormat="1" x14ac:dyDescent="0.2">
      <c r="B22" t="s">
        <v>37</v>
      </c>
      <c r="C22" s="8"/>
      <c r="D22" s="9">
        <f>'Gateway Pkg Cross Sections'!G139</f>
        <v>2036.8875925925925</v>
      </c>
      <c r="E22" s="10"/>
      <c r="F22" s="9">
        <f>'Gateway Pkg Cross Sections'!H139</f>
        <v>1302.5772222222224</v>
      </c>
      <c r="G22" s="9"/>
      <c r="H22" s="9">
        <f>'Gateway Pkg Cross Sections'!D139</f>
        <v>79843.42</v>
      </c>
      <c r="I22" s="11"/>
      <c r="J22" s="11">
        <f>D22-F22</f>
        <v>734.31037037037004</v>
      </c>
      <c r="K22" s="30"/>
    </row>
    <row r="23" spans="2:11" s="26" customFormat="1" x14ac:dyDescent="0.2">
      <c r="B23" s="13"/>
      <c r="C23" s="8"/>
      <c r="D23" s="9"/>
      <c r="E23" s="10"/>
      <c r="F23" s="9"/>
      <c r="G23" s="9"/>
      <c r="H23" s="8"/>
      <c r="I23" s="11"/>
      <c r="J23" s="11"/>
      <c r="K23" s="30"/>
    </row>
    <row r="24" spans="2:11" s="26" customFormat="1" x14ac:dyDescent="0.2">
      <c r="B24" s="13" t="s">
        <v>39</v>
      </c>
      <c r="C24" s="8"/>
      <c r="D24" s="9">
        <f>'Gateway Pkg Cross Sections'!G150</f>
        <v>60.74074074074074</v>
      </c>
      <c r="E24" s="10"/>
      <c r="F24" s="9">
        <f>'Gateway Pkg Cross Sections'!H150</f>
        <v>1.3229629629629629</v>
      </c>
      <c r="G24" s="9"/>
      <c r="H24" s="9">
        <f>'Gateway Pkg Cross Sections'!D150</f>
        <v>0</v>
      </c>
      <c r="I24" s="10"/>
      <c r="J24" s="10">
        <f>D24-F24</f>
        <v>59.417777777777779</v>
      </c>
      <c r="K24" s="30"/>
    </row>
    <row r="25" spans="2:11" s="26" customFormat="1" x14ac:dyDescent="0.2">
      <c r="B25" s="13"/>
      <c r="C25" s="8"/>
      <c r="D25" s="9"/>
      <c r="E25" s="10"/>
      <c r="F25" s="9"/>
      <c r="G25" s="9"/>
      <c r="H25" s="8"/>
      <c r="I25" s="11"/>
      <c r="J25" s="11"/>
      <c r="K25" s="30"/>
    </row>
    <row r="26" spans="2:11" s="26" customFormat="1" x14ac:dyDescent="0.2">
      <c r="B26" t="s">
        <v>55</v>
      </c>
      <c r="C26" s="8"/>
      <c r="D26" s="9">
        <f>'Gateway Pkg Cross Sections'!G168</f>
        <v>245.70129629629628</v>
      </c>
      <c r="E26" s="10"/>
      <c r="F26" s="9">
        <f>'Gateway Pkg Cross Sections'!H168</f>
        <v>1351.0087037037038</v>
      </c>
      <c r="G26" s="9"/>
      <c r="H26" s="9">
        <f>'Gateway Pkg Cross Sections'!D168</f>
        <v>31640.53</v>
      </c>
      <c r="I26" s="32"/>
      <c r="J26" s="11">
        <f t="shared" ref="J26:J32" si="0">D26-F26</f>
        <v>-1105.3074074074075</v>
      </c>
      <c r="K26" s="30"/>
    </row>
    <row r="27" spans="2:11" s="26" customFormat="1" x14ac:dyDescent="0.2">
      <c r="B27" s="13"/>
      <c r="C27" s="8"/>
      <c r="D27" s="9"/>
      <c r="E27" s="10"/>
      <c r="F27" s="9"/>
      <c r="G27" s="9"/>
      <c r="H27" s="8"/>
      <c r="I27" s="11"/>
      <c r="J27" s="11"/>
      <c r="K27" s="30"/>
    </row>
    <row r="28" spans="2:11" s="26" customFormat="1" x14ac:dyDescent="0.2">
      <c r="B28" t="s">
        <v>44</v>
      </c>
      <c r="C28" s="8"/>
      <c r="D28" s="9">
        <f>'Gateway Pkg Cross Sections'!G192</f>
        <v>516.68962962962962</v>
      </c>
      <c r="E28" s="10"/>
      <c r="F28" s="9">
        <f>'Gateway Pkg Cross Sections'!H192</f>
        <v>39.809629629629633</v>
      </c>
      <c r="G28" s="9"/>
      <c r="H28" s="9">
        <f>'Gateway Pkg Cross Sections'!D192</f>
        <v>11849.74</v>
      </c>
      <c r="I28" s="11"/>
      <c r="J28" s="11">
        <f t="shared" si="0"/>
        <v>476.88</v>
      </c>
      <c r="K28" s="30"/>
    </row>
    <row r="29" spans="2:11" s="26" customFormat="1" x14ac:dyDescent="0.2">
      <c r="B29"/>
      <c r="C29" s="8"/>
      <c r="D29" s="9"/>
      <c r="E29" s="10"/>
      <c r="F29" s="9"/>
      <c r="G29" s="9"/>
      <c r="H29" s="8"/>
      <c r="I29" s="11"/>
      <c r="J29" s="11"/>
      <c r="K29" s="30"/>
    </row>
    <row r="30" spans="2:11" s="26" customFormat="1" x14ac:dyDescent="0.2">
      <c r="B30" t="s">
        <v>42</v>
      </c>
      <c r="C30" s="8"/>
      <c r="D30" s="9">
        <f>'Gateway Pkg Cross Sections'!G178</f>
        <v>1388.6759259259259</v>
      </c>
      <c r="E30" s="10"/>
      <c r="F30" s="9">
        <f>'Gateway Pkg Cross Sections'!H178</f>
        <v>0.7592592592592593</v>
      </c>
      <c r="G30" s="9"/>
      <c r="H30" s="9">
        <f>'Gateway Pkg Cross Sections'!D178</f>
        <v>0</v>
      </c>
      <c r="I30" s="11"/>
      <c r="J30" s="11">
        <f t="shared" si="0"/>
        <v>1387.9166666666665</v>
      </c>
      <c r="K30" s="30"/>
    </row>
    <row r="31" spans="2:11" s="26" customFormat="1" x14ac:dyDescent="0.2">
      <c r="B31"/>
      <c r="C31" s="8"/>
      <c r="D31" s="9"/>
      <c r="E31" s="10"/>
      <c r="F31" s="9"/>
      <c r="G31" s="9"/>
      <c r="H31" s="9"/>
      <c r="I31" s="11"/>
      <c r="J31" s="11"/>
      <c r="K31" s="30"/>
    </row>
    <row r="32" spans="2:11" s="26" customFormat="1" x14ac:dyDescent="0.2">
      <c r="B32" t="s">
        <v>49</v>
      </c>
      <c r="C32" s="8"/>
      <c r="D32" s="9">
        <f>'[1]Tri C'!$B$25</f>
        <v>1772.5</v>
      </c>
      <c r="E32" s="10"/>
      <c r="F32" s="9">
        <f>'[1]Tri C'!$B$26</f>
        <v>1734.83</v>
      </c>
      <c r="G32" s="9"/>
      <c r="H32" s="9">
        <v>0</v>
      </c>
      <c r="I32" s="11"/>
      <c r="J32" s="11">
        <f t="shared" si="0"/>
        <v>37.670000000000073</v>
      </c>
      <c r="K32" s="30"/>
    </row>
    <row r="33" spans="2:15" s="26" customFormat="1" x14ac:dyDescent="0.2">
      <c r="B33"/>
      <c r="C33" s="8"/>
      <c r="D33" s="9"/>
      <c r="E33" s="10"/>
      <c r="F33" s="9"/>
      <c r="G33" s="9"/>
      <c r="H33" s="9"/>
      <c r="I33" s="11"/>
      <c r="J33" s="11"/>
      <c r="K33" s="30"/>
    </row>
    <row r="34" spans="2:15" s="26" customFormat="1" x14ac:dyDescent="0.2">
      <c r="B34" t="s">
        <v>50</v>
      </c>
      <c r="C34" s="8"/>
      <c r="D34" s="9">
        <f>[1]Downtown!$B$25</f>
        <v>5828.19</v>
      </c>
      <c r="E34" s="10"/>
      <c r="F34" s="9">
        <f>[1]Downtown!$B$26</f>
        <v>122.95</v>
      </c>
      <c r="G34" s="9"/>
      <c r="H34" s="9">
        <v>7302.31</v>
      </c>
      <c r="I34" s="11"/>
      <c r="J34" s="11">
        <f>D34-F34</f>
        <v>5705.24</v>
      </c>
      <c r="K34" s="30"/>
    </row>
    <row r="35" spans="2:15" s="26" customFormat="1" x14ac:dyDescent="0.2">
      <c r="B35"/>
      <c r="C35" s="8"/>
      <c r="D35" s="9"/>
      <c r="E35" s="10"/>
      <c r="F35" s="9"/>
      <c r="G35" s="9"/>
      <c r="H35" s="9"/>
      <c r="I35" s="11"/>
      <c r="J35" s="11"/>
      <c r="K35" s="30"/>
    </row>
    <row r="36" spans="2:15" s="26" customFormat="1" x14ac:dyDescent="0.2">
      <c r="B36" t="s">
        <v>51</v>
      </c>
      <c r="C36" s="8"/>
      <c r="D36" s="9">
        <f>'[1]Tri C RmpA4 BMP '!$D$25</f>
        <v>1801.22</v>
      </c>
      <c r="E36" s="10"/>
      <c r="F36" s="9">
        <f>'[1]Tri C RmpA4 BMP '!$D$26</f>
        <v>13.03</v>
      </c>
      <c r="G36" s="9"/>
      <c r="H36" s="9">
        <v>8269.17</v>
      </c>
      <c r="I36" s="11"/>
      <c r="J36" s="11">
        <f>D36-F36</f>
        <v>1788.19</v>
      </c>
      <c r="K36" s="30"/>
    </row>
    <row r="37" spans="2:15" s="26" customFormat="1" x14ac:dyDescent="0.2">
      <c r="B37"/>
      <c r="C37" s="8"/>
      <c r="D37" s="9"/>
      <c r="E37" s="10"/>
      <c r="F37" s="9"/>
      <c r="G37" s="9"/>
      <c r="H37" s="9"/>
      <c r="I37" s="11"/>
      <c r="J37" s="11"/>
      <c r="K37" s="30"/>
    </row>
    <row r="38" spans="2:15" s="26" customFormat="1" x14ac:dyDescent="0.2">
      <c r="B38" t="s">
        <v>52</v>
      </c>
      <c r="C38" s="8"/>
      <c r="D38" s="9">
        <f>'[1]BMP W3rd'!$B$25</f>
        <v>1472.5</v>
      </c>
      <c r="E38" s="10"/>
      <c r="F38" s="9">
        <f>'[1]BMP W3rd'!$B$26</f>
        <v>18.64</v>
      </c>
      <c r="G38" s="9"/>
      <c r="H38" s="9">
        <v>0</v>
      </c>
      <c r="I38" s="11"/>
      <c r="J38" s="11">
        <f>D38-F38</f>
        <v>1453.86</v>
      </c>
      <c r="K38" s="30"/>
    </row>
    <row r="39" spans="2:15" s="26" customFormat="1" x14ac:dyDescent="0.2">
      <c r="B39"/>
      <c r="C39" s="8"/>
      <c r="D39" s="9"/>
      <c r="E39" s="10"/>
      <c r="F39" s="9"/>
      <c r="G39" s="9"/>
      <c r="H39" s="9"/>
      <c r="I39" s="11"/>
      <c r="J39" s="11"/>
      <c r="K39" s="30"/>
    </row>
    <row r="40" spans="2:15" s="26" customFormat="1" x14ac:dyDescent="0.2">
      <c r="B40" t="s">
        <v>53</v>
      </c>
      <c r="C40" s="8"/>
      <c r="D40" s="9">
        <f>'[1]BMP 143+00'!$B$25</f>
        <v>7928.38</v>
      </c>
      <c r="E40" s="10"/>
      <c r="F40" s="9">
        <f>'[1]BMP 143+00'!$B$26</f>
        <v>4.25</v>
      </c>
      <c r="G40" s="9"/>
      <c r="H40" s="9">
        <v>0</v>
      </c>
      <c r="I40" s="11"/>
      <c r="J40" s="11">
        <f>D40-F40</f>
        <v>7924.13</v>
      </c>
      <c r="K40" s="30"/>
    </row>
    <row r="41" spans="2:15" s="26" customFormat="1" x14ac:dyDescent="0.2">
      <c r="B41"/>
      <c r="C41" s="8"/>
      <c r="D41" s="9"/>
      <c r="E41" s="10"/>
      <c r="F41" s="9"/>
      <c r="G41" s="9"/>
      <c r="H41" s="9"/>
      <c r="I41" s="11"/>
      <c r="J41" s="11"/>
      <c r="K41" s="30"/>
    </row>
    <row r="42" spans="2:15" s="26" customFormat="1" x14ac:dyDescent="0.2">
      <c r="B42" t="s">
        <v>54</v>
      </c>
      <c r="C42" s="8"/>
      <c r="D42" s="9">
        <f>'[1]Broadway Mills Grdg and Plaza'!$D$25</f>
        <v>1937.51</v>
      </c>
      <c r="E42" s="10"/>
      <c r="F42" s="9">
        <f>'[1]Broadway Mills Grdg and Plaza'!$D$26</f>
        <v>2824.05</v>
      </c>
      <c r="G42" s="9"/>
      <c r="H42" s="9">
        <v>0</v>
      </c>
      <c r="I42" s="11"/>
      <c r="J42" s="11">
        <f>D42-F42</f>
        <v>-886.54000000000019</v>
      </c>
      <c r="K42" s="30"/>
    </row>
    <row r="43" spans="2:15" s="26" customFormat="1" x14ac:dyDescent="0.2">
      <c r="B43" s="13"/>
      <c r="C43" s="8"/>
      <c r="D43" s="9"/>
      <c r="E43" s="10"/>
      <c r="F43" s="9"/>
      <c r="G43" s="9"/>
      <c r="H43" s="64"/>
      <c r="I43" s="11"/>
      <c r="J43" s="31"/>
      <c r="K43" s="30"/>
    </row>
    <row r="44" spans="2:15" s="26" customFormat="1" x14ac:dyDescent="0.2">
      <c r="B44" s="13"/>
      <c r="C44" s="12"/>
      <c r="D44" s="9"/>
      <c r="E44" s="11"/>
      <c r="F44" s="9"/>
      <c r="G44" s="9"/>
      <c r="H44" s="9">
        <f>SUM(H12:H42)</f>
        <v>218649.91999999998</v>
      </c>
      <c r="I44" s="32"/>
      <c r="J44" s="11">
        <f>SUM(J12:J42)</f>
        <v>-2245.5780925926338</v>
      </c>
      <c r="K44" s="30"/>
    </row>
    <row r="45" spans="2:15" s="26" customFormat="1" x14ac:dyDescent="0.2">
      <c r="B45" s="12"/>
      <c r="C45" s="12"/>
      <c r="D45" s="9"/>
      <c r="E45" s="11"/>
      <c r="F45" s="9"/>
      <c r="G45" s="9"/>
      <c r="H45" s="33"/>
      <c r="I45" s="11"/>
      <c r="J45" s="11"/>
      <c r="K45" s="30"/>
    </row>
    <row r="46" spans="2:15" s="26" customFormat="1" ht="13.5" thickBot="1" x14ac:dyDescent="0.25">
      <c r="B46" s="34"/>
      <c r="C46" s="34"/>
      <c r="D46" s="12"/>
      <c r="E46" s="12"/>
      <c r="F46" s="34"/>
      <c r="G46" s="34"/>
      <c r="H46" s="12"/>
      <c r="I46" s="12"/>
      <c r="J46" s="11"/>
      <c r="K46" s="35"/>
      <c r="L46" s="25"/>
      <c r="M46" s="25"/>
      <c r="N46" s="25"/>
      <c r="O46" s="25"/>
    </row>
    <row r="47" spans="2:15" s="26" customFormat="1" ht="13.5" thickBot="1" x14ac:dyDescent="0.25">
      <c r="B47" s="36" t="s">
        <v>15</v>
      </c>
      <c r="C47" s="37" t="s">
        <v>16</v>
      </c>
      <c r="D47" s="38"/>
      <c r="E47" s="39"/>
      <c r="F47" s="40"/>
      <c r="G47" s="40"/>
      <c r="H47" s="41"/>
      <c r="I47" s="42"/>
      <c r="J47" s="43">
        <f>SUM(D12:D42)</f>
        <v>32984.618612962964</v>
      </c>
      <c r="K47" s="44" t="s">
        <v>17</v>
      </c>
      <c r="L47" s="45"/>
      <c r="M47" s="45"/>
      <c r="N47" s="25"/>
      <c r="O47" s="45"/>
    </row>
    <row r="48" spans="2:15" ht="13.5" thickBot="1" x14ac:dyDescent="0.25">
      <c r="B48" s="14"/>
    </row>
    <row r="49" spans="2:11" ht="13.5" thickBot="1" x14ac:dyDescent="0.25">
      <c r="B49" s="36" t="s">
        <v>18</v>
      </c>
      <c r="C49" s="37" t="s">
        <v>19</v>
      </c>
      <c r="D49" s="38"/>
      <c r="E49" s="39"/>
      <c r="F49" s="40"/>
      <c r="G49" s="40"/>
      <c r="H49" s="41"/>
      <c r="I49" s="42"/>
      <c r="J49" s="43">
        <f>SUM(F12:F42)</f>
        <v>35230.196705555602</v>
      </c>
      <c r="K49" s="44" t="s">
        <v>17</v>
      </c>
    </row>
    <row r="50" spans="2:11" ht="13.5" thickBot="1" x14ac:dyDescent="0.25">
      <c r="B50" s="14"/>
    </row>
    <row r="51" spans="2:11" ht="13.5" thickBot="1" x14ac:dyDescent="0.25">
      <c r="B51" s="46"/>
      <c r="C51" s="37" t="s">
        <v>20</v>
      </c>
      <c r="D51" s="38"/>
      <c r="E51" s="39"/>
      <c r="F51" s="40"/>
      <c r="G51" s="40"/>
      <c r="H51" s="41"/>
      <c r="I51" s="42"/>
      <c r="J51" s="43"/>
      <c r="K51" s="44" t="s">
        <v>17</v>
      </c>
    </row>
    <row r="52" spans="2:11" ht="25.5" customHeight="1" x14ac:dyDescent="0.2">
      <c r="C52" s="66" t="s">
        <v>21</v>
      </c>
      <c r="D52" s="66"/>
      <c r="E52" s="66"/>
      <c r="F52" s="66"/>
      <c r="G52" s="66"/>
      <c r="H52" s="66"/>
      <c r="I52" s="66"/>
    </row>
  </sheetData>
  <mergeCells count="2">
    <mergeCell ref="B11:C11"/>
    <mergeCell ref="C52:I52"/>
  </mergeCells>
  <pageMargins left="0.75" right="0.75" top="1" bottom="1" header="0.5" footer="0.5"/>
  <pageSetup scale="70" orientation="landscape" r:id="rId1"/>
  <headerFooter alignWithMargins="0">
    <oddFooter>&amp;L&amp;F&amp;C&amp;A&amp;RPage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9"/>
  <sheetViews>
    <sheetView view="pageBreakPreview" zoomScaleNormal="100" zoomScaleSheetLayoutView="100" workbookViewId="0">
      <selection activeCell="D41" sqref="D41"/>
    </sheetView>
  </sheetViews>
  <sheetFormatPr defaultRowHeight="12.75" x14ac:dyDescent="0.2"/>
  <cols>
    <col min="1" max="1" width="10.7109375" bestFit="1" customWidth="1"/>
    <col min="2" max="3" width="9.28515625" bestFit="1" customWidth="1"/>
    <col min="4" max="5" width="12.85546875" customWidth="1"/>
    <col min="6" max="6" width="9.28515625" bestFit="1" customWidth="1"/>
    <col min="7" max="7" width="12.42578125" style="5" customWidth="1"/>
    <col min="8" max="9" width="14.42578125" style="5" customWidth="1"/>
  </cols>
  <sheetData>
    <row r="1" spans="1:9" x14ac:dyDescent="0.2">
      <c r="A1" s="1" t="s">
        <v>0</v>
      </c>
      <c r="B1" s="1"/>
      <c r="C1" s="1"/>
      <c r="D1" s="1"/>
      <c r="E1" s="2"/>
      <c r="F1" s="2"/>
      <c r="G1" s="2"/>
      <c r="H1" s="3"/>
      <c r="I1" s="3"/>
    </row>
    <row r="2" spans="1:9" x14ac:dyDescent="0.2">
      <c r="A2" s="1" t="s">
        <v>1</v>
      </c>
      <c r="B2" s="1"/>
      <c r="C2" s="1"/>
      <c r="D2" s="1"/>
      <c r="E2" s="58"/>
      <c r="F2" s="58"/>
      <c r="G2" s="58"/>
      <c r="H2" s="59"/>
      <c r="I2" s="59"/>
    </row>
    <row r="3" spans="1:9" x14ac:dyDescent="0.2">
      <c r="A3" s="1" t="s">
        <v>2</v>
      </c>
      <c r="B3" s="1"/>
      <c r="C3" s="1"/>
      <c r="D3" s="1"/>
      <c r="E3" s="2"/>
      <c r="F3" s="2"/>
      <c r="G3" s="2"/>
      <c r="H3" s="3"/>
      <c r="I3" s="3"/>
    </row>
    <row r="4" spans="1:9" x14ac:dyDescent="0.2">
      <c r="A4" s="1" t="s">
        <v>3</v>
      </c>
      <c r="B4" s="1"/>
      <c r="C4" s="1"/>
      <c r="D4" s="1"/>
      <c r="E4" s="58"/>
      <c r="F4" s="58"/>
      <c r="G4" s="58"/>
      <c r="H4" s="59"/>
      <c r="I4" s="59"/>
    </row>
    <row r="5" spans="1:9" x14ac:dyDescent="0.2">
      <c r="A5" s="1"/>
      <c r="B5" s="1"/>
      <c r="C5" s="1"/>
      <c r="D5" s="1"/>
      <c r="E5" s="1"/>
      <c r="F5" s="1"/>
      <c r="G5" s="4"/>
      <c r="H5" s="4"/>
      <c r="I5" s="4"/>
    </row>
    <row r="6" spans="1:9" x14ac:dyDescent="0.2">
      <c r="A6" s="1" t="s">
        <v>4</v>
      </c>
      <c r="B6" s="1"/>
      <c r="C6" s="1"/>
      <c r="D6" s="1"/>
      <c r="E6" s="1"/>
      <c r="F6" s="1"/>
      <c r="G6" s="4"/>
      <c r="H6" s="4"/>
      <c r="I6" s="4"/>
    </row>
    <row r="8" spans="1:9" x14ac:dyDescent="0.2">
      <c r="A8" s="63"/>
      <c r="B8" s="55"/>
      <c r="C8" s="55"/>
      <c r="D8" s="55"/>
      <c r="E8" s="56"/>
      <c r="F8" s="56"/>
      <c r="G8" s="57"/>
      <c r="H8" s="57"/>
      <c r="I8" s="57"/>
    </row>
    <row r="9" spans="1:9" x14ac:dyDescent="0.2">
      <c r="A9" s="1" t="s">
        <v>29</v>
      </c>
      <c r="G9" s="67" t="s">
        <v>7</v>
      </c>
      <c r="H9" s="67"/>
      <c r="I9" s="57"/>
    </row>
    <row r="10" spans="1:9" ht="38.25" x14ac:dyDescent="0.2">
      <c r="A10" s="60" t="s">
        <v>23</v>
      </c>
      <c r="B10" s="61" t="s">
        <v>24</v>
      </c>
      <c r="C10" s="61" t="s">
        <v>25</v>
      </c>
      <c r="D10" s="61" t="s">
        <v>26</v>
      </c>
      <c r="E10" s="61" t="s">
        <v>27</v>
      </c>
      <c r="F10" s="61" t="s">
        <v>28</v>
      </c>
      <c r="G10" s="62" t="s">
        <v>27</v>
      </c>
      <c r="H10" s="62" t="s">
        <v>28</v>
      </c>
      <c r="I10" s="57"/>
    </row>
    <row r="11" spans="1:9" x14ac:dyDescent="0.2">
      <c r="A11" s="50">
        <v>59917.36</v>
      </c>
      <c r="B11" s="51">
        <v>0</v>
      </c>
      <c r="C11" s="51">
        <v>0</v>
      </c>
      <c r="D11" s="51"/>
      <c r="E11" s="52">
        <v>0</v>
      </c>
      <c r="F11" s="52">
        <v>0</v>
      </c>
      <c r="G11" s="53">
        <f>E11</f>
        <v>0</v>
      </c>
      <c r="H11" s="53">
        <f>F11</f>
        <v>0</v>
      </c>
      <c r="I11" s="57"/>
    </row>
    <row r="12" spans="1:9" x14ac:dyDescent="0.2">
      <c r="A12" s="54">
        <v>59950</v>
      </c>
      <c r="B12" s="51">
        <v>204.99</v>
      </c>
      <c r="C12" s="51">
        <v>0</v>
      </c>
      <c r="D12" s="51"/>
      <c r="E12" s="52">
        <f t="shared" ref="E12:E28" si="0">(((B12+B11)/2)*(A12-A11))/27</f>
        <v>123.90506666666445</v>
      </c>
      <c r="F12" s="52">
        <f t="shared" ref="F12:F28" si="1">(((C12+C11)/2)*(A12-A11))/27</f>
        <v>0</v>
      </c>
      <c r="G12" s="53">
        <f t="shared" ref="G12:G28" si="2">E12+G11</f>
        <v>123.90506666666445</v>
      </c>
      <c r="H12" s="53">
        <f t="shared" ref="H12:H28" si="3">F12+H11</f>
        <v>0</v>
      </c>
      <c r="I12" s="57"/>
    </row>
    <row r="13" spans="1:9" x14ac:dyDescent="0.2">
      <c r="A13" s="54">
        <v>59977</v>
      </c>
      <c r="B13" s="51">
        <v>248.53</v>
      </c>
      <c r="C13" s="51">
        <v>4.68</v>
      </c>
      <c r="D13" s="51"/>
      <c r="E13" s="52">
        <f t="shared" si="0"/>
        <v>226.76</v>
      </c>
      <c r="F13" s="52">
        <f t="shared" si="1"/>
        <v>2.34</v>
      </c>
      <c r="G13" s="53">
        <f t="shared" si="2"/>
        <v>350.66506666666442</v>
      </c>
      <c r="H13" s="53">
        <f t="shared" si="3"/>
        <v>2.34</v>
      </c>
      <c r="I13" s="57"/>
    </row>
    <row r="14" spans="1:9" x14ac:dyDescent="0.2">
      <c r="A14" s="54">
        <v>60000</v>
      </c>
      <c r="B14" s="51">
        <f>38.29+260.42</f>
        <v>298.71000000000004</v>
      </c>
      <c r="C14" s="51">
        <v>4.17</v>
      </c>
      <c r="D14" s="51"/>
      <c r="E14" s="52">
        <f t="shared" si="0"/>
        <v>233.08370370370372</v>
      </c>
      <c r="F14" s="52">
        <f t="shared" si="1"/>
        <v>3.7694444444444439</v>
      </c>
      <c r="G14" s="53">
        <f t="shared" si="2"/>
        <v>583.74877037036811</v>
      </c>
      <c r="H14" s="53">
        <f t="shared" si="3"/>
        <v>6.1094444444444438</v>
      </c>
      <c r="I14" s="57"/>
    </row>
    <row r="15" spans="1:9" x14ac:dyDescent="0.2">
      <c r="A15" s="54">
        <v>60026</v>
      </c>
      <c r="B15" s="51">
        <v>303.42</v>
      </c>
      <c r="C15" s="51">
        <v>0</v>
      </c>
      <c r="D15" s="51"/>
      <c r="E15" s="52">
        <f t="shared" si="0"/>
        <v>289.91444444444448</v>
      </c>
      <c r="F15" s="52">
        <f t="shared" si="1"/>
        <v>2.0077777777777777</v>
      </c>
      <c r="G15" s="53">
        <f t="shared" si="2"/>
        <v>873.66321481481259</v>
      </c>
      <c r="H15" s="53">
        <f t="shared" si="3"/>
        <v>8.117222222222221</v>
      </c>
      <c r="I15" s="57"/>
    </row>
    <row r="16" spans="1:9" x14ac:dyDescent="0.2">
      <c r="A16" s="54">
        <v>60050</v>
      </c>
      <c r="B16" s="51">
        <v>352.02</v>
      </c>
      <c r="C16" s="51">
        <v>0</v>
      </c>
      <c r="D16" s="51"/>
      <c r="E16" s="52">
        <f t="shared" si="0"/>
        <v>291.30666666666667</v>
      </c>
      <c r="F16" s="52">
        <f t="shared" si="1"/>
        <v>0</v>
      </c>
      <c r="G16" s="53">
        <f t="shared" si="2"/>
        <v>1164.9698814814792</v>
      </c>
      <c r="H16" s="53">
        <f t="shared" si="3"/>
        <v>8.117222222222221</v>
      </c>
      <c r="I16" s="57"/>
    </row>
    <row r="17" spans="1:9" x14ac:dyDescent="0.2">
      <c r="A17" s="54">
        <v>60100</v>
      </c>
      <c r="B17" s="51">
        <v>151.38</v>
      </c>
      <c r="C17" s="51">
        <v>0.9</v>
      </c>
      <c r="D17" s="51"/>
      <c r="E17" s="52">
        <f t="shared" si="0"/>
        <v>466.11111111111109</v>
      </c>
      <c r="F17" s="52">
        <f t="shared" si="1"/>
        <v>0.83333333333333337</v>
      </c>
      <c r="G17" s="53">
        <f t="shared" si="2"/>
        <v>1631.0809925925903</v>
      </c>
      <c r="H17" s="53">
        <f t="shared" si="3"/>
        <v>8.9505555555555549</v>
      </c>
      <c r="I17" s="57"/>
    </row>
    <row r="18" spans="1:9" x14ac:dyDescent="0.2">
      <c r="A18" s="54">
        <v>60150</v>
      </c>
      <c r="B18" s="51">
        <f>5.43+145.51+242.3</f>
        <v>393.24</v>
      </c>
      <c r="C18" s="51">
        <f>4.78+0.4</f>
        <v>5.1800000000000006</v>
      </c>
      <c r="D18" s="51"/>
      <c r="E18" s="52">
        <f t="shared" si="0"/>
        <v>504.27777777777777</v>
      </c>
      <c r="F18" s="52">
        <f t="shared" si="1"/>
        <v>5.6296296296296306</v>
      </c>
      <c r="G18" s="53">
        <f t="shared" si="2"/>
        <v>2135.3587703703679</v>
      </c>
      <c r="H18" s="53">
        <f t="shared" si="3"/>
        <v>14.580185185185186</v>
      </c>
      <c r="I18" s="57"/>
    </row>
    <row r="19" spans="1:9" x14ac:dyDescent="0.2">
      <c r="A19" s="54">
        <v>60200</v>
      </c>
      <c r="B19" s="51">
        <f>176.38+192.62</f>
        <v>369</v>
      </c>
      <c r="C19" s="51">
        <v>0</v>
      </c>
      <c r="D19" s="51"/>
      <c r="E19" s="52">
        <f t="shared" si="0"/>
        <v>705.77777777777783</v>
      </c>
      <c r="F19" s="52">
        <f t="shared" si="1"/>
        <v>4.7962962962962976</v>
      </c>
      <c r="G19" s="53">
        <f t="shared" si="2"/>
        <v>2841.1365481481457</v>
      </c>
      <c r="H19" s="53">
        <f t="shared" si="3"/>
        <v>19.376481481481484</v>
      </c>
      <c r="I19" s="57"/>
    </row>
    <row r="20" spans="1:9" x14ac:dyDescent="0.2">
      <c r="A20" s="54">
        <v>60222</v>
      </c>
      <c r="B20" s="51">
        <v>343.86</v>
      </c>
      <c r="C20" s="51">
        <v>0</v>
      </c>
      <c r="D20" s="51"/>
      <c r="E20" s="52">
        <f t="shared" si="0"/>
        <v>290.42444444444442</v>
      </c>
      <c r="F20" s="52">
        <f t="shared" si="1"/>
        <v>0</v>
      </c>
      <c r="G20" s="53">
        <f t="shared" si="2"/>
        <v>3131.5609925925901</v>
      </c>
      <c r="H20" s="53">
        <f t="shared" si="3"/>
        <v>19.376481481481484</v>
      </c>
      <c r="I20" s="57"/>
    </row>
    <row r="21" spans="1:9" x14ac:dyDescent="0.2">
      <c r="A21" s="54">
        <v>60250</v>
      </c>
      <c r="B21" s="51">
        <f>77.94+16.95+8.76+24.24</f>
        <v>127.89</v>
      </c>
      <c r="C21" s="51">
        <v>0</v>
      </c>
      <c r="D21" s="51"/>
      <c r="E21" s="52">
        <f t="shared" si="0"/>
        <v>244.61111111111111</v>
      </c>
      <c r="F21" s="52">
        <f t="shared" si="1"/>
        <v>0</v>
      </c>
      <c r="G21" s="53">
        <f t="shared" si="2"/>
        <v>3376.1721037037014</v>
      </c>
      <c r="H21" s="53">
        <f t="shared" si="3"/>
        <v>19.376481481481484</v>
      </c>
      <c r="I21" s="57"/>
    </row>
    <row r="22" spans="1:9" x14ac:dyDescent="0.2">
      <c r="A22" s="54">
        <v>60300</v>
      </c>
      <c r="B22" s="51">
        <f>28.02+22.31</f>
        <v>50.33</v>
      </c>
      <c r="C22" s="51">
        <v>20.3</v>
      </c>
      <c r="D22" s="51"/>
      <c r="E22" s="52">
        <f t="shared" si="0"/>
        <v>165.0185185185185</v>
      </c>
      <c r="F22" s="52">
        <f t="shared" si="1"/>
        <v>18.796296296296298</v>
      </c>
      <c r="G22" s="53">
        <f t="shared" si="2"/>
        <v>3541.1906222222201</v>
      </c>
      <c r="H22" s="53">
        <f t="shared" si="3"/>
        <v>38.172777777777782</v>
      </c>
      <c r="I22" s="57"/>
    </row>
    <row r="23" spans="1:9" x14ac:dyDescent="0.2">
      <c r="A23" s="54">
        <v>60350</v>
      </c>
      <c r="B23" s="51">
        <v>0</v>
      </c>
      <c r="C23" s="51">
        <f>152.02+4.53</f>
        <v>156.55000000000001</v>
      </c>
      <c r="D23" s="51"/>
      <c r="E23" s="52">
        <f t="shared" si="0"/>
        <v>46.601851851851855</v>
      </c>
      <c r="F23" s="52">
        <f t="shared" si="1"/>
        <v>163.75000000000003</v>
      </c>
      <c r="G23" s="53">
        <f t="shared" si="2"/>
        <v>3587.7924740740718</v>
      </c>
      <c r="H23" s="53">
        <f t="shared" si="3"/>
        <v>201.92277777777781</v>
      </c>
      <c r="I23" s="57"/>
    </row>
    <row r="24" spans="1:9" x14ac:dyDescent="0.2">
      <c r="A24" s="54">
        <v>60400</v>
      </c>
      <c r="B24" s="51">
        <v>0</v>
      </c>
      <c r="C24" s="51">
        <f>257.97+1.09</f>
        <v>259.06</v>
      </c>
      <c r="D24" s="51"/>
      <c r="E24" s="52">
        <f t="shared" si="0"/>
        <v>0</v>
      </c>
      <c r="F24" s="52">
        <f t="shared" si="1"/>
        <v>384.82407407407408</v>
      </c>
      <c r="G24" s="53">
        <f t="shared" si="2"/>
        <v>3587.7924740740718</v>
      </c>
      <c r="H24" s="53">
        <f t="shared" si="3"/>
        <v>586.74685185185194</v>
      </c>
      <c r="I24" s="57"/>
    </row>
    <row r="25" spans="1:9" x14ac:dyDescent="0.2">
      <c r="A25" s="54">
        <v>60450</v>
      </c>
      <c r="B25" s="51">
        <v>0</v>
      </c>
      <c r="C25" s="51">
        <f>350.25+4.65</f>
        <v>354.9</v>
      </c>
      <c r="D25" s="51"/>
      <c r="E25" s="52">
        <f t="shared" si="0"/>
        <v>0</v>
      </c>
      <c r="F25" s="52">
        <f t="shared" si="1"/>
        <v>568.48148148148152</v>
      </c>
      <c r="G25" s="53">
        <f t="shared" si="2"/>
        <v>3587.7924740740718</v>
      </c>
      <c r="H25" s="53">
        <f t="shared" si="3"/>
        <v>1155.2283333333335</v>
      </c>
      <c r="I25" s="57"/>
    </row>
    <row r="26" spans="1:9" x14ac:dyDescent="0.2">
      <c r="A26" s="54">
        <v>60500</v>
      </c>
      <c r="B26" s="51">
        <v>0</v>
      </c>
      <c r="C26" s="51">
        <f>443.81+5.48</f>
        <v>449.29</v>
      </c>
      <c r="D26" s="51"/>
      <c r="E26" s="52">
        <f t="shared" si="0"/>
        <v>0</v>
      </c>
      <c r="F26" s="52">
        <f t="shared" si="1"/>
        <v>744.62037037037032</v>
      </c>
      <c r="G26" s="53">
        <f t="shared" si="2"/>
        <v>3587.7924740740718</v>
      </c>
      <c r="H26" s="53">
        <f t="shared" si="3"/>
        <v>1899.8487037037039</v>
      </c>
      <c r="I26" s="57"/>
    </row>
    <row r="27" spans="1:9" x14ac:dyDescent="0.2">
      <c r="A27" s="54">
        <v>60550</v>
      </c>
      <c r="B27" s="51">
        <v>0</v>
      </c>
      <c r="C27" s="51">
        <f>515.85+5.02</f>
        <v>520.87</v>
      </c>
      <c r="D27" s="51"/>
      <c r="E27" s="52">
        <f t="shared" si="0"/>
        <v>0</v>
      </c>
      <c r="F27" s="52">
        <f t="shared" si="1"/>
        <v>898.29629629629642</v>
      </c>
      <c r="G27" s="53">
        <f t="shared" si="2"/>
        <v>3587.7924740740718</v>
      </c>
      <c r="H27" s="53">
        <f t="shared" si="3"/>
        <v>2798.1450000000004</v>
      </c>
      <c r="I27" s="57"/>
    </row>
    <row r="28" spans="1:9" x14ac:dyDescent="0.2">
      <c r="A28" s="54">
        <v>60600</v>
      </c>
      <c r="B28" s="51">
        <v>0</v>
      </c>
      <c r="C28" s="51">
        <f>558.41+5.78</f>
        <v>564.18999999999994</v>
      </c>
      <c r="D28" s="51"/>
      <c r="E28" s="52">
        <f t="shared" si="0"/>
        <v>0</v>
      </c>
      <c r="F28" s="52">
        <f t="shared" si="1"/>
        <v>1004.6851851851852</v>
      </c>
      <c r="G28" s="53">
        <f t="shared" si="2"/>
        <v>3587.7924740740718</v>
      </c>
      <c r="H28" s="53">
        <f t="shared" si="3"/>
        <v>3802.8301851851857</v>
      </c>
      <c r="I28" s="57"/>
    </row>
    <row r="29" spans="1:9" x14ac:dyDescent="0.2">
      <c r="A29" s="54">
        <v>60650</v>
      </c>
      <c r="B29" s="51">
        <v>0</v>
      </c>
      <c r="C29" s="51">
        <f>564.08+3.72</f>
        <v>567.80000000000007</v>
      </c>
      <c r="D29" s="51"/>
      <c r="E29" s="52">
        <f t="shared" ref="E29" si="4">(((B29+B28)/2)*(A29-A28))/27</f>
        <v>0</v>
      </c>
      <c r="F29" s="52">
        <f t="shared" ref="F29" si="5">(((C29+C28)/2)*(A29-A28))/27</f>
        <v>1048.1388888888889</v>
      </c>
      <c r="G29" s="53">
        <f t="shared" ref="G29" si="6">E29+G28</f>
        <v>3587.7924740740718</v>
      </c>
      <c r="H29" s="53">
        <f t="shared" ref="H29" si="7">F29+H28</f>
        <v>4850.9690740740743</v>
      </c>
      <c r="I29" s="57"/>
    </row>
    <row r="30" spans="1:9" x14ac:dyDescent="0.2">
      <c r="A30" s="54">
        <v>60672.81</v>
      </c>
      <c r="B30" s="51">
        <v>0</v>
      </c>
      <c r="C30" s="51">
        <v>0</v>
      </c>
      <c r="D30" s="51">
        <f>2669.76+3792.05</f>
        <v>6461.81</v>
      </c>
      <c r="E30" s="52">
        <f>(((B30+B29)/2)*(A30-A29))/27</f>
        <v>0</v>
      </c>
      <c r="F30" s="52">
        <f>(((C30+C29)/2)*(A30-A29))/27</f>
        <v>239.84292592590148</v>
      </c>
      <c r="G30" s="53">
        <f>E30+G29</f>
        <v>3587.7924740740718</v>
      </c>
      <c r="H30" s="53">
        <f>F30+H29</f>
        <v>5090.8119999999763</v>
      </c>
      <c r="I30" s="57"/>
    </row>
    <row r="31" spans="1:9" x14ac:dyDescent="0.2">
      <c r="A31" s="63" t="s">
        <v>36</v>
      </c>
      <c r="B31" s="55"/>
      <c r="C31" s="55"/>
      <c r="D31" s="55"/>
      <c r="E31" s="56"/>
      <c r="F31" s="56"/>
      <c r="G31" s="57"/>
      <c r="H31" s="57"/>
      <c r="I31" s="57"/>
    </row>
    <row r="32" spans="1:9" x14ac:dyDescent="0.2">
      <c r="A32" s="63"/>
      <c r="B32" s="55"/>
      <c r="C32" s="55"/>
      <c r="D32" s="55"/>
      <c r="E32" s="56"/>
      <c r="F32" s="56"/>
      <c r="G32" s="57"/>
      <c r="H32" s="57"/>
      <c r="I32" s="57"/>
    </row>
    <row r="33" spans="1:9" x14ac:dyDescent="0.2">
      <c r="A33" s="63"/>
      <c r="B33" s="55"/>
      <c r="C33" s="55"/>
      <c r="D33" s="55"/>
      <c r="E33" s="56"/>
      <c r="F33" s="56"/>
      <c r="G33" s="57"/>
      <c r="H33" s="57"/>
      <c r="I33" s="57"/>
    </row>
    <row r="34" spans="1:9" x14ac:dyDescent="0.2">
      <c r="A34" s="1" t="s">
        <v>30</v>
      </c>
      <c r="G34" s="67" t="s">
        <v>7</v>
      </c>
      <c r="H34" s="67"/>
      <c r="I34" s="57"/>
    </row>
    <row r="35" spans="1:9" ht="38.25" x14ac:dyDescent="0.2">
      <c r="A35" s="60" t="s">
        <v>23</v>
      </c>
      <c r="B35" s="61" t="s">
        <v>24</v>
      </c>
      <c r="C35" s="61" t="s">
        <v>25</v>
      </c>
      <c r="D35" s="61" t="s">
        <v>26</v>
      </c>
      <c r="E35" s="61" t="s">
        <v>27</v>
      </c>
      <c r="F35" s="61" t="s">
        <v>28</v>
      </c>
      <c r="G35" s="62" t="s">
        <v>27</v>
      </c>
      <c r="H35" s="62" t="s">
        <v>28</v>
      </c>
      <c r="I35" s="57"/>
    </row>
    <row r="36" spans="1:9" x14ac:dyDescent="0.2">
      <c r="A36" s="50">
        <v>69885</v>
      </c>
      <c r="B36" s="51">
        <f>9.25+67.55</f>
        <v>76.8</v>
      </c>
      <c r="C36" s="51">
        <v>0.68</v>
      </c>
      <c r="D36" s="51"/>
      <c r="E36" s="52">
        <v>0</v>
      </c>
      <c r="F36" s="52">
        <v>0</v>
      </c>
      <c r="G36" s="53">
        <f>E36</f>
        <v>0</v>
      </c>
      <c r="H36" s="53">
        <f>F36</f>
        <v>0</v>
      </c>
      <c r="I36" s="57"/>
    </row>
    <row r="37" spans="1:9" x14ac:dyDescent="0.2">
      <c r="A37" s="54">
        <v>69900</v>
      </c>
      <c r="B37" s="51">
        <f>15.25+71.76</f>
        <v>87.01</v>
      </c>
      <c r="C37" s="51">
        <v>1.03</v>
      </c>
      <c r="D37" s="51"/>
      <c r="E37" s="52">
        <f t="shared" ref="E37:E38" si="8">(((B37+B36)/2)*(A37-A36))/27</f>
        <v>45.50277777777778</v>
      </c>
      <c r="F37" s="52">
        <f t="shared" ref="F37:F38" si="9">(((C37+C36)/2)*(A37-A36))/27</f>
        <v>0.47499999999999998</v>
      </c>
      <c r="G37" s="53">
        <f t="shared" ref="G37:G38" si="10">E37+G36</f>
        <v>45.50277777777778</v>
      </c>
      <c r="H37" s="53">
        <f t="shared" ref="H37:H38" si="11">F37+H36</f>
        <v>0.47499999999999998</v>
      </c>
      <c r="I37" s="57"/>
    </row>
    <row r="38" spans="1:9" x14ac:dyDescent="0.2">
      <c r="A38" s="54">
        <v>69945.55</v>
      </c>
      <c r="B38" s="51">
        <v>0</v>
      </c>
      <c r="C38" s="51">
        <v>0</v>
      </c>
      <c r="D38" s="51">
        <v>0</v>
      </c>
      <c r="E38" s="52">
        <f t="shared" si="8"/>
        <v>73.394546296300987</v>
      </c>
      <c r="F38" s="52">
        <f t="shared" si="9"/>
        <v>0.86882407407412954</v>
      </c>
      <c r="G38" s="53">
        <f t="shared" si="10"/>
        <v>118.89732407407877</v>
      </c>
      <c r="H38" s="53">
        <f t="shared" si="11"/>
        <v>1.3438240740741296</v>
      </c>
      <c r="I38" s="57"/>
    </row>
    <row r="39" spans="1:9" x14ac:dyDescent="0.2">
      <c r="A39" s="63"/>
      <c r="B39" s="55"/>
      <c r="C39" s="55"/>
      <c r="D39" s="55"/>
      <c r="E39" s="56"/>
      <c r="F39" s="56"/>
      <c r="G39" s="57"/>
      <c r="H39" s="57"/>
      <c r="I39" s="57"/>
    </row>
    <row r="40" spans="1:9" x14ac:dyDescent="0.2">
      <c r="A40" s="63"/>
      <c r="B40" s="55"/>
      <c r="C40" s="55"/>
      <c r="D40" s="55"/>
      <c r="E40" s="56"/>
      <c r="F40" s="56"/>
      <c r="G40" s="57"/>
      <c r="H40" s="57"/>
      <c r="I40" s="57"/>
    </row>
    <row r="41" spans="1:9" x14ac:dyDescent="0.2">
      <c r="A41" s="63"/>
      <c r="B41" s="55"/>
      <c r="C41" s="55"/>
      <c r="D41" s="55"/>
      <c r="E41" s="56"/>
      <c r="F41" s="56"/>
      <c r="G41" s="57"/>
      <c r="H41" s="57"/>
      <c r="I41" s="57"/>
    </row>
    <row r="42" spans="1:9" x14ac:dyDescent="0.2">
      <c r="A42" s="1" t="s">
        <v>33</v>
      </c>
      <c r="G42" s="67" t="s">
        <v>7</v>
      </c>
      <c r="H42" s="67"/>
      <c r="I42" s="57"/>
    </row>
    <row r="43" spans="1:9" ht="38.25" x14ac:dyDescent="0.2">
      <c r="A43" s="60" t="s">
        <v>23</v>
      </c>
      <c r="B43" s="61" t="s">
        <v>24</v>
      </c>
      <c r="C43" s="61" t="s">
        <v>25</v>
      </c>
      <c r="D43" s="61" t="s">
        <v>26</v>
      </c>
      <c r="E43" s="61" t="s">
        <v>27</v>
      </c>
      <c r="F43" s="61" t="s">
        <v>28</v>
      </c>
      <c r="G43" s="62" t="s">
        <v>27</v>
      </c>
      <c r="H43" s="62" t="s">
        <v>28</v>
      </c>
      <c r="I43" s="57"/>
    </row>
    <row r="44" spans="1:9" x14ac:dyDescent="0.2">
      <c r="A44" s="50">
        <v>16687.14</v>
      </c>
      <c r="B44" s="51">
        <v>0</v>
      </c>
      <c r="C44" s="51">
        <v>0</v>
      </c>
      <c r="D44" s="51">
        <v>0</v>
      </c>
      <c r="E44" s="52">
        <v>0</v>
      </c>
      <c r="F44" s="52">
        <v>0</v>
      </c>
      <c r="G44" s="53">
        <f>E44</f>
        <v>0</v>
      </c>
      <c r="H44" s="53">
        <f>F44</f>
        <v>0</v>
      </c>
      <c r="I44" s="57"/>
    </row>
    <row r="45" spans="1:9" x14ac:dyDescent="0.2">
      <c r="A45" s="54">
        <v>16700</v>
      </c>
      <c r="B45" s="51">
        <v>42.02</v>
      </c>
      <c r="C45" s="51">
        <v>2906.73</v>
      </c>
      <c r="D45" s="51">
        <v>42.02</v>
      </c>
      <c r="E45" s="52">
        <f>(((B45+B44)/2)*(A45-A44))/27</f>
        <v>10.006985185185638</v>
      </c>
      <c r="F45" s="52">
        <f>(((C45+C44)/2)*(A45-A44))/27</f>
        <v>692.23236666669811</v>
      </c>
      <c r="G45" s="53">
        <f t="shared" ref="G45:H47" si="12">E45+G44</f>
        <v>10.006985185185638</v>
      </c>
      <c r="H45" s="53">
        <f t="shared" si="12"/>
        <v>692.23236666669811</v>
      </c>
      <c r="I45" s="57"/>
    </row>
    <row r="46" spans="1:9" x14ac:dyDescent="0.2">
      <c r="A46" s="54">
        <v>16750</v>
      </c>
      <c r="B46" s="51">
        <v>20.34</v>
      </c>
      <c r="C46" s="51">
        <v>2513.29</v>
      </c>
      <c r="D46" s="51">
        <v>20.34</v>
      </c>
      <c r="E46" s="52">
        <f>(((B46+B45)/2)*(A46-A45))/27</f>
        <v>57.74074074074074</v>
      </c>
      <c r="F46" s="52">
        <f>(((C46+C45)/2)*(A46-A45))/27</f>
        <v>5018.5370370370374</v>
      </c>
      <c r="G46" s="53">
        <f t="shared" si="12"/>
        <v>67.747725925926375</v>
      </c>
      <c r="H46" s="53">
        <f t="shared" si="12"/>
        <v>5710.7694037037354</v>
      </c>
      <c r="I46" s="57"/>
    </row>
    <row r="47" spans="1:9" x14ac:dyDescent="0.2">
      <c r="A47" s="54">
        <v>16772.82</v>
      </c>
      <c r="B47" s="51">
        <v>0</v>
      </c>
      <c r="C47" s="51">
        <v>0</v>
      </c>
      <c r="D47" s="51">
        <v>0</v>
      </c>
      <c r="E47" s="52">
        <f>(((B47+B46)/2)*(A47-A46))/27</f>
        <v>8.5955333333332238</v>
      </c>
      <c r="F47" s="52">
        <f>(((C47+C46)/2)*(A47-A46))/27</f>
        <v>1062.0977370370235</v>
      </c>
      <c r="G47" s="53">
        <f t="shared" si="12"/>
        <v>76.343259259259597</v>
      </c>
      <c r="H47" s="53">
        <f t="shared" si="12"/>
        <v>6772.8671407407592</v>
      </c>
      <c r="I47" s="57"/>
    </row>
    <row r="48" spans="1:9" x14ac:dyDescent="0.2">
      <c r="A48" s="63"/>
      <c r="B48" s="55"/>
      <c r="C48" s="55"/>
      <c r="D48" s="55"/>
      <c r="E48" s="56"/>
      <c r="F48" s="56"/>
      <c r="G48" s="57"/>
      <c r="H48" s="57"/>
      <c r="I48" s="57"/>
    </row>
    <row r="49" spans="1:16" x14ac:dyDescent="0.2">
      <c r="A49" s="63"/>
      <c r="B49" s="55"/>
      <c r="C49" s="55"/>
      <c r="D49" s="55"/>
      <c r="E49" s="56"/>
      <c r="F49" s="56"/>
      <c r="G49" s="57"/>
      <c r="H49" s="57"/>
      <c r="I49" s="57"/>
    </row>
    <row r="50" spans="1:16" x14ac:dyDescent="0.2">
      <c r="A50" s="63"/>
      <c r="B50" s="55"/>
      <c r="C50" s="55"/>
      <c r="D50" s="55"/>
      <c r="E50" s="56"/>
      <c r="F50" s="56"/>
      <c r="G50" s="57"/>
      <c r="H50" s="57"/>
      <c r="I50" s="57"/>
    </row>
    <row r="51" spans="1:16" x14ac:dyDescent="0.2">
      <c r="A51" s="1" t="s">
        <v>34</v>
      </c>
      <c r="G51" s="67" t="s">
        <v>7</v>
      </c>
      <c r="H51" s="67"/>
      <c r="I51" s="57"/>
    </row>
    <row r="52" spans="1:16" ht="38.25" x14ac:dyDescent="0.2">
      <c r="A52" s="60" t="s">
        <v>23</v>
      </c>
      <c r="B52" s="61" t="s">
        <v>24</v>
      </c>
      <c r="C52" s="61" t="s">
        <v>25</v>
      </c>
      <c r="D52" s="61" t="s">
        <v>26</v>
      </c>
      <c r="E52" s="61" t="s">
        <v>27</v>
      </c>
      <c r="F52" s="61" t="s">
        <v>28</v>
      </c>
      <c r="G52" s="62" t="s">
        <v>27</v>
      </c>
      <c r="H52" s="62" t="s">
        <v>28</v>
      </c>
      <c r="I52" s="57"/>
    </row>
    <row r="53" spans="1:16" x14ac:dyDescent="0.2">
      <c r="A53" s="50">
        <v>50591.199999999997</v>
      </c>
      <c r="B53" s="51">
        <v>0</v>
      </c>
      <c r="C53" s="51">
        <v>0</v>
      </c>
      <c r="D53" s="51"/>
      <c r="E53" s="52">
        <v>0</v>
      </c>
      <c r="F53" s="52">
        <v>0</v>
      </c>
      <c r="G53" s="53">
        <f>E53</f>
        <v>0</v>
      </c>
      <c r="H53" s="53">
        <f>F53</f>
        <v>0</v>
      </c>
      <c r="I53" s="57"/>
    </row>
    <row r="54" spans="1:16" x14ac:dyDescent="0.2">
      <c r="A54" s="54">
        <v>50600</v>
      </c>
      <c r="B54" s="51">
        <v>0</v>
      </c>
      <c r="C54" s="51">
        <v>1131.1600000000001</v>
      </c>
      <c r="D54" s="51"/>
      <c r="E54" s="52">
        <f t="shared" ref="E54:E66" si="13">(((B54+B53)/2)*(A54-A53))/27</f>
        <v>0</v>
      </c>
      <c r="F54" s="52">
        <f t="shared" ref="F54:F66" si="14">(((C54+C53)/2)*(A54-A53))/27</f>
        <v>184.33718518524617</v>
      </c>
      <c r="G54" s="53">
        <f t="shared" ref="G54:G66" si="15">E54+G53</f>
        <v>0</v>
      </c>
      <c r="H54" s="53">
        <f t="shared" ref="H54:H66" si="16">F54+H53</f>
        <v>184.33718518524617</v>
      </c>
      <c r="I54" s="57"/>
    </row>
    <row r="55" spans="1:16" x14ac:dyDescent="0.2">
      <c r="A55" s="54">
        <v>50650</v>
      </c>
      <c r="B55" s="51">
        <f>23.08+19.53</f>
        <v>42.61</v>
      </c>
      <c r="C55" s="51">
        <v>915.29</v>
      </c>
      <c r="D55" s="51">
        <f>23.08+19.53</f>
        <v>42.61</v>
      </c>
      <c r="E55" s="52">
        <f t="shared" si="13"/>
        <v>39.453703703703702</v>
      </c>
      <c r="F55" s="52">
        <f t="shared" si="14"/>
        <v>1894.8611111111111</v>
      </c>
      <c r="G55" s="53">
        <f t="shared" si="15"/>
        <v>39.453703703703702</v>
      </c>
      <c r="H55" s="53">
        <f t="shared" si="16"/>
        <v>2079.1982962963571</v>
      </c>
      <c r="I55" s="57"/>
    </row>
    <row r="56" spans="1:16" x14ac:dyDescent="0.2">
      <c r="A56" s="54">
        <v>50700</v>
      </c>
      <c r="B56" s="51">
        <f>31.54+70.01</f>
        <v>101.55000000000001</v>
      </c>
      <c r="C56" s="51">
        <v>969.55</v>
      </c>
      <c r="D56" s="51">
        <f>31.54+47.09</f>
        <v>78.63</v>
      </c>
      <c r="E56" s="52">
        <f t="shared" si="13"/>
        <v>133.4814814814815</v>
      </c>
      <c r="F56" s="52">
        <f t="shared" si="14"/>
        <v>1745.2222222222222</v>
      </c>
      <c r="G56" s="53">
        <f t="shared" si="15"/>
        <v>172.93518518518519</v>
      </c>
      <c r="H56" s="53">
        <f t="shared" si="16"/>
        <v>3824.4205185185792</v>
      </c>
      <c r="I56" s="57"/>
    </row>
    <row r="57" spans="1:16" x14ac:dyDescent="0.2">
      <c r="A57" s="54">
        <v>50750</v>
      </c>
      <c r="B57" s="51">
        <f>35.71+98.16+15.44</f>
        <v>149.31</v>
      </c>
      <c r="C57" s="51">
        <f>62.06+903.38</f>
        <v>965.44</v>
      </c>
      <c r="D57" s="51">
        <f>35.71+98.16+15.44</f>
        <v>149.31</v>
      </c>
      <c r="E57" s="52">
        <f t="shared" si="13"/>
        <v>232.27777777777777</v>
      </c>
      <c r="F57" s="52">
        <f t="shared" si="14"/>
        <v>1791.6574074074074</v>
      </c>
      <c r="G57" s="53">
        <f t="shared" si="15"/>
        <v>405.21296296296293</v>
      </c>
      <c r="H57" s="53">
        <f t="shared" si="16"/>
        <v>5616.0779259259871</v>
      </c>
      <c r="I57" s="57"/>
    </row>
    <row r="58" spans="1:16" x14ac:dyDescent="0.2">
      <c r="A58" s="54">
        <v>50800</v>
      </c>
      <c r="B58" s="51">
        <f>37.08+47.46+48.29+14.23</f>
        <v>147.05999999999997</v>
      </c>
      <c r="C58" s="51">
        <f>14.58+916.16</f>
        <v>930.74</v>
      </c>
      <c r="D58" s="51">
        <f>37.08+47.46+48.29+14.23</f>
        <v>147.05999999999997</v>
      </c>
      <c r="E58" s="52">
        <f t="shared" si="13"/>
        <v>274.41666666666669</v>
      </c>
      <c r="F58" s="52">
        <f t="shared" si="14"/>
        <v>1755.7222222222222</v>
      </c>
      <c r="G58" s="53">
        <f t="shared" si="15"/>
        <v>679.62962962962956</v>
      </c>
      <c r="H58" s="53">
        <f t="shared" si="16"/>
        <v>7371.8001481482097</v>
      </c>
      <c r="I58" s="57"/>
    </row>
    <row r="59" spans="1:16" x14ac:dyDescent="0.2">
      <c r="A59" s="54">
        <v>50850</v>
      </c>
      <c r="B59" s="51">
        <f>38.33+46.96+53.54+16.1</f>
        <v>154.92999999999998</v>
      </c>
      <c r="C59" s="51">
        <v>933.93</v>
      </c>
      <c r="D59" s="51">
        <f>38.33+46.96+53.54+16.1</f>
        <v>154.92999999999998</v>
      </c>
      <c r="E59" s="52">
        <f t="shared" si="13"/>
        <v>279.62037037037032</v>
      </c>
      <c r="F59" s="52">
        <f t="shared" si="14"/>
        <v>1726.5462962962963</v>
      </c>
      <c r="G59" s="53">
        <f t="shared" si="15"/>
        <v>959.24999999999989</v>
      </c>
      <c r="H59" s="53">
        <f t="shared" si="16"/>
        <v>9098.3464444445053</v>
      </c>
      <c r="I59" s="57"/>
    </row>
    <row r="60" spans="1:16" x14ac:dyDescent="0.2">
      <c r="A60" s="54">
        <v>50883</v>
      </c>
      <c r="B60" s="51">
        <f>20.99+47.72+57.6+18.47</f>
        <v>144.78</v>
      </c>
      <c r="C60" s="51">
        <v>904.64</v>
      </c>
      <c r="D60" s="51">
        <f>20.99+47.72+57.6+18.47</f>
        <v>144.78</v>
      </c>
      <c r="E60" s="52">
        <f t="shared" si="13"/>
        <v>183.15611111111107</v>
      </c>
      <c r="F60" s="52">
        <f t="shared" si="14"/>
        <v>1123.5705555555555</v>
      </c>
      <c r="G60" s="53">
        <f t="shared" si="15"/>
        <v>1142.4061111111109</v>
      </c>
      <c r="H60" s="53">
        <f t="shared" si="16"/>
        <v>10221.917000000061</v>
      </c>
      <c r="I60" s="57"/>
    </row>
    <row r="61" spans="1:16" x14ac:dyDescent="0.2">
      <c r="A61" s="54">
        <v>50900</v>
      </c>
      <c r="B61" s="51">
        <f>11.78+49.41+60.85+19.93</f>
        <v>141.97</v>
      </c>
      <c r="C61" s="51">
        <v>895.62</v>
      </c>
      <c r="D61" s="51">
        <f>11.78+49.41+60.85+19.93</f>
        <v>141.97</v>
      </c>
      <c r="E61" s="52">
        <f t="shared" si="13"/>
        <v>90.273148148148152</v>
      </c>
      <c r="F61" s="52">
        <f t="shared" si="14"/>
        <v>566.74851851851849</v>
      </c>
      <c r="G61" s="53">
        <f t="shared" si="15"/>
        <v>1232.6792592592592</v>
      </c>
      <c r="H61" s="53">
        <f t="shared" si="16"/>
        <v>10788.665518518579</v>
      </c>
      <c r="I61" s="57"/>
    </row>
    <row r="62" spans="1:16" x14ac:dyDescent="0.2">
      <c r="A62" s="54">
        <v>50950</v>
      </c>
      <c r="B62" s="51">
        <f>52.96+35.88</f>
        <v>88.84</v>
      </c>
      <c r="C62" s="51">
        <v>800.15</v>
      </c>
      <c r="D62" s="51">
        <f>52.96+35.88</f>
        <v>88.84</v>
      </c>
      <c r="E62" s="52">
        <f t="shared" si="13"/>
        <v>213.71296296296296</v>
      </c>
      <c r="F62" s="52">
        <f t="shared" si="14"/>
        <v>1570.1574074074074</v>
      </c>
      <c r="G62" s="53">
        <f t="shared" si="15"/>
        <v>1446.3922222222222</v>
      </c>
      <c r="H62" s="53">
        <f t="shared" si="16"/>
        <v>12358.822925925986</v>
      </c>
      <c r="I62" s="57"/>
    </row>
    <row r="63" spans="1:16" x14ac:dyDescent="0.2">
      <c r="A63" s="54">
        <v>51000</v>
      </c>
      <c r="B63" s="51">
        <f>40.3+45.43</f>
        <v>85.72999999999999</v>
      </c>
      <c r="C63" s="51">
        <f>695.71+15.78+22.55</f>
        <v>734.04</v>
      </c>
      <c r="D63" s="51">
        <f>40.3+45.43</f>
        <v>85.72999999999999</v>
      </c>
      <c r="E63" s="52">
        <f t="shared" si="13"/>
        <v>161.63888888888889</v>
      </c>
      <c r="F63" s="52">
        <f t="shared" si="14"/>
        <v>1420.5462962962963</v>
      </c>
      <c r="G63" s="53">
        <f t="shared" si="15"/>
        <v>1608.0311111111112</v>
      </c>
      <c r="H63" s="53">
        <f t="shared" si="16"/>
        <v>13779.369222222282</v>
      </c>
      <c r="I63" s="57"/>
      <c r="K63" s="68"/>
      <c r="L63" s="68"/>
      <c r="M63" s="68"/>
      <c r="N63" s="68"/>
      <c r="O63" s="68"/>
      <c r="P63" s="68"/>
    </row>
    <row r="64" spans="1:16" x14ac:dyDescent="0.2">
      <c r="A64" s="54">
        <v>51040</v>
      </c>
      <c r="B64" s="51">
        <f>5.2+1.71+37.06+16.38+19.65+33.35+4.54</f>
        <v>117.89</v>
      </c>
      <c r="C64" s="51">
        <v>543.20000000000005</v>
      </c>
      <c r="D64" s="51">
        <f>37.06+16.38+19.65+33.35</f>
        <v>106.44</v>
      </c>
      <c r="E64" s="52">
        <f t="shared" si="13"/>
        <v>150.82962962962964</v>
      </c>
      <c r="F64" s="52">
        <f t="shared" si="14"/>
        <v>946.10370370370367</v>
      </c>
      <c r="G64" s="53">
        <f t="shared" si="15"/>
        <v>1758.8607407407408</v>
      </c>
      <c r="H64" s="53">
        <f t="shared" si="16"/>
        <v>14725.472925925986</v>
      </c>
      <c r="I64" s="57"/>
      <c r="K64" s="68"/>
      <c r="L64" s="68"/>
      <c r="M64" s="68"/>
      <c r="N64" s="68"/>
      <c r="O64" s="68"/>
      <c r="P64" s="68"/>
    </row>
    <row r="65" spans="1:16" x14ac:dyDescent="0.2">
      <c r="A65" s="54">
        <v>51050</v>
      </c>
      <c r="B65" s="51">
        <f>56.19+56.56</f>
        <v>112.75</v>
      </c>
      <c r="C65" s="51">
        <f>577.38+2.86+2.86</f>
        <v>583.1</v>
      </c>
      <c r="D65" s="51">
        <f>56.19+56.56</f>
        <v>112.75</v>
      </c>
      <c r="E65" s="52">
        <f t="shared" si="13"/>
        <v>42.711111111111101</v>
      </c>
      <c r="F65" s="52">
        <f t="shared" si="14"/>
        <v>208.5740740740741</v>
      </c>
      <c r="G65" s="53">
        <f t="shared" si="15"/>
        <v>1801.5718518518518</v>
      </c>
      <c r="H65" s="53">
        <f t="shared" si="16"/>
        <v>14934.047000000061</v>
      </c>
      <c r="I65" s="57"/>
      <c r="K65" s="68"/>
      <c r="L65" s="68"/>
      <c r="M65" s="68"/>
      <c r="N65" s="68"/>
      <c r="O65" s="68"/>
      <c r="P65" s="68"/>
    </row>
    <row r="66" spans="1:16" x14ac:dyDescent="0.2">
      <c r="A66" s="54">
        <v>51052.639999999999</v>
      </c>
      <c r="B66" s="51">
        <v>0</v>
      </c>
      <c r="C66" s="51">
        <v>0</v>
      </c>
      <c r="D66" s="51"/>
      <c r="E66" s="52">
        <f t="shared" si="13"/>
        <v>5.5122222222210064</v>
      </c>
      <c r="F66" s="52">
        <f t="shared" si="14"/>
        <v>28.507111111104823</v>
      </c>
      <c r="G66" s="53">
        <f t="shared" si="15"/>
        <v>1807.0840740740728</v>
      </c>
      <c r="H66" s="53">
        <f t="shared" si="16"/>
        <v>14962.554111111165</v>
      </c>
      <c r="I66" s="57"/>
      <c r="K66" s="55"/>
      <c r="L66" s="63"/>
      <c r="M66" s="68"/>
      <c r="N66" s="68"/>
      <c r="O66" s="68"/>
      <c r="P66" s="68"/>
    </row>
    <row r="67" spans="1:16" x14ac:dyDescent="0.2">
      <c r="A67" s="63"/>
      <c r="B67" s="55"/>
      <c r="C67" s="55"/>
      <c r="D67" s="55"/>
      <c r="E67" s="56"/>
      <c r="F67" s="56"/>
      <c r="G67" s="57"/>
      <c r="H67" s="57"/>
      <c r="I67" s="57"/>
      <c r="K67" s="68"/>
      <c r="L67" s="68"/>
      <c r="M67" s="68"/>
      <c r="N67" s="68"/>
      <c r="O67" s="68"/>
      <c r="P67" s="68"/>
    </row>
    <row r="68" spans="1:16" x14ac:dyDescent="0.2">
      <c r="A68" s="63"/>
      <c r="B68" s="55"/>
      <c r="C68" s="55"/>
      <c r="D68" s="55"/>
      <c r="E68" s="56"/>
      <c r="F68" s="56"/>
      <c r="G68" s="57"/>
      <c r="H68" s="57"/>
      <c r="I68" s="57"/>
      <c r="K68" s="68"/>
      <c r="L68" s="68"/>
      <c r="M68" s="68"/>
      <c r="N68" s="68"/>
      <c r="O68" s="68"/>
      <c r="P68" s="68"/>
    </row>
    <row r="69" spans="1:16" x14ac:dyDescent="0.2">
      <c r="A69" s="63"/>
      <c r="B69" s="55"/>
      <c r="C69" s="55"/>
      <c r="D69" s="55"/>
      <c r="E69" s="56"/>
      <c r="F69" s="56"/>
      <c r="G69" s="57"/>
      <c r="H69" s="57"/>
      <c r="I69" s="57"/>
      <c r="K69" s="68"/>
      <c r="L69" s="68"/>
      <c r="M69" s="68"/>
      <c r="N69" s="68"/>
      <c r="O69" s="68"/>
      <c r="P69" s="68"/>
    </row>
    <row r="70" spans="1:16" x14ac:dyDescent="0.2">
      <c r="A70" s="1" t="s">
        <v>35</v>
      </c>
      <c r="G70" s="67" t="s">
        <v>7</v>
      </c>
      <c r="H70" s="67"/>
      <c r="I70" s="57"/>
      <c r="K70" s="68"/>
      <c r="L70" s="68"/>
      <c r="M70" s="68"/>
      <c r="N70" s="68"/>
      <c r="O70" s="68"/>
      <c r="P70" s="68"/>
    </row>
    <row r="71" spans="1:16" ht="38.25" x14ac:dyDescent="0.2">
      <c r="A71" s="60" t="s">
        <v>23</v>
      </c>
      <c r="B71" s="61" t="s">
        <v>24</v>
      </c>
      <c r="C71" s="61" t="s">
        <v>25</v>
      </c>
      <c r="D71" s="61" t="s">
        <v>26</v>
      </c>
      <c r="E71" s="61" t="s">
        <v>27</v>
      </c>
      <c r="F71" s="61" t="s">
        <v>28</v>
      </c>
      <c r="G71" s="62" t="s">
        <v>27</v>
      </c>
      <c r="H71" s="62" t="s">
        <v>28</v>
      </c>
      <c r="I71" s="57"/>
    </row>
    <row r="72" spans="1:16" x14ac:dyDescent="0.2">
      <c r="A72" s="50">
        <v>1500</v>
      </c>
      <c r="B72" s="51">
        <v>73.849999999999994</v>
      </c>
      <c r="C72" s="51">
        <f>52.21+0.87</f>
        <v>53.08</v>
      </c>
      <c r="D72" s="51"/>
      <c r="E72" s="52">
        <v>0</v>
      </c>
      <c r="F72" s="52">
        <v>0</v>
      </c>
      <c r="G72" s="53">
        <f>E72</f>
        <v>0</v>
      </c>
      <c r="H72" s="53">
        <f>F72</f>
        <v>0</v>
      </c>
      <c r="I72" s="57"/>
    </row>
    <row r="73" spans="1:16" x14ac:dyDescent="0.2">
      <c r="A73" s="54">
        <v>1550</v>
      </c>
      <c r="B73" s="51">
        <v>84.4</v>
      </c>
      <c r="C73" s="51">
        <f>186.61+25.85</f>
        <v>212.46</v>
      </c>
      <c r="D73" s="51"/>
      <c r="E73" s="52">
        <f t="shared" ref="E73:E90" si="17">(((B73+B72)/2)*(A73-A72))/27</f>
        <v>146.52777777777777</v>
      </c>
      <c r="F73" s="52">
        <f t="shared" ref="F73:F90" si="18">(((C73+C72)/2)*(A73-A72))/27</f>
        <v>245.87037037037041</v>
      </c>
      <c r="G73" s="53">
        <f t="shared" ref="G73:G90" si="19">E73+G72</f>
        <v>146.52777777777777</v>
      </c>
      <c r="H73" s="53">
        <f t="shared" ref="H73:H90" si="20">F73+H72</f>
        <v>245.87037037037041</v>
      </c>
      <c r="I73" s="57"/>
    </row>
    <row r="74" spans="1:16" x14ac:dyDescent="0.2">
      <c r="A74" s="54">
        <v>1600</v>
      </c>
      <c r="B74" s="51">
        <v>108.41</v>
      </c>
      <c r="C74" s="51">
        <v>104.22</v>
      </c>
      <c r="D74" s="51"/>
      <c r="E74" s="52">
        <f t="shared" si="17"/>
        <v>178.52777777777777</v>
      </c>
      <c r="F74" s="52">
        <f t="shared" si="18"/>
        <v>293.22222222222223</v>
      </c>
      <c r="G74" s="53">
        <f t="shared" si="19"/>
        <v>325.05555555555554</v>
      </c>
      <c r="H74" s="53">
        <f t="shared" si="20"/>
        <v>539.09259259259261</v>
      </c>
      <c r="I74" s="57"/>
    </row>
    <row r="75" spans="1:16" x14ac:dyDescent="0.2">
      <c r="A75" s="54">
        <v>1650</v>
      </c>
      <c r="B75" s="51">
        <f>27.57+47.9+49.17</f>
        <v>124.64</v>
      </c>
      <c r="C75" s="51">
        <v>2.99</v>
      </c>
      <c r="D75" s="51"/>
      <c r="E75" s="52">
        <f t="shared" si="17"/>
        <v>215.78703703703704</v>
      </c>
      <c r="F75" s="52">
        <f t="shared" si="18"/>
        <v>99.268518518518519</v>
      </c>
      <c r="G75" s="53">
        <f t="shared" si="19"/>
        <v>540.84259259259261</v>
      </c>
      <c r="H75" s="53">
        <f t="shared" si="20"/>
        <v>638.36111111111109</v>
      </c>
      <c r="I75" s="57"/>
    </row>
    <row r="76" spans="1:16" x14ac:dyDescent="0.2">
      <c r="A76" s="54">
        <v>1664</v>
      </c>
      <c r="B76" s="51">
        <f>11.25+39.46+10.5</f>
        <v>61.21</v>
      </c>
      <c r="C76" s="51">
        <f>2.75+3.49+15.24</f>
        <v>21.48</v>
      </c>
      <c r="D76" s="51"/>
      <c r="E76" s="52">
        <f t="shared" si="17"/>
        <v>48.183333333333337</v>
      </c>
      <c r="F76" s="52">
        <f t="shared" si="18"/>
        <v>6.344074074074074</v>
      </c>
      <c r="G76" s="53">
        <f t="shared" si="19"/>
        <v>589.025925925926</v>
      </c>
      <c r="H76" s="53">
        <f t="shared" si="20"/>
        <v>644.7051851851852</v>
      </c>
      <c r="I76" s="57"/>
    </row>
    <row r="77" spans="1:16" x14ac:dyDescent="0.2">
      <c r="A77" s="54">
        <v>1700</v>
      </c>
      <c r="B77" s="51">
        <v>32.58</v>
      </c>
      <c r="C77" s="51">
        <f>14.27+26.03</f>
        <v>40.299999999999997</v>
      </c>
      <c r="D77" s="51"/>
      <c r="E77" s="52">
        <f t="shared" si="17"/>
        <v>62.526666666666657</v>
      </c>
      <c r="F77" s="52">
        <f t="shared" si="18"/>
        <v>41.186666666666667</v>
      </c>
      <c r="G77" s="53">
        <f t="shared" si="19"/>
        <v>651.55259259259265</v>
      </c>
      <c r="H77" s="53">
        <f t="shared" si="20"/>
        <v>685.89185185185192</v>
      </c>
      <c r="I77" s="57"/>
    </row>
    <row r="78" spans="1:16" x14ac:dyDescent="0.2">
      <c r="A78" s="54">
        <v>1750</v>
      </c>
      <c r="B78" s="51">
        <f>69.6+24.55+8.95+4.35</f>
        <v>107.44999999999999</v>
      </c>
      <c r="C78" s="51">
        <f>2.31+1.99</f>
        <v>4.3</v>
      </c>
      <c r="D78" s="51"/>
      <c r="E78" s="52">
        <f t="shared" si="17"/>
        <v>129.65740740740736</v>
      </c>
      <c r="F78" s="52">
        <f t="shared" si="18"/>
        <v>41.296296296296291</v>
      </c>
      <c r="G78" s="53">
        <f t="shared" si="19"/>
        <v>781.21</v>
      </c>
      <c r="H78" s="53">
        <f t="shared" si="20"/>
        <v>727.18814814814823</v>
      </c>
      <c r="I78" s="57"/>
    </row>
    <row r="79" spans="1:16" x14ac:dyDescent="0.2">
      <c r="A79" s="54">
        <v>1780</v>
      </c>
      <c r="B79" s="51">
        <f>8.1+44.56+2.23</f>
        <v>54.89</v>
      </c>
      <c r="C79" s="51">
        <v>8.44</v>
      </c>
      <c r="D79" s="51"/>
      <c r="E79" s="52">
        <f t="shared" si="17"/>
        <v>90.188888888888869</v>
      </c>
      <c r="F79" s="52">
        <f t="shared" si="18"/>
        <v>7.0777777777777766</v>
      </c>
      <c r="G79" s="53">
        <f t="shared" si="19"/>
        <v>871.39888888888891</v>
      </c>
      <c r="H79" s="53">
        <f t="shared" si="20"/>
        <v>734.26592592592601</v>
      </c>
      <c r="I79" s="57"/>
    </row>
    <row r="80" spans="1:16" x14ac:dyDescent="0.2">
      <c r="A80" s="54">
        <v>1800</v>
      </c>
      <c r="B80" s="51">
        <v>0</v>
      </c>
      <c r="C80" s="51">
        <v>0</v>
      </c>
      <c r="D80" s="51"/>
      <c r="E80" s="52">
        <f t="shared" si="17"/>
        <v>20.329629629629629</v>
      </c>
      <c r="F80" s="52">
        <f t="shared" si="18"/>
        <v>3.1259259259259258</v>
      </c>
      <c r="G80" s="53">
        <f t="shared" si="19"/>
        <v>891.72851851851851</v>
      </c>
      <c r="H80" s="53">
        <f t="shared" si="20"/>
        <v>737.39185185185192</v>
      </c>
      <c r="I80" s="57"/>
    </row>
    <row r="81" spans="1:9" x14ac:dyDescent="0.2">
      <c r="A81" s="54">
        <v>1850</v>
      </c>
      <c r="B81" s="51">
        <f>33.05+5.59</f>
        <v>38.64</v>
      </c>
      <c r="C81" s="51">
        <v>2.5099999999999998</v>
      </c>
      <c r="D81" s="51"/>
      <c r="E81" s="52">
        <f t="shared" si="17"/>
        <v>35.777777777777779</v>
      </c>
      <c r="F81" s="52">
        <f t="shared" si="18"/>
        <v>2.324074074074074</v>
      </c>
      <c r="G81" s="53">
        <f t="shared" si="19"/>
        <v>927.50629629629634</v>
      </c>
      <c r="H81" s="53">
        <f t="shared" si="20"/>
        <v>739.71592592592594</v>
      </c>
      <c r="I81" s="57"/>
    </row>
    <row r="82" spans="1:9" x14ac:dyDescent="0.2">
      <c r="A82" s="54">
        <v>1900</v>
      </c>
      <c r="B82" s="51">
        <f>4.23+63.42</f>
        <v>67.650000000000006</v>
      </c>
      <c r="C82" s="51">
        <v>5.56</v>
      </c>
      <c r="D82" s="51"/>
      <c r="E82" s="52">
        <f t="shared" si="17"/>
        <v>98.416666666666671</v>
      </c>
      <c r="F82" s="52">
        <f t="shared" si="18"/>
        <v>7.4722222222222223</v>
      </c>
      <c r="G82" s="53">
        <f t="shared" si="19"/>
        <v>1025.9229629629631</v>
      </c>
      <c r="H82" s="53">
        <f t="shared" si="20"/>
        <v>747.18814814814812</v>
      </c>
      <c r="I82" s="57"/>
    </row>
    <row r="83" spans="1:9" x14ac:dyDescent="0.2">
      <c r="A83" s="54">
        <v>1950</v>
      </c>
      <c r="B83" s="51">
        <f>2.04+57.1+13.72</f>
        <v>72.86</v>
      </c>
      <c r="C83" s="51">
        <f>4.1+66.6</f>
        <v>70.699999999999989</v>
      </c>
      <c r="D83" s="51"/>
      <c r="E83" s="52">
        <f t="shared" si="17"/>
        <v>130.10185185185185</v>
      </c>
      <c r="F83" s="52">
        <f t="shared" si="18"/>
        <v>70.6111111111111</v>
      </c>
      <c r="G83" s="53">
        <f t="shared" si="19"/>
        <v>1156.0248148148148</v>
      </c>
      <c r="H83" s="53">
        <f t="shared" si="20"/>
        <v>817.7992592592592</v>
      </c>
      <c r="I83" s="57"/>
    </row>
    <row r="84" spans="1:9" x14ac:dyDescent="0.2">
      <c r="A84" s="54">
        <v>2000</v>
      </c>
      <c r="B84" s="51">
        <v>77</v>
      </c>
      <c r="C84" s="51">
        <v>3</v>
      </c>
      <c r="D84" s="51"/>
      <c r="E84" s="52">
        <f t="shared" si="17"/>
        <v>138.75925925925927</v>
      </c>
      <c r="F84" s="52">
        <f t="shared" si="18"/>
        <v>68.240740740740733</v>
      </c>
      <c r="G84" s="53">
        <f t="shared" si="19"/>
        <v>1294.7840740740742</v>
      </c>
      <c r="H84" s="53">
        <f t="shared" si="20"/>
        <v>886.04</v>
      </c>
      <c r="I84" s="57"/>
    </row>
    <row r="85" spans="1:9" x14ac:dyDescent="0.2">
      <c r="A85" s="54">
        <v>2050</v>
      </c>
      <c r="B85" s="51">
        <v>79</v>
      </c>
      <c r="C85" s="51">
        <v>0</v>
      </c>
      <c r="D85" s="51"/>
      <c r="E85" s="52">
        <f t="shared" si="17"/>
        <v>144.44444444444446</v>
      </c>
      <c r="F85" s="52">
        <f t="shared" si="18"/>
        <v>2.7777777777777777</v>
      </c>
      <c r="G85" s="53">
        <f t="shared" si="19"/>
        <v>1439.2285185185187</v>
      </c>
      <c r="H85" s="53">
        <f t="shared" si="20"/>
        <v>888.81777777777779</v>
      </c>
      <c r="I85" s="57"/>
    </row>
    <row r="86" spans="1:9" x14ac:dyDescent="0.2">
      <c r="A86" s="54">
        <v>2100</v>
      </c>
      <c r="B86" s="51">
        <v>78</v>
      </c>
      <c r="C86" s="51">
        <v>0</v>
      </c>
      <c r="D86" s="51"/>
      <c r="E86" s="52">
        <f t="shared" si="17"/>
        <v>145.37037037037038</v>
      </c>
      <c r="F86" s="52">
        <f t="shared" si="18"/>
        <v>0</v>
      </c>
      <c r="G86" s="53">
        <f t="shared" si="19"/>
        <v>1584.5988888888892</v>
      </c>
      <c r="H86" s="53">
        <f t="shared" si="20"/>
        <v>888.81777777777779</v>
      </c>
      <c r="I86" s="57"/>
    </row>
    <row r="87" spans="1:9" x14ac:dyDescent="0.2">
      <c r="A87" s="54">
        <v>2150</v>
      </c>
      <c r="B87" s="51">
        <v>60</v>
      </c>
      <c r="C87" s="51">
        <v>0</v>
      </c>
      <c r="D87" s="51"/>
      <c r="E87" s="52">
        <f t="shared" si="17"/>
        <v>127.77777777777777</v>
      </c>
      <c r="F87" s="52">
        <f t="shared" si="18"/>
        <v>0</v>
      </c>
      <c r="G87" s="53">
        <f t="shared" si="19"/>
        <v>1712.376666666667</v>
      </c>
      <c r="H87" s="53">
        <f t="shared" si="20"/>
        <v>888.81777777777779</v>
      </c>
      <c r="I87" s="57"/>
    </row>
    <row r="88" spans="1:9" x14ac:dyDescent="0.2">
      <c r="A88" s="54">
        <v>2200</v>
      </c>
      <c r="B88" s="51">
        <v>41</v>
      </c>
      <c r="C88" s="51">
        <v>3</v>
      </c>
      <c r="D88" s="51"/>
      <c r="E88" s="52">
        <f t="shared" si="17"/>
        <v>93.518518518518519</v>
      </c>
      <c r="F88" s="52">
        <f t="shared" si="18"/>
        <v>2.7777777777777777</v>
      </c>
      <c r="G88" s="53">
        <f t="shared" si="19"/>
        <v>1805.8951851851855</v>
      </c>
      <c r="H88" s="53">
        <f t="shared" si="20"/>
        <v>891.59555555555562</v>
      </c>
      <c r="I88" s="57"/>
    </row>
    <row r="89" spans="1:9" x14ac:dyDescent="0.2">
      <c r="A89" s="54">
        <v>2250</v>
      </c>
      <c r="B89" s="51">
        <v>82</v>
      </c>
      <c r="C89" s="51">
        <v>37</v>
      </c>
      <c r="D89" s="51"/>
      <c r="E89" s="52">
        <f t="shared" si="17"/>
        <v>113.88888888888889</v>
      </c>
      <c r="F89" s="52">
        <f t="shared" si="18"/>
        <v>37.037037037037038</v>
      </c>
      <c r="G89" s="53">
        <f t="shared" si="19"/>
        <v>1919.7840740740744</v>
      </c>
      <c r="H89" s="53">
        <f t="shared" si="20"/>
        <v>928.63259259259269</v>
      </c>
      <c r="I89" s="57"/>
    </row>
    <row r="90" spans="1:9" x14ac:dyDescent="0.2">
      <c r="A90" s="54">
        <v>2300</v>
      </c>
      <c r="B90" s="51">
        <v>77</v>
      </c>
      <c r="C90" s="51">
        <v>0</v>
      </c>
      <c r="D90" s="51"/>
      <c r="E90" s="52">
        <f t="shared" si="17"/>
        <v>147.22222222222223</v>
      </c>
      <c r="F90" s="52">
        <f t="shared" si="18"/>
        <v>34.25925925925926</v>
      </c>
      <c r="G90" s="53">
        <f t="shared" si="19"/>
        <v>2067.0062962962966</v>
      </c>
      <c r="H90" s="53">
        <f t="shared" si="20"/>
        <v>962.89185185185192</v>
      </c>
      <c r="I90" s="57"/>
    </row>
    <row r="91" spans="1:9" x14ac:dyDescent="0.2">
      <c r="A91" s="54">
        <v>2317</v>
      </c>
      <c r="B91" s="51">
        <v>51</v>
      </c>
      <c r="C91" s="51">
        <v>0</v>
      </c>
      <c r="D91" s="51"/>
      <c r="E91" s="52">
        <f t="shared" ref="E91:E97" si="21">(((B91+B90)/2)*(A91-A90))/27</f>
        <v>40.296296296296298</v>
      </c>
      <c r="F91" s="52">
        <f t="shared" ref="F91:F97" si="22">(((C91+C90)/2)*(A91-A90))/27</f>
        <v>0</v>
      </c>
      <c r="G91" s="53">
        <f t="shared" ref="G91:G97" si="23">E91+G90</f>
        <v>2107.3025925925926</v>
      </c>
      <c r="H91" s="53">
        <f t="shared" ref="H91:H97" si="24">F91+H90</f>
        <v>962.89185185185192</v>
      </c>
      <c r="I91" s="57"/>
    </row>
    <row r="92" spans="1:9" x14ac:dyDescent="0.2">
      <c r="A92" s="54">
        <v>2350</v>
      </c>
      <c r="B92" s="51">
        <v>0</v>
      </c>
      <c r="C92" s="51">
        <v>0</v>
      </c>
      <c r="D92" s="51"/>
      <c r="E92" s="52">
        <f t="shared" si="21"/>
        <v>31.166666666666668</v>
      </c>
      <c r="F92" s="52">
        <f t="shared" si="22"/>
        <v>0</v>
      </c>
      <c r="G92" s="53">
        <f t="shared" si="23"/>
        <v>2138.4692592592592</v>
      </c>
      <c r="H92" s="53">
        <f t="shared" si="24"/>
        <v>962.89185185185192</v>
      </c>
      <c r="I92" s="57"/>
    </row>
    <row r="93" spans="1:9" x14ac:dyDescent="0.2">
      <c r="A93" s="54">
        <v>2400</v>
      </c>
      <c r="B93" s="51">
        <v>0</v>
      </c>
      <c r="C93" s="51">
        <v>0</v>
      </c>
      <c r="D93" s="51"/>
      <c r="E93" s="52">
        <f t="shared" si="21"/>
        <v>0</v>
      </c>
      <c r="F93" s="52">
        <f t="shared" si="22"/>
        <v>0</v>
      </c>
      <c r="G93" s="53">
        <f t="shared" si="23"/>
        <v>2138.4692592592592</v>
      </c>
      <c r="H93" s="53">
        <f t="shared" si="24"/>
        <v>962.89185185185192</v>
      </c>
      <c r="I93" s="57"/>
    </row>
    <row r="94" spans="1:9" x14ac:dyDescent="0.2">
      <c r="A94" s="54">
        <v>2417</v>
      </c>
      <c r="B94" s="51">
        <v>6</v>
      </c>
      <c r="C94" s="51">
        <v>0</v>
      </c>
      <c r="D94" s="51"/>
      <c r="E94" s="52">
        <f t="shared" si="21"/>
        <v>1.8888888888888888</v>
      </c>
      <c r="F94" s="52">
        <f t="shared" si="22"/>
        <v>0</v>
      </c>
      <c r="G94" s="53">
        <f t="shared" si="23"/>
        <v>2140.3581481481478</v>
      </c>
      <c r="H94" s="53">
        <f t="shared" si="24"/>
        <v>962.89185185185192</v>
      </c>
      <c r="I94" s="57"/>
    </row>
    <row r="95" spans="1:9" x14ac:dyDescent="0.2">
      <c r="A95" s="54">
        <v>2450</v>
      </c>
      <c r="B95" s="51">
        <v>3</v>
      </c>
      <c r="C95" s="51">
        <v>0</v>
      </c>
      <c r="D95" s="51"/>
      <c r="E95" s="52">
        <f t="shared" si="21"/>
        <v>5.5</v>
      </c>
      <c r="F95" s="52">
        <f t="shared" si="22"/>
        <v>0</v>
      </c>
      <c r="G95" s="53">
        <f t="shared" si="23"/>
        <v>2145.8581481481478</v>
      </c>
      <c r="H95" s="53">
        <f t="shared" si="24"/>
        <v>962.89185185185192</v>
      </c>
      <c r="I95" s="57"/>
    </row>
    <row r="96" spans="1:9" x14ac:dyDescent="0.2">
      <c r="A96" s="54">
        <v>2500</v>
      </c>
      <c r="B96" s="51">
        <f>6.36+14.67</f>
        <v>21.03</v>
      </c>
      <c r="C96" s="51">
        <v>13.44</v>
      </c>
      <c r="D96" s="51"/>
      <c r="E96" s="52">
        <f t="shared" si="21"/>
        <v>22.25</v>
      </c>
      <c r="F96" s="52">
        <f t="shared" si="22"/>
        <v>12.444444444444445</v>
      </c>
      <c r="G96" s="53">
        <f t="shared" si="23"/>
        <v>2168.1081481481478</v>
      </c>
      <c r="H96" s="53">
        <f t="shared" si="24"/>
        <v>975.33629629629638</v>
      </c>
      <c r="I96" s="57"/>
    </row>
    <row r="97" spans="1:9" x14ac:dyDescent="0.2">
      <c r="A97" s="54">
        <v>2550</v>
      </c>
      <c r="B97" s="51">
        <f>14.98+50.14</f>
        <v>65.12</v>
      </c>
      <c r="C97" s="51">
        <v>0.87</v>
      </c>
      <c r="D97" s="51"/>
      <c r="E97" s="52">
        <f t="shared" si="21"/>
        <v>79.768518518518519</v>
      </c>
      <c r="F97" s="52">
        <f t="shared" si="22"/>
        <v>13.249999999999998</v>
      </c>
      <c r="G97" s="53">
        <f t="shared" si="23"/>
        <v>2247.8766666666666</v>
      </c>
      <c r="H97" s="53">
        <f t="shared" si="24"/>
        <v>988.58629629629638</v>
      </c>
      <c r="I97" s="57"/>
    </row>
    <row r="98" spans="1:9" x14ac:dyDescent="0.2">
      <c r="A98" s="54">
        <v>2600</v>
      </c>
      <c r="B98" s="51">
        <f>47.03+5.53</f>
        <v>52.56</v>
      </c>
      <c r="C98" s="51">
        <v>0</v>
      </c>
      <c r="D98" s="51"/>
      <c r="E98" s="52">
        <f t="shared" ref="E98:E99" si="25">(((B98+B97)/2)*(A98-A97))/27</f>
        <v>108.96296296296296</v>
      </c>
      <c r="F98" s="52">
        <f t="shared" ref="F98:F99" si="26">(((C98+C97)/2)*(A98-A97))/27</f>
        <v>0.80555555555555558</v>
      </c>
      <c r="G98" s="53">
        <f t="shared" ref="G98:G99" si="27">E98+G97</f>
        <v>2356.8396296296296</v>
      </c>
      <c r="H98" s="53">
        <f t="shared" ref="H98:H99" si="28">F98+H97</f>
        <v>989.39185185185192</v>
      </c>
      <c r="I98" s="57"/>
    </row>
    <row r="99" spans="1:9" x14ac:dyDescent="0.2">
      <c r="A99" s="54">
        <v>2650</v>
      </c>
      <c r="B99" s="51">
        <v>0</v>
      </c>
      <c r="C99" s="51">
        <v>0</v>
      </c>
      <c r="D99" s="51">
        <v>73282.94</v>
      </c>
      <c r="E99" s="52">
        <f t="shared" si="25"/>
        <v>48.666666666666664</v>
      </c>
      <c r="F99" s="52">
        <f t="shared" si="26"/>
        <v>0</v>
      </c>
      <c r="G99" s="53">
        <f t="shared" si="27"/>
        <v>2405.5062962962961</v>
      </c>
      <c r="H99" s="53">
        <f t="shared" si="28"/>
        <v>989.39185185185192</v>
      </c>
      <c r="I99" s="57"/>
    </row>
    <row r="100" spans="1:9" x14ac:dyDescent="0.2">
      <c r="A100" s="63" t="s">
        <v>36</v>
      </c>
      <c r="B100" s="55"/>
      <c r="C100" s="55"/>
      <c r="D100" s="55"/>
      <c r="E100" s="56"/>
      <c r="F100" s="56"/>
      <c r="G100" s="57"/>
      <c r="H100" s="57"/>
      <c r="I100" s="57"/>
    </row>
    <row r="101" spans="1:9" x14ac:dyDescent="0.2">
      <c r="A101" s="63"/>
      <c r="B101" s="55"/>
      <c r="C101" s="55"/>
      <c r="D101" s="55"/>
      <c r="E101" s="56"/>
      <c r="F101" s="56"/>
      <c r="G101" s="57"/>
      <c r="H101" s="57"/>
      <c r="I101" s="57"/>
    </row>
    <row r="102" spans="1:9" x14ac:dyDescent="0.2">
      <c r="A102" s="63"/>
      <c r="B102" s="55"/>
      <c r="C102" s="55"/>
      <c r="D102" s="55"/>
      <c r="E102" s="56"/>
      <c r="F102" s="56"/>
      <c r="G102" s="57"/>
      <c r="H102" s="57"/>
      <c r="I102" s="57"/>
    </row>
    <row r="103" spans="1:9" x14ac:dyDescent="0.2">
      <c r="A103" s="1" t="s">
        <v>37</v>
      </c>
      <c r="G103" s="67" t="s">
        <v>7</v>
      </c>
      <c r="H103" s="67"/>
      <c r="I103" s="57"/>
    </row>
    <row r="104" spans="1:9" ht="38.25" x14ac:dyDescent="0.2">
      <c r="A104" s="60" t="s">
        <v>23</v>
      </c>
      <c r="B104" s="61" t="s">
        <v>24</v>
      </c>
      <c r="C104" s="61" t="s">
        <v>25</v>
      </c>
      <c r="D104" s="61" t="s">
        <v>26</v>
      </c>
      <c r="E104" s="61" t="s">
        <v>27</v>
      </c>
      <c r="F104" s="61" t="s">
        <v>28</v>
      </c>
      <c r="G104" s="62" t="s">
        <v>27</v>
      </c>
      <c r="H104" s="62" t="s">
        <v>28</v>
      </c>
      <c r="I104" s="57"/>
    </row>
    <row r="105" spans="1:9" x14ac:dyDescent="0.2">
      <c r="A105" s="50">
        <v>2500</v>
      </c>
      <c r="B105" s="51">
        <v>7.5</v>
      </c>
      <c r="C105" s="51">
        <v>0.02</v>
      </c>
      <c r="D105" s="51"/>
      <c r="E105" s="52">
        <v>0</v>
      </c>
      <c r="F105" s="52">
        <v>0</v>
      </c>
      <c r="G105" s="53">
        <f>E105</f>
        <v>0</v>
      </c>
      <c r="H105" s="53">
        <f>F105</f>
        <v>0</v>
      </c>
      <c r="I105" s="57"/>
    </row>
    <row r="106" spans="1:9" x14ac:dyDescent="0.2">
      <c r="A106" s="54">
        <v>2550</v>
      </c>
      <c r="B106" s="51">
        <v>8.17</v>
      </c>
      <c r="C106" s="51">
        <v>0</v>
      </c>
      <c r="D106" s="51"/>
      <c r="E106" s="52">
        <f t="shared" ref="E106:E132" si="29">(((B106+B105)/2)*(A106-A105))/27</f>
        <v>14.50925925925926</v>
      </c>
      <c r="F106" s="52">
        <f t="shared" ref="F106:F132" si="30">(((C106+C105)/2)*(A106-A105))/27</f>
        <v>1.8518518518518517E-2</v>
      </c>
      <c r="G106" s="53">
        <f t="shared" ref="G106:G132" si="31">E106+G105</f>
        <v>14.50925925925926</v>
      </c>
      <c r="H106" s="53">
        <f t="shared" ref="H106:H132" si="32">F106+H105</f>
        <v>1.8518518518518517E-2</v>
      </c>
      <c r="I106" s="57"/>
    </row>
    <row r="107" spans="1:9" x14ac:dyDescent="0.2">
      <c r="A107" s="54">
        <v>2600</v>
      </c>
      <c r="B107" s="51">
        <v>10.17</v>
      </c>
      <c r="C107" s="51">
        <v>0</v>
      </c>
      <c r="D107" s="51"/>
      <c r="E107" s="52">
        <f t="shared" si="29"/>
        <v>16.981481481481481</v>
      </c>
      <c r="F107" s="52">
        <f t="shared" si="30"/>
        <v>0</v>
      </c>
      <c r="G107" s="53">
        <f t="shared" si="31"/>
        <v>31.49074074074074</v>
      </c>
      <c r="H107" s="53">
        <f t="shared" si="32"/>
        <v>1.8518518518518517E-2</v>
      </c>
      <c r="I107" s="57"/>
    </row>
    <row r="108" spans="1:9" x14ac:dyDescent="0.2">
      <c r="A108" s="54">
        <v>2650</v>
      </c>
      <c r="B108" s="51">
        <v>8.68</v>
      </c>
      <c r="C108" s="51">
        <v>0</v>
      </c>
      <c r="D108" s="51"/>
      <c r="E108" s="52">
        <f t="shared" si="29"/>
        <v>17.453703703703706</v>
      </c>
      <c r="F108" s="52">
        <f t="shared" si="30"/>
        <v>0</v>
      </c>
      <c r="G108" s="53">
        <f t="shared" si="31"/>
        <v>48.944444444444443</v>
      </c>
      <c r="H108" s="53">
        <f t="shared" si="32"/>
        <v>1.8518518518518517E-2</v>
      </c>
      <c r="I108" s="57"/>
    </row>
    <row r="109" spans="1:9" x14ac:dyDescent="0.2">
      <c r="A109" s="54">
        <v>2661</v>
      </c>
      <c r="B109" s="51">
        <v>7.89</v>
      </c>
      <c r="C109" s="51">
        <v>0.02</v>
      </c>
      <c r="D109" s="51"/>
      <c r="E109" s="52">
        <f t="shared" si="29"/>
        <v>3.3753703703703706</v>
      </c>
      <c r="F109" s="52">
        <f t="shared" si="30"/>
        <v>4.0740740740740737E-3</v>
      </c>
      <c r="G109" s="53">
        <f t="shared" si="31"/>
        <v>52.319814814814812</v>
      </c>
      <c r="H109" s="53">
        <f t="shared" si="32"/>
        <v>2.2592592592592591E-2</v>
      </c>
      <c r="I109" s="57"/>
    </row>
    <row r="110" spans="1:9" x14ac:dyDescent="0.2">
      <c r="A110" s="54">
        <v>2700</v>
      </c>
      <c r="B110" s="51">
        <v>6.94</v>
      </c>
      <c r="C110" s="51">
        <v>0.21</v>
      </c>
      <c r="D110" s="51"/>
      <c r="E110" s="52">
        <f t="shared" si="29"/>
        <v>10.710555555555556</v>
      </c>
      <c r="F110" s="52">
        <f t="shared" si="30"/>
        <v>0.1661111111111111</v>
      </c>
      <c r="G110" s="53">
        <f t="shared" si="31"/>
        <v>63.03037037037037</v>
      </c>
      <c r="H110" s="53">
        <f t="shared" si="32"/>
        <v>0.18870370370370368</v>
      </c>
      <c r="I110" s="57"/>
    </row>
    <row r="111" spans="1:9" x14ac:dyDescent="0.2">
      <c r="A111" s="54">
        <v>2750</v>
      </c>
      <c r="B111" s="51">
        <v>26.38</v>
      </c>
      <c r="C111" s="51">
        <v>0</v>
      </c>
      <c r="D111" s="51"/>
      <c r="E111" s="52">
        <f t="shared" si="29"/>
        <v>30.851851851851851</v>
      </c>
      <c r="F111" s="52">
        <f t="shared" si="30"/>
        <v>0.19444444444444445</v>
      </c>
      <c r="G111" s="53">
        <f t="shared" si="31"/>
        <v>93.882222222222225</v>
      </c>
      <c r="H111" s="53">
        <f t="shared" si="32"/>
        <v>0.38314814814814813</v>
      </c>
      <c r="I111" s="57"/>
    </row>
    <row r="112" spans="1:9" x14ac:dyDescent="0.2">
      <c r="A112" s="54">
        <v>2800</v>
      </c>
      <c r="B112" s="51">
        <v>30.36</v>
      </c>
      <c r="C112" s="51">
        <v>6.66</v>
      </c>
      <c r="D112" s="51"/>
      <c r="E112" s="52">
        <f t="shared" si="29"/>
        <v>52.537037037037031</v>
      </c>
      <c r="F112" s="52">
        <f t="shared" si="30"/>
        <v>6.166666666666667</v>
      </c>
      <c r="G112" s="53">
        <f t="shared" si="31"/>
        <v>146.41925925925926</v>
      </c>
      <c r="H112" s="53">
        <f t="shared" si="32"/>
        <v>6.5498148148148152</v>
      </c>
      <c r="I112" s="57"/>
    </row>
    <row r="113" spans="1:9" x14ac:dyDescent="0.2">
      <c r="A113" s="54">
        <v>2850</v>
      </c>
      <c r="B113" s="51">
        <v>26.15</v>
      </c>
      <c r="C113" s="51">
        <v>11.51</v>
      </c>
      <c r="D113" s="51"/>
      <c r="E113" s="52">
        <f t="shared" si="29"/>
        <v>52.324074074074076</v>
      </c>
      <c r="F113" s="52">
        <f t="shared" si="30"/>
        <v>16.824074074074076</v>
      </c>
      <c r="G113" s="53">
        <f t="shared" si="31"/>
        <v>198.74333333333334</v>
      </c>
      <c r="H113" s="53">
        <f t="shared" si="32"/>
        <v>23.373888888888892</v>
      </c>
      <c r="I113" s="57"/>
    </row>
    <row r="114" spans="1:9" x14ac:dyDescent="0.2">
      <c r="A114" s="54">
        <v>2900</v>
      </c>
      <c r="B114" s="51">
        <v>68.819999999999993</v>
      </c>
      <c r="C114" s="51">
        <v>19.32</v>
      </c>
      <c r="D114" s="51"/>
      <c r="E114" s="52">
        <f t="shared" si="29"/>
        <v>87.93518518518519</v>
      </c>
      <c r="F114" s="52">
        <f t="shared" si="30"/>
        <v>28.546296296296298</v>
      </c>
      <c r="G114" s="53">
        <f t="shared" si="31"/>
        <v>286.67851851851856</v>
      </c>
      <c r="H114" s="53">
        <f t="shared" si="32"/>
        <v>51.92018518518519</v>
      </c>
      <c r="I114" s="57"/>
    </row>
    <row r="115" spans="1:9" x14ac:dyDescent="0.2">
      <c r="A115" s="54">
        <v>2950</v>
      </c>
      <c r="B115" s="51">
        <v>50.64</v>
      </c>
      <c r="C115" s="51">
        <v>25.86</v>
      </c>
      <c r="D115" s="51"/>
      <c r="E115" s="52">
        <f t="shared" si="29"/>
        <v>110.61111111111111</v>
      </c>
      <c r="F115" s="52">
        <f t="shared" si="30"/>
        <v>41.833333333333336</v>
      </c>
      <c r="G115" s="53">
        <f t="shared" si="31"/>
        <v>397.28962962962964</v>
      </c>
      <c r="H115" s="53">
        <f t="shared" si="32"/>
        <v>93.753518518518518</v>
      </c>
      <c r="I115" s="57"/>
    </row>
    <row r="116" spans="1:9" x14ac:dyDescent="0.2">
      <c r="A116" s="54">
        <v>3000</v>
      </c>
      <c r="B116" s="51">
        <v>71.819999999999993</v>
      </c>
      <c r="C116" s="51">
        <v>62.92</v>
      </c>
      <c r="D116" s="51"/>
      <c r="E116" s="52">
        <f t="shared" si="29"/>
        <v>113.38888888888889</v>
      </c>
      <c r="F116" s="52">
        <f t="shared" si="30"/>
        <v>82.203703703703709</v>
      </c>
      <c r="G116" s="53">
        <f t="shared" si="31"/>
        <v>510.67851851851856</v>
      </c>
      <c r="H116" s="53">
        <f t="shared" si="32"/>
        <v>175.95722222222224</v>
      </c>
      <c r="I116" s="57"/>
    </row>
    <row r="117" spans="1:9" x14ac:dyDescent="0.2">
      <c r="A117" s="54">
        <v>3050</v>
      </c>
      <c r="B117" s="51">
        <v>110.71</v>
      </c>
      <c r="C117" s="51">
        <v>118.52</v>
      </c>
      <c r="D117" s="51"/>
      <c r="E117" s="52">
        <f t="shared" si="29"/>
        <v>169.00925925925924</v>
      </c>
      <c r="F117" s="52">
        <f t="shared" si="30"/>
        <v>168</v>
      </c>
      <c r="G117" s="53">
        <f t="shared" si="31"/>
        <v>679.6877777777778</v>
      </c>
      <c r="H117" s="53">
        <f t="shared" si="32"/>
        <v>343.95722222222224</v>
      </c>
      <c r="I117" s="57"/>
    </row>
    <row r="118" spans="1:9" x14ac:dyDescent="0.2">
      <c r="A118" s="54">
        <v>3100</v>
      </c>
      <c r="B118" s="51">
        <v>66.37</v>
      </c>
      <c r="C118" s="51">
        <f>16.63+1.97</f>
        <v>18.599999999999998</v>
      </c>
      <c r="D118" s="51"/>
      <c r="E118" s="52">
        <f t="shared" si="29"/>
        <v>163.96296296296296</v>
      </c>
      <c r="F118" s="52">
        <f t="shared" si="30"/>
        <v>126.96296296296296</v>
      </c>
      <c r="G118" s="53">
        <f t="shared" si="31"/>
        <v>843.65074074074073</v>
      </c>
      <c r="H118" s="53">
        <f t="shared" si="32"/>
        <v>470.92018518518523</v>
      </c>
      <c r="I118" s="57"/>
    </row>
    <row r="119" spans="1:9" x14ac:dyDescent="0.2">
      <c r="A119" s="54">
        <v>3150</v>
      </c>
      <c r="B119" s="51">
        <v>19.86</v>
      </c>
      <c r="C119" s="51">
        <v>8.33</v>
      </c>
      <c r="D119" s="51"/>
      <c r="E119" s="52">
        <f t="shared" si="29"/>
        <v>79.842592592592595</v>
      </c>
      <c r="F119" s="52">
        <f t="shared" si="30"/>
        <v>24.935185185185187</v>
      </c>
      <c r="G119" s="53">
        <f t="shared" si="31"/>
        <v>923.49333333333334</v>
      </c>
      <c r="H119" s="53">
        <f t="shared" si="32"/>
        <v>495.85537037037039</v>
      </c>
      <c r="I119" s="57"/>
    </row>
    <row r="120" spans="1:9" x14ac:dyDescent="0.2">
      <c r="A120" s="54">
        <v>3165</v>
      </c>
      <c r="B120" s="51">
        <f>27.09+6.22</f>
        <v>33.31</v>
      </c>
      <c r="C120" s="51">
        <v>0</v>
      </c>
      <c r="D120" s="51"/>
      <c r="E120" s="52">
        <f t="shared" si="29"/>
        <v>14.769444444444446</v>
      </c>
      <c r="F120" s="52">
        <f t="shared" si="30"/>
        <v>2.3138888888888891</v>
      </c>
      <c r="G120" s="53">
        <f t="shared" si="31"/>
        <v>938.26277777777773</v>
      </c>
      <c r="H120" s="53">
        <f t="shared" si="32"/>
        <v>498.16925925925926</v>
      </c>
      <c r="I120" s="57"/>
    </row>
    <row r="121" spans="1:9" x14ac:dyDescent="0.2">
      <c r="A121" s="54">
        <v>3200</v>
      </c>
      <c r="B121" s="51">
        <f>1.84+2.56+36.9</f>
        <v>41.3</v>
      </c>
      <c r="C121" s="51">
        <v>0</v>
      </c>
      <c r="D121" s="51"/>
      <c r="E121" s="52">
        <f t="shared" si="29"/>
        <v>48.358333333333334</v>
      </c>
      <c r="F121" s="52">
        <f t="shared" si="30"/>
        <v>0</v>
      </c>
      <c r="G121" s="53">
        <f t="shared" si="31"/>
        <v>986.62111111111108</v>
      </c>
      <c r="H121" s="53">
        <f t="shared" si="32"/>
        <v>498.16925925925926</v>
      </c>
      <c r="I121" s="57"/>
    </row>
    <row r="122" spans="1:9" x14ac:dyDescent="0.2">
      <c r="A122" s="54">
        <v>3250</v>
      </c>
      <c r="B122" s="51">
        <v>15.91</v>
      </c>
      <c r="C122" s="51">
        <v>7.66</v>
      </c>
      <c r="D122" s="51"/>
      <c r="E122" s="52">
        <f t="shared" si="29"/>
        <v>52.972222222222214</v>
      </c>
      <c r="F122" s="52">
        <f t="shared" si="30"/>
        <v>7.0925925925925926</v>
      </c>
      <c r="G122" s="53">
        <f t="shared" si="31"/>
        <v>1039.5933333333332</v>
      </c>
      <c r="H122" s="53">
        <f t="shared" si="32"/>
        <v>505.26185185185187</v>
      </c>
      <c r="I122" s="57"/>
    </row>
    <row r="123" spans="1:9" x14ac:dyDescent="0.2">
      <c r="A123" s="54">
        <v>3300</v>
      </c>
      <c r="B123" s="51">
        <v>83.44</v>
      </c>
      <c r="C123" s="51">
        <v>0</v>
      </c>
      <c r="D123" s="51"/>
      <c r="E123" s="52">
        <f t="shared" si="29"/>
        <v>91.990740740740748</v>
      </c>
      <c r="F123" s="52">
        <f t="shared" si="30"/>
        <v>7.0925925925925926</v>
      </c>
      <c r="G123" s="53">
        <f t="shared" si="31"/>
        <v>1131.5840740740739</v>
      </c>
      <c r="H123" s="53">
        <f t="shared" si="32"/>
        <v>512.35444444444443</v>
      </c>
      <c r="I123" s="57"/>
    </row>
    <row r="124" spans="1:9" x14ac:dyDescent="0.2">
      <c r="A124" s="54">
        <v>3350</v>
      </c>
      <c r="B124" s="51">
        <v>98.63</v>
      </c>
      <c r="C124" s="51">
        <v>5.61</v>
      </c>
      <c r="D124" s="51"/>
      <c r="E124" s="52">
        <f t="shared" si="29"/>
        <v>168.58333333333334</v>
      </c>
      <c r="F124" s="52">
        <f t="shared" si="30"/>
        <v>5.1944444444444446</v>
      </c>
      <c r="G124" s="53">
        <f t="shared" si="31"/>
        <v>1300.1674074074072</v>
      </c>
      <c r="H124" s="53">
        <f t="shared" si="32"/>
        <v>517.54888888888888</v>
      </c>
      <c r="I124" s="57"/>
    </row>
    <row r="125" spans="1:9" x14ac:dyDescent="0.2">
      <c r="A125" s="54">
        <v>3393</v>
      </c>
      <c r="B125" s="51">
        <v>79.900000000000006</v>
      </c>
      <c r="C125" s="51">
        <v>15.01</v>
      </c>
      <c r="D125" s="51"/>
      <c r="E125" s="52">
        <f t="shared" si="29"/>
        <v>142.16277777777779</v>
      </c>
      <c r="F125" s="52">
        <f t="shared" si="30"/>
        <v>16.419629629629632</v>
      </c>
      <c r="G125" s="53">
        <f t="shared" si="31"/>
        <v>1442.330185185185</v>
      </c>
      <c r="H125" s="53">
        <f t="shared" si="32"/>
        <v>533.96851851851852</v>
      </c>
      <c r="I125" s="57"/>
    </row>
    <row r="126" spans="1:9" x14ac:dyDescent="0.2">
      <c r="A126" s="54">
        <v>3400</v>
      </c>
      <c r="B126" s="51">
        <v>80.52</v>
      </c>
      <c r="C126" s="51">
        <v>16.12</v>
      </c>
      <c r="D126" s="51"/>
      <c r="E126" s="52">
        <f t="shared" si="29"/>
        <v>20.795185185185186</v>
      </c>
      <c r="F126" s="52">
        <f t="shared" si="30"/>
        <v>4.0353703703703712</v>
      </c>
      <c r="G126" s="53">
        <f t="shared" si="31"/>
        <v>1463.1253703703701</v>
      </c>
      <c r="H126" s="53">
        <f t="shared" si="32"/>
        <v>538.00388888888892</v>
      </c>
      <c r="I126" s="57"/>
    </row>
    <row r="127" spans="1:9" x14ac:dyDescent="0.2">
      <c r="A127" s="54">
        <v>3450</v>
      </c>
      <c r="B127" s="51">
        <v>52.3</v>
      </c>
      <c r="C127" s="51">
        <v>30.15</v>
      </c>
      <c r="D127" s="51"/>
      <c r="E127" s="52">
        <f t="shared" si="29"/>
        <v>122.98148148148148</v>
      </c>
      <c r="F127" s="52">
        <f t="shared" si="30"/>
        <v>42.842592592592595</v>
      </c>
      <c r="G127" s="53">
        <f t="shared" si="31"/>
        <v>1586.1068518518516</v>
      </c>
      <c r="H127" s="53">
        <f t="shared" si="32"/>
        <v>580.84648148148153</v>
      </c>
      <c r="I127" s="57"/>
    </row>
    <row r="128" spans="1:9" x14ac:dyDescent="0.2">
      <c r="A128" s="54">
        <v>3500</v>
      </c>
      <c r="B128" s="51">
        <v>79.36</v>
      </c>
      <c r="C128" s="51">
        <v>43</v>
      </c>
      <c r="D128" s="51"/>
      <c r="E128" s="52">
        <f t="shared" si="29"/>
        <v>121.9074074074074</v>
      </c>
      <c r="F128" s="52">
        <f t="shared" si="30"/>
        <v>67.731481481481495</v>
      </c>
      <c r="G128" s="53">
        <f t="shared" si="31"/>
        <v>1708.014259259259</v>
      </c>
      <c r="H128" s="53">
        <f t="shared" si="32"/>
        <v>648.57796296296306</v>
      </c>
      <c r="I128" s="57"/>
    </row>
    <row r="129" spans="1:9" x14ac:dyDescent="0.2">
      <c r="A129" s="54">
        <v>3550</v>
      </c>
      <c r="B129" s="51">
        <v>60.09</v>
      </c>
      <c r="C129" s="51">
        <v>70.41</v>
      </c>
      <c r="D129" s="51"/>
      <c r="E129" s="52">
        <f t="shared" si="29"/>
        <v>129.12037037037035</v>
      </c>
      <c r="F129" s="52">
        <f t="shared" si="30"/>
        <v>105.00925925925925</v>
      </c>
      <c r="G129" s="53">
        <f t="shared" si="31"/>
        <v>1837.1346296296294</v>
      </c>
      <c r="H129" s="53">
        <f t="shared" si="32"/>
        <v>753.58722222222229</v>
      </c>
      <c r="I129" s="57"/>
    </row>
    <row r="130" spans="1:9" x14ac:dyDescent="0.2">
      <c r="A130" s="54">
        <v>3600</v>
      </c>
      <c r="B130" s="51">
        <v>44.44</v>
      </c>
      <c r="C130" s="51">
        <v>87.15</v>
      </c>
      <c r="D130" s="51"/>
      <c r="E130" s="52">
        <f t="shared" si="29"/>
        <v>96.787037037037038</v>
      </c>
      <c r="F130" s="52">
        <f t="shared" si="30"/>
        <v>145.88888888888889</v>
      </c>
      <c r="G130" s="53">
        <f t="shared" si="31"/>
        <v>1933.9216666666664</v>
      </c>
      <c r="H130" s="53">
        <f t="shared" si="32"/>
        <v>899.47611111111121</v>
      </c>
      <c r="I130" s="57"/>
    </row>
    <row r="131" spans="1:9" x14ac:dyDescent="0.2">
      <c r="A131" s="54">
        <v>3628</v>
      </c>
      <c r="B131" s="51">
        <v>32.700000000000003</v>
      </c>
      <c r="C131" s="51">
        <v>87.78</v>
      </c>
      <c r="D131" s="51"/>
      <c r="E131" s="52">
        <f t="shared" si="29"/>
        <v>39.998518518518523</v>
      </c>
      <c r="F131" s="52">
        <f t="shared" si="30"/>
        <v>90.704444444444448</v>
      </c>
      <c r="G131" s="53">
        <f t="shared" si="31"/>
        <v>1973.9201851851849</v>
      </c>
      <c r="H131" s="53">
        <f t="shared" si="32"/>
        <v>990.18055555555566</v>
      </c>
      <c r="I131" s="57"/>
    </row>
    <row r="132" spans="1:9" x14ac:dyDescent="0.2">
      <c r="A132" s="54">
        <v>3650</v>
      </c>
      <c r="B132" s="51">
        <v>14.6</v>
      </c>
      <c r="C132" s="51">
        <v>95.49</v>
      </c>
      <c r="D132" s="51"/>
      <c r="E132" s="52">
        <f t="shared" si="29"/>
        <v>19.270370370370372</v>
      </c>
      <c r="F132" s="52">
        <f t="shared" si="30"/>
        <v>74.665555555555542</v>
      </c>
      <c r="G132" s="53">
        <f t="shared" si="31"/>
        <v>1993.1905555555552</v>
      </c>
      <c r="H132" s="53">
        <f t="shared" si="32"/>
        <v>1064.8461111111112</v>
      </c>
      <c r="I132" s="57"/>
    </row>
    <row r="133" spans="1:9" x14ac:dyDescent="0.2">
      <c r="A133" s="54">
        <v>3700</v>
      </c>
      <c r="B133" s="51">
        <v>1.84</v>
      </c>
      <c r="C133" s="51">
        <v>19.88</v>
      </c>
      <c r="D133" s="51"/>
      <c r="E133" s="52">
        <f t="shared" ref="E133:E138" si="33">(((B133+B132)/2)*(A133-A132))/27</f>
        <v>15.222222222222225</v>
      </c>
      <c r="F133" s="52">
        <f t="shared" ref="F133:F138" si="34">(((C133+C132)/2)*(A133-A132))/27</f>
        <v>106.82407407407406</v>
      </c>
      <c r="G133" s="53">
        <f t="shared" ref="G133:G138" si="35">E133+G132</f>
        <v>2008.4127777777774</v>
      </c>
      <c r="H133" s="53">
        <f t="shared" ref="H133:H138" si="36">F133+H132</f>
        <v>1171.6701851851853</v>
      </c>
      <c r="I133" s="57"/>
    </row>
    <row r="134" spans="1:9" x14ac:dyDescent="0.2">
      <c r="A134" s="54">
        <v>3750</v>
      </c>
      <c r="B134" s="51">
        <v>2</v>
      </c>
      <c r="C134" s="51">
        <v>12.66</v>
      </c>
      <c r="D134" s="51"/>
      <c r="E134" s="52">
        <f t="shared" si="33"/>
        <v>3.5555555555555554</v>
      </c>
      <c r="F134" s="52">
        <f t="shared" si="34"/>
        <v>30.12962962962963</v>
      </c>
      <c r="G134" s="53">
        <f t="shared" si="35"/>
        <v>2011.968333333333</v>
      </c>
      <c r="H134" s="53">
        <f t="shared" si="36"/>
        <v>1201.7998148148149</v>
      </c>
      <c r="I134" s="57"/>
    </row>
    <row r="135" spans="1:9" x14ac:dyDescent="0.2">
      <c r="A135" s="54">
        <v>3800</v>
      </c>
      <c r="B135" s="51">
        <v>1.62</v>
      </c>
      <c r="C135" s="51">
        <v>26.5</v>
      </c>
      <c r="D135" s="51"/>
      <c r="E135" s="52">
        <f t="shared" si="33"/>
        <v>3.3518518518518516</v>
      </c>
      <c r="F135" s="52">
        <f t="shared" si="34"/>
        <v>36.259259259259252</v>
      </c>
      <c r="G135" s="53">
        <f t="shared" si="35"/>
        <v>2015.320185185185</v>
      </c>
      <c r="H135" s="53">
        <f t="shared" si="36"/>
        <v>1238.0590740740743</v>
      </c>
      <c r="I135" s="57"/>
    </row>
    <row r="136" spans="1:9" x14ac:dyDescent="0.2">
      <c r="A136" s="54">
        <v>3850</v>
      </c>
      <c r="B136" s="51">
        <v>1.71</v>
      </c>
      <c r="C136" s="51">
        <v>15.63</v>
      </c>
      <c r="D136" s="51"/>
      <c r="E136" s="52">
        <f t="shared" si="33"/>
        <v>3.0833333333333335</v>
      </c>
      <c r="F136" s="52">
        <f t="shared" si="34"/>
        <v>39.00925925925926</v>
      </c>
      <c r="G136" s="53">
        <f t="shared" si="35"/>
        <v>2018.4035185185182</v>
      </c>
      <c r="H136" s="53">
        <f t="shared" si="36"/>
        <v>1277.0683333333336</v>
      </c>
      <c r="I136" s="57"/>
    </row>
    <row r="137" spans="1:9" x14ac:dyDescent="0.2">
      <c r="A137" s="54">
        <v>3900</v>
      </c>
      <c r="B137" s="51">
        <v>3.87</v>
      </c>
      <c r="C137" s="51">
        <v>5.43</v>
      </c>
      <c r="D137" s="51"/>
      <c r="E137" s="52">
        <f t="shared" si="33"/>
        <v>5.166666666666667</v>
      </c>
      <c r="F137" s="52">
        <f t="shared" si="34"/>
        <v>19.5</v>
      </c>
      <c r="G137" s="53">
        <f t="shared" si="35"/>
        <v>2023.570185185185</v>
      </c>
      <c r="H137" s="53">
        <f t="shared" si="36"/>
        <v>1296.5683333333336</v>
      </c>
      <c r="I137" s="57"/>
    </row>
    <row r="138" spans="1:9" x14ac:dyDescent="0.2">
      <c r="A138" s="54">
        <v>3938</v>
      </c>
      <c r="B138" s="51">
        <v>8.9</v>
      </c>
      <c r="C138" s="51">
        <v>2.0099999999999998</v>
      </c>
      <c r="D138" s="51"/>
      <c r="E138" s="52">
        <f t="shared" si="33"/>
        <v>8.9862962962962953</v>
      </c>
      <c r="F138" s="52">
        <f t="shared" si="34"/>
        <v>5.2355555555555551</v>
      </c>
      <c r="G138" s="53">
        <f t="shared" si="35"/>
        <v>2032.5564814814813</v>
      </c>
      <c r="H138" s="53">
        <f t="shared" si="36"/>
        <v>1301.8038888888891</v>
      </c>
      <c r="I138" s="57"/>
    </row>
    <row r="139" spans="1:9" x14ac:dyDescent="0.2">
      <c r="A139" s="54">
        <v>3950</v>
      </c>
      <c r="B139" s="51">
        <v>10.59</v>
      </c>
      <c r="C139" s="51">
        <v>1.47</v>
      </c>
      <c r="D139" s="51">
        <v>79843.42</v>
      </c>
      <c r="E139" s="52">
        <f t="shared" ref="E139" si="37">(((B139+B138)/2)*(A139-A138))/27</f>
        <v>4.3311111111111114</v>
      </c>
      <c r="F139" s="52">
        <f t="shared" ref="F139" si="38">(((C139+C138)/2)*(A139-A138))/27</f>
        <v>0.77333333333333321</v>
      </c>
      <c r="G139" s="53">
        <f t="shared" ref="G139" si="39">E139+G138</f>
        <v>2036.8875925925925</v>
      </c>
      <c r="H139" s="53">
        <f t="shared" ref="H139" si="40">F139+H138</f>
        <v>1302.5772222222224</v>
      </c>
      <c r="I139" s="57"/>
    </row>
    <row r="140" spans="1:9" x14ac:dyDescent="0.2">
      <c r="A140" s="63" t="s">
        <v>36</v>
      </c>
      <c r="B140" s="55"/>
      <c r="C140" s="55"/>
      <c r="D140" s="55"/>
      <c r="E140" s="56"/>
      <c r="F140" s="56"/>
      <c r="G140" s="57"/>
      <c r="H140" s="57"/>
      <c r="I140" s="57"/>
    </row>
    <row r="141" spans="1:9" x14ac:dyDescent="0.2">
      <c r="A141" s="63"/>
      <c r="B141" s="55"/>
      <c r="C141" s="55"/>
      <c r="D141" s="55"/>
      <c r="E141" s="56"/>
      <c r="F141" s="56"/>
      <c r="G141" s="57"/>
      <c r="H141" s="57"/>
      <c r="I141" s="57"/>
    </row>
    <row r="142" spans="1:9" x14ac:dyDescent="0.2">
      <c r="A142" s="63"/>
      <c r="B142" s="55"/>
      <c r="C142" s="55"/>
      <c r="D142" s="55"/>
      <c r="E142" s="56"/>
      <c r="F142" s="56"/>
      <c r="G142" s="57"/>
      <c r="H142" s="57"/>
      <c r="I142" s="57"/>
    </row>
    <row r="143" spans="1:9" x14ac:dyDescent="0.2">
      <c r="A143" s="1" t="s">
        <v>38</v>
      </c>
      <c r="G143" s="67" t="s">
        <v>7</v>
      </c>
      <c r="H143" s="67"/>
      <c r="I143" s="57"/>
    </row>
    <row r="144" spans="1:9" ht="38.25" x14ac:dyDescent="0.2">
      <c r="A144" s="60" t="s">
        <v>23</v>
      </c>
      <c r="B144" s="61" t="s">
        <v>24</v>
      </c>
      <c r="C144" s="61" t="s">
        <v>25</v>
      </c>
      <c r="D144" s="61" t="s">
        <v>26</v>
      </c>
      <c r="E144" s="61" t="s">
        <v>27</v>
      </c>
      <c r="F144" s="61" t="s">
        <v>28</v>
      </c>
      <c r="G144" s="62" t="s">
        <v>27</v>
      </c>
      <c r="H144" s="62" t="s">
        <v>28</v>
      </c>
      <c r="I144" s="57"/>
    </row>
    <row r="145" spans="1:9" x14ac:dyDescent="0.2">
      <c r="A145" s="50">
        <v>3250</v>
      </c>
      <c r="B145" s="51">
        <v>0</v>
      </c>
      <c r="C145" s="51">
        <v>0</v>
      </c>
      <c r="D145" s="51"/>
      <c r="E145" s="52">
        <v>0</v>
      </c>
      <c r="F145" s="52">
        <v>0</v>
      </c>
      <c r="G145" s="53">
        <f>E145</f>
        <v>0</v>
      </c>
      <c r="H145" s="53">
        <f>F145</f>
        <v>0</v>
      </c>
      <c r="I145" s="57"/>
    </row>
    <row r="146" spans="1:9" x14ac:dyDescent="0.2">
      <c r="A146" s="54">
        <v>3300</v>
      </c>
      <c r="B146" s="51">
        <v>8.91</v>
      </c>
      <c r="C146" s="51">
        <v>0</v>
      </c>
      <c r="D146" s="51"/>
      <c r="E146" s="52">
        <f t="shared" ref="E146:E150" si="41">(((B146+B145)/2)*(A146-A145))/27</f>
        <v>8.25</v>
      </c>
      <c r="F146" s="52">
        <f t="shared" ref="F146:F150" si="42">(((C146+C145)/2)*(A146-A145))/27</f>
        <v>0</v>
      </c>
      <c r="G146" s="53">
        <f t="shared" ref="G146:G150" si="43">E146+G145</f>
        <v>8.25</v>
      </c>
      <c r="H146" s="53">
        <f t="shared" ref="H146:H150" si="44">F146+H145</f>
        <v>0</v>
      </c>
      <c r="I146" s="57"/>
    </row>
    <row r="147" spans="1:9" x14ac:dyDescent="0.2">
      <c r="A147" s="54">
        <v>3350</v>
      </c>
      <c r="B147" s="51">
        <v>6.8</v>
      </c>
      <c r="C147" s="51">
        <v>0.61</v>
      </c>
      <c r="D147" s="51"/>
      <c r="E147" s="52">
        <f t="shared" si="41"/>
        <v>14.546296296296296</v>
      </c>
      <c r="F147" s="52">
        <f t="shared" si="42"/>
        <v>0.56481481481481477</v>
      </c>
      <c r="G147" s="53">
        <f t="shared" si="43"/>
        <v>22.796296296296298</v>
      </c>
      <c r="H147" s="53">
        <f t="shared" si="44"/>
        <v>0.56481481481481477</v>
      </c>
      <c r="I147" s="57"/>
    </row>
    <row r="148" spans="1:9" x14ac:dyDescent="0.2">
      <c r="A148" s="54">
        <v>3400</v>
      </c>
      <c r="B148" s="51">
        <v>6.33</v>
      </c>
      <c r="C148" s="51">
        <v>6.5000000000000002E-2</v>
      </c>
      <c r="D148" s="51"/>
      <c r="E148" s="52">
        <f t="shared" si="41"/>
        <v>12.157407407407407</v>
      </c>
      <c r="F148" s="52">
        <f t="shared" si="42"/>
        <v>0.625</v>
      </c>
      <c r="G148" s="53">
        <f t="shared" si="43"/>
        <v>34.953703703703702</v>
      </c>
      <c r="H148" s="53">
        <f t="shared" si="44"/>
        <v>1.1898148148148149</v>
      </c>
      <c r="I148" s="57"/>
    </row>
    <row r="149" spans="1:9" x14ac:dyDescent="0.2">
      <c r="A149" s="54">
        <v>3450</v>
      </c>
      <c r="B149" s="51">
        <v>7.16</v>
      </c>
      <c r="C149" s="51">
        <v>2.9399999999999999E-2</v>
      </c>
      <c r="D149" s="51"/>
      <c r="E149" s="52">
        <f t="shared" si="41"/>
        <v>12.49074074074074</v>
      </c>
      <c r="F149" s="52">
        <f t="shared" si="42"/>
        <v>8.7407407407407406E-2</v>
      </c>
      <c r="G149" s="53">
        <f t="shared" si="43"/>
        <v>47.444444444444443</v>
      </c>
      <c r="H149" s="53">
        <f t="shared" si="44"/>
        <v>1.2772222222222223</v>
      </c>
      <c r="I149" s="57"/>
    </row>
    <row r="150" spans="1:9" x14ac:dyDescent="0.2">
      <c r="A150" s="54">
        <v>3500</v>
      </c>
      <c r="B150" s="51">
        <v>7.2</v>
      </c>
      <c r="C150" s="51">
        <v>0.02</v>
      </c>
      <c r="D150" s="51">
        <v>0</v>
      </c>
      <c r="E150" s="52">
        <f t="shared" si="41"/>
        <v>13.296296296296296</v>
      </c>
      <c r="F150" s="52">
        <f t="shared" si="42"/>
        <v>4.5740740740740735E-2</v>
      </c>
      <c r="G150" s="53">
        <f t="shared" si="43"/>
        <v>60.74074074074074</v>
      </c>
      <c r="H150" s="53">
        <f t="shared" si="44"/>
        <v>1.3229629629629629</v>
      </c>
      <c r="I150" s="57"/>
    </row>
    <row r="151" spans="1:9" x14ac:dyDescent="0.2">
      <c r="A151" s="63"/>
      <c r="B151" s="55"/>
      <c r="C151" s="55"/>
      <c r="D151" s="55"/>
      <c r="E151" s="56"/>
      <c r="F151" s="56"/>
      <c r="G151" s="57"/>
      <c r="H151" s="57"/>
      <c r="I151" s="57"/>
    </row>
    <row r="152" spans="1:9" x14ac:dyDescent="0.2">
      <c r="A152" s="63"/>
      <c r="B152" s="55"/>
      <c r="C152" s="55"/>
      <c r="D152" s="55"/>
      <c r="E152" s="56"/>
      <c r="F152" s="56"/>
      <c r="G152" s="57"/>
      <c r="H152" s="57"/>
      <c r="I152" s="57"/>
    </row>
    <row r="153" spans="1:9" x14ac:dyDescent="0.2">
      <c r="A153" s="63"/>
      <c r="B153" s="55"/>
      <c r="C153" s="55"/>
      <c r="D153" s="55"/>
      <c r="E153" s="56"/>
      <c r="F153" s="56"/>
      <c r="G153" s="57"/>
      <c r="H153" s="57"/>
      <c r="I153" s="57"/>
    </row>
    <row r="154" spans="1:9" x14ac:dyDescent="0.2">
      <c r="A154" s="1" t="s">
        <v>40</v>
      </c>
      <c r="G154" s="67" t="s">
        <v>7</v>
      </c>
      <c r="H154" s="67"/>
      <c r="I154" s="57"/>
    </row>
    <row r="155" spans="1:9" ht="38.25" x14ac:dyDescent="0.2">
      <c r="A155" s="60" t="s">
        <v>23</v>
      </c>
      <c r="B155" s="61" t="s">
        <v>24</v>
      </c>
      <c r="C155" s="61" t="s">
        <v>25</v>
      </c>
      <c r="D155" s="61" t="s">
        <v>26</v>
      </c>
      <c r="E155" s="61" t="s">
        <v>27</v>
      </c>
      <c r="F155" s="61" t="s">
        <v>28</v>
      </c>
      <c r="G155" s="62" t="s">
        <v>27</v>
      </c>
      <c r="H155" s="62" t="s">
        <v>28</v>
      </c>
      <c r="I155" s="57"/>
    </row>
    <row r="156" spans="1:9" x14ac:dyDescent="0.2">
      <c r="A156" s="50">
        <v>10000</v>
      </c>
      <c r="B156" s="51">
        <v>253.26</v>
      </c>
      <c r="C156" s="51">
        <v>34.67</v>
      </c>
      <c r="D156" s="51"/>
      <c r="E156" s="52">
        <v>0</v>
      </c>
      <c r="F156" s="52">
        <v>0</v>
      </c>
      <c r="G156" s="53">
        <f>E156</f>
        <v>0</v>
      </c>
      <c r="H156" s="53">
        <f>F156</f>
        <v>0</v>
      </c>
      <c r="I156" s="57"/>
    </row>
    <row r="157" spans="1:9" x14ac:dyDescent="0.2">
      <c r="A157" s="54">
        <v>10050</v>
      </c>
      <c r="B157" s="51">
        <v>3.27</v>
      </c>
      <c r="C157" s="51">
        <v>59.09</v>
      </c>
      <c r="D157" s="51"/>
      <c r="E157" s="52">
        <f t="shared" ref="E157:E168" si="45">(((B157+B156)/2)*(A157-A156))/27</f>
        <v>237.52777777777774</v>
      </c>
      <c r="F157" s="52">
        <f t="shared" ref="F157:F168" si="46">(((C157+C156)/2)*(A157-A156))/27</f>
        <v>86.81481481481481</v>
      </c>
      <c r="G157" s="53">
        <f t="shared" ref="G157:G168" si="47">E157+G156</f>
        <v>237.52777777777774</v>
      </c>
      <c r="H157" s="53">
        <f t="shared" ref="H157:H168" si="48">F157+H156</f>
        <v>86.81481481481481</v>
      </c>
      <c r="I157" s="57"/>
    </row>
    <row r="158" spans="1:9" x14ac:dyDescent="0.2">
      <c r="A158" s="54">
        <v>10073</v>
      </c>
      <c r="B158" s="51">
        <v>0.91</v>
      </c>
      <c r="C158" s="51">
        <v>79.819999999999993</v>
      </c>
      <c r="D158" s="51"/>
      <c r="E158" s="52">
        <f t="shared" si="45"/>
        <v>1.7803703703703702</v>
      </c>
      <c r="F158" s="52">
        <f t="shared" si="46"/>
        <v>59.165370370370368</v>
      </c>
      <c r="G158" s="53">
        <f t="shared" si="47"/>
        <v>239.30814814814812</v>
      </c>
      <c r="H158" s="53">
        <f t="shared" si="48"/>
        <v>145.98018518518518</v>
      </c>
      <c r="I158" s="57"/>
    </row>
    <row r="159" spans="1:9" x14ac:dyDescent="0.2">
      <c r="A159" s="54">
        <v>10100</v>
      </c>
      <c r="B159" s="51">
        <v>1.39</v>
      </c>
      <c r="C159" s="51">
        <v>60.92</v>
      </c>
      <c r="D159" s="51"/>
      <c r="E159" s="52">
        <f t="shared" si="45"/>
        <v>1.1499999999999999</v>
      </c>
      <c r="F159" s="52">
        <f t="shared" si="46"/>
        <v>70.37</v>
      </c>
      <c r="G159" s="53">
        <f t="shared" si="47"/>
        <v>240.45814814814813</v>
      </c>
      <c r="H159" s="53">
        <f t="shared" si="48"/>
        <v>216.35018518518518</v>
      </c>
      <c r="I159" s="57"/>
    </row>
    <row r="160" spans="1:9" x14ac:dyDescent="0.2">
      <c r="A160" s="54">
        <v>10150</v>
      </c>
      <c r="B160" s="51">
        <v>0.43</v>
      </c>
      <c r="C160" s="51">
        <v>53.98</v>
      </c>
      <c r="D160" s="51"/>
      <c r="E160" s="52">
        <f t="shared" si="45"/>
        <v>1.6851851851851849</v>
      </c>
      <c r="F160" s="52">
        <f t="shared" si="46"/>
        <v>106.38888888888889</v>
      </c>
      <c r="G160" s="53">
        <f t="shared" si="47"/>
        <v>242.14333333333332</v>
      </c>
      <c r="H160" s="53">
        <f t="shared" si="48"/>
        <v>322.7390740740741</v>
      </c>
      <c r="I160" s="57"/>
    </row>
    <row r="161" spans="1:9" x14ac:dyDescent="0.2">
      <c r="A161" s="54">
        <v>10178</v>
      </c>
      <c r="B161" s="51">
        <v>0.13</v>
      </c>
      <c r="C161" s="51">
        <v>55.43</v>
      </c>
      <c r="D161" s="51"/>
      <c r="E161" s="52">
        <f t="shared" si="45"/>
        <v>0.29037037037037039</v>
      </c>
      <c r="F161" s="52">
        <f t="shared" si="46"/>
        <v>56.731111111111112</v>
      </c>
      <c r="G161" s="53">
        <f t="shared" si="47"/>
        <v>242.43370370370369</v>
      </c>
      <c r="H161" s="53">
        <f t="shared" si="48"/>
        <v>379.47018518518519</v>
      </c>
      <c r="I161" s="57"/>
    </row>
    <row r="162" spans="1:9" x14ac:dyDescent="0.2">
      <c r="A162" s="54">
        <v>10200</v>
      </c>
      <c r="B162" s="51">
        <v>0.06</v>
      </c>
      <c r="C162" s="51">
        <v>55.46</v>
      </c>
      <c r="D162" s="51"/>
      <c r="E162" s="52">
        <f t="shared" si="45"/>
        <v>7.7407407407407397E-2</v>
      </c>
      <c r="F162" s="52">
        <f t="shared" si="46"/>
        <v>45.177407407407408</v>
      </c>
      <c r="G162" s="53">
        <f t="shared" si="47"/>
        <v>242.51111111111109</v>
      </c>
      <c r="H162" s="53">
        <f t="shared" si="48"/>
        <v>424.64759259259262</v>
      </c>
      <c r="I162" s="57"/>
    </row>
    <row r="163" spans="1:9" x14ac:dyDescent="0.2">
      <c r="A163" s="54">
        <v>10250</v>
      </c>
      <c r="B163" s="51">
        <v>0.31</v>
      </c>
      <c r="C163" s="51">
        <v>66.45</v>
      </c>
      <c r="D163" s="51"/>
      <c r="E163" s="52">
        <f t="shared" si="45"/>
        <v>0.34259259259259262</v>
      </c>
      <c r="F163" s="52">
        <f t="shared" si="46"/>
        <v>112.87962962962963</v>
      </c>
      <c r="G163" s="53">
        <f t="shared" si="47"/>
        <v>242.85370370370367</v>
      </c>
      <c r="H163" s="53">
        <f t="shared" si="48"/>
        <v>537.52722222222224</v>
      </c>
      <c r="I163" s="57"/>
    </row>
    <row r="164" spans="1:9" x14ac:dyDescent="0.2">
      <c r="A164" s="54">
        <v>10300</v>
      </c>
      <c r="B164" s="51">
        <v>0</v>
      </c>
      <c r="C164" s="51">
        <v>56.6</v>
      </c>
      <c r="D164" s="51"/>
      <c r="E164" s="52">
        <f t="shared" si="45"/>
        <v>0.28703703703703703</v>
      </c>
      <c r="F164" s="52">
        <f t="shared" si="46"/>
        <v>113.9351851851852</v>
      </c>
      <c r="G164" s="53">
        <f t="shared" si="47"/>
        <v>243.14074074074071</v>
      </c>
      <c r="H164" s="53">
        <f t="shared" si="48"/>
        <v>651.46240740740745</v>
      </c>
      <c r="I164" s="57"/>
    </row>
    <row r="165" spans="1:9" x14ac:dyDescent="0.2">
      <c r="A165" s="54">
        <v>10350</v>
      </c>
      <c r="B165" s="51">
        <v>1.2699999999999999E-2</v>
      </c>
      <c r="C165" s="51">
        <v>45.1</v>
      </c>
      <c r="D165" s="51"/>
      <c r="E165" s="52">
        <f t="shared" si="45"/>
        <v>1.1759259259259259E-2</v>
      </c>
      <c r="F165" s="52">
        <f t="shared" si="46"/>
        <v>94.166666666666671</v>
      </c>
      <c r="G165" s="53">
        <f t="shared" si="47"/>
        <v>243.15249999999997</v>
      </c>
      <c r="H165" s="53">
        <f t="shared" si="48"/>
        <v>745.62907407407408</v>
      </c>
      <c r="I165" s="57"/>
    </row>
    <row r="166" spans="1:9" x14ac:dyDescent="0.2">
      <c r="A166" s="54">
        <v>10400</v>
      </c>
      <c r="B166" s="51">
        <v>0</v>
      </c>
      <c r="C166" s="51">
        <v>177.02</v>
      </c>
      <c r="D166" s="51"/>
      <c r="E166" s="52">
        <f t="shared" si="45"/>
        <v>1.1759259259259259E-2</v>
      </c>
      <c r="F166" s="52">
        <f t="shared" si="46"/>
        <v>205.66666666666666</v>
      </c>
      <c r="G166" s="53">
        <f t="shared" si="47"/>
        <v>243.16425925925924</v>
      </c>
      <c r="H166" s="53">
        <f t="shared" si="48"/>
        <v>951.29574074074071</v>
      </c>
      <c r="I166" s="57"/>
    </row>
    <row r="167" spans="1:9" x14ac:dyDescent="0.2">
      <c r="A167" s="54">
        <v>10450</v>
      </c>
      <c r="B167" s="51">
        <v>0.6</v>
      </c>
      <c r="C167" s="51">
        <v>117.87</v>
      </c>
      <c r="D167" s="51"/>
      <c r="E167" s="52">
        <f t="shared" si="45"/>
        <v>0.55555555555555558</v>
      </c>
      <c r="F167" s="52">
        <f t="shared" si="46"/>
        <v>273.0462962962963</v>
      </c>
      <c r="G167" s="53">
        <f t="shared" si="47"/>
        <v>243.71981481481478</v>
      </c>
      <c r="H167" s="53">
        <f t="shared" si="48"/>
        <v>1224.342037037037</v>
      </c>
      <c r="I167" s="57"/>
    </row>
    <row r="168" spans="1:9" x14ac:dyDescent="0.2">
      <c r="A168" s="54">
        <v>10500</v>
      </c>
      <c r="B168" s="51">
        <v>1.54</v>
      </c>
      <c r="C168" s="51">
        <v>18.93</v>
      </c>
      <c r="D168" s="51">
        <v>31640.53</v>
      </c>
      <c r="E168" s="52">
        <f t="shared" si="45"/>
        <v>1.9814814814814814</v>
      </c>
      <c r="F168" s="52">
        <f t="shared" si="46"/>
        <v>126.66666666666669</v>
      </c>
      <c r="G168" s="53">
        <f t="shared" si="47"/>
        <v>245.70129629629628</v>
      </c>
      <c r="H168" s="53">
        <f t="shared" si="48"/>
        <v>1351.0087037037038</v>
      </c>
      <c r="I168" s="57"/>
    </row>
    <row r="169" spans="1:9" x14ac:dyDescent="0.2">
      <c r="A169" s="63" t="s">
        <v>36</v>
      </c>
      <c r="B169" s="55"/>
      <c r="C169" s="55"/>
      <c r="D169" s="55"/>
      <c r="E169" s="56"/>
      <c r="F169" s="56"/>
      <c r="G169" s="57"/>
      <c r="H169" s="57"/>
      <c r="I169" s="57"/>
    </row>
    <row r="170" spans="1:9" x14ac:dyDescent="0.2">
      <c r="A170" s="63"/>
      <c r="B170" s="55"/>
      <c r="C170" s="55"/>
      <c r="D170" s="55"/>
      <c r="E170" s="56"/>
      <c r="F170" s="56"/>
      <c r="G170" s="57"/>
      <c r="H170" s="57"/>
      <c r="I170" s="57"/>
    </row>
    <row r="171" spans="1:9" x14ac:dyDescent="0.2">
      <c r="A171" s="63"/>
      <c r="B171" s="55"/>
      <c r="C171" s="55"/>
      <c r="D171" s="55"/>
      <c r="E171" s="56"/>
      <c r="F171" s="56"/>
      <c r="G171" s="57"/>
      <c r="H171" s="57"/>
      <c r="I171" s="57"/>
    </row>
    <row r="172" spans="1:9" x14ac:dyDescent="0.2">
      <c r="A172" s="1" t="s">
        <v>41</v>
      </c>
      <c r="G172" s="67" t="s">
        <v>7</v>
      </c>
      <c r="H172" s="67"/>
      <c r="I172" s="57"/>
    </row>
    <row r="173" spans="1:9" ht="38.25" x14ac:dyDescent="0.2">
      <c r="A173" s="60" t="s">
        <v>23</v>
      </c>
      <c r="B173" s="61" t="s">
        <v>24</v>
      </c>
      <c r="C173" s="61" t="s">
        <v>25</v>
      </c>
      <c r="D173" s="61" t="s">
        <v>26</v>
      </c>
      <c r="E173" s="61" t="s">
        <v>27</v>
      </c>
      <c r="F173" s="61" t="s">
        <v>28</v>
      </c>
      <c r="G173" s="62" t="s">
        <v>27</v>
      </c>
      <c r="H173" s="62" t="s">
        <v>28</v>
      </c>
      <c r="I173" s="57"/>
    </row>
    <row r="174" spans="1:9" x14ac:dyDescent="0.2">
      <c r="A174" s="50">
        <v>50</v>
      </c>
      <c r="B174" s="51">
        <v>143.97</v>
      </c>
      <c r="C174" s="51">
        <v>0</v>
      </c>
      <c r="D174" s="51"/>
      <c r="E174" s="52">
        <v>0</v>
      </c>
      <c r="F174" s="52">
        <v>0</v>
      </c>
      <c r="G174" s="53">
        <f>E174</f>
        <v>0</v>
      </c>
      <c r="H174" s="53">
        <f>F174</f>
        <v>0</v>
      </c>
      <c r="I174" s="57"/>
    </row>
    <row r="175" spans="1:9" x14ac:dyDescent="0.2">
      <c r="A175" s="54">
        <v>100</v>
      </c>
      <c r="B175" s="51">
        <v>273.81</v>
      </c>
      <c r="C175" s="51">
        <v>0</v>
      </c>
      <c r="D175" s="51"/>
      <c r="E175" s="52">
        <f t="shared" ref="E175:E178" si="49">(((B175+B174)/2)*(A175-A174))/27</f>
        <v>386.83333333333331</v>
      </c>
      <c r="F175" s="52">
        <f t="shared" ref="F175:F178" si="50">(((C175+C174)/2)*(A175-A174))/27</f>
        <v>0</v>
      </c>
      <c r="G175" s="53">
        <f t="shared" ref="G175:G178" si="51">E175+G174</f>
        <v>386.83333333333331</v>
      </c>
      <c r="H175" s="53">
        <f t="shared" ref="H175:H178" si="52">F175+H174</f>
        <v>0</v>
      </c>
      <c r="I175" s="57"/>
    </row>
    <row r="176" spans="1:9" x14ac:dyDescent="0.2">
      <c r="A176" s="54">
        <v>150</v>
      </c>
      <c r="B176" s="51">
        <v>249.4</v>
      </c>
      <c r="C176" s="51">
        <v>0</v>
      </c>
      <c r="D176" s="51"/>
      <c r="E176" s="52">
        <f t="shared" si="49"/>
        <v>484.4537037037037</v>
      </c>
      <c r="F176" s="52">
        <f t="shared" si="50"/>
        <v>0</v>
      </c>
      <c r="G176" s="53">
        <f t="shared" si="51"/>
        <v>871.28703703703695</v>
      </c>
      <c r="H176" s="53">
        <f t="shared" si="52"/>
        <v>0</v>
      </c>
      <c r="I176" s="57"/>
    </row>
    <row r="177" spans="1:9" x14ac:dyDescent="0.2">
      <c r="A177" s="54">
        <v>200</v>
      </c>
      <c r="B177" s="51">
        <v>130.41999999999999</v>
      </c>
      <c r="C177" s="51">
        <v>0</v>
      </c>
      <c r="D177" s="51"/>
      <c r="E177" s="52">
        <f t="shared" si="49"/>
        <v>351.68518518518516</v>
      </c>
      <c r="F177" s="52">
        <f t="shared" si="50"/>
        <v>0</v>
      </c>
      <c r="G177" s="53">
        <f t="shared" si="51"/>
        <v>1222.9722222222222</v>
      </c>
      <c r="H177" s="53">
        <f t="shared" si="52"/>
        <v>0</v>
      </c>
      <c r="I177" s="57"/>
    </row>
    <row r="178" spans="1:9" x14ac:dyDescent="0.2">
      <c r="A178" s="54">
        <v>250</v>
      </c>
      <c r="B178" s="51">
        <v>48.54</v>
      </c>
      <c r="C178" s="51">
        <v>0.82</v>
      </c>
      <c r="D178" s="51">
        <v>0</v>
      </c>
      <c r="E178" s="52">
        <f t="shared" si="49"/>
        <v>165.70370370370367</v>
      </c>
      <c r="F178" s="52">
        <f t="shared" si="50"/>
        <v>0.7592592592592593</v>
      </c>
      <c r="G178" s="53">
        <f t="shared" si="51"/>
        <v>1388.6759259259259</v>
      </c>
      <c r="H178" s="53">
        <f t="shared" si="52"/>
        <v>0.7592592592592593</v>
      </c>
      <c r="I178" s="57"/>
    </row>
    <row r="179" spans="1:9" x14ac:dyDescent="0.2">
      <c r="A179" s="63"/>
      <c r="B179" s="55"/>
      <c r="C179" s="55"/>
      <c r="D179" s="55"/>
      <c r="E179" s="56"/>
      <c r="F179" s="56"/>
      <c r="G179" s="57"/>
      <c r="H179" s="57"/>
      <c r="I179" s="57"/>
    </row>
    <row r="180" spans="1:9" x14ac:dyDescent="0.2">
      <c r="A180" s="63"/>
      <c r="B180" s="55"/>
      <c r="C180" s="55"/>
      <c r="D180" s="55"/>
      <c r="E180" s="56"/>
      <c r="F180" s="56"/>
      <c r="G180" s="57"/>
      <c r="H180" s="57"/>
      <c r="I180" s="57"/>
    </row>
    <row r="181" spans="1:9" x14ac:dyDescent="0.2">
      <c r="A181" s="63"/>
      <c r="B181" s="55"/>
      <c r="C181" s="55"/>
      <c r="D181" s="55"/>
      <c r="E181" s="56"/>
      <c r="F181" s="56"/>
      <c r="G181" s="57"/>
      <c r="H181" s="57"/>
      <c r="I181" s="57"/>
    </row>
    <row r="182" spans="1:9" x14ac:dyDescent="0.2">
      <c r="A182" s="1" t="s">
        <v>43</v>
      </c>
      <c r="G182" s="67" t="s">
        <v>7</v>
      </c>
      <c r="H182" s="67"/>
      <c r="I182" s="57"/>
    </row>
    <row r="183" spans="1:9" ht="38.25" x14ac:dyDescent="0.2">
      <c r="A183" s="60" t="s">
        <v>23</v>
      </c>
      <c r="B183" s="61" t="s">
        <v>24</v>
      </c>
      <c r="C183" s="61" t="s">
        <v>25</v>
      </c>
      <c r="D183" s="61" t="s">
        <v>26</v>
      </c>
      <c r="E183" s="61" t="s">
        <v>27</v>
      </c>
      <c r="F183" s="61" t="s">
        <v>28</v>
      </c>
      <c r="G183" s="62" t="s">
        <v>27</v>
      </c>
      <c r="H183" s="62" t="s">
        <v>28</v>
      </c>
      <c r="I183" s="57"/>
    </row>
    <row r="184" spans="1:9" x14ac:dyDescent="0.2">
      <c r="A184" s="50">
        <v>1700</v>
      </c>
      <c r="B184" s="51">
        <v>0</v>
      </c>
      <c r="C184" s="51">
        <v>3.14</v>
      </c>
      <c r="D184" s="51"/>
      <c r="E184" s="52">
        <v>0</v>
      </c>
      <c r="F184" s="52">
        <v>0</v>
      </c>
      <c r="G184" s="53">
        <f>E184</f>
        <v>0</v>
      </c>
      <c r="H184" s="53">
        <f>F184</f>
        <v>0</v>
      </c>
      <c r="I184" s="57"/>
    </row>
    <row r="185" spans="1:9" x14ac:dyDescent="0.2">
      <c r="A185" s="54">
        <v>1750</v>
      </c>
      <c r="B185" s="51">
        <v>30.83</v>
      </c>
      <c r="C185" s="51">
        <v>7.89</v>
      </c>
      <c r="D185" s="51"/>
      <c r="E185" s="52">
        <f t="shared" ref="E185:E192" si="53">(((B185+B184)/2)*(A185-A184))/27</f>
        <v>28.546296296296298</v>
      </c>
      <c r="F185" s="52">
        <f t="shared" ref="F185:F192" si="54">(((C185+C184)/2)*(A185-A184))/27</f>
        <v>10.212962962962964</v>
      </c>
      <c r="G185" s="53">
        <f t="shared" ref="G185:G192" si="55">E185+G184</f>
        <v>28.546296296296298</v>
      </c>
      <c r="H185" s="53">
        <f t="shared" ref="H185:H192" si="56">F185+H184</f>
        <v>10.212962962962964</v>
      </c>
      <c r="I185" s="57"/>
    </row>
    <row r="186" spans="1:9" x14ac:dyDescent="0.2">
      <c r="A186" s="54">
        <v>1800</v>
      </c>
      <c r="B186" s="51">
        <v>48.16</v>
      </c>
      <c r="C186" s="51">
        <v>8.23</v>
      </c>
      <c r="D186" s="51"/>
      <c r="E186" s="52">
        <f t="shared" si="53"/>
        <v>73.138888888888886</v>
      </c>
      <c r="F186" s="52">
        <f t="shared" si="54"/>
        <v>14.925925925925926</v>
      </c>
      <c r="G186" s="53">
        <f t="shared" si="55"/>
        <v>101.68518518518519</v>
      </c>
      <c r="H186" s="53">
        <f t="shared" si="56"/>
        <v>25.138888888888889</v>
      </c>
      <c r="I186" s="57"/>
    </row>
    <row r="187" spans="1:9" x14ac:dyDescent="0.2">
      <c r="A187" s="54">
        <v>1826</v>
      </c>
      <c r="B187" s="51">
        <v>121.44</v>
      </c>
      <c r="C187" s="51">
        <v>0</v>
      </c>
      <c r="D187" s="51"/>
      <c r="E187" s="52">
        <f t="shared" si="53"/>
        <v>81.659259259259244</v>
      </c>
      <c r="F187" s="52">
        <f t="shared" si="54"/>
        <v>3.9625925925925931</v>
      </c>
      <c r="G187" s="53">
        <f t="shared" si="55"/>
        <v>183.34444444444443</v>
      </c>
      <c r="H187" s="53">
        <f t="shared" si="56"/>
        <v>29.101481481481482</v>
      </c>
      <c r="I187" s="57"/>
    </row>
    <row r="188" spans="1:9" x14ac:dyDescent="0.2">
      <c r="A188" s="54">
        <v>1850</v>
      </c>
      <c r="B188" s="51">
        <v>94.78</v>
      </c>
      <c r="C188" s="51">
        <v>0.16</v>
      </c>
      <c r="D188" s="51"/>
      <c r="E188" s="52">
        <f t="shared" si="53"/>
        <v>96.097777777777779</v>
      </c>
      <c r="F188" s="52">
        <f t="shared" si="54"/>
        <v>7.1111111111111111E-2</v>
      </c>
      <c r="G188" s="53">
        <f t="shared" si="55"/>
        <v>279.4422222222222</v>
      </c>
      <c r="H188" s="53">
        <f t="shared" si="56"/>
        <v>29.172592592592594</v>
      </c>
      <c r="I188" s="57"/>
    </row>
    <row r="189" spans="1:9" x14ac:dyDescent="0.2">
      <c r="A189" s="54">
        <v>1900</v>
      </c>
      <c r="B189" s="51">
        <v>62.88</v>
      </c>
      <c r="C189" s="51">
        <v>0.71</v>
      </c>
      <c r="D189" s="51"/>
      <c r="E189" s="52">
        <f t="shared" si="53"/>
        <v>145.9814814814815</v>
      </c>
      <c r="F189" s="52">
        <f t="shared" si="54"/>
        <v>0.80555555555555558</v>
      </c>
      <c r="G189" s="53">
        <f t="shared" si="55"/>
        <v>425.42370370370372</v>
      </c>
      <c r="H189" s="53">
        <f t="shared" si="56"/>
        <v>29.978148148148151</v>
      </c>
      <c r="I189" s="57"/>
    </row>
    <row r="190" spans="1:9" x14ac:dyDescent="0.2">
      <c r="A190" s="54">
        <v>1918</v>
      </c>
      <c r="B190" s="51">
        <v>58.1</v>
      </c>
      <c r="C190" s="51">
        <v>1.82</v>
      </c>
      <c r="D190" s="51"/>
      <c r="E190" s="52">
        <f t="shared" si="53"/>
        <v>40.326666666666661</v>
      </c>
      <c r="F190" s="52">
        <f t="shared" si="54"/>
        <v>0.84333333333333349</v>
      </c>
      <c r="G190" s="53">
        <f t="shared" si="55"/>
        <v>465.75037037037038</v>
      </c>
      <c r="H190" s="53">
        <f t="shared" si="56"/>
        <v>30.821481481481484</v>
      </c>
      <c r="I190" s="57"/>
    </row>
    <row r="191" spans="1:9" x14ac:dyDescent="0.2">
      <c r="A191" s="54">
        <v>1938</v>
      </c>
      <c r="B191" s="51">
        <v>37.61</v>
      </c>
      <c r="C191" s="51">
        <v>7.4</v>
      </c>
      <c r="D191" s="51"/>
      <c r="E191" s="52">
        <f t="shared" si="53"/>
        <v>35.448148148148157</v>
      </c>
      <c r="F191" s="52">
        <f t="shared" si="54"/>
        <v>3.414814814814815</v>
      </c>
      <c r="G191" s="53">
        <f t="shared" si="55"/>
        <v>501.19851851851854</v>
      </c>
      <c r="H191" s="53">
        <f t="shared" si="56"/>
        <v>34.236296296296302</v>
      </c>
      <c r="I191" s="57"/>
    </row>
    <row r="192" spans="1:9" x14ac:dyDescent="0.2">
      <c r="A192" s="54">
        <v>1950</v>
      </c>
      <c r="B192" s="51">
        <v>32.1</v>
      </c>
      <c r="C192" s="51">
        <v>17.68</v>
      </c>
      <c r="D192" s="51">
        <v>11849.74</v>
      </c>
      <c r="E192" s="52">
        <f t="shared" si="53"/>
        <v>15.491111111111113</v>
      </c>
      <c r="F192" s="52">
        <f t="shared" si="54"/>
        <v>5.5733333333333333</v>
      </c>
      <c r="G192" s="53">
        <f t="shared" si="55"/>
        <v>516.68962962962962</v>
      </c>
      <c r="H192" s="53">
        <f t="shared" si="56"/>
        <v>39.809629629629633</v>
      </c>
      <c r="I192" s="57"/>
    </row>
    <row r="193" spans="1:9" x14ac:dyDescent="0.2">
      <c r="A193" s="63" t="s">
        <v>36</v>
      </c>
      <c r="B193" s="55"/>
      <c r="C193" s="55"/>
      <c r="D193" s="55"/>
      <c r="E193" s="56"/>
      <c r="F193" s="56"/>
      <c r="G193" s="57"/>
      <c r="H193" s="57"/>
      <c r="I193" s="57"/>
    </row>
    <row r="194" spans="1:9" x14ac:dyDescent="0.2">
      <c r="A194" s="63"/>
      <c r="B194" s="55"/>
      <c r="C194" s="55"/>
      <c r="D194" s="55"/>
      <c r="E194" s="56"/>
      <c r="F194" s="56"/>
      <c r="G194" s="57"/>
      <c r="H194" s="57"/>
      <c r="I194" s="57"/>
    </row>
    <row r="195" spans="1:9" x14ac:dyDescent="0.2">
      <c r="A195" s="63"/>
      <c r="B195" s="55"/>
      <c r="C195" s="55"/>
      <c r="D195" s="55"/>
      <c r="E195" s="56"/>
      <c r="F195" s="56"/>
      <c r="G195" s="57"/>
      <c r="H195" s="57"/>
      <c r="I195" s="57"/>
    </row>
    <row r="196" spans="1:9" x14ac:dyDescent="0.2">
      <c r="A196" s="1" t="s">
        <v>56</v>
      </c>
      <c r="G196" s="67" t="s">
        <v>7</v>
      </c>
      <c r="H196" s="67"/>
      <c r="I196" s="57"/>
    </row>
    <row r="197" spans="1:9" ht="38.25" x14ac:dyDescent="0.2">
      <c r="A197" s="60" t="s">
        <v>23</v>
      </c>
      <c r="B197" s="61" t="s">
        <v>24</v>
      </c>
      <c r="C197" s="61" t="s">
        <v>25</v>
      </c>
      <c r="D197" s="61" t="s">
        <v>26</v>
      </c>
      <c r="E197" s="61" t="s">
        <v>27</v>
      </c>
      <c r="F197" s="61" t="s">
        <v>28</v>
      </c>
      <c r="G197" s="62" t="s">
        <v>27</v>
      </c>
      <c r="H197" s="62" t="s">
        <v>28</v>
      </c>
      <c r="I197" s="57"/>
    </row>
    <row r="198" spans="1:9" x14ac:dyDescent="0.2">
      <c r="A198" s="50">
        <v>3800</v>
      </c>
      <c r="B198" s="51">
        <v>0</v>
      </c>
      <c r="C198" s="51">
        <v>0</v>
      </c>
      <c r="D198" s="51"/>
      <c r="E198" s="52">
        <v>0</v>
      </c>
      <c r="F198" s="52">
        <v>0</v>
      </c>
      <c r="G198" s="53">
        <f>E198</f>
        <v>0</v>
      </c>
      <c r="H198" s="53">
        <f>F198</f>
        <v>0</v>
      </c>
      <c r="I198" s="57"/>
    </row>
    <row r="199" spans="1:9" x14ac:dyDescent="0.2">
      <c r="A199" s="54">
        <v>3850</v>
      </c>
      <c r="B199" s="51">
        <v>0</v>
      </c>
      <c r="C199" s="51">
        <v>0</v>
      </c>
      <c r="D199" s="51"/>
      <c r="E199" s="52">
        <f t="shared" ref="E199:E200" si="57">(((B199+B198)/2)*(A199-A198))/27</f>
        <v>0</v>
      </c>
      <c r="F199" s="52">
        <f t="shared" ref="F199:F200" si="58">(((C199+C198)/2)*(A199-A198))/27</f>
        <v>0</v>
      </c>
      <c r="G199" s="53">
        <f t="shared" ref="G199:G200" si="59">E199+G198</f>
        <v>0</v>
      </c>
      <c r="H199" s="53">
        <f t="shared" ref="H199:H200" si="60">F199+H198</f>
        <v>0</v>
      </c>
      <c r="I199" s="57"/>
    </row>
    <row r="200" spans="1:9" x14ac:dyDescent="0.2">
      <c r="A200" s="54">
        <v>3900</v>
      </c>
      <c r="B200" s="51">
        <v>0</v>
      </c>
      <c r="C200" s="51">
        <v>31.42</v>
      </c>
      <c r="D200" s="51">
        <v>615.48</v>
      </c>
      <c r="E200" s="52">
        <f t="shared" si="57"/>
        <v>0</v>
      </c>
      <c r="F200" s="52">
        <f t="shared" si="58"/>
        <v>29.092592592592592</v>
      </c>
      <c r="G200" s="53">
        <f t="shared" si="59"/>
        <v>0</v>
      </c>
      <c r="H200" s="53">
        <f t="shared" si="60"/>
        <v>29.092592592592592</v>
      </c>
      <c r="I200" s="57"/>
    </row>
    <row r="201" spans="1:9" x14ac:dyDescent="0.2">
      <c r="A201" s="63" t="s">
        <v>36</v>
      </c>
      <c r="B201" s="55"/>
      <c r="C201" s="55"/>
      <c r="D201" s="55"/>
      <c r="E201" s="56"/>
      <c r="F201" s="56"/>
      <c r="G201" s="57"/>
      <c r="H201" s="57"/>
      <c r="I201" s="57"/>
    </row>
    <row r="202" spans="1:9" x14ac:dyDescent="0.2">
      <c r="A202" s="63"/>
      <c r="B202" s="55"/>
      <c r="C202" s="55"/>
      <c r="D202" s="55"/>
      <c r="E202" s="56"/>
      <c r="F202" s="56"/>
      <c r="G202" s="57"/>
      <c r="H202" s="57"/>
      <c r="I202" s="57"/>
    </row>
    <row r="203" spans="1:9" x14ac:dyDescent="0.2">
      <c r="A203" s="63"/>
      <c r="B203" s="55"/>
      <c r="C203" s="55"/>
      <c r="D203" s="55"/>
      <c r="E203" s="56"/>
      <c r="F203" s="56"/>
      <c r="G203" s="57"/>
      <c r="H203" s="57"/>
      <c r="I203" s="57"/>
    </row>
    <row r="204" spans="1:9" x14ac:dyDescent="0.2">
      <c r="A204" s="63"/>
      <c r="B204" s="55"/>
      <c r="C204" s="55"/>
      <c r="D204" s="55"/>
      <c r="E204" s="56"/>
      <c r="F204" s="56"/>
      <c r="G204" s="57"/>
      <c r="H204" s="57"/>
      <c r="I204" s="57"/>
    </row>
    <row r="205" spans="1:9" x14ac:dyDescent="0.2">
      <c r="A205" s="63"/>
      <c r="B205" s="55"/>
      <c r="C205" s="55"/>
      <c r="D205" s="55"/>
      <c r="E205" s="56"/>
      <c r="F205" s="56"/>
      <c r="G205" s="57"/>
      <c r="H205" s="57"/>
      <c r="I205" s="57"/>
    </row>
    <row r="206" spans="1:9" x14ac:dyDescent="0.2">
      <c r="A206" s="63"/>
      <c r="B206" s="55"/>
      <c r="C206" s="55"/>
      <c r="D206" s="55"/>
      <c r="E206" s="56"/>
      <c r="F206" s="56"/>
      <c r="G206" s="57"/>
      <c r="H206" s="57"/>
      <c r="I206" s="57"/>
    </row>
    <row r="207" spans="1:9" x14ac:dyDescent="0.2">
      <c r="A207" s="63"/>
      <c r="B207" s="55"/>
      <c r="C207" s="55"/>
      <c r="D207" s="55"/>
      <c r="E207" s="56"/>
      <c r="F207" s="56"/>
      <c r="G207" s="57"/>
      <c r="H207" s="57"/>
      <c r="I207" s="57"/>
    </row>
    <row r="208" spans="1:9" x14ac:dyDescent="0.2">
      <c r="A208" s="63"/>
      <c r="B208" s="55"/>
      <c r="C208" s="55"/>
      <c r="D208" s="55"/>
      <c r="E208" s="56"/>
      <c r="F208" s="56"/>
      <c r="G208" s="57"/>
      <c r="H208" s="57"/>
      <c r="I208" s="57"/>
    </row>
    <row r="209" spans="1:9" x14ac:dyDescent="0.2">
      <c r="A209" s="47"/>
      <c r="B209" s="48"/>
      <c r="C209" s="48"/>
      <c r="D209" s="48"/>
      <c r="E209" s="48"/>
      <c r="F209" s="48"/>
      <c r="G209" s="49"/>
      <c r="H209" s="49"/>
      <c r="I209" s="49"/>
    </row>
  </sheetData>
  <mergeCells count="11">
    <mergeCell ref="G196:H196"/>
    <mergeCell ref="G70:H70"/>
    <mergeCell ref="G9:H9"/>
    <mergeCell ref="G34:H34"/>
    <mergeCell ref="G42:H42"/>
    <mergeCell ref="G51:H51"/>
    <mergeCell ref="G172:H172"/>
    <mergeCell ref="G182:H182"/>
    <mergeCell ref="G154:H154"/>
    <mergeCell ref="G143:H143"/>
    <mergeCell ref="G103:H103"/>
  </mergeCells>
  <pageMargins left="0.7" right="0.7" top="0.75" bottom="0.75" header="0.3" footer="0.3"/>
  <pageSetup paperSize="17" scale="87" fitToHeight="0" orientation="portrait" r:id="rId1"/>
  <headerFooter>
    <oddFooter>Page &amp;P of &amp;N</oddFooter>
  </headerFooter>
  <rowBreaks count="5" manualBreakCount="5">
    <brk id="40" max="8" man="1"/>
    <brk id="68" max="8" man="1"/>
    <brk id="101" max="8" man="1"/>
    <brk id="141" max="8" man="1"/>
    <brk id="18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Gateway Pkg Earthwork Summary</vt:lpstr>
      <vt:lpstr>Gateway Pkg Cross Sections</vt:lpstr>
      <vt:lpstr>'Gateway Pkg Cross Sections'!Print_Area</vt:lpstr>
      <vt:lpstr>'Gateway Pkg Earthwork Summary'!Print_Area</vt:lpstr>
      <vt:lpstr>'Gateway Pkg Cross Sections'!Print_Titles</vt:lpstr>
    </vt:vector>
  </TitlesOfParts>
  <Company>HNTB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Kurtz</dc:creator>
  <cp:lastModifiedBy>Kevin Monroe</cp:lastModifiedBy>
  <cp:lastPrinted>2011-07-22T16:55:40Z</cp:lastPrinted>
  <dcterms:created xsi:type="dcterms:W3CDTF">2011-03-23T13:25:31Z</dcterms:created>
  <dcterms:modified xsi:type="dcterms:W3CDTF">2016-01-06T20:57:38Z</dcterms:modified>
</cp:coreProperties>
</file>