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4955" windowHeight="12135"/>
  </bookViews>
  <sheets>
    <sheet name="E9th Pkg Earthwork Summary" sheetId="4" r:id="rId1"/>
    <sheet name="E9th Pkg Cross Sections" sheetId="2" r:id="rId2"/>
  </sheets>
  <definedNames>
    <definedName name="JOB___24810">[0]!job_number</definedName>
    <definedName name="_xlnm.Print_Area" localSheetId="1">'E9th Pkg Cross Sections'!$A$1:$I$187</definedName>
    <definedName name="_xlnm.Print_Area" localSheetId="0">'E9th Pkg Earthwork Summary'!$A$1:$J$36</definedName>
    <definedName name="_xlnm.Print_Titles" localSheetId="1">'E9th Pkg Cross Sections'!$1:$8</definedName>
  </definedNames>
  <calcPr calcId="145621"/>
</workbook>
</file>

<file path=xl/calcChain.xml><?xml version="1.0" encoding="utf-8"?>
<calcChain xmlns="http://schemas.openxmlformats.org/spreadsheetml/2006/main">
  <c r="D24" i="4" l="1"/>
  <c r="H173" i="2"/>
  <c r="H174" i="2"/>
  <c r="H175" i="2" s="1"/>
  <c r="H176" i="2" s="1"/>
  <c r="H177" i="2" s="1"/>
  <c r="H178" i="2" s="1"/>
  <c r="G173" i="2"/>
  <c r="G174" i="2"/>
  <c r="G175" i="2"/>
  <c r="G176" i="2" s="1"/>
  <c r="G177" i="2" s="1"/>
  <c r="G178" i="2" s="1"/>
  <c r="F173" i="2"/>
  <c r="F174" i="2"/>
  <c r="F175" i="2"/>
  <c r="F176" i="2"/>
  <c r="F177" i="2"/>
  <c r="F178" i="2"/>
  <c r="E173" i="2"/>
  <c r="E174" i="2"/>
  <c r="E175" i="2"/>
  <c r="E176" i="2"/>
  <c r="E177" i="2"/>
  <c r="E178" i="2"/>
  <c r="E114" i="2"/>
  <c r="E115" i="2"/>
  <c r="F53" i="2" l="1"/>
  <c r="F52" i="2"/>
  <c r="F51" i="2"/>
  <c r="F50" i="2"/>
  <c r="F49" i="2"/>
  <c r="F48" i="2"/>
  <c r="F47" i="2"/>
  <c r="F46" i="2"/>
  <c r="F45" i="2"/>
  <c r="F44" i="2"/>
  <c r="F43" i="2"/>
  <c r="F42" i="2"/>
  <c r="F35" i="2"/>
  <c r="F34" i="2"/>
  <c r="F33" i="2"/>
  <c r="F32" i="2"/>
  <c r="E33" i="2"/>
  <c r="E34" i="2"/>
  <c r="E35" i="2"/>
  <c r="E36" i="2"/>
  <c r="E37" i="2"/>
  <c r="E42" i="2"/>
  <c r="E43" i="2"/>
  <c r="E44" i="2"/>
  <c r="E45" i="2"/>
  <c r="E46" i="2"/>
  <c r="E47" i="2"/>
  <c r="E48" i="2"/>
  <c r="E49" i="2"/>
  <c r="E50" i="2"/>
  <c r="E51" i="2"/>
  <c r="E52" i="2"/>
  <c r="E53" i="2"/>
  <c r="F102" i="2"/>
  <c r="F103" i="2"/>
  <c r="F104" i="2"/>
  <c r="F105" i="2"/>
  <c r="F106" i="2"/>
  <c r="F107" i="2"/>
  <c r="F108" i="2"/>
  <c r="F109" i="2"/>
  <c r="E102" i="2"/>
  <c r="E103" i="2"/>
  <c r="E104" i="2"/>
  <c r="E105" i="2"/>
  <c r="E106" i="2"/>
  <c r="E107" i="2"/>
  <c r="E108" i="2"/>
  <c r="E109" i="2"/>
  <c r="B99" i="2" l="1"/>
  <c r="C98" i="2"/>
  <c r="B98" i="2"/>
  <c r="C97" i="2"/>
  <c r="B97" i="2"/>
  <c r="C96" i="2"/>
  <c r="B96" i="2"/>
  <c r="C95" i="2"/>
  <c r="B95" i="2"/>
  <c r="C94" i="2"/>
  <c r="E89" i="2"/>
  <c r="F89" i="2"/>
  <c r="D84" i="2"/>
  <c r="D83" i="2"/>
  <c r="C66" i="2"/>
  <c r="B66" i="2"/>
  <c r="C65" i="2"/>
  <c r="B65" i="2"/>
  <c r="C64" i="2"/>
  <c r="F64" i="2" s="1"/>
  <c r="B64" i="2"/>
  <c r="E64" i="2" s="1"/>
  <c r="E67" i="2" l="1"/>
  <c r="E66" i="2"/>
  <c r="F67" i="2"/>
  <c r="F66" i="2"/>
  <c r="E65" i="2"/>
  <c r="F65" i="2"/>
  <c r="C40" i="2"/>
  <c r="B40" i="2"/>
  <c r="C38" i="2"/>
  <c r="B38" i="2"/>
  <c r="C37" i="2"/>
  <c r="F39" i="2" l="1"/>
  <c r="F38" i="2"/>
  <c r="F41" i="2"/>
  <c r="F40" i="2"/>
  <c r="E38" i="2"/>
  <c r="E39" i="2"/>
  <c r="E40" i="2"/>
  <c r="E41" i="2"/>
  <c r="C36" i="2"/>
  <c r="F36" i="2" s="1"/>
  <c r="B31" i="2"/>
  <c r="C30" i="2"/>
  <c r="B30" i="2"/>
  <c r="C29" i="2"/>
  <c r="B29" i="2"/>
  <c r="E29" i="2" s="1"/>
  <c r="C28" i="2"/>
  <c r="C27" i="2"/>
  <c r="B27" i="2"/>
  <c r="C26" i="2"/>
  <c r="B26" i="2"/>
  <c r="C25" i="2"/>
  <c r="B25" i="2"/>
  <c r="C24" i="2"/>
  <c r="B24" i="2"/>
  <c r="D23" i="2"/>
  <c r="C23" i="2"/>
  <c r="B23" i="2"/>
  <c r="C22" i="2"/>
  <c r="B22" i="2"/>
  <c r="C21" i="2"/>
  <c r="B21" i="2"/>
  <c r="C20" i="2"/>
  <c r="B20" i="2"/>
  <c r="D19" i="2"/>
  <c r="C19" i="2"/>
  <c r="B19" i="2"/>
  <c r="D15" i="2"/>
  <c r="C15" i="2"/>
  <c r="B15" i="2"/>
  <c r="D14" i="2"/>
  <c r="C14" i="2"/>
  <c r="F14" i="2" s="1"/>
  <c r="B14" i="2"/>
  <c r="E14" i="2" s="1"/>
  <c r="E146" i="2"/>
  <c r="E152" i="2"/>
  <c r="E148" i="2"/>
  <c r="F152" i="2"/>
  <c r="F147" i="2"/>
  <c r="F148" i="2"/>
  <c r="H11" i="2"/>
  <c r="G11" i="2"/>
  <c r="F172" i="2"/>
  <c r="E172" i="2"/>
  <c r="F171" i="2"/>
  <c r="E171" i="2"/>
  <c r="F170" i="2"/>
  <c r="E170" i="2"/>
  <c r="F169" i="2"/>
  <c r="E169" i="2"/>
  <c r="F168" i="2"/>
  <c r="E168" i="2"/>
  <c r="F167" i="2"/>
  <c r="E167" i="2"/>
  <c r="F166" i="2"/>
  <c r="E166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63" i="2"/>
  <c r="E12" i="2"/>
  <c r="G12" i="2" s="1"/>
  <c r="F12" i="2"/>
  <c r="E13" i="2"/>
  <c r="F13" i="2"/>
  <c r="F161" i="2"/>
  <c r="F137" i="2"/>
  <c r="F138" i="2"/>
  <c r="E139" i="2"/>
  <c r="F139" i="2"/>
  <c r="E140" i="2"/>
  <c r="F140" i="2"/>
  <c r="E141" i="2"/>
  <c r="F141" i="2"/>
  <c r="E142" i="2"/>
  <c r="F142" i="2"/>
  <c r="E143" i="2"/>
  <c r="F143" i="2"/>
  <c r="E144" i="2"/>
  <c r="F144" i="2"/>
  <c r="E145" i="2"/>
  <c r="F145" i="2"/>
  <c r="F146" i="2"/>
  <c r="F136" i="2"/>
  <c r="E137" i="2"/>
  <c r="F183" i="2"/>
  <c r="E184" i="2"/>
  <c r="F184" i="2"/>
  <c r="E185" i="2"/>
  <c r="F185" i="2"/>
  <c r="E183" i="2"/>
  <c r="F114" i="2"/>
  <c r="F115" i="2"/>
  <c r="E116" i="2"/>
  <c r="F116" i="2"/>
  <c r="F117" i="2"/>
  <c r="F118" i="2"/>
  <c r="F119" i="2"/>
  <c r="F120" i="2"/>
  <c r="F121" i="2"/>
  <c r="F122" i="2"/>
  <c r="F123" i="2"/>
  <c r="E124" i="2"/>
  <c r="F124" i="2"/>
  <c r="E125" i="2"/>
  <c r="F125" i="2"/>
  <c r="E126" i="2"/>
  <c r="F126" i="2"/>
  <c r="E127" i="2"/>
  <c r="F127" i="2"/>
  <c r="E128" i="2"/>
  <c r="F128" i="2"/>
  <c r="F129" i="2"/>
  <c r="F130" i="2"/>
  <c r="F131" i="2"/>
  <c r="E132" i="2"/>
  <c r="F132" i="2"/>
  <c r="E133" i="2"/>
  <c r="F133" i="2"/>
  <c r="F134" i="2"/>
  <c r="F135" i="2"/>
  <c r="F153" i="2"/>
  <c r="F154" i="2"/>
  <c r="F155" i="2"/>
  <c r="F156" i="2"/>
  <c r="F157" i="2"/>
  <c r="F158" i="2"/>
  <c r="F159" i="2"/>
  <c r="F160" i="2"/>
  <c r="E134" i="2"/>
  <c r="E129" i="2"/>
  <c r="E119" i="2"/>
  <c r="E117" i="2"/>
  <c r="E80" i="2"/>
  <c r="E85" i="2"/>
  <c r="F85" i="2"/>
  <c r="E86" i="2"/>
  <c r="F86" i="2"/>
  <c r="E87" i="2"/>
  <c r="F87" i="2"/>
  <c r="E88" i="2"/>
  <c r="F88" i="2"/>
  <c r="F80" i="2"/>
  <c r="E81" i="2"/>
  <c r="F81" i="2"/>
  <c r="E82" i="2"/>
  <c r="F82" i="2"/>
  <c r="E83" i="2"/>
  <c r="F83" i="2"/>
  <c r="E84" i="2"/>
  <c r="F84" i="2"/>
  <c r="E78" i="2"/>
  <c r="F78" i="2"/>
  <c r="E79" i="2"/>
  <c r="F79" i="2"/>
  <c r="F73" i="2"/>
  <c r="F72" i="2"/>
  <c r="E72" i="2"/>
  <c r="F58" i="2"/>
  <c r="F59" i="2"/>
  <c r="F60" i="2"/>
  <c r="E61" i="2"/>
  <c r="F61" i="2"/>
  <c r="E62" i="2"/>
  <c r="F62" i="2"/>
  <c r="E58" i="2"/>
  <c r="F20" i="2" l="1"/>
  <c r="G13" i="2"/>
  <c r="G14" i="2" s="1"/>
  <c r="E15" i="2"/>
  <c r="F15" i="2"/>
  <c r="F19" i="2"/>
  <c r="E24" i="2"/>
  <c r="F28" i="2"/>
  <c r="E32" i="2"/>
  <c r="E31" i="2"/>
  <c r="H12" i="2"/>
  <c r="H13" i="2" s="1"/>
  <c r="H14" i="2" s="1"/>
  <c r="E19" i="2"/>
  <c r="E20" i="2"/>
  <c r="E21" i="2"/>
  <c r="E22" i="2"/>
  <c r="E23" i="2"/>
  <c r="F24" i="2"/>
  <c r="F25" i="2"/>
  <c r="F26" i="2"/>
  <c r="F27" i="2"/>
  <c r="E30" i="2"/>
  <c r="F37" i="2"/>
  <c r="E28" i="2"/>
  <c r="E27" i="2"/>
  <c r="F31" i="2"/>
  <c r="F30" i="2"/>
  <c r="F21" i="2"/>
  <c r="F22" i="2"/>
  <c r="F23" i="2"/>
  <c r="E25" i="2"/>
  <c r="E26" i="2"/>
  <c r="F29" i="2"/>
  <c r="E147" i="2"/>
  <c r="E121" i="2"/>
  <c r="E154" i="2"/>
  <c r="E156" i="2"/>
  <c r="E158" i="2"/>
  <c r="E160" i="2"/>
  <c r="E118" i="2"/>
  <c r="E120" i="2"/>
  <c r="E122" i="2"/>
  <c r="E130" i="2"/>
  <c r="E135" i="2"/>
  <c r="E153" i="2"/>
  <c r="E155" i="2"/>
  <c r="E157" i="2"/>
  <c r="E159" i="2"/>
  <c r="E59" i="2"/>
  <c r="E131" i="2"/>
  <c r="E123" i="2"/>
  <c r="E161" i="2"/>
  <c r="E136" i="2"/>
  <c r="E138" i="2"/>
  <c r="E73" i="2"/>
  <c r="G15" i="2" l="1"/>
  <c r="G19" i="2" s="1"/>
  <c r="G20" i="2" s="1"/>
  <c r="H15" i="2"/>
  <c r="H19" i="2" s="1"/>
  <c r="H20" i="2" s="1"/>
  <c r="H21" i="2" l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G21" i="2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H58" i="2"/>
  <c r="G58" i="2"/>
  <c r="H114" i="2"/>
  <c r="G59" i="2" l="1"/>
  <c r="G60" i="2" s="1"/>
  <c r="G61" i="2" s="1"/>
  <c r="G62" i="2" s="1"/>
  <c r="G63" i="2" s="1"/>
  <c r="G64" i="2" s="1"/>
  <c r="G65" i="2" s="1"/>
  <c r="G66" i="2" s="1"/>
  <c r="G67" i="2" s="1"/>
  <c r="H115" i="2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59" i="2"/>
  <c r="H60" i="2" s="1"/>
  <c r="H61" i="2" s="1"/>
  <c r="H62" i="2" s="1"/>
  <c r="H63" i="2" s="1"/>
  <c r="H64" i="2" s="1"/>
  <c r="H65" i="2" s="1"/>
  <c r="H66" i="2" s="1"/>
  <c r="H67" i="2" s="1"/>
  <c r="D12" i="4"/>
  <c r="F12" i="4"/>
  <c r="H72" i="2"/>
  <c r="G72" i="2"/>
  <c r="G114" i="2"/>
  <c r="I12" i="4" l="1"/>
  <c r="H73" i="2"/>
  <c r="G115" i="2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73" i="2"/>
  <c r="D16" i="4" s="1"/>
  <c r="F14" i="4"/>
  <c r="D14" i="4"/>
  <c r="F22" i="4"/>
  <c r="H78" i="2"/>
  <c r="H166" i="2"/>
  <c r="H167" i="2" s="1"/>
  <c r="H168" i="2" s="1"/>
  <c r="H169" i="2" s="1"/>
  <c r="H170" i="2" s="1"/>
  <c r="H171" i="2" s="1"/>
  <c r="H172" i="2" s="1"/>
  <c r="H94" i="2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F20" i="4" s="1"/>
  <c r="G78" i="2"/>
  <c r="F16" i="4" l="1"/>
  <c r="H79" i="2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187" i="2" s="1"/>
  <c r="G79" i="2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187" i="2" s="1"/>
  <c r="I14" i="4"/>
  <c r="D22" i="4"/>
  <c r="G166" i="2"/>
  <c r="G167" i="2" s="1"/>
  <c r="G168" i="2" s="1"/>
  <c r="G169" i="2" s="1"/>
  <c r="G170" i="2" s="1"/>
  <c r="G171" i="2" s="1"/>
  <c r="G172" i="2" s="1"/>
  <c r="F24" i="4"/>
  <c r="G94" i="2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D20" i="4" s="1"/>
  <c r="I16" i="4" l="1"/>
  <c r="D18" i="4"/>
  <c r="F18" i="4"/>
  <c r="I20" i="4"/>
  <c r="I22" i="4"/>
  <c r="H183" i="2"/>
  <c r="H184" i="2" s="1"/>
  <c r="H185" i="2" s="1"/>
  <c r="F26" i="4" s="1"/>
  <c r="I24" i="4"/>
  <c r="I18" i="4" l="1"/>
  <c r="G183" i="2"/>
  <c r="G184" i="2" s="1"/>
  <c r="G185" i="2" s="1"/>
  <c r="D26" i="4" l="1"/>
  <c r="I26" i="4" s="1"/>
  <c r="I31" i="4"/>
  <c r="I28" i="4" l="1"/>
  <c r="I33" i="4" s="1"/>
</calcChain>
</file>

<file path=xl/sharedStrings.xml><?xml version="1.0" encoding="utf-8"?>
<sst xmlns="http://schemas.openxmlformats.org/spreadsheetml/2006/main" count="62" uniqueCount="47">
  <si>
    <t>PROJECT - Cleveland Innerbelt - CCG1</t>
  </si>
  <si>
    <t>ODOT PROJECT # - CUY-90-14.90</t>
  </si>
  <si>
    <t>PID 77332 / 85531</t>
  </si>
  <si>
    <t>HNTB PROJECT # - 49633 PA 002</t>
  </si>
  <si>
    <t>*Cut/Fill Factor of 1.00</t>
  </si>
  <si>
    <t>CUT</t>
  </si>
  <si>
    <t>FILL</t>
  </si>
  <si>
    <t>Accumulated Section Total</t>
  </si>
  <si>
    <t>TOTAL</t>
  </si>
  <si>
    <t>VOLUME</t>
  </si>
  <si>
    <t>(+)</t>
  </si>
  <si>
    <t>(-)</t>
  </si>
  <si>
    <t>BORROW</t>
  </si>
  <si>
    <t>WASTE</t>
  </si>
  <si>
    <t>(CYS)</t>
  </si>
  <si>
    <t>203E10000</t>
  </si>
  <si>
    <t>EXCAVATION</t>
  </si>
  <si>
    <t>CYS</t>
  </si>
  <si>
    <t>203E20000</t>
  </si>
  <si>
    <t>EMBANKMENT</t>
  </si>
  <si>
    <t>STRUCTURE BACKFILL</t>
  </si>
  <si>
    <t>Location - Street</t>
  </si>
  <si>
    <t>Station</t>
  </si>
  <si>
    <t>Area Cut
(SFT)</t>
  </si>
  <si>
    <t>Area Fill
(SFT)</t>
  </si>
  <si>
    <t>Pavement Removal (SFT)</t>
  </si>
  <si>
    <t>Vol Cut
(CYS)</t>
  </si>
  <si>
    <t>Vol Fill
(CYS)</t>
  </si>
  <si>
    <t>Broadway (Sta. 11+00 to 24+50)</t>
  </si>
  <si>
    <t>Commercial (Sta. 10+00 to 14+47)</t>
  </si>
  <si>
    <t>Canal (Sta. 33+00 to 36+50)</t>
  </si>
  <si>
    <t>E. 14th St (Sta. 10+00 to 17+50)</t>
  </si>
  <si>
    <t>E. 9th St (Sta.12+00 to 25+80.75)</t>
  </si>
  <si>
    <t>E. 9th St (Sta. 26+00 to 29+50)</t>
  </si>
  <si>
    <t>E. 9th St - Drive at Station 18 (Sta. 50+55 to 51+65)</t>
  </si>
  <si>
    <t>Broadway (9+00 to 24+50)</t>
  </si>
  <si>
    <t>Broadway (Sta. 9+00 to 10+50)</t>
  </si>
  <si>
    <t>Commercial (10+00 to 14+47)</t>
  </si>
  <si>
    <t>Canal (33+00 to 36+50)</t>
  </si>
  <si>
    <t>E. 14th St (10+00 to 17+50)</t>
  </si>
  <si>
    <t>E. 9th St (12+00 to 29+50)</t>
  </si>
  <si>
    <t>E. 9th St - Extended offset sections (16+50 to 18+72)</t>
  </si>
  <si>
    <t>E. 9th St - Drive at Station 18 (50+55 to 51+65)</t>
  </si>
  <si>
    <t>Total:</t>
  </si>
  <si>
    <t>Commercial - Drive at Station 12+14.69 (Sta. 0+50 to 1+14)</t>
  </si>
  <si>
    <t>Commercial - Drive at Station 12+14.69 (0+50 to 1+14)</t>
  </si>
  <si>
    <t>**** See individual wall packages for structural backfill quantity.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</si>
</sst>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\+00.00"/>
  </numFmts>
  <fonts count="15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0"/>
      <color indexed="17"/>
      <name val="Arial"/>
      <family val="2"/>
    </font>
    <font>
      <sz val="10"/>
      <color rgb="FF3333FF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4" fillId="0" borderId="0"/>
  </cellStyleXfs>
  <cellXfs count="81">
    <xf numFmtId="0" fontId="0" fillId="0" borderId="0" xfId="0"/>
    <xf numFmtId="0" fontId="2" fillId="0" borderId="0" xfId="0" applyFont="1"/>
    <xf numFmtId="0" fontId="0" fillId="0" borderId="0" xfId="0" applyFont="1"/>
    <xf numFmtId="14" fontId="0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0" xfId="1" applyFont="1" applyFill="1"/>
    <xf numFmtId="0" fontId="5" fillId="0" borderId="0" xfId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ill="1" applyAlignment="1">
      <alignment horizontal="left"/>
    </xf>
    <xf numFmtId="0" fontId="5" fillId="0" borderId="0" xfId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5" fillId="0" borderId="0" xfId="1" applyFill="1" applyAlignment="1">
      <alignment horizontal="right"/>
    </xf>
    <xf numFmtId="0" fontId="5" fillId="0" borderId="0" xfId="1" applyFill="1"/>
    <xf numFmtId="0" fontId="8" fillId="0" borderId="0" xfId="1" applyFont="1" applyFill="1" applyAlignment="1">
      <alignment horizontal="left" vertical="center"/>
    </xf>
    <xf numFmtId="0" fontId="5" fillId="0" borderId="0" xfId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2" fontId="5" fillId="0" borderId="0" xfId="1" applyNumberFormat="1" applyFill="1" applyAlignment="1">
      <alignment horizontal="center" vertical="center"/>
    </xf>
    <xf numFmtId="0" fontId="6" fillId="0" borderId="0" xfId="1" applyFont="1" applyFill="1" applyAlignment="1">
      <alignment horizontal="center"/>
    </xf>
    <xf numFmtId="2" fontId="5" fillId="0" borderId="0" xfId="1" applyNumberForma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9" fillId="0" borderId="0" xfId="1" applyFont="1" applyFill="1"/>
    <xf numFmtId="0" fontId="10" fillId="0" borderId="1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3" fontId="5" fillId="0" borderId="3" xfId="1" applyNumberFormat="1" applyFont="1" applyFill="1" applyBorder="1" applyAlignment="1">
      <alignment horizontal="center"/>
    </xf>
    <xf numFmtId="3" fontId="5" fillId="0" borderId="0" xfId="1" applyNumberFormat="1" applyFont="1" applyFill="1" applyAlignment="1">
      <alignment horizontal="right"/>
    </xf>
    <xf numFmtId="2" fontId="5" fillId="0" borderId="0" xfId="1" applyNumberFormat="1" applyFont="1" applyFill="1" applyBorder="1" applyAlignment="1">
      <alignment horizontal="center"/>
    </xf>
    <xf numFmtId="0" fontId="5" fillId="0" borderId="0" xfId="1" applyFont="1" applyFill="1"/>
    <xf numFmtId="2" fontId="5" fillId="0" borderId="0" xfId="1" applyNumberFormat="1" applyFont="1" applyFill="1" applyAlignment="1">
      <alignment horizontal="center"/>
    </xf>
    <xf numFmtId="11" fontId="6" fillId="0" borderId="0" xfId="1" applyNumberFormat="1" applyFont="1" applyFill="1" applyBorder="1" applyAlignment="1">
      <alignment horizontal="left"/>
    </xf>
    <xf numFmtId="0" fontId="6" fillId="0" borderId="4" xfId="1" applyFont="1" applyFill="1" applyBorder="1"/>
    <xf numFmtId="0" fontId="5" fillId="0" borderId="5" xfId="1" applyFill="1" applyBorder="1"/>
    <xf numFmtId="1" fontId="9" fillId="0" borderId="5" xfId="1" applyNumberFormat="1" applyFont="1" applyFill="1" applyBorder="1" applyAlignment="1">
      <alignment horizontal="center"/>
    </xf>
    <xf numFmtId="0" fontId="9" fillId="0" borderId="5" xfId="1" applyFont="1" applyFill="1" applyBorder="1"/>
    <xf numFmtId="2" fontId="9" fillId="0" borderId="5" xfId="1" applyNumberFormat="1" applyFont="1" applyFill="1" applyBorder="1" applyAlignment="1">
      <alignment horizontal="center"/>
    </xf>
    <xf numFmtId="1" fontId="9" fillId="0" borderId="6" xfId="1" applyNumberFormat="1" applyFont="1" applyFill="1" applyBorder="1" applyAlignment="1">
      <alignment horizontal="center"/>
    </xf>
    <xf numFmtId="3" fontId="12" fillId="0" borderId="6" xfId="1" applyNumberFormat="1" applyFont="1" applyFill="1" applyBorder="1" applyAlignment="1">
      <alignment horizontal="center"/>
    </xf>
    <xf numFmtId="164" fontId="12" fillId="0" borderId="7" xfId="1" applyNumberFormat="1" applyFont="1" applyFill="1" applyBorder="1" applyAlignment="1">
      <alignment horizontal="center"/>
    </xf>
    <xf numFmtId="1" fontId="9" fillId="0" borderId="0" xfId="1" applyNumberFormat="1" applyFont="1" applyFill="1" applyAlignment="1">
      <alignment horizontal="center"/>
    </xf>
    <xf numFmtId="0" fontId="6" fillId="0" borderId="0" xfId="1" applyFont="1" applyFill="1" applyBorder="1" applyAlignment="1">
      <alignment horizontal="left"/>
    </xf>
    <xf numFmtId="0" fontId="0" fillId="0" borderId="0" xfId="0" applyFill="1"/>
    <xf numFmtId="1" fontId="13" fillId="0" borderId="0" xfId="0" applyNumberFormat="1" applyFont="1" applyFill="1"/>
    <xf numFmtId="1" fontId="0" fillId="0" borderId="0" xfId="0" applyNumberFormat="1" applyFill="1"/>
    <xf numFmtId="1" fontId="4" fillId="0" borderId="0" xfId="0" applyNumberFormat="1" applyFont="1" applyFill="1"/>
    <xf numFmtId="1" fontId="1" fillId="0" borderId="0" xfId="0" applyNumberFormat="1" applyFont="1" applyFill="1"/>
    <xf numFmtId="1" fontId="3" fillId="0" borderId="0" xfId="0" applyNumberFormat="1" applyFont="1" applyFill="1"/>
    <xf numFmtId="0" fontId="0" fillId="0" borderId="0" xfId="0" applyNumberFormat="1" applyFill="1"/>
    <xf numFmtId="0" fontId="0" fillId="2" borderId="0" xfId="0" applyFill="1"/>
    <xf numFmtId="0" fontId="4" fillId="0" borderId="0" xfId="0" applyFont="1" applyAlignment="1">
      <alignment horizontal="center"/>
    </xf>
    <xf numFmtId="165" fontId="0" fillId="0" borderId="0" xfId="0" applyNumberFormat="1" applyFill="1"/>
    <xf numFmtId="165" fontId="0" fillId="0" borderId="0" xfId="0" applyNumberFormat="1" applyFill="1" applyBorder="1" applyAlignment="1">
      <alignment horizontal="right"/>
    </xf>
    <xf numFmtId="165" fontId="0" fillId="0" borderId="8" xfId="0" applyNumberFormat="1" applyFill="1" applyBorder="1" applyAlignment="1">
      <alignment horizontal="right" vertical="center"/>
    </xf>
    <xf numFmtId="1" fontId="13" fillId="0" borderId="8" xfId="0" applyNumberFormat="1" applyFont="1" applyFill="1" applyBorder="1"/>
    <xf numFmtId="1" fontId="0" fillId="0" borderId="8" xfId="0" applyNumberFormat="1" applyFill="1" applyBorder="1"/>
    <xf numFmtId="1" fontId="4" fillId="0" borderId="8" xfId="0" applyNumberFormat="1" applyFont="1" applyFill="1" applyBorder="1"/>
    <xf numFmtId="165" fontId="0" fillId="0" borderId="8" xfId="0" applyNumberFormat="1" applyFill="1" applyBorder="1" applyAlignment="1">
      <alignment horizontal="right"/>
    </xf>
    <xf numFmtId="1" fontId="3" fillId="0" borderId="8" xfId="0" applyNumberFormat="1" applyFont="1" applyFill="1" applyBorder="1"/>
    <xf numFmtId="165" fontId="0" fillId="0" borderId="8" xfId="0" applyNumberFormat="1" applyFill="1" applyBorder="1"/>
    <xf numFmtId="165" fontId="0" fillId="0" borderId="0" xfId="0" applyNumberFormat="1" applyFill="1" applyBorder="1"/>
    <xf numFmtId="1" fontId="13" fillId="0" borderId="0" xfId="0" applyNumberFormat="1" applyFont="1" applyFill="1" applyBorder="1"/>
    <xf numFmtId="1" fontId="0" fillId="0" borderId="0" xfId="0" applyNumberFormat="1" applyFill="1" applyBorder="1"/>
    <xf numFmtId="1" fontId="3" fillId="0" borderId="0" xfId="0" applyNumberFormat="1" applyFont="1" applyFill="1" applyBorder="1"/>
    <xf numFmtId="0" fontId="5" fillId="0" borderId="0" xfId="0" applyFont="1"/>
    <xf numFmtId="14" fontId="5" fillId="0" borderId="0" xfId="0" applyNumberFormat="1" applyFont="1"/>
    <xf numFmtId="0" fontId="2" fillId="0" borderId="8" xfId="2" applyFont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" fontId="4" fillId="0" borderId="0" xfId="0" applyNumberFormat="1" applyFont="1" applyFill="1" applyBorder="1"/>
    <xf numFmtId="0" fontId="2" fillId="0" borderId="0" xfId="0" applyFont="1" applyAlignment="1">
      <alignment horizontal="right" vertical="center"/>
    </xf>
    <xf numFmtId="1" fontId="2" fillId="0" borderId="9" xfId="0" applyNumberFormat="1" applyFont="1" applyBorder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tabSelected="1" view="pageBreakPreview" zoomScaleNormal="7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2" sqref="D2"/>
    </sheetView>
  </sheetViews>
  <sheetFormatPr defaultRowHeight="12.75" x14ac:dyDescent="0.2"/>
  <cols>
    <col min="1" max="1" width="2.5703125" style="18" customWidth="1"/>
    <col min="2" max="2" width="23.5703125" style="18" customWidth="1"/>
    <col min="3" max="3" width="23.85546875" style="7" customWidth="1"/>
    <col min="4" max="4" width="10.28515625" style="7" bestFit="1" customWidth="1"/>
    <col min="5" max="5" width="7.7109375" style="7" customWidth="1"/>
    <col min="6" max="6" width="10.28515625" style="7" bestFit="1" customWidth="1"/>
    <col min="7" max="7" width="12.85546875" style="18" customWidth="1"/>
    <col min="8" max="8" width="8.7109375" style="18" customWidth="1"/>
    <col min="9" max="9" width="11" style="7" customWidth="1"/>
    <col min="10" max="10" width="11.140625" style="24" bestFit="1" customWidth="1"/>
    <col min="11" max="12" width="8.7109375" style="7" customWidth="1"/>
    <col min="13" max="13" width="1.7109375" style="18" hidden="1" customWidth="1"/>
    <col min="14" max="14" width="8.7109375" style="7" customWidth="1"/>
    <col min="15" max="256" width="9.140625" style="18"/>
    <col min="257" max="257" width="2.5703125" style="18" customWidth="1"/>
    <col min="258" max="258" width="13.85546875" style="18" customWidth="1"/>
    <col min="259" max="259" width="23.42578125" style="18" customWidth="1"/>
    <col min="260" max="260" width="10.28515625" style="18" bestFit="1" customWidth="1"/>
    <col min="261" max="261" width="7.7109375" style="18" customWidth="1"/>
    <col min="262" max="262" width="10.28515625" style="18" bestFit="1" customWidth="1"/>
    <col min="263" max="263" width="6.7109375" style="18" customWidth="1"/>
    <col min="264" max="264" width="8.7109375" style="18" customWidth="1"/>
    <col min="265" max="265" width="12" style="18" bestFit="1" customWidth="1"/>
    <col min="266" max="266" width="11.140625" style="18" bestFit="1" customWidth="1"/>
    <col min="267" max="268" width="8.7109375" style="18" customWidth="1"/>
    <col min="269" max="269" width="0" style="18" hidden="1" customWidth="1"/>
    <col min="270" max="270" width="8.7109375" style="18" customWidth="1"/>
    <col min="271" max="512" width="9.140625" style="18"/>
    <col min="513" max="513" width="2.5703125" style="18" customWidth="1"/>
    <col min="514" max="514" width="13.85546875" style="18" customWidth="1"/>
    <col min="515" max="515" width="23.42578125" style="18" customWidth="1"/>
    <col min="516" max="516" width="10.28515625" style="18" bestFit="1" customWidth="1"/>
    <col min="517" max="517" width="7.7109375" style="18" customWidth="1"/>
    <col min="518" max="518" width="10.28515625" style="18" bestFit="1" customWidth="1"/>
    <col min="519" max="519" width="6.7109375" style="18" customWidth="1"/>
    <col min="520" max="520" width="8.7109375" style="18" customWidth="1"/>
    <col min="521" max="521" width="12" style="18" bestFit="1" customWidth="1"/>
    <col min="522" max="522" width="11.140625" style="18" bestFit="1" customWidth="1"/>
    <col min="523" max="524" width="8.7109375" style="18" customWidth="1"/>
    <col min="525" max="525" width="0" style="18" hidden="1" customWidth="1"/>
    <col min="526" max="526" width="8.7109375" style="18" customWidth="1"/>
    <col min="527" max="768" width="9.140625" style="18"/>
    <col min="769" max="769" width="2.5703125" style="18" customWidth="1"/>
    <col min="770" max="770" width="13.85546875" style="18" customWidth="1"/>
    <col min="771" max="771" width="23.42578125" style="18" customWidth="1"/>
    <col min="772" max="772" width="10.28515625" style="18" bestFit="1" customWidth="1"/>
    <col min="773" max="773" width="7.7109375" style="18" customWidth="1"/>
    <col min="774" max="774" width="10.28515625" style="18" bestFit="1" customWidth="1"/>
    <col min="775" max="775" width="6.7109375" style="18" customWidth="1"/>
    <col min="776" max="776" width="8.7109375" style="18" customWidth="1"/>
    <col min="777" max="777" width="12" style="18" bestFit="1" customWidth="1"/>
    <col min="778" max="778" width="11.140625" style="18" bestFit="1" customWidth="1"/>
    <col min="779" max="780" width="8.7109375" style="18" customWidth="1"/>
    <col min="781" max="781" width="0" style="18" hidden="1" customWidth="1"/>
    <col min="782" max="782" width="8.7109375" style="18" customWidth="1"/>
    <col min="783" max="1024" width="9.140625" style="18"/>
    <col min="1025" max="1025" width="2.5703125" style="18" customWidth="1"/>
    <col min="1026" max="1026" width="13.85546875" style="18" customWidth="1"/>
    <col min="1027" max="1027" width="23.42578125" style="18" customWidth="1"/>
    <col min="1028" max="1028" width="10.28515625" style="18" bestFit="1" customWidth="1"/>
    <col min="1029" max="1029" width="7.7109375" style="18" customWidth="1"/>
    <col min="1030" max="1030" width="10.28515625" style="18" bestFit="1" customWidth="1"/>
    <col min="1031" max="1031" width="6.7109375" style="18" customWidth="1"/>
    <col min="1032" max="1032" width="8.7109375" style="18" customWidth="1"/>
    <col min="1033" max="1033" width="12" style="18" bestFit="1" customWidth="1"/>
    <col min="1034" max="1034" width="11.140625" style="18" bestFit="1" customWidth="1"/>
    <col min="1035" max="1036" width="8.7109375" style="18" customWidth="1"/>
    <col min="1037" max="1037" width="0" style="18" hidden="1" customWidth="1"/>
    <col min="1038" max="1038" width="8.7109375" style="18" customWidth="1"/>
    <col min="1039" max="1280" width="9.140625" style="18"/>
    <col min="1281" max="1281" width="2.5703125" style="18" customWidth="1"/>
    <col min="1282" max="1282" width="13.85546875" style="18" customWidth="1"/>
    <col min="1283" max="1283" width="23.42578125" style="18" customWidth="1"/>
    <col min="1284" max="1284" width="10.28515625" style="18" bestFit="1" customWidth="1"/>
    <col min="1285" max="1285" width="7.7109375" style="18" customWidth="1"/>
    <col min="1286" max="1286" width="10.28515625" style="18" bestFit="1" customWidth="1"/>
    <col min="1287" max="1287" width="6.7109375" style="18" customWidth="1"/>
    <col min="1288" max="1288" width="8.7109375" style="18" customWidth="1"/>
    <col min="1289" max="1289" width="12" style="18" bestFit="1" customWidth="1"/>
    <col min="1290" max="1290" width="11.140625" style="18" bestFit="1" customWidth="1"/>
    <col min="1291" max="1292" width="8.7109375" style="18" customWidth="1"/>
    <col min="1293" max="1293" width="0" style="18" hidden="1" customWidth="1"/>
    <col min="1294" max="1294" width="8.7109375" style="18" customWidth="1"/>
    <col min="1295" max="1536" width="9.140625" style="18"/>
    <col min="1537" max="1537" width="2.5703125" style="18" customWidth="1"/>
    <col min="1538" max="1538" width="13.85546875" style="18" customWidth="1"/>
    <col min="1539" max="1539" width="23.42578125" style="18" customWidth="1"/>
    <col min="1540" max="1540" width="10.28515625" style="18" bestFit="1" customWidth="1"/>
    <col min="1541" max="1541" width="7.7109375" style="18" customWidth="1"/>
    <col min="1542" max="1542" width="10.28515625" style="18" bestFit="1" customWidth="1"/>
    <col min="1543" max="1543" width="6.7109375" style="18" customWidth="1"/>
    <col min="1544" max="1544" width="8.7109375" style="18" customWidth="1"/>
    <col min="1545" max="1545" width="12" style="18" bestFit="1" customWidth="1"/>
    <col min="1546" max="1546" width="11.140625" style="18" bestFit="1" customWidth="1"/>
    <col min="1547" max="1548" width="8.7109375" style="18" customWidth="1"/>
    <col min="1549" max="1549" width="0" style="18" hidden="1" customWidth="1"/>
    <col min="1550" max="1550" width="8.7109375" style="18" customWidth="1"/>
    <col min="1551" max="1792" width="9.140625" style="18"/>
    <col min="1793" max="1793" width="2.5703125" style="18" customWidth="1"/>
    <col min="1794" max="1794" width="13.85546875" style="18" customWidth="1"/>
    <col min="1795" max="1795" width="23.42578125" style="18" customWidth="1"/>
    <col min="1796" max="1796" width="10.28515625" style="18" bestFit="1" customWidth="1"/>
    <col min="1797" max="1797" width="7.7109375" style="18" customWidth="1"/>
    <col min="1798" max="1798" width="10.28515625" style="18" bestFit="1" customWidth="1"/>
    <col min="1799" max="1799" width="6.7109375" style="18" customWidth="1"/>
    <col min="1800" max="1800" width="8.7109375" style="18" customWidth="1"/>
    <col min="1801" max="1801" width="12" style="18" bestFit="1" customWidth="1"/>
    <col min="1802" max="1802" width="11.140625" style="18" bestFit="1" customWidth="1"/>
    <col min="1803" max="1804" width="8.7109375" style="18" customWidth="1"/>
    <col min="1805" max="1805" width="0" style="18" hidden="1" customWidth="1"/>
    <col min="1806" max="1806" width="8.7109375" style="18" customWidth="1"/>
    <col min="1807" max="2048" width="9.140625" style="18"/>
    <col min="2049" max="2049" width="2.5703125" style="18" customWidth="1"/>
    <col min="2050" max="2050" width="13.85546875" style="18" customWidth="1"/>
    <col min="2051" max="2051" width="23.42578125" style="18" customWidth="1"/>
    <col min="2052" max="2052" width="10.28515625" style="18" bestFit="1" customWidth="1"/>
    <col min="2053" max="2053" width="7.7109375" style="18" customWidth="1"/>
    <col min="2054" max="2054" width="10.28515625" style="18" bestFit="1" customWidth="1"/>
    <col min="2055" max="2055" width="6.7109375" style="18" customWidth="1"/>
    <col min="2056" max="2056" width="8.7109375" style="18" customWidth="1"/>
    <col min="2057" max="2057" width="12" style="18" bestFit="1" customWidth="1"/>
    <col min="2058" max="2058" width="11.140625" style="18" bestFit="1" customWidth="1"/>
    <col min="2059" max="2060" width="8.7109375" style="18" customWidth="1"/>
    <col min="2061" max="2061" width="0" style="18" hidden="1" customWidth="1"/>
    <col min="2062" max="2062" width="8.7109375" style="18" customWidth="1"/>
    <col min="2063" max="2304" width="9.140625" style="18"/>
    <col min="2305" max="2305" width="2.5703125" style="18" customWidth="1"/>
    <col min="2306" max="2306" width="13.85546875" style="18" customWidth="1"/>
    <col min="2307" max="2307" width="23.42578125" style="18" customWidth="1"/>
    <col min="2308" max="2308" width="10.28515625" style="18" bestFit="1" customWidth="1"/>
    <col min="2309" max="2309" width="7.7109375" style="18" customWidth="1"/>
    <col min="2310" max="2310" width="10.28515625" style="18" bestFit="1" customWidth="1"/>
    <col min="2311" max="2311" width="6.7109375" style="18" customWidth="1"/>
    <col min="2312" max="2312" width="8.7109375" style="18" customWidth="1"/>
    <col min="2313" max="2313" width="12" style="18" bestFit="1" customWidth="1"/>
    <col min="2314" max="2314" width="11.140625" style="18" bestFit="1" customWidth="1"/>
    <col min="2315" max="2316" width="8.7109375" style="18" customWidth="1"/>
    <col min="2317" max="2317" width="0" style="18" hidden="1" customWidth="1"/>
    <col min="2318" max="2318" width="8.7109375" style="18" customWidth="1"/>
    <col min="2319" max="2560" width="9.140625" style="18"/>
    <col min="2561" max="2561" width="2.5703125" style="18" customWidth="1"/>
    <col min="2562" max="2562" width="13.85546875" style="18" customWidth="1"/>
    <col min="2563" max="2563" width="23.42578125" style="18" customWidth="1"/>
    <col min="2564" max="2564" width="10.28515625" style="18" bestFit="1" customWidth="1"/>
    <col min="2565" max="2565" width="7.7109375" style="18" customWidth="1"/>
    <col min="2566" max="2566" width="10.28515625" style="18" bestFit="1" customWidth="1"/>
    <col min="2567" max="2567" width="6.7109375" style="18" customWidth="1"/>
    <col min="2568" max="2568" width="8.7109375" style="18" customWidth="1"/>
    <col min="2569" max="2569" width="12" style="18" bestFit="1" customWidth="1"/>
    <col min="2570" max="2570" width="11.140625" style="18" bestFit="1" customWidth="1"/>
    <col min="2571" max="2572" width="8.7109375" style="18" customWidth="1"/>
    <col min="2573" max="2573" width="0" style="18" hidden="1" customWidth="1"/>
    <col min="2574" max="2574" width="8.7109375" style="18" customWidth="1"/>
    <col min="2575" max="2816" width="9.140625" style="18"/>
    <col min="2817" max="2817" width="2.5703125" style="18" customWidth="1"/>
    <col min="2818" max="2818" width="13.85546875" style="18" customWidth="1"/>
    <col min="2819" max="2819" width="23.42578125" style="18" customWidth="1"/>
    <col min="2820" max="2820" width="10.28515625" style="18" bestFit="1" customWidth="1"/>
    <col min="2821" max="2821" width="7.7109375" style="18" customWidth="1"/>
    <col min="2822" max="2822" width="10.28515625" style="18" bestFit="1" customWidth="1"/>
    <col min="2823" max="2823" width="6.7109375" style="18" customWidth="1"/>
    <col min="2824" max="2824" width="8.7109375" style="18" customWidth="1"/>
    <col min="2825" max="2825" width="12" style="18" bestFit="1" customWidth="1"/>
    <col min="2826" max="2826" width="11.140625" style="18" bestFit="1" customWidth="1"/>
    <col min="2827" max="2828" width="8.7109375" style="18" customWidth="1"/>
    <col min="2829" max="2829" width="0" style="18" hidden="1" customWidth="1"/>
    <col min="2830" max="2830" width="8.7109375" style="18" customWidth="1"/>
    <col min="2831" max="3072" width="9.140625" style="18"/>
    <col min="3073" max="3073" width="2.5703125" style="18" customWidth="1"/>
    <col min="3074" max="3074" width="13.85546875" style="18" customWidth="1"/>
    <col min="3075" max="3075" width="23.42578125" style="18" customWidth="1"/>
    <col min="3076" max="3076" width="10.28515625" style="18" bestFit="1" customWidth="1"/>
    <col min="3077" max="3077" width="7.7109375" style="18" customWidth="1"/>
    <col min="3078" max="3078" width="10.28515625" style="18" bestFit="1" customWidth="1"/>
    <col min="3079" max="3079" width="6.7109375" style="18" customWidth="1"/>
    <col min="3080" max="3080" width="8.7109375" style="18" customWidth="1"/>
    <col min="3081" max="3081" width="12" style="18" bestFit="1" customWidth="1"/>
    <col min="3082" max="3082" width="11.140625" style="18" bestFit="1" customWidth="1"/>
    <col min="3083" max="3084" width="8.7109375" style="18" customWidth="1"/>
    <col min="3085" max="3085" width="0" style="18" hidden="1" customWidth="1"/>
    <col min="3086" max="3086" width="8.7109375" style="18" customWidth="1"/>
    <col min="3087" max="3328" width="9.140625" style="18"/>
    <col min="3329" max="3329" width="2.5703125" style="18" customWidth="1"/>
    <col min="3330" max="3330" width="13.85546875" style="18" customWidth="1"/>
    <col min="3331" max="3331" width="23.42578125" style="18" customWidth="1"/>
    <col min="3332" max="3332" width="10.28515625" style="18" bestFit="1" customWidth="1"/>
    <col min="3333" max="3333" width="7.7109375" style="18" customWidth="1"/>
    <col min="3334" max="3334" width="10.28515625" style="18" bestFit="1" customWidth="1"/>
    <col min="3335" max="3335" width="6.7109375" style="18" customWidth="1"/>
    <col min="3336" max="3336" width="8.7109375" style="18" customWidth="1"/>
    <col min="3337" max="3337" width="12" style="18" bestFit="1" customWidth="1"/>
    <col min="3338" max="3338" width="11.140625" style="18" bestFit="1" customWidth="1"/>
    <col min="3339" max="3340" width="8.7109375" style="18" customWidth="1"/>
    <col min="3341" max="3341" width="0" style="18" hidden="1" customWidth="1"/>
    <col min="3342" max="3342" width="8.7109375" style="18" customWidth="1"/>
    <col min="3343" max="3584" width="9.140625" style="18"/>
    <col min="3585" max="3585" width="2.5703125" style="18" customWidth="1"/>
    <col min="3586" max="3586" width="13.85546875" style="18" customWidth="1"/>
    <col min="3587" max="3587" width="23.42578125" style="18" customWidth="1"/>
    <col min="3588" max="3588" width="10.28515625" style="18" bestFit="1" customWidth="1"/>
    <col min="3589" max="3589" width="7.7109375" style="18" customWidth="1"/>
    <col min="3590" max="3590" width="10.28515625" style="18" bestFit="1" customWidth="1"/>
    <col min="3591" max="3591" width="6.7109375" style="18" customWidth="1"/>
    <col min="3592" max="3592" width="8.7109375" style="18" customWidth="1"/>
    <col min="3593" max="3593" width="12" style="18" bestFit="1" customWidth="1"/>
    <col min="3594" max="3594" width="11.140625" style="18" bestFit="1" customWidth="1"/>
    <col min="3595" max="3596" width="8.7109375" style="18" customWidth="1"/>
    <col min="3597" max="3597" width="0" style="18" hidden="1" customWidth="1"/>
    <col min="3598" max="3598" width="8.7109375" style="18" customWidth="1"/>
    <col min="3599" max="3840" width="9.140625" style="18"/>
    <col min="3841" max="3841" width="2.5703125" style="18" customWidth="1"/>
    <col min="3842" max="3842" width="13.85546875" style="18" customWidth="1"/>
    <col min="3843" max="3843" width="23.42578125" style="18" customWidth="1"/>
    <col min="3844" max="3844" width="10.28515625" style="18" bestFit="1" customWidth="1"/>
    <col min="3845" max="3845" width="7.7109375" style="18" customWidth="1"/>
    <col min="3846" max="3846" width="10.28515625" style="18" bestFit="1" customWidth="1"/>
    <col min="3847" max="3847" width="6.7109375" style="18" customWidth="1"/>
    <col min="3848" max="3848" width="8.7109375" style="18" customWidth="1"/>
    <col min="3849" max="3849" width="12" style="18" bestFit="1" customWidth="1"/>
    <col min="3850" max="3850" width="11.140625" style="18" bestFit="1" customWidth="1"/>
    <col min="3851" max="3852" width="8.7109375" style="18" customWidth="1"/>
    <col min="3853" max="3853" width="0" style="18" hidden="1" customWidth="1"/>
    <col min="3854" max="3854" width="8.7109375" style="18" customWidth="1"/>
    <col min="3855" max="4096" width="9.140625" style="18"/>
    <col min="4097" max="4097" width="2.5703125" style="18" customWidth="1"/>
    <col min="4098" max="4098" width="13.85546875" style="18" customWidth="1"/>
    <col min="4099" max="4099" width="23.42578125" style="18" customWidth="1"/>
    <col min="4100" max="4100" width="10.28515625" style="18" bestFit="1" customWidth="1"/>
    <col min="4101" max="4101" width="7.7109375" style="18" customWidth="1"/>
    <col min="4102" max="4102" width="10.28515625" style="18" bestFit="1" customWidth="1"/>
    <col min="4103" max="4103" width="6.7109375" style="18" customWidth="1"/>
    <col min="4104" max="4104" width="8.7109375" style="18" customWidth="1"/>
    <col min="4105" max="4105" width="12" style="18" bestFit="1" customWidth="1"/>
    <col min="4106" max="4106" width="11.140625" style="18" bestFit="1" customWidth="1"/>
    <col min="4107" max="4108" width="8.7109375" style="18" customWidth="1"/>
    <col min="4109" max="4109" width="0" style="18" hidden="1" customWidth="1"/>
    <col min="4110" max="4110" width="8.7109375" style="18" customWidth="1"/>
    <col min="4111" max="4352" width="9.140625" style="18"/>
    <col min="4353" max="4353" width="2.5703125" style="18" customWidth="1"/>
    <col min="4354" max="4354" width="13.85546875" style="18" customWidth="1"/>
    <col min="4355" max="4355" width="23.42578125" style="18" customWidth="1"/>
    <col min="4356" max="4356" width="10.28515625" style="18" bestFit="1" customWidth="1"/>
    <col min="4357" max="4357" width="7.7109375" style="18" customWidth="1"/>
    <col min="4358" max="4358" width="10.28515625" style="18" bestFit="1" customWidth="1"/>
    <col min="4359" max="4359" width="6.7109375" style="18" customWidth="1"/>
    <col min="4360" max="4360" width="8.7109375" style="18" customWidth="1"/>
    <col min="4361" max="4361" width="12" style="18" bestFit="1" customWidth="1"/>
    <col min="4362" max="4362" width="11.140625" style="18" bestFit="1" customWidth="1"/>
    <col min="4363" max="4364" width="8.7109375" style="18" customWidth="1"/>
    <col min="4365" max="4365" width="0" style="18" hidden="1" customWidth="1"/>
    <col min="4366" max="4366" width="8.7109375" style="18" customWidth="1"/>
    <col min="4367" max="4608" width="9.140625" style="18"/>
    <col min="4609" max="4609" width="2.5703125" style="18" customWidth="1"/>
    <col min="4610" max="4610" width="13.85546875" style="18" customWidth="1"/>
    <col min="4611" max="4611" width="23.42578125" style="18" customWidth="1"/>
    <col min="4612" max="4612" width="10.28515625" style="18" bestFit="1" customWidth="1"/>
    <col min="4613" max="4613" width="7.7109375" style="18" customWidth="1"/>
    <col min="4614" max="4614" width="10.28515625" style="18" bestFit="1" customWidth="1"/>
    <col min="4615" max="4615" width="6.7109375" style="18" customWidth="1"/>
    <col min="4616" max="4616" width="8.7109375" style="18" customWidth="1"/>
    <col min="4617" max="4617" width="12" style="18" bestFit="1" customWidth="1"/>
    <col min="4618" max="4618" width="11.140625" style="18" bestFit="1" customWidth="1"/>
    <col min="4619" max="4620" width="8.7109375" style="18" customWidth="1"/>
    <col min="4621" max="4621" width="0" style="18" hidden="1" customWidth="1"/>
    <col min="4622" max="4622" width="8.7109375" style="18" customWidth="1"/>
    <col min="4623" max="4864" width="9.140625" style="18"/>
    <col min="4865" max="4865" width="2.5703125" style="18" customWidth="1"/>
    <col min="4866" max="4866" width="13.85546875" style="18" customWidth="1"/>
    <col min="4867" max="4867" width="23.42578125" style="18" customWidth="1"/>
    <col min="4868" max="4868" width="10.28515625" style="18" bestFit="1" customWidth="1"/>
    <col min="4869" max="4869" width="7.7109375" style="18" customWidth="1"/>
    <col min="4870" max="4870" width="10.28515625" style="18" bestFit="1" customWidth="1"/>
    <col min="4871" max="4871" width="6.7109375" style="18" customWidth="1"/>
    <col min="4872" max="4872" width="8.7109375" style="18" customWidth="1"/>
    <col min="4873" max="4873" width="12" style="18" bestFit="1" customWidth="1"/>
    <col min="4874" max="4874" width="11.140625" style="18" bestFit="1" customWidth="1"/>
    <col min="4875" max="4876" width="8.7109375" style="18" customWidth="1"/>
    <col min="4877" max="4877" width="0" style="18" hidden="1" customWidth="1"/>
    <col min="4878" max="4878" width="8.7109375" style="18" customWidth="1"/>
    <col min="4879" max="5120" width="9.140625" style="18"/>
    <col min="5121" max="5121" width="2.5703125" style="18" customWidth="1"/>
    <col min="5122" max="5122" width="13.85546875" style="18" customWidth="1"/>
    <col min="5123" max="5123" width="23.42578125" style="18" customWidth="1"/>
    <col min="5124" max="5124" width="10.28515625" style="18" bestFit="1" customWidth="1"/>
    <col min="5125" max="5125" width="7.7109375" style="18" customWidth="1"/>
    <col min="5126" max="5126" width="10.28515625" style="18" bestFit="1" customWidth="1"/>
    <col min="5127" max="5127" width="6.7109375" style="18" customWidth="1"/>
    <col min="5128" max="5128" width="8.7109375" style="18" customWidth="1"/>
    <col min="5129" max="5129" width="12" style="18" bestFit="1" customWidth="1"/>
    <col min="5130" max="5130" width="11.140625" style="18" bestFit="1" customWidth="1"/>
    <col min="5131" max="5132" width="8.7109375" style="18" customWidth="1"/>
    <col min="5133" max="5133" width="0" style="18" hidden="1" customWidth="1"/>
    <col min="5134" max="5134" width="8.7109375" style="18" customWidth="1"/>
    <col min="5135" max="5376" width="9.140625" style="18"/>
    <col min="5377" max="5377" width="2.5703125" style="18" customWidth="1"/>
    <col min="5378" max="5378" width="13.85546875" style="18" customWidth="1"/>
    <col min="5379" max="5379" width="23.42578125" style="18" customWidth="1"/>
    <col min="5380" max="5380" width="10.28515625" style="18" bestFit="1" customWidth="1"/>
    <col min="5381" max="5381" width="7.7109375" style="18" customWidth="1"/>
    <col min="5382" max="5382" width="10.28515625" style="18" bestFit="1" customWidth="1"/>
    <col min="5383" max="5383" width="6.7109375" style="18" customWidth="1"/>
    <col min="5384" max="5384" width="8.7109375" style="18" customWidth="1"/>
    <col min="5385" max="5385" width="12" style="18" bestFit="1" customWidth="1"/>
    <col min="5386" max="5386" width="11.140625" style="18" bestFit="1" customWidth="1"/>
    <col min="5387" max="5388" width="8.7109375" style="18" customWidth="1"/>
    <col min="5389" max="5389" width="0" style="18" hidden="1" customWidth="1"/>
    <col min="5390" max="5390" width="8.7109375" style="18" customWidth="1"/>
    <col min="5391" max="5632" width="9.140625" style="18"/>
    <col min="5633" max="5633" width="2.5703125" style="18" customWidth="1"/>
    <col min="5634" max="5634" width="13.85546875" style="18" customWidth="1"/>
    <col min="5635" max="5635" width="23.42578125" style="18" customWidth="1"/>
    <col min="5636" max="5636" width="10.28515625" style="18" bestFit="1" customWidth="1"/>
    <col min="5637" max="5637" width="7.7109375" style="18" customWidth="1"/>
    <col min="5638" max="5638" width="10.28515625" style="18" bestFit="1" customWidth="1"/>
    <col min="5639" max="5639" width="6.7109375" style="18" customWidth="1"/>
    <col min="5640" max="5640" width="8.7109375" style="18" customWidth="1"/>
    <col min="5641" max="5641" width="12" style="18" bestFit="1" customWidth="1"/>
    <col min="5642" max="5642" width="11.140625" style="18" bestFit="1" customWidth="1"/>
    <col min="5643" max="5644" width="8.7109375" style="18" customWidth="1"/>
    <col min="5645" max="5645" width="0" style="18" hidden="1" customWidth="1"/>
    <col min="5646" max="5646" width="8.7109375" style="18" customWidth="1"/>
    <col min="5647" max="5888" width="9.140625" style="18"/>
    <col min="5889" max="5889" width="2.5703125" style="18" customWidth="1"/>
    <col min="5890" max="5890" width="13.85546875" style="18" customWidth="1"/>
    <col min="5891" max="5891" width="23.42578125" style="18" customWidth="1"/>
    <col min="5892" max="5892" width="10.28515625" style="18" bestFit="1" customWidth="1"/>
    <col min="5893" max="5893" width="7.7109375" style="18" customWidth="1"/>
    <col min="5894" max="5894" width="10.28515625" style="18" bestFit="1" customWidth="1"/>
    <col min="5895" max="5895" width="6.7109375" style="18" customWidth="1"/>
    <col min="5896" max="5896" width="8.7109375" style="18" customWidth="1"/>
    <col min="5897" max="5897" width="12" style="18" bestFit="1" customWidth="1"/>
    <col min="5898" max="5898" width="11.140625" style="18" bestFit="1" customWidth="1"/>
    <col min="5899" max="5900" width="8.7109375" style="18" customWidth="1"/>
    <col min="5901" max="5901" width="0" style="18" hidden="1" customWidth="1"/>
    <col min="5902" max="5902" width="8.7109375" style="18" customWidth="1"/>
    <col min="5903" max="6144" width="9.140625" style="18"/>
    <col min="6145" max="6145" width="2.5703125" style="18" customWidth="1"/>
    <col min="6146" max="6146" width="13.85546875" style="18" customWidth="1"/>
    <col min="6147" max="6147" width="23.42578125" style="18" customWidth="1"/>
    <col min="6148" max="6148" width="10.28515625" style="18" bestFit="1" customWidth="1"/>
    <col min="6149" max="6149" width="7.7109375" style="18" customWidth="1"/>
    <col min="6150" max="6150" width="10.28515625" style="18" bestFit="1" customWidth="1"/>
    <col min="6151" max="6151" width="6.7109375" style="18" customWidth="1"/>
    <col min="6152" max="6152" width="8.7109375" style="18" customWidth="1"/>
    <col min="6153" max="6153" width="12" style="18" bestFit="1" customWidth="1"/>
    <col min="6154" max="6154" width="11.140625" style="18" bestFit="1" customWidth="1"/>
    <col min="6155" max="6156" width="8.7109375" style="18" customWidth="1"/>
    <col min="6157" max="6157" width="0" style="18" hidden="1" customWidth="1"/>
    <col min="6158" max="6158" width="8.7109375" style="18" customWidth="1"/>
    <col min="6159" max="6400" width="9.140625" style="18"/>
    <col min="6401" max="6401" width="2.5703125" style="18" customWidth="1"/>
    <col min="6402" max="6402" width="13.85546875" style="18" customWidth="1"/>
    <col min="6403" max="6403" width="23.42578125" style="18" customWidth="1"/>
    <col min="6404" max="6404" width="10.28515625" style="18" bestFit="1" customWidth="1"/>
    <col min="6405" max="6405" width="7.7109375" style="18" customWidth="1"/>
    <col min="6406" max="6406" width="10.28515625" style="18" bestFit="1" customWidth="1"/>
    <col min="6407" max="6407" width="6.7109375" style="18" customWidth="1"/>
    <col min="6408" max="6408" width="8.7109375" style="18" customWidth="1"/>
    <col min="6409" max="6409" width="12" style="18" bestFit="1" customWidth="1"/>
    <col min="6410" max="6410" width="11.140625" style="18" bestFit="1" customWidth="1"/>
    <col min="6411" max="6412" width="8.7109375" style="18" customWidth="1"/>
    <col min="6413" max="6413" width="0" style="18" hidden="1" customWidth="1"/>
    <col min="6414" max="6414" width="8.7109375" style="18" customWidth="1"/>
    <col min="6415" max="6656" width="9.140625" style="18"/>
    <col min="6657" max="6657" width="2.5703125" style="18" customWidth="1"/>
    <col min="6658" max="6658" width="13.85546875" style="18" customWidth="1"/>
    <col min="6659" max="6659" width="23.42578125" style="18" customWidth="1"/>
    <col min="6660" max="6660" width="10.28515625" style="18" bestFit="1" customWidth="1"/>
    <col min="6661" max="6661" width="7.7109375" style="18" customWidth="1"/>
    <col min="6662" max="6662" width="10.28515625" style="18" bestFit="1" customWidth="1"/>
    <col min="6663" max="6663" width="6.7109375" style="18" customWidth="1"/>
    <col min="6664" max="6664" width="8.7109375" style="18" customWidth="1"/>
    <col min="6665" max="6665" width="12" style="18" bestFit="1" customWidth="1"/>
    <col min="6666" max="6666" width="11.140625" style="18" bestFit="1" customWidth="1"/>
    <col min="6667" max="6668" width="8.7109375" style="18" customWidth="1"/>
    <col min="6669" max="6669" width="0" style="18" hidden="1" customWidth="1"/>
    <col min="6670" max="6670" width="8.7109375" style="18" customWidth="1"/>
    <col min="6671" max="6912" width="9.140625" style="18"/>
    <col min="6913" max="6913" width="2.5703125" style="18" customWidth="1"/>
    <col min="6914" max="6914" width="13.85546875" style="18" customWidth="1"/>
    <col min="6915" max="6915" width="23.42578125" style="18" customWidth="1"/>
    <col min="6916" max="6916" width="10.28515625" style="18" bestFit="1" customWidth="1"/>
    <col min="6917" max="6917" width="7.7109375" style="18" customWidth="1"/>
    <col min="6918" max="6918" width="10.28515625" style="18" bestFit="1" customWidth="1"/>
    <col min="6919" max="6919" width="6.7109375" style="18" customWidth="1"/>
    <col min="6920" max="6920" width="8.7109375" style="18" customWidth="1"/>
    <col min="6921" max="6921" width="12" style="18" bestFit="1" customWidth="1"/>
    <col min="6922" max="6922" width="11.140625" style="18" bestFit="1" customWidth="1"/>
    <col min="6923" max="6924" width="8.7109375" style="18" customWidth="1"/>
    <col min="6925" max="6925" width="0" style="18" hidden="1" customWidth="1"/>
    <col min="6926" max="6926" width="8.7109375" style="18" customWidth="1"/>
    <col min="6927" max="7168" width="9.140625" style="18"/>
    <col min="7169" max="7169" width="2.5703125" style="18" customWidth="1"/>
    <col min="7170" max="7170" width="13.85546875" style="18" customWidth="1"/>
    <col min="7171" max="7171" width="23.42578125" style="18" customWidth="1"/>
    <col min="7172" max="7172" width="10.28515625" style="18" bestFit="1" customWidth="1"/>
    <col min="7173" max="7173" width="7.7109375" style="18" customWidth="1"/>
    <col min="7174" max="7174" width="10.28515625" style="18" bestFit="1" customWidth="1"/>
    <col min="7175" max="7175" width="6.7109375" style="18" customWidth="1"/>
    <col min="7176" max="7176" width="8.7109375" style="18" customWidth="1"/>
    <col min="7177" max="7177" width="12" style="18" bestFit="1" customWidth="1"/>
    <col min="7178" max="7178" width="11.140625" style="18" bestFit="1" customWidth="1"/>
    <col min="7179" max="7180" width="8.7109375" style="18" customWidth="1"/>
    <col min="7181" max="7181" width="0" style="18" hidden="1" customWidth="1"/>
    <col min="7182" max="7182" width="8.7109375" style="18" customWidth="1"/>
    <col min="7183" max="7424" width="9.140625" style="18"/>
    <col min="7425" max="7425" width="2.5703125" style="18" customWidth="1"/>
    <col min="7426" max="7426" width="13.85546875" style="18" customWidth="1"/>
    <col min="7427" max="7427" width="23.42578125" style="18" customWidth="1"/>
    <col min="7428" max="7428" width="10.28515625" style="18" bestFit="1" customWidth="1"/>
    <col min="7429" max="7429" width="7.7109375" style="18" customWidth="1"/>
    <col min="7430" max="7430" width="10.28515625" style="18" bestFit="1" customWidth="1"/>
    <col min="7431" max="7431" width="6.7109375" style="18" customWidth="1"/>
    <col min="7432" max="7432" width="8.7109375" style="18" customWidth="1"/>
    <col min="7433" max="7433" width="12" style="18" bestFit="1" customWidth="1"/>
    <col min="7434" max="7434" width="11.140625" style="18" bestFit="1" customWidth="1"/>
    <col min="7435" max="7436" width="8.7109375" style="18" customWidth="1"/>
    <col min="7437" max="7437" width="0" style="18" hidden="1" customWidth="1"/>
    <col min="7438" max="7438" width="8.7109375" style="18" customWidth="1"/>
    <col min="7439" max="7680" width="9.140625" style="18"/>
    <col min="7681" max="7681" width="2.5703125" style="18" customWidth="1"/>
    <col min="7682" max="7682" width="13.85546875" style="18" customWidth="1"/>
    <col min="7683" max="7683" width="23.42578125" style="18" customWidth="1"/>
    <col min="7684" max="7684" width="10.28515625" style="18" bestFit="1" customWidth="1"/>
    <col min="7685" max="7685" width="7.7109375" style="18" customWidth="1"/>
    <col min="7686" max="7686" width="10.28515625" style="18" bestFit="1" customWidth="1"/>
    <col min="7687" max="7687" width="6.7109375" style="18" customWidth="1"/>
    <col min="7688" max="7688" width="8.7109375" style="18" customWidth="1"/>
    <col min="7689" max="7689" width="12" style="18" bestFit="1" customWidth="1"/>
    <col min="7690" max="7690" width="11.140625" style="18" bestFit="1" customWidth="1"/>
    <col min="7691" max="7692" width="8.7109375" style="18" customWidth="1"/>
    <col min="7693" max="7693" width="0" style="18" hidden="1" customWidth="1"/>
    <col min="7694" max="7694" width="8.7109375" style="18" customWidth="1"/>
    <col min="7695" max="7936" width="9.140625" style="18"/>
    <col min="7937" max="7937" width="2.5703125" style="18" customWidth="1"/>
    <col min="7938" max="7938" width="13.85546875" style="18" customWidth="1"/>
    <col min="7939" max="7939" width="23.42578125" style="18" customWidth="1"/>
    <col min="7940" max="7940" width="10.28515625" style="18" bestFit="1" customWidth="1"/>
    <col min="7941" max="7941" width="7.7109375" style="18" customWidth="1"/>
    <col min="7942" max="7942" width="10.28515625" style="18" bestFit="1" customWidth="1"/>
    <col min="7943" max="7943" width="6.7109375" style="18" customWidth="1"/>
    <col min="7944" max="7944" width="8.7109375" style="18" customWidth="1"/>
    <col min="7945" max="7945" width="12" style="18" bestFit="1" customWidth="1"/>
    <col min="7946" max="7946" width="11.140625" style="18" bestFit="1" customWidth="1"/>
    <col min="7947" max="7948" width="8.7109375" style="18" customWidth="1"/>
    <col min="7949" max="7949" width="0" style="18" hidden="1" customWidth="1"/>
    <col min="7950" max="7950" width="8.7109375" style="18" customWidth="1"/>
    <col min="7951" max="8192" width="9.140625" style="18"/>
    <col min="8193" max="8193" width="2.5703125" style="18" customWidth="1"/>
    <col min="8194" max="8194" width="13.85546875" style="18" customWidth="1"/>
    <col min="8195" max="8195" width="23.42578125" style="18" customWidth="1"/>
    <col min="8196" max="8196" width="10.28515625" style="18" bestFit="1" customWidth="1"/>
    <col min="8197" max="8197" width="7.7109375" style="18" customWidth="1"/>
    <col min="8198" max="8198" width="10.28515625" style="18" bestFit="1" customWidth="1"/>
    <col min="8199" max="8199" width="6.7109375" style="18" customWidth="1"/>
    <col min="8200" max="8200" width="8.7109375" style="18" customWidth="1"/>
    <col min="8201" max="8201" width="12" style="18" bestFit="1" customWidth="1"/>
    <col min="8202" max="8202" width="11.140625" style="18" bestFit="1" customWidth="1"/>
    <col min="8203" max="8204" width="8.7109375" style="18" customWidth="1"/>
    <col min="8205" max="8205" width="0" style="18" hidden="1" customWidth="1"/>
    <col min="8206" max="8206" width="8.7109375" style="18" customWidth="1"/>
    <col min="8207" max="8448" width="9.140625" style="18"/>
    <col min="8449" max="8449" width="2.5703125" style="18" customWidth="1"/>
    <col min="8450" max="8450" width="13.85546875" style="18" customWidth="1"/>
    <col min="8451" max="8451" width="23.42578125" style="18" customWidth="1"/>
    <col min="8452" max="8452" width="10.28515625" style="18" bestFit="1" customWidth="1"/>
    <col min="8453" max="8453" width="7.7109375" style="18" customWidth="1"/>
    <col min="8454" max="8454" width="10.28515625" style="18" bestFit="1" customWidth="1"/>
    <col min="8455" max="8455" width="6.7109375" style="18" customWidth="1"/>
    <col min="8456" max="8456" width="8.7109375" style="18" customWidth="1"/>
    <col min="8457" max="8457" width="12" style="18" bestFit="1" customWidth="1"/>
    <col min="8458" max="8458" width="11.140625" style="18" bestFit="1" customWidth="1"/>
    <col min="8459" max="8460" width="8.7109375" style="18" customWidth="1"/>
    <col min="8461" max="8461" width="0" style="18" hidden="1" customWidth="1"/>
    <col min="8462" max="8462" width="8.7109375" style="18" customWidth="1"/>
    <col min="8463" max="8704" width="9.140625" style="18"/>
    <col min="8705" max="8705" width="2.5703125" style="18" customWidth="1"/>
    <col min="8706" max="8706" width="13.85546875" style="18" customWidth="1"/>
    <col min="8707" max="8707" width="23.42578125" style="18" customWidth="1"/>
    <col min="8708" max="8708" width="10.28515625" style="18" bestFit="1" customWidth="1"/>
    <col min="8709" max="8709" width="7.7109375" style="18" customWidth="1"/>
    <col min="8710" max="8710" width="10.28515625" style="18" bestFit="1" customWidth="1"/>
    <col min="8711" max="8711" width="6.7109375" style="18" customWidth="1"/>
    <col min="8712" max="8712" width="8.7109375" style="18" customWidth="1"/>
    <col min="8713" max="8713" width="12" style="18" bestFit="1" customWidth="1"/>
    <col min="8714" max="8714" width="11.140625" style="18" bestFit="1" customWidth="1"/>
    <col min="8715" max="8716" width="8.7109375" style="18" customWidth="1"/>
    <col min="8717" max="8717" width="0" style="18" hidden="1" customWidth="1"/>
    <col min="8718" max="8718" width="8.7109375" style="18" customWidth="1"/>
    <col min="8719" max="8960" width="9.140625" style="18"/>
    <col min="8961" max="8961" width="2.5703125" style="18" customWidth="1"/>
    <col min="8962" max="8962" width="13.85546875" style="18" customWidth="1"/>
    <col min="8963" max="8963" width="23.42578125" style="18" customWidth="1"/>
    <col min="8964" max="8964" width="10.28515625" style="18" bestFit="1" customWidth="1"/>
    <col min="8965" max="8965" width="7.7109375" style="18" customWidth="1"/>
    <col min="8966" max="8966" width="10.28515625" style="18" bestFit="1" customWidth="1"/>
    <col min="8967" max="8967" width="6.7109375" style="18" customWidth="1"/>
    <col min="8968" max="8968" width="8.7109375" style="18" customWidth="1"/>
    <col min="8969" max="8969" width="12" style="18" bestFit="1" customWidth="1"/>
    <col min="8970" max="8970" width="11.140625" style="18" bestFit="1" customWidth="1"/>
    <col min="8971" max="8972" width="8.7109375" style="18" customWidth="1"/>
    <col min="8973" max="8973" width="0" style="18" hidden="1" customWidth="1"/>
    <col min="8974" max="8974" width="8.7109375" style="18" customWidth="1"/>
    <col min="8975" max="9216" width="9.140625" style="18"/>
    <col min="9217" max="9217" width="2.5703125" style="18" customWidth="1"/>
    <col min="9218" max="9218" width="13.85546875" style="18" customWidth="1"/>
    <col min="9219" max="9219" width="23.42578125" style="18" customWidth="1"/>
    <col min="9220" max="9220" width="10.28515625" style="18" bestFit="1" customWidth="1"/>
    <col min="9221" max="9221" width="7.7109375" style="18" customWidth="1"/>
    <col min="9222" max="9222" width="10.28515625" style="18" bestFit="1" customWidth="1"/>
    <col min="9223" max="9223" width="6.7109375" style="18" customWidth="1"/>
    <col min="9224" max="9224" width="8.7109375" style="18" customWidth="1"/>
    <col min="9225" max="9225" width="12" style="18" bestFit="1" customWidth="1"/>
    <col min="9226" max="9226" width="11.140625" style="18" bestFit="1" customWidth="1"/>
    <col min="9227" max="9228" width="8.7109375" style="18" customWidth="1"/>
    <col min="9229" max="9229" width="0" style="18" hidden="1" customWidth="1"/>
    <col min="9230" max="9230" width="8.7109375" style="18" customWidth="1"/>
    <col min="9231" max="9472" width="9.140625" style="18"/>
    <col min="9473" max="9473" width="2.5703125" style="18" customWidth="1"/>
    <col min="9474" max="9474" width="13.85546875" style="18" customWidth="1"/>
    <col min="9475" max="9475" width="23.42578125" style="18" customWidth="1"/>
    <col min="9476" max="9476" width="10.28515625" style="18" bestFit="1" customWidth="1"/>
    <col min="9477" max="9477" width="7.7109375" style="18" customWidth="1"/>
    <col min="9478" max="9478" width="10.28515625" style="18" bestFit="1" customWidth="1"/>
    <col min="9479" max="9479" width="6.7109375" style="18" customWidth="1"/>
    <col min="9480" max="9480" width="8.7109375" style="18" customWidth="1"/>
    <col min="9481" max="9481" width="12" style="18" bestFit="1" customWidth="1"/>
    <col min="9482" max="9482" width="11.140625" style="18" bestFit="1" customWidth="1"/>
    <col min="9483" max="9484" width="8.7109375" style="18" customWidth="1"/>
    <col min="9485" max="9485" width="0" style="18" hidden="1" customWidth="1"/>
    <col min="9486" max="9486" width="8.7109375" style="18" customWidth="1"/>
    <col min="9487" max="9728" width="9.140625" style="18"/>
    <col min="9729" max="9729" width="2.5703125" style="18" customWidth="1"/>
    <col min="9730" max="9730" width="13.85546875" style="18" customWidth="1"/>
    <col min="9731" max="9731" width="23.42578125" style="18" customWidth="1"/>
    <col min="9732" max="9732" width="10.28515625" style="18" bestFit="1" customWidth="1"/>
    <col min="9733" max="9733" width="7.7109375" style="18" customWidth="1"/>
    <col min="9734" max="9734" width="10.28515625" style="18" bestFit="1" customWidth="1"/>
    <col min="9735" max="9735" width="6.7109375" style="18" customWidth="1"/>
    <col min="9736" max="9736" width="8.7109375" style="18" customWidth="1"/>
    <col min="9737" max="9737" width="12" style="18" bestFit="1" customWidth="1"/>
    <col min="9738" max="9738" width="11.140625" style="18" bestFit="1" customWidth="1"/>
    <col min="9739" max="9740" width="8.7109375" style="18" customWidth="1"/>
    <col min="9741" max="9741" width="0" style="18" hidden="1" customWidth="1"/>
    <col min="9742" max="9742" width="8.7109375" style="18" customWidth="1"/>
    <col min="9743" max="9984" width="9.140625" style="18"/>
    <col min="9985" max="9985" width="2.5703125" style="18" customWidth="1"/>
    <col min="9986" max="9986" width="13.85546875" style="18" customWidth="1"/>
    <col min="9987" max="9987" width="23.42578125" style="18" customWidth="1"/>
    <col min="9988" max="9988" width="10.28515625" style="18" bestFit="1" customWidth="1"/>
    <col min="9989" max="9989" width="7.7109375" style="18" customWidth="1"/>
    <col min="9990" max="9990" width="10.28515625" style="18" bestFit="1" customWidth="1"/>
    <col min="9991" max="9991" width="6.7109375" style="18" customWidth="1"/>
    <col min="9992" max="9992" width="8.7109375" style="18" customWidth="1"/>
    <col min="9993" max="9993" width="12" style="18" bestFit="1" customWidth="1"/>
    <col min="9994" max="9994" width="11.140625" style="18" bestFit="1" customWidth="1"/>
    <col min="9995" max="9996" width="8.7109375" style="18" customWidth="1"/>
    <col min="9997" max="9997" width="0" style="18" hidden="1" customWidth="1"/>
    <col min="9998" max="9998" width="8.7109375" style="18" customWidth="1"/>
    <col min="9999" max="10240" width="9.140625" style="18"/>
    <col min="10241" max="10241" width="2.5703125" style="18" customWidth="1"/>
    <col min="10242" max="10242" width="13.85546875" style="18" customWidth="1"/>
    <col min="10243" max="10243" width="23.42578125" style="18" customWidth="1"/>
    <col min="10244" max="10244" width="10.28515625" style="18" bestFit="1" customWidth="1"/>
    <col min="10245" max="10245" width="7.7109375" style="18" customWidth="1"/>
    <col min="10246" max="10246" width="10.28515625" style="18" bestFit="1" customWidth="1"/>
    <col min="10247" max="10247" width="6.7109375" style="18" customWidth="1"/>
    <col min="10248" max="10248" width="8.7109375" style="18" customWidth="1"/>
    <col min="10249" max="10249" width="12" style="18" bestFit="1" customWidth="1"/>
    <col min="10250" max="10250" width="11.140625" style="18" bestFit="1" customWidth="1"/>
    <col min="10251" max="10252" width="8.7109375" style="18" customWidth="1"/>
    <col min="10253" max="10253" width="0" style="18" hidden="1" customWidth="1"/>
    <col min="10254" max="10254" width="8.7109375" style="18" customWidth="1"/>
    <col min="10255" max="10496" width="9.140625" style="18"/>
    <col min="10497" max="10497" width="2.5703125" style="18" customWidth="1"/>
    <col min="10498" max="10498" width="13.85546875" style="18" customWidth="1"/>
    <col min="10499" max="10499" width="23.42578125" style="18" customWidth="1"/>
    <col min="10500" max="10500" width="10.28515625" style="18" bestFit="1" customWidth="1"/>
    <col min="10501" max="10501" width="7.7109375" style="18" customWidth="1"/>
    <col min="10502" max="10502" width="10.28515625" style="18" bestFit="1" customWidth="1"/>
    <col min="10503" max="10503" width="6.7109375" style="18" customWidth="1"/>
    <col min="10504" max="10504" width="8.7109375" style="18" customWidth="1"/>
    <col min="10505" max="10505" width="12" style="18" bestFit="1" customWidth="1"/>
    <col min="10506" max="10506" width="11.140625" style="18" bestFit="1" customWidth="1"/>
    <col min="10507" max="10508" width="8.7109375" style="18" customWidth="1"/>
    <col min="10509" max="10509" width="0" style="18" hidden="1" customWidth="1"/>
    <col min="10510" max="10510" width="8.7109375" style="18" customWidth="1"/>
    <col min="10511" max="10752" width="9.140625" style="18"/>
    <col min="10753" max="10753" width="2.5703125" style="18" customWidth="1"/>
    <col min="10754" max="10754" width="13.85546875" style="18" customWidth="1"/>
    <col min="10755" max="10755" width="23.42578125" style="18" customWidth="1"/>
    <col min="10756" max="10756" width="10.28515625" style="18" bestFit="1" customWidth="1"/>
    <col min="10757" max="10757" width="7.7109375" style="18" customWidth="1"/>
    <col min="10758" max="10758" width="10.28515625" style="18" bestFit="1" customWidth="1"/>
    <col min="10759" max="10759" width="6.7109375" style="18" customWidth="1"/>
    <col min="10760" max="10760" width="8.7109375" style="18" customWidth="1"/>
    <col min="10761" max="10761" width="12" style="18" bestFit="1" customWidth="1"/>
    <col min="10762" max="10762" width="11.140625" style="18" bestFit="1" customWidth="1"/>
    <col min="10763" max="10764" width="8.7109375" style="18" customWidth="1"/>
    <col min="10765" max="10765" width="0" style="18" hidden="1" customWidth="1"/>
    <col min="10766" max="10766" width="8.7109375" style="18" customWidth="1"/>
    <col min="10767" max="11008" width="9.140625" style="18"/>
    <col min="11009" max="11009" width="2.5703125" style="18" customWidth="1"/>
    <col min="11010" max="11010" width="13.85546875" style="18" customWidth="1"/>
    <col min="11011" max="11011" width="23.42578125" style="18" customWidth="1"/>
    <col min="11012" max="11012" width="10.28515625" style="18" bestFit="1" customWidth="1"/>
    <col min="11013" max="11013" width="7.7109375" style="18" customWidth="1"/>
    <col min="11014" max="11014" width="10.28515625" style="18" bestFit="1" customWidth="1"/>
    <col min="11015" max="11015" width="6.7109375" style="18" customWidth="1"/>
    <col min="11016" max="11016" width="8.7109375" style="18" customWidth="1"/>
    <col min="11017" max="11017" width="12" style="18" bestFit="1" customWidth="1"/>
    <col min="11018" max="11018" width="11.140625" style="18" bestFit="1" customWidth="1"/>
    <col min="11019" max="11020" width="8.7109375" style="18" customWidth="1"/>
    <col min="11021" max="11021" width="0" style="18" hidden="1" customWidth="1"/>
    <col min="11022" max="11022" width="8.7109375" style="18" customWidth="1"/>
    <col min="11023" max="11264" width="9.140625" style="18"/>
    <col min="11265" max="11265" width="2.5703125" style="18" customWidth="1"/>
    <col min="11266" max="11266" width="13.85546875" style="18" customWidth="1"/>
    <col min="11267" max="11267" width="23.42578125" style="18" customWidth="1"/>
    <col min="11268" max="11268" width="10.28515625" style="18" bestFit="1" customWidth="1"/>
    <col min="11269" max="11269" width="7.7109375" style="18" customWidth="1"/>
    <col min="11270" max="11270" width="10.28515625" style="18" bestFit="1" customWidth="1"/>
    <col min="11271" max="11271" width="6.7109375" style="18" customWidth="1"/>
    <col min="11272" max="11272" width="8.7109375" style="18" customWidth="1"/>
    <col min="11273" max="11273" width="12" style="18" bestFit="1" customWidth="1"/>
    <col min="11274" max="11274" width="11.140625" style="18" bestFit="1" customWidth="1"/>
    <col min="11275" max="11276" width="8.7109375" style="18" customWidth="1"/>
    <col min="11277" max="11277" width="0" style="18" hidden="1" customWidth="1"/>
    <col min="11278" max="11278" width="8.7109375" style="18" customWidth="1"/>
    <col min="11279" max="11520" width="9.140625" style="18"/>
    <col min="11521" max="11521" width="2.5703125" style="18" customWidth="1"/>
    <col min="11522" max="11522" width="13.85546875" style="18" customWidth="1"/>
    <col min="11523" max="11523" width="23.42578125" style="18" customWidth="1"/>
    <col min="11524" max="11524" width="10.28515625" style="18" bestFit="1" customWidth="1"/>
    <col min="11525" max="11525" width="7.7109375" style="18" customWidth="1"/>
    <col min="11526" max="11526" width="10.28515625" style="18" bestFit="1" customWidth="1"/>
    <col min="11527" max="11527" width="6.7109375" style="18" customWidth="1"/>
    <col min="11528" max="11528" width="8.7109375" style="18" customWidth="1"/>
    <col min="11529" max="11529" width="12" style="18" bestFit="1" customWidth="1"/>
    <col min="11530" max="11530" width="11.140625" style="18" bestFit="1" customWidth="1"/>
    <col min="11531" max="11532" width="8.7109375" style="18" customWidth="1"/>
    <col min="11533" max="11533" width="0" style="18" hidden="1" customWidth="1"/>
    <col min="11534" max="11534" width="8.7109375" style="18" customWidth="1"/>
    <col min="11535" max="11776" width="9.140625" style="18"/>
    <col min="11777" max="11777" width="2.5703125" style="18" customWidth="1"/>
    <col min="11778" max="11778" width="13.85546875" style="18" customWidth="1"/>
    <col min="11779" max="11779" width="23.42578125" style="18" customWidth="1"/>
    <col min="11780" max="11780" width="10.28515625" style="18" bestFit="1" customWidth="1"/>
    <col min="11781" max="11781" width="7.7109375" style="18" customWidth="1"/>
    <col min="11782" max="11782" width="10.28515625" style="18" bestFit="1" customWidth="1"/>
    <col min="11783" max="11783" width="6.7109375" style="18" customWidth="1"/>
    <col min="11784" max="11784" width="8.7109375" style="18" customWidth="1"/>
    <col min="11785" max="11785" width="12" style="18" bestFit="1" customWidth="1"/>
    <col min="11786" max="11786" width="11.140625" style="18" bestFit="1" customWidth="1"/>
    <col min="11787" max="11788" width="8.7109375" style="18" customWidth="1"/>
    <col min="11789" max="11789" width="0" style="18" hidden="1" customWidth="1"/>
    <col min="11790" max="11790" width="8.7109375" style="18" customWidth="1"/>
    <col min="11791" max="12032" width="9.140625" style="18"/>
    <col min="12033" max="12033" width="2.5703125" style="18" customWidth="1"/>
    <col min="12034" max="12034" width="13.85546875" style="18" customWidth="1"/>
    <col min="12035" max="12035" width="23.42578125" style="18" customWidth="1"/>
    <col min="12036" max="12036" width="10.28515625" style="18" bestFit="1" customWidth="1"/>
    <col min="12037" max="12037" width="7.7109375" style="18" customWidth="1"/>
    <col min="12038" max="12038" width="10.28515625" style="18" bestFit="1" customWidth="1"/>
    <col min="12039" max="12039" width="6.7109375" style="18" customWidth="1"/>
    <col min="12040" max="12040" width="8.7109375" style="18" customWidth="1"/>
    <col min="12041" max="12041" width="12" style="18" bestFit="1" customWidth="1"/>
    <col min="12042" max="12042" width="11.140625" style="18" bestFit="1" customWidth="1"/>
    <col min="12043" max="12044" width="8.7109375" style="18" customWidth="1"/>
    <col min="12045" max="12045" width="0" style="18" hidden="1" customWidth="1"/>
    <col min="12046" max="12046" width="8.7109375" style="18" customWidth="1"/>
    <col min="12047" max="12288" width="9.140625" style="18"/>
    <col min="12289" max="12289" width="2.5703125" style="18" customWidth="1"/>
    <col min="12290" max="12290" width="13.85546875" style="18" customWidth="1"/>
    <col min="12291" max="12291" width="23.42578125" style="18" customWidth="1"/>
    <col min="12292" max="12292" width="10.28515625" style="18" bestFit="1" customWidth="1"/>
    <col min="12293" max="12293" width="7.7109375" style="18" customWidth="1"/>
    <col min="12294" max="12294" width="10.28515625" style="18" bestFit="1" customWidth="1"/>
    <col min="12295" max="12295" width="6.7109375" style="18" customWidth="1"/>
    <col min="12296" max="12296" width="8.7109375" style="18" customWidth="1"/>
    <col min="12297" max="12297" width="12" style="18" bestFit="1" customWidth="1"/>
    <col min="12298" max="12298" width="11.140625" style="18" bestFit="1" customWidth="1"/>
    <col min="12299" max="12300" width="8.7109375" style="18" customWidth="1"/>
    <col min="12301" max="12301" width="0" style="18" hidden="1" customWidth="1"/>
    <col min="12302" max="12302" width="8.7109375" style="18" customWidth="1"/>
    <col min="12303" max="12544" width="9.140625" style="18"/>
    <col min="12545" max="12545" width="2.5703125" style="18" customWidth="1"/>
    <col min="12546" max="12546" width="13.85546875" style="18" customWidth="1"/>
    <col min="12547" max="12547" width="23.42578125" style="18" customWidth="1"/>
    <col min="12548" max="12548" width="10.28515625" style="18" bestFit="1" customWidth="1"/>
    <col min="12549" max="12549" width="7.7109375" style="18" customWidth="1"/>
    <col min="12550" max="12550" width="10.28515625" style="18" bestFit="1" customWidth="1"/>
    <col min="12551" max="12551" width="6.7109375" style="18" customWidth="1"/>
    <col min="12552" max="12552" width="8.7109375" style="18" customWidth="1"/>
    <col min="12553" max="12553" width="12" style="18" bestFit="1" customWidth="1"/>
    <col min="12554" max="12554" width="11.140625" style="18" bestFit="1" customWidth="1"/>
    <col min="12555" max="12556" width="8.7109375" style="18" customWidth="1"/>
    <col min="12557" max="12557" width="0" style="18" hidden="1" customWidth="1"/>
    <col min="12558" max="12558" width="8.7109375" style="18" customWidth="1"/>
    <col min="12559" max="12800" width="9.140625" style="18"/>
    <col min="12801" max="12801" width="2.5703125" style="18" customWidth="1"/>
    <col min="12802" max="12802" width="13.85546875" style="18" customWidth="1"/>
    <col min="12803" max="12803" width="23.42578125" style="18" customWidth="1"/>
    <col min="12804" max="12804" width="10.28515625" style="18" bestFit="1" customWidth="1"/>
    <col min="12805" max="12805" width="7.7109375" style="18" customWidth="1"/>
    <col min="12806" max="12806" width="10.28515625" style="18" bestFit="1" customWidth="1"/>
    <col min="12807" max="12807" width="6.7109375" style="18" customWidth="1"/>
    <col min="12808" max="12808" width="8.7109375" style="18" customWidth="1"/>
    <col min="12809" max="12809" width="12" style="18" bestFit="1" customWidth="1"/>
    <col min="12810" max="12810" width="11.140625" style="18" bestFit="1" customWidth="1"/>
    <col min="12811" max="12812" width="8.7109375" style="18" customWidth="1"/>
    <col min="12813" max="12813" width="0" style="18" hidden="1" customWidth="1"/>
    <col min="12814" max="12814" width="8.7109375" style="18" customWidth="1"/>
    <col min="12815" max="13056" width="9.140625" style="18"/>
    <col min="13057" max="13057" width="2.5703125" style="18" customWidth="1"/>
    <col min="13058" max="13058" width="13.85546875" style="18" customWidth="1"/>
    <col min="13059" max="13059" width="23.42578125" style="18" customWidth="1"/>
    <col min="13060" max="13060" width="10.28515625" style="18" bestFit="1" customWidth="1"/>
    <col min="13061" max="13061" width="7.7109375" style="18" customWidth="1"/>
    <col min="13062" max="13062" width="10.28515625" style="18" bestFit="1" customWidth="1"/>
    <col min="13063" max="13063" width="6.7109375" style="18" customWidth="1"/>
    <col min="13064" max="13064" width="8.7109375" style="18" customWidth="1"/>
    <col min="13065" max="13065" width="12" style="18" bestFit="1" customWidth="1"/>
    <col min="13066" max="13066" width="11.140625" style="18" bestFit="1" customWidth="1"/>
    <col min="13067" max="13068" width="8.7109375" style="18" customWidth="1"/>
    <col min="13069" max="13069" width="0" style="18" hidden="1" customWidth="1"/>
    <col min="13070" max="13070" width="8.7109375" style="18" customWidth="1"/>
    <col min="13071" max="13312" width="9.140625" style="18"/>
    <col min="13313" max="13313" width="2.5703125" style="18" customWidth="1"/>
    <col min="13314" max="13314" width="13.85546875" style="18" customWidth="1"/>
    <col min="13315" max="13315" width="23.42578125" style="18" customWidth="1"/>
    <col min="13316" max="13316" width="10.28515625" style="18" bestFit="1" customWidth="1"/>
    <col min="13317" max="13317" width="7.7109375" style="18" customWidth="1"/>
    <col min="13318" max="13318" width="10.28515625" style="18" bestFit="1" customWidth="1"/>
    <col min="13319" max="13319" width="6.7109375" style="18" customWidth="1"/>
    <col min="13320" max="13320" width="8.7109375" style="18" customWidth="1"/>
    <col min="13321" max="13321" width="12" style="18" bestFit="1" customWidth="1"/>
    <col min="13322" max="13322" width="11.140625" style="18" bestFit="1" customWidth="1"/>
    <col min="13323" max="13324" width="8.7109375" style="18" customWidth="1"/>
    <col min="13325" max="13325" width="0" style="18" hidden="1" customWidth="1"/>
    <col min="13326" max="13326" width="8.7109375" style="18" customWidth="1"/>
    <col min="13327" max="13568" width="9.140625" style="18"/>
    <col min="13569" max="13569" width="2.5703125" style="18" customWidth="1"/>
    <col min="13570" max="13570" width="13.85546875" style="18" customWidth="1"/>
    <col min="13571" max="13571" width="23.42578125" style="18" customWidth="1"/>
    <col min="13572" max="13572" width="10.28515625" style="18" bestFit="1" customWidth="1"/>
    <col min="13573" max="13573" width="7.7109375" style="18" customWidth="1"/>
    <col min="13574" max="13574" width="10.28515625" style="18" bestFit="1" customWidth="1"/>
    <col min="13575" max="13575" width="6.7109375" style="18" customWidth="1"/>
    <col min="13576" max="13576" width="8.7109375" style="18" customWidth="1"/>
    <col min="13577" max="13577" width="12" style="18" bestFit="1" customWidth="1"/>
    <col min="13578" max="13578" width="11.140625" style="18" bestFit="1" customWidth="1"/>
    <col min="13579" max="13580" width="8.7109375" style="18" customWidth="1"/>
    <col min="13581" max="13581" width="0" style="18" hidden="1" customWidth="1"/>
    <col min="13582" max="13582" width="8.7109375" style="18" customWidth="1"/>
    <col min="13583" max="13824" width="9.140625" style="18"/>
    <col min="13825" max="13825" width="2.5703125" style="18" customWidth="1"/>
    <col min="13826" max="13826" width="13.85546875" style="18" customWidth="1"/>
    <col min="13827" max="13827" width="23.42578125" style="18" customWidth="1"/>
    <col min="13828" max="13828" width="10.28515625" style="18" bestFit="1" customWidth="1"/>
    <col min="13829" max="13829" width="7.7109375" style="18" customWidth="1"/>
    <col min="13830" max="13830" width="10.28515625" style="18" bestFit="1" customWidth="1"/>
    <col min="13831" max="13831" width="6.7109375" style="18" customWidth="1"/>
    <col min="13832" max="13832" width="8.7109375" style="18" customWidth="1"/>
    <col min="13833" max="13833" width="12" style="18" bestFit="1" customWidth="1"/>
    <col min="13834" max="13834" width="11.140625" style="18" bestFit="1" customWidth="1"/>
    <col min="13835" max="13836" width="8.7109375" style="18" customWidth="1"/>
    <col min="13837" max="13837" width="0" style="18" hidden="1" customWidth="1"/>
    <col min="13838" max="13838" width="8.7109375" style="18" customWidth="1"/>
    <col min="13839" max="14080" width="9.140625" style="18"/>
    <col min="14081" max="14081" width="2.5703125" style="18" customWidth="1"/>
    <col min="14082" max="14082" width="13.85546875" style="18" customWidth="1"/>
    <col min="14083" max="14083" width="23.42578125" style="18" customWidth="1"/>
    <col min="14084" max="14084" width="10.28515625" style="18" bestFit="1" customWidth="1"/>
    <col min="14085" max="14085" width="7.7109375" style="18" customWidth="1"/>
    <col min="14086" max="14086" width="10.28515625" style="18" bestFit="1" customWidth="1"/>
    <col min="14087" max="14087" width="6.7109375" style="18" customWidth="1"/>
    <col min="14088" max="14088" width="8.7109375" style="18" customWidth="1"/>
    <col min="14089" max="14089" width="12" style="18" bestFit="1" customWidth="1"/>
    <col min="14090" max="14090" width="11.140625" style="18" bestFit="1" customWidth="1"/>
    <col min="14091" max="14092" width="8.7109375" style="18" customWidth="1"/>
    <col min="14093" max="14093" width="0" style="18" hidden="1" customWidth="1"/>
    <col min="14094" max="14094" width="8.7109375" style="18" customWidth="1"/>
    <col min="14095" max="14336" width="9.140625" style="18"/>
    <col min="14337" max="14337" width="2.5703125" style="18" customWidth="1"/>
    <col min="14338" max="14338" width="13.85546875" style="18" customWidth="1"/>
    <col min="14339" max="14339" width="23.42578125" style="18" customWidth="1"/>
    <col min="14340" max="14340" width="10.28515625" style="18" bestFit="1" customWidth="1"/>
    <col min="14341" max="14341" width="7.7109375" style="18" customWidth="1"/>
    <col min="14342" max="14342" width="10.28515625" style="18" bestFit="1" customWidth="1"/>
    <col min="14343" max="14343" width="6.7109375" style="18" customWidth="1"/>
    <col min="14344" max="14344" width="8.7109375" style="18" customWidth="1"/>
    <col min="14345" max="14345" width="12" style="18" bestFit="1" customWidth="1"/>
    <col min="14346" max="14346" width="11.140625" style="18" bestFit="1" customWidth="1"/>
    <col min="14347" max="14348" width="8.7109375" style="18" customWidth="1"/>
    <col min="14349" max="14349" width="0" style="18" hidden="1" customWidth="1"/>
    <col min="14350" max="14350" width="8.7109375" style="18" customWidth="1"/>
    <col min="14351" max="14592" width="9.140625" style="18"/>
    <col min="14593" max="14593" width="2.5703125" style="18" customWidth="1"/>
    <col min="14594" max="14594" width="13.85546875" style="18" customWidth="1"/>
    <col min="14595" max="14595" width="23.42578125" style="18" customWidth="1"/>
    <col min="14596" max="14596" width="10.28515625" style="18" bestFit="1" customWidth="1"/>
    <col min="14597" max="14597" width="7.7109375" style="18" customWidth="1"/>
    <col min="14598" max="14598" width="10.28515625" style="18" bestFit="1" customWidth="1"/>
    <col min="14599" max="14599" width="6.7109375" style="18" customWidth="1"/>
    <col min="14600" max="14600" width="8.7109375" style="18" customWidth="1"/>
    <col min="14601" max="14601" width="12" style="18" bestFit="1" customWidth="1"/>
    <col min="14602" max="14602" width="11.140625" style="18" bestFit="1" customWidth="1"/>
    <col min="14603" max="14604" width="8.7109375" style="18" customWidth="1"/>
    <col min="14605" max="14605" width="0" style="18" hidden="1" customWidth="1"/>
    <col min="14606" max="14606" width="8.7109375" style="18" customWidth="1"/>
    <col min="14607" max="14848" width="9.140625" style="18"/>
    <col min="14849" max="14849" width="2.5703125" style="18" customWidth="1"/>
    <col min="14850" max="14850" width="13.85546875" style="18" customWidth="1"/>
    <col min="14851" max="14851" width="23.42578125" style="18" customWidth="1"/>
    <col min="14852" max="14852" width="10.28515625" style="18" bestFit="1" customWidth="1"/>
    <col min="14853" max="14853" width="7.7109375" style="18" customWidth="1"/>
    <col min="14854" max="14854" width="10.28515625" style="18" bestFit="1" customWidth="1"/>
    <col min="14855" max="14855" width="6.7109375" style="18" customWidth="1"/>
    <col min="14856" max="14856" width="8.7109375" style="18" customWidth="1"/>
    <col min="14857" max="14857" width="12" style="18" bestFit="1" customWidth="1"/>
    <col min="14858" max="14858" width="11.140625" style="18" bestFit="1" customWidth="1"/>
    <col min="14859" max="14860" width="8.7109375" style="18" customWidth="1"/>
    <col min="14861" max="14861" width="0" style="18" hidden="1" customWidth="1"/>
    <col min="14862" max="14862" width="8.7109375" style="18" customWidth="1"/>
    <col min="14863" max="15104" width="9.140625" style="18"/>
    <col min="15105" max="15105" width="2.5703125" style="18" customWidth="1"/>
    <col min="15106" max="15106" width="13.85546875" style="18" customWidth="1"/>
    <col min="15107" max="15107" width="23.42578125" style="18" customWidth="1"/>
    <col min="15108" max="15108" width="10.28515625" style="18" bestFit="1" customWidth="1"/>
    <col min="15109" max="15109" width="7.7109375" style="18" customWidth="1"/>
    <col min="15110" max="15110" width="10.28515625" style="18" bestFit="1" customWidth="1"/>
    <col min="15111" max="15111" width="6.7109375" style="18" customWidth="1"/>
    <col min="15112" max="15112" width="8.7109375" style="18" customWidth="1"/>
    <col min="15113" max="15113" width="12" style="18" bestFit="1" customWidth="1"/>
    <col min="15114" max="15114" width="11.140625" style="18" bestFit="1" customWidth="1"/>
    <col min="15115" max="15116" width="8.7109375" style="18" customWidth="1"/>
    <col min="15117" max="15117" width="0" style="18" hidden="1" customWidth="1"/>
    <col min="15118" max="15118" width="8.7109375" style="18" customWidth="1"/>
    <col min="15119" max="15360" width="9.140625" style="18"/>
    <col min="15361" max="15361" width="2.5703125" style="18" customWidth="1"/>
    <col min="15362" max="15362" width="13.85546875" style="18" customWidth="1"/>
    <col min="15363" max="15363" width="23.42578125" style="18" customWidth="1"/>
    <col min="15364" max="15364" width="10.28515625" style="18" bestFit="1" customWidth="1"/>
    <col min="15365" max="15365" width="7.7109375" style="18" customWidth="1"/>
    <col min="15366" max="15366" width="10.28515625" style="18" bestFit="1" customWidth="1"/>
    <col min="15367" max="15367" width="6.7109375" style="18" customWidth="1"/>
    <col min="15368" max="15368" width="8.7109375" style="18" customWidth="1"/>
    <col min="15369" max="15369" width="12" style="18" bestFit="1" customWidth="1"/>
    <col min="15370" max="15370" width="11.140625" style="18" bestFit="1" customWidth="1"/>
    <col min="15371" max="15372" width="8.7109375" style="18" customWidth="1"/>
    <col min="15373" max="15373" width="0" style="18" hidden="1" customWidth="1"/>
    <col min="15374" max="15374" width="8.7109375" style="18" customWidth="1"/>
    <col min="15375" max="15616" width="9.140625" style="18"/>
    <col min="15617" max="15617" width="2.5703125" style="18" customWidth="1"/>
    <col min="15618" max="15618" width="13.85546875" style="18" customWidth="1"/>
    <col min="15619" max="15619" width="23.42578125" style="18" customWidth="1"/>
    <col min="15620" max="15620" width="10.28515625" style="18" bestFit="1" customWidth="1"/>
    <col min="15621" max="15621" width="7.7109375" style="18" customWidth="1"/>
    <col min="15622" max="15622" width="10.28515625" style="18" bestFit="1" customWidth="1"/>
    <col min="15623" max="15623" width="6.7109375" style="18" customWidth="1"/>
    <col min="15624" max="15624" width="8.7109375" style="18" customWidth="1"/>
    <col min="15625" max="15625" width="12" style="18" bestFit="1" customWidth="1"/>
    <col min="15626" max="15626" width="11.140625" style="18" bestFit="1" customWidth="1"/>
    <col min="15627" max="15628" width="8.7109375" style="18" customWidth="1"/>
    <col min="15629" max="15629" width="0" style="18" hidden="1" customWidth="1"/>
    <col min="15630" max="15630" width="8.7109375" style="18" customWidth="1"/>
    <col min="15631" max="15872" width="9.140625" style="18"/>
    <col min="15873" max="15873" width="2.5703125" style="18" customWidth="1"/>
    <col min="15874" max="15874" width="13.85546875" style="18" customWidth="1"/>
    <col min="15875" max="15875" width="23.42578125" style="18" customWidth="1"/>
    <col min="15876" max="15876" width="10.28515625" style="18" bestFit="1" customWidth="1"/>
    <col min="15877" max="15877" width="7.7109375" style="18" customWidth="1"/>
    <col min="15878" max="15878" width="10.28515625" style="18" bestFit="1" customWidth="1"/>
    <col min="15879" max="15879" width="6.7109375" style="18" customWidth="1"/>
    <col min="15880" max="15880" width="8.7109375" style="18" customWidth="1"/>
    <col min="15881" max="15881" width="12" style="18" bestFit="1" customWidth="1"/>
    <col min="15882" max="15882" width="11.140625" style="18" bestFit="1" customWidth="1"/>
    <col min="15883" max="15884" width="8.7109375" style="18" customWidth="1"/>
    <col min="15885" max="15885" width="0" style="18" hidden="1" customWidth="1"/>
    <col min="15886" max="15886" width="8.7109375" style="18" customWidth="1"/>
    <col min="15887" max="16128" width="9.140625" style="18"/>
    <col min="16129" max="16129" width="2.5703125" style="18" customWidth="1"/>
    <col min="16130" max="16130" width="13.85546875" style="18" customWidth="1"/>
    <col min="16131" max="16131" width="23.42578125" style="18" customWidth="1"/>
    <col min="16132" max="16132" width="10.28515625" style="18" bestFit="1" customWidth="1"/>
    <col min="16133" max="16133" width="7.7109375" style="18" customWidth="1"/>
    <col min="16134" max="16134" width="10.28515625" style="18" bestFit="1" customWidth="1"/>
    <col min="16135" max="16135" width="6.7109375" style="18" customWidth="1"/>
    <col min="16136" max="16136" width="8.7109375" style="18" customWidth="1"/>
    <col min="16137" max="16137" width="12" style="18" bestFit="1" customWidth="1"/>
    <col min="16138" max="16138" width="11.140625" style="18" bestFit="1" customWidth="1"/>
    <col min="16139" max="16140" width="8.7109375" style="18" customWidth="1"/>
    <col min="16141" max="16141" width="0" style="18" hidden="1" customWidth="1"/>
    <col min="16142" max="16142" width="8.7109375" style="18" customWidth="1"/>
    <col min="16143" max="16384" width="9.140625" style="18"/>
  </cols>
  <sheetData>
    <row r="1" spans="2:16" ht="12.75" customHeight="1" x14ac:dyDescent="0.2">
      <c r="B1" s="6" t="s">
        <v>0</v>
      </c>
      <c r="C1" s="15"/>
      <c r="D1" s="15"/>
      <c r="E1" s="15"/>
      <c r="F1" s="16"/>
      <c r="G1" s="2"/>
      <c r="H1" s="2"/>
      <c r="I1" s="2"/>
      <c r="J1" s="3"/>
      <c r="K1" s="18"/>
      <c r="L1" s="15"/>
      <c r="M1" s="15"/>
      <c r="N1" s="15"/>
      <c r="O1" s="15"/>
      <c r="P1" s="15"/>
    </row>
    <row r="2" spans="2:16" ht="12.75" customHeight="1" x14ac:dyDescent="0.2">
      <c r="B2" s="6" t="s">
        <v>1</v>
      </c>
      <c r="C2" s="15"/>
      <c r="D2" s="15"/>
      <c r="E2" s="15"/>
      <c r="F2" s="19"/>
      <c r="G2" s="69"/>
      <c r="H2" s="69"/>
      <c r="I2" s="69"/>
      <c r="J2" s="70"/>
      <c r="K2" s="18"/>
      <c r="L2" s="15"/>
      <c r="M2" s="15"/>
      <c r="N2" s="15"/>
      <c r="O2" s="15"/>
      <c r="P2" s="15"/>
    </row>
    <row r="3" spans="2:16" ht="12.75" customHeight="1" x14ac:dyDescent="0.2">
      <c r="B3" s="6" t="s">
        <v>2</v>
      </c>
      <c r="C3" s="15"/>
      <c r="D3" s="15"/>
      <c r="E3" s="15"/>
      <c r="F3" s="19"/>
      <c r="G3" s="2"/>
      <c r="H3" s="2"/>
      <c r="I3" s="2"/>
      <c r="J3" s="3"/>
      <c r="K3" s="18"/>
      <c r="L3" s="15"/>
      <c r="M3" s="15"/>
      <c r="N3" s="15"/>
      <c r="O3" s="15"/>
      <c r="P3" s="15"/>
    </row>
    <row r="4" spans="2:16" ht="12.75" customHeight="1" x14ac:dyDescent="0.2">
      <c r="B4" s="6" t="s">
        <v>3</v>
      </c>
      <c r="C4" s="15"/>
      <c r="D4" s="20"/>
      <c r="E4" s="18"/>
      <c r="F4" s="18"/>
      <c r="G4" s="69"/>
      <c r="H4" s="69"/>
      <c r="I4" s="69"/>
      <c r="J4" s="70"/>
      <c r="K4" s="15"/>
      <c r="L4" s="15"/>
      <c r="M4" s="15"/>
      <c r="N4" s="15"/>
      <c r="O4" s="15"/>
      <c r="P4" s="15"/>
    </row>
    <row r="5" spans="2:16" ht="15" x14ac:dyDescent="0.2">
      <c r="B5" s="20"/>
      <c r="C5" s="20"/>
      <c r="D5" s="20"/>
      <c r="E5" s="20"/>
      <c r="F5" s="21"/>
      <c r="G5" s="20"/>
      <c r="H5" s="20"/>
      <c r="I5" s="20"/>
      <c r="J5" s="22"/>
      <c r="K5" s="15"/>
      <c r="L5" s="15"/>
      <c r="M5" s="15"/>
      <c r="N5" s="15"/>
      <c r="O5" s="15"/>
      <c r="P5" s="15"/>
    </row>
    <row r="6" spans="2:16" x14ac:dyDescent="0.2">
      <c r="B6" s="14"/>
      <c r="C6" s="23"/>
      <c r="G6" s="7"/>
      <c r="H6" s="7"/>
      <c r="I6" s="23" t="s">
        <v>8</v>
      </c>
    </row>
    <row r="7" spans="2:16" x14ac:dyDescent="0.2">
      <c r="B7" s="7"/>
      <c r="D7" s="23" t="s">
        <v>9</v>
      </c>
      <c r="F7" s="23" t="s">
        <v>9</v>
      </c>
      <c r="G7" s="7"/>
      <c r="H7" s="7"/>
      <c r="I7" s="23" t="s">
        <v>9</v>
      </c>
      <c r="J7" s="7"/>
      <c r="K7" s="18"/>
      <c r="L7" s="18"/>
      <c r="N7" s="18"/>
    </row>
    <row r="8" spans="2:16" x14ac:dyDescent="0.2">
      <c r="B8" s="7"/>
      <c r="D8" s="7" t="s">
        <v>10</v>
      </c>
      <c r="F8" s="7" t="s">
        <v>11</v>
      </c>
      <c r="G8" s="7"/>
      <c r="H8" s="17" t="s">
        <v>11</v>
      </c>
      <c r="I8" s="25" t="s">
        <v>12</v>
      </c>
      <c r="J8" s="7"/>
      <c r="K8" s="18"/>
      <c r="L8" s="18"/>
      <c r="N8" s="18"/>
    </row>
    <row r="9" spans="2:16" s="26" customFormat="1" x14ac:dyDescent="0.2">
      <c r="B9" s="25"/>
      <c r="C9" s="25"/>
      <c r="D9" s="23" t="s">
        <v>5</v>
      </c>
      <c r="E9" s="7"/>
      <c r="F9" s="23" t="s">
        <v>6</v>
      </c>
      <c r="G9" s="7"/>
      <c r="H9" s="17" t="s">
        <v>10</v>
      </c>
      <c r="I9" s="25" t="s">
        <v>13</v>
      </c>
      <c r="J9" s="25"/>
    </row>
    <row r="10" spans="2:16" s="26" customFormat="1" ht="12" thickBot="1" x14ac:dyDescent="0.25">
      <c r="B10" s="27" t="s">
        <v>21</v>
      </c>
      <c r="C10" s="28"/>
      <c r="D10" s="29" t="s">
        <v>14</v>
      </c>
      <c r="E10" s="29"/>
      <c r="F10" s="29" t="s">
        <v>14</v>
      </c>
      <c r="G10" s="28"/>
      <c r="H10" s="28"/>
      <c r="I10" s="29" t="s">
        <v>14</v>
      </c>
      <c r="J10" s="28"/>
    </row>
    <row r="11" spans="2:16" s="26" customFormat="1" x14ac:dyDescent="0.2">
      <c r="B11" s="78"/>
      <c r="C11" s="78"/>
      <c r="D11" s="12"/>
      <c r="E11" s="8"/>
      <c r="F11" s="12"/>
      <c r="G11" s="12"/>
      <c r="H11" s="12"/>
      <c r="I11" s="12"/>
      <c r="J11" s="12"/>
    </row>
    <row r="12" spans="2:16" s="26" customFormat="1" x14ac:dyDescent="0.2">
      <c r="B12" t="s">
        <v>35</v>
      </c>
      <c r="C12" s="8"/>
      <c r="D12" s="9">
        <f>'E9th Pkg Cross Sections'!G53</f>
        <v>12168.966666666667</v>
      </c>
      <c r="E12" s="10"/>
      <c r="F12" s="9">
        <f>'E9th Pkg Cross Sections'!H53</f>
        <v>4258.2350000000006</v>
      </c>
      <c r="G12" s="8"/>
      <c r="H12" s="11"/>
      <c r="I12" s="11">
        <f>D12-F12</f>
        <v>7910.7316666666666</v>
      </c>
      <c r="J12" s="30"/>
    </row>
    <row r="13" spans="2:16" s="26" customFormat="1" x14ac:dyDescent="0.2">
      <c r="C13" s="8"/>
      <c r="D13" s="9"/>
      <c r="E13" s="10"/>
      <c r="F13" s="9"/>
      <c r="G13" s="8"/>
      <c r="H13" s="11"/>
      <c r="I13" s="11"/>
      <c r="J13" s="30"/>
    </row>
    <row r="14" spans="2:16" s="26" customFormat="1" x14ac:dyDescent="0.2">
      <c r="B14" t="s">
        <v>37</v>
      </c>
      <c r="C14" s="8"/>
      <c r="D14" s="9">
        <f>'E9th Pkg Cross Sections'!G67</f>
        <v>11989.663333333334</v>
      </c>
      <c r="E14" s="10"/>
      <c r="F14" s="9">
        <f>'E9th Pkg Cross Sections'!H67</f>
        <v>126.04944444444445</v>
      </c>
      <c r="G14" s="8"/>
      <c r="H14" s="11"/>
      <c r="I14" s="11">
        <f>D14-F14</f>
        <v>11863.613888888889</v>
      </c>
      <c r="J14" s="30"/>
    </row>
    <row r="15" spans="2:16" s="26" customFormat="1" x14ac:dyDescent="0.2">
      <c r="C15" s="8"/>
      <c r="D15" s="9"/>
      <c r="E15" s="10"/>
      <c r="F15" s="9"/>
      <c r="G15" s="8"/>
      <c r="H15" s="11"/>
      <c r="I15" s="11"/>
      <c r="J15" s="30"/>
    </row>
    <row r="16" spans="2:16" s="26" customFormat="1" x14ac:dyDescent="0.2">
      <c r="B16" t="s">
        <v>45</v>
      </c>
      <c r="C16" s="8"/>
      <c r="D16" s="9">
        <f>'E9th Pkg Cross Sections'!G73</f>
        <v>1003.6296296296297</v>
      </c>
      <c r="E16" s="10"/>
      <c r="F16" s="9">
        <f>'E9th Pkg Cross Sections'!H73</f>
        <v>0</v>
      </c>
      <c r="G16" s="8"/>
      <c r="H16" s="11"/>
      <c r="I16" s="11">
        <f>D16-F16</f>
        <v>1003.6296296296297</v>
      </c>
      <c r="J16" s="30"/>
    </row>
    <row r="17" spans="2:14" s="26" customFormat="1" x14ac:dyDescent="0.2">
      <c r="C17" s="8"/>
      <c r="D17" s="9"/>
      <c r="E17" s="10"/>
      <c r="F17" s="9"/>
      <c r="G17" s="8"/>
      <c r="H17" s="11"/>
      <c r="I17" s="11"/>
      <c r="J17" s="30"/>
    </row>
    <row r="18" spans="2:14" s="26" customFormat="1" x14ac:dyDescent="0.2">
      <c r="B18" t="s">
        <v>38</v>
      </c>
      <c r="C18" s="8"/>
      <c r="D18" s="9">
        <f>'E9th Pkg Cross Sections'!G89</f>
        <v>454.11555555555555</v>
      </c>
      <c r="E18" s="10"/>
      <c r="F18" s="9">
        <f>'E9th Pkg Cross Sections'!H89</f>
        <v>17.963518518518516</v>
      </c>
      <c r="G18" s="8"/>
      <c r="H18" s="11"/>
      <c r="I18" s="11">
        <f>D18-F18</f>
        <v>436.15203703703702</v>
      </c>
      <c r="J18" s="30"/>
    </row>
    <row r="19" spans="2:14" s="26" customFormat="1" x14ac:dyDescent="0.2">
      <c r="C19" s="8"/>
      <c r="D19" s="9"/>
      <c r="E19" s="10"/>
      <c r="F19" s="9"/>
      <c r="G19" s="8"/>
      <c r="H19" s="11"/>
      <c r="I19" s="11"/>
      <c r="J19" s="30"/>
    </row>
    <row r="20" spans="2:14" s="26" customFormat="1" x14ac:dyDescent="0.2">
      <c r="B20" t="s">
        <v>39</v>
      </c>
      <c r="C20" s="8"/>
      <c r="D20" s="9">
        <f>'E9th Pkg Cross Sections'!G109</f>
        <v>1486.3411111111111</v>
      </c>
      <c r="E20" s="10"/>
      <c r="F20" s="9">
        <f>'E9th Pkg Cross Sections'!H109</f>
        <v>456.01740740740735</v>
      </c>
      <c r="G20" s="8"/>
      <c r="H20" s="11"/>
      <c r="I20" s="11">
        <f>D20-F20</f>
        <v>1030.3237037037038</v>
      </c>
      <c r="J20" s="30"/>
    </row>
    <row r="21" spans="2:14" s="26" customFormat="1" x14ac:dyDescent="0.2">
      <c r="C21" s="8"/>
      <c r="D21" s="9"/>
      <c r="E21" s="10"/>
      <c r="F21" s="9"/>
      <c r="G21" s="8"/>
      <c r="H21" s="11"/>
      <c r="I21" s="11"/>
      <c r="J21" s="30"/>
    </row>
    <row r="22" spans="2:14" s="26" customFormat="1" x14ac:dyDescent="0.2">
      <c r="B22" t="s">
        <v>40</v>
      </c>
      <c r="C22" s="8"/>
      <c r="D22" s="9">
        <f>'E9th Pkg Cross Sections'!G161</f>
        <v>129489.37088661111</v>
      </c>
      <c r="E22" s="10"/>
      <c r="F22" s="9">
        <f>'E9th Pkg Cross Sections'!H161</f>
        <v>6190.7277370370375</v>
      </c>
      <c r="G22" s="8"/>
      <c r="H22" s="11"/>
      <c r="I22" s="11">
        <f>D22-F22</f>
        <v>123298.64314957407</v>
      </c>
      <c r="J22" s="30"/>
    </row>
    <row r="23" spans="2:14" s="26" customFormat="1" x14ac:dyDescent="0.2">
      <c r="B23" s="13"/>
      <c r="C23" s="8"/>
      <c r="D23" s="9"/>
      <c r="E23" s="10"/>
      <c r="F23" s="9"/>
      <c r="G23" s="8"/>
      <c r="H23" s="11"/>
      <c r="I23" s="11"/>
      <c r="J23" s="30"/>
    </row>
    <row r="24" spans="2:14" s="26" customFormat="1" x14ac:dyDescent="0.2">
      <c r="B24" t="s">
        <v>41</v>
      </c>
      <c r="C24" s="8"/>
      <c r="D24" s="9">
        <f>'E9th Pkg Cross Sections'!G178</f>
        <v>6552.6296296296305</v>
      </c>
      <c r="E24" s="10"/>
      <c r="F24" s="9">
        <f>'E9th Pkg Cross Sections'!H172</f>
        <v>0</v>
      </c>
      <c r="G24" s="8"/>
      <c r="H24" s="11"/>
      <c r="I24" s="11">
        <f>D24-F24</f>
        <v>6552.6296296296305</v>
      </c>
      <c r="J24" s="30"/>
    </row>
    <row r="25" spans="2:14" s="26" customFormat="1" x14ac:dyDescent="0.2">
      <c r="B25" s="13"/>
      <c r="C25" s="8"/>
      <c r="D25" s="9"/>
      <c r="E25" s="10"/>
      <c r="F25" s="9"/>
      <c r="G25" s="8"/>
      <c r="H25" s="11"/>
      <c r="I25" s="11"/>
      <c r="J25" s="30"/>
    </row>
    <row r="26" spans="2:14" s="26" customFormat="1" x14ac:dyDescent="0.2">
      <c r="B26" t="s">
        <v>42</v>
      </c>
      <c r="C26" s="8"/>
      <c r="D26" s="9">
        <f>'E9th Pkg Cross Sections'!G185</f>
        <v>1094.5250000000001</v>
      </c>
      <c r="E26" s="10"/>
      <c r="F26" s="9">
        <f>'E9th Pkg Cross Sections'!H185</f>
        <v>0</v>
      </c>
      <c r="G26" s="8"/>
      <c r="H26" s="11"/>
      <c r="I26" s="11">
        <f t="shared" ref="I26" si="0">D26-F26</f>
        <v>1094.5250000000001</v>
      </c>
      <c r="J26" s="30"/>
    </row>
    <row r="27" spans="2:14" s="26" customFormat="1" x14ac:dyDescent="0.2">
      <c r="B27" s="13"/>
      <c r="C27" s="8"/>
      <c r="D27" s="9"/>
      <c r="E27" s="10"/>
      <c r="F27" s="9"/>
      <c r="G27" s="8"/>
      <c r="H27" s="11"/>
      <c r="I27" s="31"/>
      <c r="J27" s="30"/>
    </row>
    <row r="28" spans="2:14" s="26" customFormat="1" x14ac:dyDescent="0.2">
      <c r="B28" s="12"/>
      <c r="C28" s="12"/>
      <c r="D28" s="9"/>
      <c r="E28" s="11"/>
      <c r="F28" s="9"/>
      <c r="G28" s="33"/>
      <c r="H28" s="32"/>
      <c r="I28" s="11">
        <f>SUM(I12:I27)</f>
        <v>153190.24870512963</v>
      </c>
      <c r="J28" s="30"/>
    </row>
    <row r="29" spans="2:14" s="26" customFormat="1" x14ac:dyDescent="0.2">
      <c r="B29" s="12"/>
      <c r="C29" s="12"/>
      <c r="D29" s="9"/>
      <c r="E29" s="11"/>
      <c r="F29" s="9"/>
      <c r="G29" s="33"/>
      <c r="H29" s="11"/>
      <c r="I29" s="11"/>
      <c r="J29" s="30"/>
    </row>
    <row r="30" spans="2:14" s="26" customFormat="1" ht="13.5" thickBot="1" x14ac:dyDescent="0.25">
      <c r="B30" s="34"/>
      <c r="C30" s="34"/>
      <c r="D30" s="12"/>
      <c r="E30" s="12"/>
      <c r="F30" s="34"/>
      <c r="G30" s="12"/>
      <c r="H30" s="12"/>
      <c r="I30" s="11"/>
      <c r="J30" s="35"/>
      <c r="K30" s="25"/>
      <c r="L30" s="25"/>
      <c r="M30" s="25"/>
      <c r="N30" s="25"/>
    </row>
    <row r="31" spans="2:14" s="26" customFormat="1" ht="13.5" thickBot="1" x14ac:dyDescent="0.25">
      <c r="B31" s="36" t="s">
        <v>15</v>
      </c>
      <c r="C31" s="37" t="s">
        <v>16</v>
      </c>
      <c r="D31" s="38"/>
      <c r="E31" s="39"/>
      <c r="F31" s="40"/>
      <c r="G31" s="41"/>
      <c r="H31" s="42"/>
      <c r="I31" s="43">
        <f>SUM(D12:D27)</f>
        <v>164239.24181253705</v>
      </c>
      <c r="J31" s="44" t="s">
        <v>17</v>
      </c>
      <c r="K31" s="45"/>
      <c r="L31" s="45"/>
      <c r="M31" s="25"/>
      <c r="N31" s="45"/>
    </row>
    <row r="32" spans="2:14" ht="13.5" thickBot="1" x14ac:dyDescent="0.25">
      <c r="B32" s="14"/>
    </row>
    <row r="33" spans="2:10" ht="13.5" thickBot="1" x14ac:dyDescent="0.25">
      <c r="B33" s="36" t="s">
        <v>18</v>
      </c>
      <c r="C33" s="37" t="s">
        <v>19</v>
      </c>
      <c r="D33" s="38"/>
      <c r="E33" s="39"/>
      <c r="F33" s="40"/>
      <c r="G33" s="41"/>
      <c r="H33" s="42"/>
      <c r="I33" s="43">
        <f>I28</f>
        <v>153190.24870512963</v>
      </c>
      <c r="J33" s="44" t="s">
        <v>17</v>
      </c>
    </row>
    <row r="34" spans="2:10" ht="13.5" thickBot="1" x14ac:dyDescent="0.25">
      <c r="B34" s="14"/>
    </row>
    <row r="35" spans="2:10" ht="13.5" thickBot="1" x14ac:dyDescent="0.25">
      <c r="B35" s="46"/>
      <c r="C35" s="37" t="s">
        <v>20</v>
      </c>
      <c r="D35" s="38"/>
      <c r="E35" s="39"/>
      <c r="F35" s="40"/>
      <c r="G35" s="41"/>
      <c r="H35" s="42"/>
      <c r="I35" s="43"/>
      <c r="J35" s="44" t="s">
        <v>17</v>
      </c>
    </row>
    <row r="36" spans="2:10" ht="25.5" customHeight="1" x14ac:dyDescent="0.2">
      <c r="C36" s="79" t="s">
        <v>46</v>
      </c>
      <c r="D36" s="79"/>
      <c r="E36" s="79"/>
      <c r="F36" s="79"/>
      <c r="G36" s="79"/>
      <c r="H36" s="79"/>
    </row>
  </sheetData>
  <mergeCells count="2">
    <mergeCell ref="B11:C11"/>
    <mergeCell ref="C36:H36"/>
  </mergeCells>
  <pageMargins left="0.75" right="0.75" top="1" bottom="1" header="0.5" footer="0.5"/>
  <pageSetup scale="93" orientation="landscape" r:id="rId1"/>
  <headerFooter alignWithMargins="0">
    <oddFooter>&amp;L&amp;F&amp;C&amp;A&amp;RPage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3" width="9.28515625" bestFit="1" customWidth="1"/>
    <col min="4" max="5" width="12.85546875" customWidth="1"/>
    <col min="6" max="6" width="9.28515625" bestFit="1" customWidth="1"/>
    <col min="7" max="7" width="12.42578125" style="5" customWidth="1"/>
    <col min="8" max="9" width="14.42578125" style="5" customWidth="1"/>
  </cols>
  <sheetData>
    <row r="1" spans="1:9" x14ac:dyDescent="0.2">
      <c r="A1" s="1" t="s">
        <v>0</v>
      </c>
      <c r="B1" s="1"/>
      <c r="C1" s="1"/>
      <c r="D1" s="1"/>
      <c r="E1" s="2"/>
      <c r="F1" s="2"/>
      <c r="G1" s="2"/>
      <c r="H1" s="3"/>
      <c r="I1" s="3"/>
    </row>
    <row r="2" spans="1:9" x14ac:dyDescent="0.2">
      <c r="A2" s="1" t="s">
        <v>1</v>
      </c>
      <c r="B2" s="1"/>
      <c r="C2" s="1"/>
      <c r="D2" s="1"/>
      <c r="E2" s="69"/>
      <c r="F2" s="69"/>
      <c r="G2" s="69"/>
      <c r="H2" s="70"/>
      <c r="I2" s="70"/>
    </row>
    <row r="3" spans="1:9" x14ac:dyDescent="0.2">
      <c r="A3" s="1" t="s">
        <v>2</v>
      </c>
      <c r="B3" s="1"/>
      <c r="C3" s="1"/>
      <c r="D3" s="1"/>
      <c r="E3" s="2"/>
      <c r="F3" s="2"/>
      <c r="G3" s="2"/>
      <c r="H3" s="3"/>
      <c r="I3" s="3"/>
    </row>
    <row r="4" spans="1:9" x14ac:dyDescent="0.2">
      <c r="A4" s="1" t="s">
        <v>3</v>
      </c>
      <c r="B4" s="1"/>
      <c r="C4" s="1"/>
      <c r="D4" s="1"/>
      <c r="E4" s="69"/>
      <c r="F4" s="69"/>
      <c r="G4" s="69"/>
      <c r="H4" s="70"/>
      <c r="I4" s="70"/>
    </row>
    <row r="5" spans="1:9" x14ac:dyDescent="0.2">
      <c r="A5" s="1"/>
      <c r="B5" s="1"/>
      <c r="C5" s="1"/>
      <c r="D5" s="1"/>
      <c r="E5" s="1"/>
      <c r="F5" s="1"/>
      <c r="G5" s="4"/>
      <c r="H5" s="4"/>
      <c r="I5" s="4"/>
    </row>
    <row r="6" spans="1:9" x14ac:dyDescent="0.2">
      <c r="A6" s="1" t="s">
        <v>4</v>
      </c>
      <c r="B6" s="1"/>
      <c r="C6" s="1"/>
      <c r="D6" s="1"/>
      <c r="E6" s="1"/>
      <c r="F6" s="1"/>
      <c r="G6" s="4"/>
      <c r="H6" s="4"/>
      <c r="I6" s="4"/>
    </row>
    <row r="9" spans="1:9" x14ac:dyDescent="0.2">
      <c r="A9" t="s">
        <v>36</v>
      </c>
      <c r="G9" s="80" t="s">
        <v>7</v>
      </c>
      <c r="H9" s="80"/>
      <c r="I9" s="55"/>
    </row>
    <row r="10" spans="1:9" ht="38.25" x14ac:dyDescent="0.2">
      <c r="A10" s="71" t="s">
        <v>22</v>
      </c>
      <c r="B10" s="72" t="s">
        <v>23</v>
      </c>
      <c r="C10" s="72" t="s">
        <v>24</v>
      </c>
      <c r="D10" s="72" t="s">
        <v>25</v>
      </c>
      <c r="E10" s="72" t="s">
        <v>26</v>
      </c>
      <c r="F10" s="72" t="s">
        <v>27</v>
      </c>
      <c r="G10" s="73" t="s">
        <v>26</v>
      </c>
      <c r="H10" s="73" t="s">
        <v>27</v>
      </c>
      <c r="I10" s="74"/>
    </row>
    <row r="11" spans="1:9" x14ac:dyDescent="0.2">
      <c r="A11" s="58">
        <v>900</v>
      </c>
      <c r="B11" s="59">
        <v>0</v>
      </c>
      <c r="C11" s="59">
        <v>0</v>
      </c>
      <c r="D11" s="59">
        <v>0</v>
      </c>
      <c r="E11" s="60">
        <v>0</v>
      </c>
      <c r="F11" s="60">
        <v>0</v>
      </c>
      <c r="G11" s="61">
        <f>E11</f>
        <v>0</v>
      </c>
      <c r="H11" s="61">
        <f>F11</f>
        <v>0</v>
      </c>
      <c r="I11" s="75"/>
    </row>
    <row r="12" spans="1:9" x14ac:dyDescent="0.2">
      <c r="A12" s="62">
        <v>925</v>
      </c>
      <c r="B12" s="59">
        <v>0</v>
      </c>
      <c r="C12" s="59">
        <v>0</v>
      </c>
      <c r="D12" s="59">
        <v>0</v>
      </c>
      <c r="E12" s="60">
        <f t="shared" ref="E12:E53" si="0">(((B12+B11)/2)*(A12-A11))/27</f>
        <v>0</v>
      </c>
      <c r="F12" s="60">
        <f t="shared" ref="F12:F53" si="1">(((C12+C11)/2)*(A12-A11))/27</f>
        <v>0</v>
      </c>
      <c r="G12" s="61">
        <f t="shared" ref="G12:H15" si="2">E12+G11</f>
        <v>0</v>
      </c>
      <c r="H12" s="61">
        <f t="shared" si="2"/>
        <v>0</v>
      </c>
      <c r="I12" s="75"/>
    </row>
    <row r="13" spans="1:9" x14ac:dyDescent="0.2">
      <c r="A13" s="62">
        <v>950</v>
      </c>
      <c r="B13" s="59">
        <v>0</v>
      </c>
      <c r="C13" s="59">
        <v>0</v>
      </c>
      <c r="D13" s="59">
        <v>0</v>
      </c>
      <c r="E13" s="60">
        <f t="shared" si="0"/>
        <v>0</v>
      </c>
      <c r="F13" s="60">
        <f t="shared" si="1"/>
        <v>0</v>
      </c>
      <c r="G13" s="61">
        <f t="shared" si="2"/>
        <v>0</v>
      </c>
      <c r="H13" s="61">
        <f t="shared" si="2"/>
        <v>0</v>
      </c>
      <c r="I13" s="75"/>
    </row>
    <row r="14" spans="1:9" x14ac:dyDescent="0.2">
      <c r="A14" s="62">
        <v>1000</v>
      </c>
      <c r="B14" s="59">
        <f>98.97+0.02</f>
        <v>98.99</v>
      </c>
      <c r="C14" s="59">
        <f>1.84+0.41</f>
        <v>2.25</v>
      </c>
      <c r="D14" s="59">
        <f>28.26+29.93</f>
        <v>58.19</v>
      </c>
      <c r="E14" s="60">
        <f t="shared" si="0"/>
        <v>91.657407407407405</v>
      </c>
      <c r="F14" s="60">
        <f t="shared" si="1"/>
        <v>2.0833333333333335</v>
      </c>
      <c r="G14" s="61">
        <f t="shared" si="2"/>
        <v>91.657407407407405</v>
      </c>
      <c r="H14" s="61">
        <f t="shared" si="2"/>
        <v>2.0833333333333335</v>
      </c>
      <c r="I14" s="75"/>
    </row>
    <row r="15" spans="1:9" x14ac:dyDescent="0.2">
      <c r="A15" s="62">
        <v>1050</v>
      </c>
      <c r="B15" s="59">
        <f>81.66+2.07</f>
        <v>83.72999999999999</v>
      </c>
      <c r="C15" s="59">
        <f>5.07+1.08</f>
        <v>6.15</v>
      </c>
      <c r="D15" s="59">
        <f>60.91</f>
        <v>60.91</v>
      </c>
      <c r="E15" s="60">
        <f>(((B15+B14)/2)*(A15-A14))/27</f>
        <v>169.18518518518516</v>
      </c>
      <c r="F15" s="60">
        <f>(((C15+C14)/2)*(A15-A14))/27</f>
        <v>7.7777777777777777</v>
      </c>
      <c r="G15" s="61">
        <f t="shared" si="2"/>
        <v>260.84259259259255</v>
      </c>
      <c r="H15" s="61">
        <f t="shared" si="2"/>
        <v>9.8611111111111107</v>
      </c>
      <c r="I15" s="68"/>
    </row>
    <row r="16" spans="1:9" x14ac:dyDescent="0.2">
      <c r="A16" s="57"/>
      <c r="B16" s="66"/>
      <c r="C16" s="66"/>
      <c r="D16" s="66"/>
      <c r="E16" s="67"/>
      <c r="F16" s="67"/>
      <c r="G16" s="68"/>
      <c r="H16" s="68"/>
      <c r="I16" s="68"/>
    </row>
    <row r="17" spans="1:9" x14ac:dyDescent="0.2">
      <c r="A17" s="47"/>
      <c r="B17" s="49"/>
      <c r="C17" s="49"/>
      <c r="D17" s="49"/>
      <c r="E17" s="49"/>
      <c r="F17" s="49"/>
      <c r="G17" s="50"/>
      <c r="H17" s="50"/>
      <c r="I17" s="50"/>
    </row>
    <row r="18" spans="1:9" x14ac:dyDescent="0.2">
      <c r="A18" s="47" t="s">
        <v>28</v>
      </c>
      <c r="B18" s="49"/>
      <c r="C18" s="49"/>
      <c r="D18" s="49"/>
      <c r="E18" s="49"/>
      <c r="F18" s="49"/>
      <c r="G18" s="50"/>
      <c r="H18" s="50"/>
      <c r="I18" s="50"/>
    </row>
    <row r="19" spans="1:9" x14ac:dyDescent="0.2">
      <c r="A19" s="64">
        <v>1100</v>
      </c>
      <c r="B19" s="59">
        <f>82.55+2.05</f>
        <v>84.6</v>
      </c>
      <c r="C19" s="59">
        <f>7.16+1.14</f>
        <v>8.3000000000000007</v>
      </c>
      <c r="D19" s="59">
        <f>60.75</f>
        <v>60.75</v>
      </c>
      <c r="E19" s="60">
        <f>(((B19+B15)/2)*(A19-A15))/27</f>
        <v>155.86111111111111</v>
      </c>
      <c r="F19" s="60">
        <f>(((C19+C15)/2)*(A19-A15))/27</f>
        <v>13.37962962962963</v>
      </c>
      <c r="G19" s="61">
        <f>E19+G15</f>
        <v>416.7037037037037</v>
      </c>
      <c r="H19" s="61">
        <f>F19+H15</f>
        <v>23.24074074074074</v>
      </c>
      <c r="I19" s="75"/>
    </row>
    <row r="20" spans="1:9" x14ac:dyDescent="0.2">
      <c r="A20" s="64">
        <v>1108</v>
      </c>
      <c r="B20" s="59">
        <f>86.13+2.28</f>
        <v>88.41</v>
      </c>
      <c r="C20" s="59">
        <f>5.74+0.98</f>
        <v>6.7200000000000006</v>
      </c>
      <c r="D20" s="59">
        <v>60.86</v>
      </c>
      <c r="E20" s="60">
        <f t="shared" si="0"/>
        <v>25.63111111111111</v>
      </c>
      <c r="F20" s="60">
        <f t="shared" si="1"/>
        <v>2.2251851851851856</v>
      </c>
      <c r="G20" s="61">
        <f t="shared" ref="G20:G53" si="3">E20+G19</f>
        <v>442.33481481481482</v>
      </c>
      <c r="H20" s="61">
        <f t="shared" ref="H20:H53" si="4">F20+H19</f>
        <v>25.465925925925927</v>
      </c>
      <c r="I20" s="75"/>
    </row>
    <row r="21" spans="1:9" x14ac:dyDescent="0.2">
      <c r="A21" s="64">
        <v>1150</v>
      </c>
      <c r="B21" s="59">
        <f>90.81+2.54</f>
        <v>93.350000000000009</v>
      </c>
      <c r="C21" s="59">
        <f>4.37+0.83</f>
        <v>5.2</v>
      </c>
      <c r="D21" s="59">
        <v>60.7</v>
      </c>
      <c r="E21" s="60">
        <f t="shared" si="0"/>
        <v>141.3688888888889</v>
      </c>
      <c r="F21" s="60">
        <f t="shared" si="1"/>
        <v>9.2711111111111126</v>
      </c>
      <c r="G21" s="61">
        <f t="shared" si="3"/>
        <v>583.7037037037037</v>
      </c>
      <c r="H21" s="61">
        <f t="shared" si="4"/>
        <v>34.737037037037041</v>
      </c>
      <c r="I21" s="75"/>
    </row>
    <row r="22" spans="1:9" x14ac:dyDescent="0.2">
      <c r="A22" s="64">
        <v>1183</v>
      </c>
      <c r="B22" s="59">
        <f>90.04+3.45</f>
        <v>93.490000000000009</v>
      </c>
      <c r="C22" s="59">
        <f>3.99+0.78</f>
        <v>4.7700000000000005</v>
      </c>
      <c r="D22" s="59">
        <v>60.5</v>
      </c>
      <c r="E22" s="60">
        <f t="shared" si="0"/>
        <v>114.18000000000002</v>
      </c>
      <c r="F22" s="60">
        <f t="shared" si="1"/>
        <v>6.092777777777779</v>
      </c>
      <c r="G22" s="61">
        <f t="shared" si="3"/>
        <v>697.88370370370376</v>
      </c>
      <c r="H22" s="61">
        <f t="shared" si="4"/>
        <v>40.829814814814817</v>
      </c>
      <c r="I22" s="75"/>
    </row>
    <row r="23" spans="1:9" x14ac:dyDescent="0.2">
      <c r="A23" s="64">
        <v>1200</v>
      </c>
      <c r="B23" s="59">
        <f>89.09+2.37</f>
        <v>91.460000000000008</v>
      </c>
      <c r="C23" s="59">
        <f>4.14+1.54</f>
        <v>5.68</v>
      </c>
      <c r="D23" s="59">
        <f>60.84</f>
        <v>60.84</v>
      </c>
      <c r="E23" s="60">
        <f t="shared" si="0"/>
        <v>58.225000000000001</v>
      </c>
      <c r="F23" s="60">
        <f t="shared" si="1"/>
        <v>3.2898148148148145</v>
      </c>
      <c r="G23" s="61">
        <f t="shared" si="3"/>
        <v>756.10870370370378</v>
      </c>
      <c r="H23" s="61">
        <f t="shared" si="4"/>
        <v>44.119629629629628</v>
      </c>
      <c r="I23" s="75"/>
    </row>
    <row r="24" spans="1:9" x14ac:dyDescent="0.2">
      <c r="A24" s="64">
        <v>1250</v>
      </c>
      <c r="B24" s="59">
        <f>89.37+5.5</f>
        <v>94.87</v>
      </c>
      <c r="C24" s="59">
        <f>3.51</f>
        <v>3.51</v>
      </c>
      <c r="D24" s="59">
        <v>60.29</v>
      </c>
      <c r="E24" s="60">
        <f t="shared" si="0"/>
        <v>172.52777777777777</v>
      </c>
      <c r="F24" s="60">
        <f t="shared" si="1"/>
        <v>8.5092592592592595</v>
      </c>
      <c r="G24" s="61">
        <f t="shared" si="3"/>
        <v>928.6364814814815</v>
      </c>
      <c r="H24" s="61">
        <f t="shared" si="4"/>
        <v>52.628888888888888</v>
      </c>
      <c r="I24" s="75"/>
    </row>
    <row r="25" spans="1:9" x14ac:dyDescent="0.2">
      <c r="A25" s="64">
        <v>1300</v>
      </c>
      <c r="B25" s="59">
        <f>0.39+87.1+2.62</f>
        <v>90.11</v>
      </c>
      <c r="C25" s="59">
        <f>1.31+1.72</f>
        <v>3.0300000000000002</v>
      </c>
      <c r="D25" s="59">
        <v>61.17</v>
      </c>
      <c r="E25" s="60">
        <f t="shared" si="0"/>
        <v>171.27777777777777</v>
      </c>
      <c r="F25" s="60">
        <f t="shared" si="1"/>
        <v>6.0555555555555554</v>
      </c>
      <c r="G25" s="61">
        <f t="shared" si="3"/>
        <v>1099.9142592592593</v>
      </c>
      <c r="H25" s="61">
        <f t="shared" si="4"/>
        <v>58.684444444444445</v>
      </c>
      <c r="I25" s="75"/>
    </row>
    <row r="26" spans="1:9" x14ac:dyDescent="0.2">
      <c r="A26" s="64">
        <v>1350</v>
      </c>
      <c r="B26" s="59">
        <f>89.94+1.11</f>
        <v>91.05</v>
      </c>
      <c r="C26" s="59">
        <f>159.49+0.14+6.4</f>
        <v>166.03</v>
      </c>
      <c r="D26" s="59">
        <v>61.35</v>
      </c>
      <c r="E26" s="60">
        <f t="shared" si="0"/>
        <v>167.74074074074073</v>
      </c>
      <c r="F26" s="60">
        <f t="shared" si="1"/>
        <v>156.53703703703704</v>
      </c>
      <c r="G26" s="61">
        <f t="shared" si="3"/>
        <v>1267.655</v>
      </c>
      <c r="H26" s="61">
        <f t="shared" si="4"/>
        <v>215.22148148148148</v>
      </c>
      <c r="I26" s="75"/>
    </row>
    <row r="27" spans="1:9" x14ac:dyDescent="0.2">
      <c r="A27" s="64">
        <v>1400</v>
      </c>
      <c r="B27" s="59">
        <f>87.61+0.05</f>
        <v>87.66</v>
      </c>
      <c r="C27" s="59">
        <f>158.52+1.94+9.66</f>
        <v>170.12</v>
      </c>
      <c r="D27" s="59">
        <v>60.39</v>
      </c>
      <c r="E27" s="60">
        <f t="shared" si="0"/>
        <v>165.4722222222222</v>
      </c>
      <c r="F27" s="60">
        <f t="shared" si="1"/>
        <v>311.25</v>
      </c>
      <c r="G27" s="61">
        <f t="shared" si="3"/>
        <v>1433.1272222222221</v>
      </c>
      <c r="H27" s="61">
        <f t="shared" si="4"/>
        <v>526.47148148148153</v>
      </c>
      <c r="I27" s="75"/>
    </row>
    <row r="28" spans="1:9" x14ac:dyDescent="0.2">
      <c r="A28" s="64">
        <v>1450</v>
      </c>
      <c r="B28" s="59">
        <v>87.28</v>
      </c>
      <c r="C28" s="59">
        <f>198.55+11.46</f>
        <v>210.01000000000002</v>
      </c>
      <c r="D28" s="59">
        <v>62.78</v>
      </c>
      <c r="E28" s="60">
        <f t="shared" si="0"/>
        <v>161.9814814814815</v>
      </c>
      <c r="F28" s="60">
        <f t="shared" si="1"/>
        <v>351.97222222222223</v>
      </c>
      <c r="G28" s="61">
        <f t="shared" si="3"/>
        <v>1595.1087037037037</v>
      </c>
      <c r="H28" s="61">
        <f t="shared" si="4"/>
        <v>878.4437037037037</v>
      </c>
      <c r="I28" s="75"/>
    </row>
    <row r="29" spans="1:9" x14ac:dyDescent="0.2">
      <c r="A29" s="64">
        <v>1500</v>
      </c>
      <c r="B29" s="59">
        <f>52.91+0.16+2.94+0.16</f>
        <v>56.169999999999987</v>
      </c>
      <c r="C29" s="59">
        <f>215.08+5.62+2.43</f>
        <v>223.13000000000002</v>
      </c>
      <c r="D29" s="59">
        <v>66.7</v>
      </c>
      <c r="E29" s="60">
        <f t="shared" si="0"/>
        <v>132.82407407407405</v>
      </c>
      <c r="F29" s="60">
        <f t="shared" si="1"/>
        <v>401.0555555555556</v>
      </c>
      <c r="G29" s="61">
        <f t="shared" si="3"/>
        <v>1727.9327777777778</v>
      </c>
      <c r="H29" s="61">
        <f t="shared" si="4"/>
        <v>1279.4992592592594</v>
      </c>
      <c r="I29" s="75"/>
    </row>
    <row r="30" spans="1:9" x14ac:dyDescent="0.2">
      <c r="A30" s="64">
        <v>1550</v>
      </c>
      <c r="B30" s="59">
        <f>18.63+24.06+0.12</f>
        <v>42.809999999999995</v>
      </c>
      <c r="C30" s="59">
        <f>250.28+13.85+2.62</f>
        <v>266.75</v>
      </c>
      <c r="D30" s="59">
        <v>69.31</v>
      </c>
      <c r="E30" s="60">
        <f t="shared" si="0"/>
        <v>91.648148148148138</v>
      </c>
      <c r="F30" s="60">
        <f t="shared" si="1"/>
        <v>453.59259259259261</v>
      </c>
      <c r="G30" s="61">
        <f t="shared" si="3"/>
        <v>1819.5809259259258</v>
      </c>
      <c r="H30" s="61">
        <f t="shared" si="4"/>
        <v>1733.091851851852</v>
      </c>
      <c r="I30" s="75"/>
    </row>
    <row r="31" spans="1:9" x14ac:dyDescent="0.2">
      <c r="A31" s="64">
        <v>1600</v>
      </c>
      <c r="B31" s="59">
        <f>7.66</f>
        <v>7.66</v>
      </c>
      <c r="C31" s="59">
        <v>236.08</v>
      </c>
      <c r="D31" s="59">
        <v>5.98</v>
      </c>
      <c r="E31" s="60">
        <f t="shared" si="0"/>
        <v>46.731481481481481</v>
      </c>
      <c r="F31" s="60">
        <f t="shared" si="1"/>
        <v>465.58333333333343</v>
      </c>
      <c r="G31" s="61">
        <f t="shared" si="3"/>
        <v>1866.3124074074074</v>
      </c>
      <c r="H31" s="61">
        <f t="shared" si="4"/>
        <v>2198.6751851851855</v>
      </c>
      <c r="I31" s="75"/>
    </row>
    <row r="32" spans="1:9" x14ac:dyDescent="0.2">
      <c r="A32" s="64">
        <v>1620</v>
      </c>
      <c r="B32" s="59">
        <v>6.65</v>
      </c>
      <c r="C32" s="59">
        <v>226.17</v>
      </c>
      <c r="D32" s="59">
        <v>0</v>
      </c>
      <c r="E32" s="60">
        <f t="shared" si="0"/>
        <v>5.3</v>
      </c>
      <c r="F32" s="60">
        <f t="shared" si="1"/>
        <v>171.2037037037037</v>
      </c>
      <c r="G32" s="61">
        <f t="shared" si="3"/>
        <v>1871.6124074074073</v>
      </c>
      <c r="H32" s="61">
        <f t="shared" si="4"/>
        <v>2369.8788888888894</v>
      </c>
      <c r="I32" s="75"/>
    </row>
    <row r="33" spans="1:9" x14ac:dyDescent="0.2">
      <c r="A33" s="64">
        <v>1650</v>
      </c>
      <c r="B33" s="59">
        <v>0</v>
      </c>
      <c r="C33" s="59">
        <v>245.62</v>
      </c>
      <c r="D33" s="59">
        <v>0</v>
      </c>
      <c r="E33" s="60">
        <f t="shared" si="0"/>
        <v>3.6944444444444446</v>
      </c>
      <c r="F33" s="60">
        <f t="shared" si="1"/>
        <v>262.10555555555555</v>
      </c>
      <c r="G33" s="61">
        <f t="shared" si="3"/>
        <v>1875.3068518518517</v>
      </c>
      <c r="H33" s="61">
        <f t="shared" si="4"/>
        <v>2631.9844444444448</v>
      </c>
      <c r="I33" s="75"/>
    </row>
    <row r="34" spans="1:9" x14ac:dyDescent="0.2">
      <c r="A34" s="64">
        <v>1683</v>
      </c>
      <c r="B34" s="59">
        <v>12.87</v>
      </c>
      <c r="C34" s="59">
        <v>128.04</v>
      </c>
      <c r="D34" s="59">
        <v>0</v>
      </c>
      <c r="E34" s="60">
        <f t="shared" si="0"/>
        <v>7.8649999999999993</v>
      </c>
      <c r="F34" s="60">
        <f t="shared" si="1"/>
        <v>228.34777777777776</v>
      </c>
      <c r="G34" s="61">
        <f t="shared" si="3"/>
        <v>1883.1718518518517</v>
      </c>
      <c r="H34" s="61">
        <f t="shared" si="4"/>
        <v>2860.3322222222223</v>
      </c>
      <c r="I34" s="75"/>
    </row>
    <row r="35" spans="1:9" x14ac:dyDescent="0.2">
      <c r="A35" s="64">
        <v>1700</v>
      </c>
      <c r="B35" s="59">
        <v>19.489999999999998</v>
      </c>
      <c r="C35" s="59">
        <v>107.71</v>
      </c>
      <c r="D35" s="59">
        <v>0</v>
      </c>
      <c r="E35" s="60">
        <f t="shared" si="0"/>
        <v>10.187407407407408</v>
      </c>
      <c r="F35" s="60">
        <f t="shared" si="1"/>
        <v>74.217592592592595</v>
      </c>
      <c r="G35" s="61">
        <f t="shared" si="3"/>
        <v>1893.359259259259</v>
      </c>
      <c r="H35" s="61">
        <f t="shared" si="4"/>
        <v>2934.5498148148149</v>
      </c>
      <c r="I35" s="75"/>
    </row>
    <row r="36" spans="1:9" x14ac:dyDescent="0.2">
      <c r="A36" s="64">
        <v>1750</v>
      </c>
      <c r="B36" s="59">
        <v>0.47</v>
      </c>
      <c r="C36" s="59">
        <f>121.98+38.88</f>
        <v>160.86000000000001</v>
      </c>
      <c r="D36" s="59">
        <v>0</v>
      </c>
      <c r="E36" s="60">
        <f t="shared" si="0"/>
        <v>18.481481481481481</v>
      </c>
      <c r="F36" s="60">
        <f t="shared" si="1"/>
        <v>248.67592592592592</v>
      </c>
      <c r="G36" s="61">
        <f t="shared" si="3"/>
        <v>1911.8407407407406</v>
      </c>
      <c r="H36" s="61">
        <f t="shared" si="4"/>
        <v>3183.225740740741</v>
      </c>
      <c r="I36" s="75"/>
    </row>
    <row r="37" spans="1:9" x14ac:dyDescent="0.2">
      <c r="A37" s="64">
        <v>1800</v>
      </c>
      <c r="B37" s="59">
        <v>2.02</v>
      </c>
      <c r="C37" s="59">
        <f>133.1+42.14</f>
        <v>175.24</v>
      </c>
      <c r="D37" s="59">
        <v>0</v>
      </c>
      <c r="E37" s="60">
        <f t="shared" si="0"/>
        <v>2.3055555555555558</v>
      </c>
      <c r="F37" s="60">
        <f t="shared" si="1"/>
        <v>311.2037037037037</v>
      </c>
      <c r="G37" s="61">
        <f t="shared" si="3"/>
        <v>1914.1462962962962</v>
      </c>
      <c r="H37" s="61">
        <f t="shared" si="4"/>
        <v>3494.4294444444449</v>
      </c>
      <c r="I37" s="75"/>
    </row>
    <row r="38" spans="1:9" x14ac:dyDescent="0.2">
      <c r="A38" s="64">
        <v>1830</v>
      </c>
      <c r="B38" s="59">
        <f>0.23+1.25</f>
        <v>1.48</v>
      </c>
      <c r="C38" s="59">
        <f>122.15+50.06</f>
        <v>172.21</v>
      </c>
      <c r="D38" s="59">
        <v>0</v>
      </c>
      <c r="E38" s="60">
        <f t="shared" si="0"/>
        <v>1.9444444444444444</v>
      </c>
      <c r="F38" s="60">
        <f t="shared" si="1"/>
        <v>193.0277777777778</v>
      </c>
      <c r="G38" s="61">
        <f t="shared" si="3"/>
        <v>1916.0907407407406</v>
      </c>
      <c r="H38" s="61">
        <f t="shared" si="4"/>
        <v>3687.4572222222228</v>
      </c>
      <c r="I38" s="75"/>
    </row>
    <row r="39" spans="1:9" x14ac:dyDescent="0.2">
      <c r="A39" s="64">
        <v>1850</v>
      </c>
      <c r="B39" s="59">
        <v>3.61</v>
      </c>
      <c r="C39" s="59">
        <v>152.44</v>
      </c>
      <c r="D39" s="59">
        <v>0</v>
      </c>
      <c r="E39" s="60">
        <f t="shared" si="0"/>
        <v>1.8851851851851851</v>
      </c>
      <c r="F39" s="60">
        <f t="shared" si="1"/>
        <v>120.24074074074075</v>
      </c>
      <c r="G39" s="61">
        <f t="shared" si="3"/>
        <v>1917.9759259259258</v>
      </c>
      <c r="H39" s="61">
        <f t="shared" si="4"/>
        <v>3807.6979629629636</v>
      </c>
      <c r="I39" s="75"/>
    </row>
    <row r="40" spans="1:9" x14ac:dyDescent="0.2">
      <c r="A40" s="64">
        <v>1900</v>
      </c>
      <c r="B40" s="59">
        <f>0.51+0.2+5.34</f>
        <v>6.05</v>
      </c>
      <c r="C40" s="59">
        <f>34.63+49.25+11.19</f>
        <v>95.07</v>
      </c>
      <c r="D40" s="59">
        <v>0</v>
      </c>
      <c r="E40" s="60">
        <f t="shared" si="0"/>
        <v>8.9444444444444446</v>
      </c>
      <c r="F40" s="60">
        <f t="shared" si="1"/>
        <v>229.17592592592592</v>
      </c>
      <c r="G40" s="61">
        <f t="shared" si="3"/>
        <v>1926.9203703703702</v>
      </c>
      <c r="H40" s="61">
        <f t="shared" si="4"/>
        <v>4036.8738888888897</v>
      </c>
      <c r="I40" s="75"/>
    </row>
    <row r="41" spans="1:9" x14ac:dyDescent="0.2">
      <c r="A41" s="64">
        <v>1950</v>
      </c>
      <c r="B41" s="59">
        <v>33</v>
      </c>
      <c r="C41" s="59">
        <v>53</v>
      </c>
      <c r="D41" s="59">
        <v>0</v>
      </c>
      <c r="E41" s="60">
        <f t="shared" si="0"/>
        <v>36.157407407407405</v>
      </c>
      <c r="F41" s="60">
        <f t="shared" si="1"/>
        <v>137.10185185185185</v>
      </c>
      <c r="G41" s="61">
        <f t="shared" si="3"/>
        <v>1963.0777777777776</v>
      </c>
      <c r="H41" s="61">
        <f t="shared" si="4"/>
        <v>4173.9757407407415</v>
      </c>
      <c r="I41" s="75"/>
    </row>
    <row r="42" spans="1:9" x14ac:dyDescent="0.2">
      <c r="A42" s="64">
        <v>2000</v>
      </c>
      <c r="B42" s="59">
        <v>81</v>
      </c>
      <c r="C42" s="59">
        <v>18</v>
      </c>
      <c r="D42" s="59">
        <v>0</v>
      </c>
      <c r="E42" s="60">
        <f t="shared" si="0"/>
        <v>105.55555555555556</v>
      </c>
      <c r="F42" s="60">
        <f t="shared" si="1"/>
        <v>65.740740740740748</v>
      </c>
      <c r="G42" s="61">
        <f t="shared" si="3"/>
        <v>2068.6333333333332</v>
      </c>
      <c r="H42" s="61">
        <f t="shared" si="4"/>
        <v>4239.7164814814823</v>
      </c>
      <c r="I42" s="75"/>
    </row>
    <row r="43" spans="1:9" x14ac:dyDescent="0.2">
      <c r="A43" s="64">
        <v>2050</v>
      </c>
      <c r="B43" s="59">
        <v>137</v>
      </c>
      <c r="C43" s="59">
        <v>1</v>
      </c>
      <c r="D43" s="59">
        <v>0</v>
      </c>
      <c r="E43" s="60">
        <f t="shared" si="0"/>
        <v>201.85185185185185</v>
      </c>
      <c r="F43" s="60">
        <f t="shared" si="1"/>
        <v>17.592592592592592</v>
      </c>
      <c r="G43" s="61">
        <f t="shared" si="3"/>
        <v>2270.4851851851849</v>
      </c>
      <c r="H43" s="61">
        <f t="shared" si="4"/>
        <v>4257.3090740740745</v>
      </c>
      <c r="I43" s="75"/>
    </row>
    <row r="44" spans="1:9" x14ac:dyDescent="0.2">
      <c r="A44" s="64">
        <v>2100</v>
      </c>
      <c r="B44" s="59">
        <v>291</v>
      </c>
      <c r="C44" s="59">
        <v>0</v>
      </c>
      <c r="D44" s="59">
        <v>0</v>
      </c>
      <c r="E44" s="60">
        <f t="shared" si="0"/>
        <v>396.2962962962963</v>
      </c>
      <c r="F44" s="60">
        <f t="shared" si="1"/>
        <v>0.92592592592592593</v>
      </c>
      <c r="G44" s="61">
        <f t="shared" si="3"/>
        <v>2666.781481481481</v>
      </c>
      <c r="H44" s="61">
        <f t="shared" si="4"/>
        <v>4258.2350000000006</v>
      </c>
      <c r="I44" s="75"/>
    </row>
    <row r="45" spans="1:9" x14ac:dyDescent="0.2">
      <c r="A45" s="64">
        <v>2150</v>
      </c>
      <c r="B45" s="59">
        <v>441</v>
      </c>
      <c r="C45" s="59">
        <v>0</v>
      </c>
      <c r="D45" s="59">
        <v>0</v>
      </c>
      <c r="E45" s="60">
        <f t="shared" si="0"/>
        <v>677.77777777777783</v>
      </c>
      <c r="F45" s="60">
        <f t="shared" si="1"/>
        <v>0</v>
      </c>
      <c r="G45" s="61">
        <f t="shared" si="3"/>
        <v>3344.5592592592589</v>
      </c>
      <c r="H45" s="61">
        <f t="shared" si="4"/>
        <v>4258.2350000000006</v>
      </c>
      <c r="I45" s="75"/>
    </row>
    <row r="46" spans="1:9" x14ac:dyDescent="0.2">
      <c r="A46" s="64">
        <v>2200</v>
      </c>
      <c r="B46" s="59">
        <v>579</v>
      </c>
      <c r="C46" s="59">
        <v>0</v>
      </c>
      <c r="D46" s="59">
        <v>0</v>
      </c>
      <c r="E46" s="60">
        <f t="shared" si="0"/>
        <v>944.44444444444446</v>
      </c>
      <c r="F46" s="60">
        <f t="shared" si="1"/>
        <v>0</v>
      </c>
      <c r="G46" s="61">
        <f t="shared" si="3"/>
        <v>4289.0037037037036</v>
      </c>
      <c r="H46" s="61">
        <f t="shared" si="4"/>
        <v>4258.2350000000006</v>
      </c>
      <c r="I46" s="75"/>
    </row>
    <row r="47" spans="1:9" x14ac:dyDescent="0.2">
      <c r="A47" s="64">
        <v>2250</v>
      </c>
      <c r="B47" s="59">
        <v>700</v>
      </c>
      <c r="C47" s="59">
        <v>0</v>
      </c>
      <c r="D47" s="59">
        <v>0</v>
      </c>
      <c r="E47" s="60">
        <f t="shared" si="0"/>
        <v>1184.2592592592594</v>
      </c>
      <c r="F47" s="60">
        <f t="shared" si="1"/>
        <v>0</v>
      </c>
      <c r="G47" s="61">
        <f t="shared" si="3"/>
        <v>5473.2629629629628</v>
      </c>
      <c r="H47" s="61">
        <f t="shared" si="4"/>
        <v>4258.2350000000006</v>
      </c>
      <c r="I47" s="75"/>
    </row>
    <row r="48" spans="1:9" x14ac:dyDescent="0.2">
      <c r="A48" s="64">
        <v>2300</v>
      </c>
      <c r="B48" s="59">
        <v>853</v>
      </c>
      <c r="C48" s="59">
        <v>0</v>
      </c>
      <c r="D48" s="59">
        <v>0</v>
      </c>
      <c r="E48" s="60">
        <f t="shared" si="0"/>
        <v>1437.962962962963</v>
      </c>
      <c r="F48" s="60">
        <f t="shared" si="1"/>
        <v>0</v>
      </c>
      <c r="G48" s="61">
        <f t="shared" si="3"/>
        <v>6911.2259259259263</v>
      </c>
      <c r="H48" s="61">
        <f t="shared" si="4"/>
        <v>4258.2350000000006</v>
      </c>
      <c r="I48" s="75"/>
    </row>
    <row r="49" spans="1:9" x14ac:dyDescent="0.2">
      <c r="A49" s="64">
        <v>2321</v>
      </c>
      <c r="B49" s="59">
        <v>896</v>
      </c>
      <c r="C49" s="59">
        <v>0</v>
      </c>
      <c r="D49" s="59">
        <v>0</v>
      </c>
      <c r="E49" s="60">
        <f t="shared" si="0"/>
        <v>680.16666666666663</v>
      </c>
      <c r="F49" s="60">
        <f t="shared" si="1"/>
        <v>0</v>
      </c>
      <c r="G49" s="61">
        <f t="shared" si="3"/>
        <v>7591.3925925925932</v>
      </c>
      <c r="H49" s="61">
        <f t="shared" si="4"/>
        <v>4258.2350000000006</v>
      </c>
      <c r="I49" s="75"/>
    </row>
    <row r="50" spans="1:9" x14ac:dyDescent="0.2">
      <c r="A50" s="64">
        <v>2350</v>
      </c>
      <c r="B50" s="59">
        <v>931</v>
      </c>
      <c r="C50" s="59">
        <v>0</v>
      </c>
      <c r="D50" s="59">
        <v>0</v>
      </c>
      <c r="E50" s="60">
        <f t="shared" si="0"/>
        <v>981.16666666666663</v>
      </c>
      <c r="F50" s="60">
        <f t="shared" si="1"/>
        <v>0</v>
      </c>
      <c r="G50" s="61">
        <f t="shared" si="3"/>
        <v>8572.5592592592602</v>
      </c>
      <c r="H50" s="61">
        <f t="shared" si="4"/>
        <v>4258.2350000000006</v>
      </c>
      <c r="I50" s="75"/>
    </row>
    <row r="51" spans="1:9" x14ac:dyDescent="0.2">
      <c r="A51" s="64">
        <v>2363</v>
      </c>
      <c r="B51" s="59">
        <v>936</v>
      </c>
      <c r="C51" s="59">
        <v>0</v>
      </c>
      <c r="D51" s="59">
        <v>0</v>
      </c>
      <c r="E51" s="60">
        <f t="shared" si="0"/>
        <v>449.46296296296299</v>
      </c>
      <c r="F51" s="60">
        <f t="shared" si="1"/>
        <v>0</v>
      </c>
      <c r="G51" s="61">
        <f t="shared" si="3"/>
        <v>9022.0222222222237</v>
      </c>
      <c r="H51" s="61">
        <f t="shared" si="4"/>
        <v>4258.2350000000006</v>
      </c>
      <c r="I51" s="75"/>
    </row>
    <row r="52" spans="1:9" x14ac:dyDescent="0.2">
      <c r="A52" s="64">
        <v>2400</v>
      </c>
      <c r="B52" s="59">
        <v>919</v>
      </c>
      <c r="C52" s="59">
        <v>0</v>
      </c>
      <c r="D52" s="59">
        <v>0</v>
      </c>
      <c r="E52" s="60">
        <f t="shared" si="0"/>
        <v>1271.0185185185185</v>
      </c>
      <c r="F52" s="60">
        <f t="shared" si="1"/>
        <v>0</v>
      </c>
      <c r="G52" s="61">
        <f t="shared" si="3"/>
        <v>10293.040740740742</v>
      </c>
      <c r="H52" s="61">
        <f t="shared" si="4"/>
        <v>4258.2350000000006</v>
      </c>
      <c r="I52" s="75"/>
    </row>
    <row r="53" spans="1:9" x14ac:dyDescent="0.2">
      <c r="A53" s="64">
        <v>2450</v>
      </c>
      <c r="B53" s="59">
        <v>1107</v>
      </c>
      <c r="C53" s="59">
        <v>0</v>
      </c>
      <c r="D53" s="59">
        <v>0</v>
      </c>
      <c r="E53" s="60">
        <f t="shared" si="0"/>
        <v>1875.9259259259259</v>
      </c>
      <c r="F53" s="60">
        <f t="shared" si="1"/>
        <v>0</v>
      </c>
      <c r="G53" s="63">
        <f t="shared" si="3"/>
        <v>12168.966666666667</v>
      </c>
      <c r="H53" s="63">
        <f t="shared" si="4"/>
        <v>4258.2350000000006</v>
      </c>
      <c r="I53" s="68"/>
    </row>
    <row r="54" spans="1:9" x14ac:dyDescent="0.2">
      <c r="A54" s="47"/>
      <c r="B54" s="49"/>
      <c r="C54" s="49"/>
      <c r="D54" s="49"/>
      <c r="E54" s="49"/>
      <c r="F54" s="49"/>
      <c r="G54" s="50"/>
      <c r="H54" s="50"/>
      <c r="I54" s="50"/>
    </row>
    <row r="55" spans="1:9" x14ac:dyDescent="0.2">
      <c r="A55" s="47"/>
      <c r="B55" s="49"/>
      <c r="C55" s="49"/>
      <c r="D55" s="49"/>
      <c r="E55" s="49"/>
      <c r="F55" s="49"/>
      <c r="G55" s="50"/>
      <c r="H55" s="50"/>
      <c r="I55" s="50"/>
    </row>
    <row r="56" spans="1:9" x14ac:dyDescent="0.2">
      <c r="A56" s="47" t="s">
        <v>29</v>
      </c>
      <c r="B56" s="49"/>
      <c r="C56" s="49"/>
      <c r="D56" s="49"/>
      <c r="E56" s="49"/>
      <c r="F56" s="49"/>
      <c r="G56" s="50"/>
      <c r="H56" s="50"/>
      <c r="I56" s="50"/>
    </row>
    <row r="57" spans="1:9" x14ac:dyDescent="0.2">
      <c r="A57" s="64">
        <v>1000</v>
      </c>
      <c r="B57" s="59">
        <v>0</v>
      </c>
      <c r="C57" s="59">
        <v>0</v>
      </c>
      <c r="D57" s="59">
        <v>0</v>
      </c>
      <c r="E57" s="60">
        <v>0</v>
      </c>
      <c r="F57" s="60">
        <v>0</v>
      </c>
      <c r="G57" s="61">
        <v>0</v>
      </c>
      <c r="H57" s="61">
        <v>0</v>
      </c>
      <c r="I57" s="75"/>
    </row>
    <row r="58" spans="1:9" x14ac:dyDescent="0.2">
      <c r="A58" s="64">
        <v>1050</v>
      </c>
      <c r="B58" s="59">
        <v>2072</v>
      </c>
      <c r="C58" s="59">
        <v>0</v>
      </c>
      <c r="D58" s="59">
        <v>26</v>
      </c>
      <c r="E58" s="60">
        <f t="shared" ref="E58:E62" si="5">(((B58+B57)/2)*(A58-A57))/27</f>
        <v>1918.5185185185185</v>
      </c>
      <c r="F58" s="60">
        <f t="shared" ref="F58:F62" si="6">(((C58+C57)/2)*(A58-A57))/27</f>
        <v>0</v>
      </c>
      <c r="G58" s="61">
        <f t="shared" ref="G58:H66" si="7">E58+G57</f>
        <v>1918.5185185185185</v>
      </c>
      <c r="H58" s="61">
        <f t="shared" si="7"/>
        <v>0</v>
      </c>
      <c r="I58" s="75"/>
    </row>
    <row r="59" spans="1:9" x14ac:dyDescent="0.2">
      <c r="A59" s="64">
        <v>1100</v>
      </c>
      <c r="B59" s="59">
        <v>1854.55</v>
      </c>
      <c r="C59" s="59">
        <v>0</v>
      </c>
      <c r="D59" s="59">
        <v>24</v>
      </c>
      <c r="E59" s="60">
        <f t="shared" si="5"/>
        <v>3635.6944444444443</v>
      </c>
      <c r="F59" s="60">
        <f t="shared" si="6"/>
        <v>0</v>
      </c>
      <c r="G59" s="61">
        <f t="shared" si="7"/>
        <v>5554.2129629629626</v>
      </c>
      <c r="H59" s="61">
        <f t="shared" si="7"/>
        <v>0</v>
      </c>
      <c r="I59" s="75"/>
    </row>
    <row r="60" spans="1:9" x14ac:dyDescent="0.2">
      <c r="A60" s="64">
        <v>1150</v>
      </c>
      <c r="B60" s="59">
        <v>1468</v>
      </c>
      <c r="C60" s="59">
        <v>0</v>
      </c>
      <c r="D60" s="59">
        <v>23</v>
      </c>
      <c r="E60" s="60">
        <v>3071</v>
      </c>
      <c r="F60" s="60">
        <f t="shared" si="6"/>
        <v>0</v>
      </c>
      <c r="G60" s="61">
        <f t="shared" si="7"/>
        <v>8625.2129629629635</v>
      </c>
      <c r="H60" s="61">
        <f t="shared" si="7"/>
        <v>0</v>
      </c>
      <c r="I60" s="75"/>
    </row>
    <row r="61" spans="1:9" x14ac:dyDescent="0.2">
      <c r="A61" s="64">
        <v>1200</v>
      </c>
      <c r="B61" s="59">
        <v>474</v>
      </c>
      <c r="C61" s="59">
        <v>0.95</v>
      </c>
      <c r="D61" s="59">
        <v>26</v>
      </c>
      <c r="E61" s="60">
        <f t="shared" si="5"/>
        <v>1798.148148148148</v>
      </c>
      <c r="F61" s="60">
        <f t="shared" si="6"/>
        <v>0.87962962962962965</v>
      </c>
      <c r="G61" s="61">
        <f t="shared" si="7"/>
        <v>10423.361111111111</v>
      </c>
      <c r="H61" s="61">
        <f t="shared" si="7"/>
        <v>0.87962962962962965</v>
      </c>
      <c r="I61" s="75"/>
    </row>
    <row r="62" spans="1:9" x14ac:dyDescent="0.2">
      <c r="A62" s="64">
        <v>1250</v>
      </c>
      <c r="B62" s="59">
        <v>287</v>
      </c>
      <c r="C62" s="59">
        <v>32</v>
      </c>
      <c r="D62" s="59">
        <v>80</v>
      </c>
      <c r="E62" s="60">
        <f t="shared" si="5"/>
        <v>704.62962962962968</v>
      </c>
      <c r="F62" s="60">
        <f t="shared" si="6"/>
        <v>30.509259259259263</v>
      </c>
      <c r="G62" s="61">
        <f t="shared" si="7"/>
        <v>11127.990740740741</v>
      </c>
      <c r="H62" s="61">
        <f t="shared" si="7"/>
        <v>31.388888888888893</v>
      </c>
      <c r="I62" s="75"/>
    </row>
    <row r="63" spans="1:9" x14ac:dyDescent="0.2">
      <c r="A63" s="64">
        <v>1300</v>
      </c>
      <c r="B63" s="59">
        <v>228</v>
      </c>
      <c r="C63" s="59">
        <v>21</v>
      </c>
      <c r="D63" s="59">
        <v>82</v>
      </c>
      <c r="E63" s="60">
        <v>435</v>
      </c>
      <c r="F63" s="60">
        <f t="shared" ref="F63:F67" si="8">(((C63+C62)/2)*(A63-A62))/27</f>
        <v>49.074074074074076</v>
      </c>
      <c r="G63" s="61">
        <f t="shared" si="7"/>
        <v>11562.990740740741</v>
      </c>
      <c r="H63" s="61">
        <f t="shared" si="7"/>
        <v>80.462962962962962</v>
      </c>
      <c r="I63" s="75"/>
    </row>
    <row r="64" spans="1:9" x14ac:dyDescent="0.2">
      <c r="A64" s="64">
        <v>1350</v>
      </c>
      <c r="B64" s="59">
        <f>54.52+0.01</f>
        <v>54.53</v>
      </c>
      <c r="C64" s="59">
        <f>1.72+6.92</f>
        <v>8.64</v>
      </c>
      <c r="D64" s="59">
        <v>40.17</v>
      </c>
      <c r="E64" s="60">
        <f t="shared" ref="E64:E67" si="9">(((B64+B63)/2)*(A64-A63))/27</f>
        <v>261.60185185185179</v>
      </c>
      <c r="F64" s="60">
        <f t="shared" si="8"/>
        <v>27.444444444444443</v>
      </c>
      <c r="G64" s="61">
        <f t="shared" si="7"/>
        <v>11824.592592592593</v>
      </c>
      <c r="H64" s="61">
        <f t="shared" si="7"/>
        <v>107.9074074074074</v>
      </c>
      <c r="I64" s="75"/>
    </row>
    <row r="65" spans="1:9" x14ac:dyDescent="0.2">
      <c r="A65" s="64">
        <v>1400</v>
      </c>
      <c r="B65" s="59">
        <f>2.83+55.62</f>
        <v>58.449999999999996</v>
      </c>
      <c r="C65" s="59">
        <f>3.46+1.09</f>
        <v>4.55</v>
      </c>
      <c r="D65" s="59">
        <v>38.04</v>
      </c>
      <c r="E65" s="60">
        <f t="shared" si="9"/>
        <v>104.6111111111111</v>
      </c>
      <c r="F65" s="60">
        <f t="shared" si="8"/>
        <v>12.212962962962965</v>
      </c>
      <c r="G65" s="61">
        <f t="shared" si="7"/>
        <v>11929.203703703704</v>
      </c>
      <c r="H65" s="61">
        <f t="shared" si="7"/>
        <v>120.12037037037037</v>
      </c>
      <c r="I65" s="75"/>
    </row>
    <row r="66" spans="1:9" x14ac:dyDescent="0.2">
      <c r="A66" s="64">
        <v>1415</v>
      </c>
      <c r="B66" s="59">
        <f>0.45+50.36</f>
        <v>50.81</v>
      </c>
      <c r="C66" s="59">
        <f>2.93+2.42+0.01</f>
        <v>5.3599999999999994</v>
      </c>
      <c r="D66" s="59">
        <v>38</v>
      </c>
      <c r="E66" s="60">
        <f t="shared" si="9"/>
        <v>30.349999999999998</v>
      </c>
      <c r="F66" s="60">
        <f t="shared" si="8"/>
        <v>2.7527777777777778</v>
      </c>
      <c r="G66" s="61">
        <f t="shared" si="7"/>
        <v>11959.553703703705</v>
      </c>
      <c r="H66" s="61">
        <f t="shared" si="7"/>
        <v>122.87314814814815</v>
      </c>
      <c r="I66" s="75"/>
    </row>
    <row r="67" spans="1:9" s="47" customFormat="1" x14ac:dyDescent="0.2">
      <c r="A67" s="64">
        <v>1447</v>
      </c>
      <c r="B67" s="59">
        <v>0</v>
      </c>
      <c r="C67" s="59">
        <v>0</v>
      </c>
      <c r="D67" s="59">
        <v>0</v>
      </c>
      <c r="E67" s="60">
        <f t="shared" si="9"/>
        <v>30.10962962962963</v>
      </c>
      <c r="F67" s="60">
        <f t="shared" si="8"/>
        <v>3.1762962962962962</v>
      </c>
      <c r="G67" s="63">
        <f t="shared" ref="G67" si="10">E67+G66</f>
        <v>11989.663333333334</v>
      </c>
      <c r="H67" s="63">
        <f t="shared" ref="H67" si="11">F67+H66</f>
        <v>126.04944444444445</v>
      </c>
      <c r="I67" s="68"/>
    </row>
    <row r="68" spans="1:9" s="47" customFormat="1" x14ac:dyDescent="0.2">
      <c r="A68" s="56"/>
      <c r="B68" s="48"/>
      <c r="C68" s="48"/>
      <c r="D68" s="48"/>
      <c r="E68" s="49"/>
      <c r="F68" s="49"/>
      <c r="G68" s="52"/>
      <c r="H68" s="52"/>
      <c r="I68" s="52"/>
    </row>
    <row r="69" spans="1:9" x14ac:dyDescent="0.2">
      <c r="A69" s="47"/>
      <c r="B69" s="49"/>
      <c r="C69" s="49"/>
      <c r="D69" s="49"/>
      <c r="E69" s="49"/>
      <c r="F69" s="49"/>
      <c r="G69" s="50"/>
      <c r="H69" s="50"/>
      <c r="I69" s="50"/>
    </row>
    <row r="70" spans="1:9" x14ac:dyDescent="0.2">
      <c r="A70" s="47" t="s">
        <v>44</v>
      </c>
      <c r="B70" s="49"/>
      <c r="C70" s="49"/>
      <c r="D70" s="49"/>
      <c r="E70" s="49"/>
      <c r="F70" s="49"/>
      <c r="G70" s="50"/>
      <c r="H70" s="50"/>
      <c r="I70" s="50"/>
    </row>
    <row r="71" spans="1:9" x14ac:dyDescent="0.2">
      <c r="A71" s="64">
        <v>50</v>
      </c>
      <c r="B71" s="59">
        <v>1032</v>
      </c>
      <c r="C71" s="59">
        <v>0</v>
      </c>
      <c r="D71" s="59">
        <v>0</v>
      </c>
      <c r="E71" s="60">
        <v>0</v>
      </c>
      <c r="F71" s="60">
        <v>0</v>
      </c>
      <c r="G71" s="61">
        <v>0</v>
      </c>
      <c r="H71" s="61">
        <v>0</v>
      </c>
      <c r="I71" s="75"/>
    </row>
    <row r="72" spans="1:9" x14ac:dyDescent="0.2">
      <c r="A72" s="64">
        <v>100</v>
      </c>
      <c r="B72" s="59">
        <v>34</v>
      </c>
      <c r="C72" s="59">
        <v>0</v>
      </c>
      <c r="D72" s="59">
        <v>0</v>
      </c>
      <c r="E72" s="60">
        <f t="shared" ref="E72:E73" si="12">(((B72+B71)/2)*(A72-A71))/27</f>
        <v>987.03703703703707</v>
      </c>
      <c r="F72" s="60">
        <f t="shared" ref="F72:F73" si="13">(((C72+C71)/2)*(A72-A71))/27</f>
        <v>0</v>
      </c>
      <c r="G72" s="61">
        <f t="shared" ref="G72:H73" si="14">E72+G71</f>
        <v>987.03703703703707</v>
      </c>
      <c r="H72" s="61">
        <f t="shared" si="14"/>
        <v>0</v>
      </c>
      <c r="I72" s="75"/>
    </row>
    <row r="73" spans="1:9" x14ac:dyDescent="0.2">
      <c r="A73" s="64">
        <v>114</v>
      </c>
      <c r="B73" s="59">
        <v>30</v>
      </c>
      <c r="C73" s="59">
        <v>0</v>
      </c>
      <c r="D73" s="59">
        <v>0</v>
      </c>
      <c r="E73" s="60">
        <f t="shared" si="12"/>
        <v>16.592592592592592</v>
      </c>
      <c r="F73" s="60">
        <f t="shared" si="13"/>
        <v>0</v>
      </c>
      <c r="G73" s="63">
        <f t="shared" si="14"/>
        <v>1003.6296296296297</v>
      </c>
      <c r="H73" s="63">
        <f t="shared" si="14"/>
        <v>0</v>
      </c>
      <c r="I73" s="75"/>
    </row>
    <row r="74" spans="1:9" x14ac:dyDescent="0.2">
      <c r="A74" s="56"/>
      <c r="B74" s="48"/>
      <c r="C74" s="48"/>
      <c r="D74" s="48"/>
      <c r="E74" s="49"/>
      <c r="F74" s="49"/>
      <c r="G74" s="52"/>
      <c r="H74" s="52"/>
      <c r="I74" s="52"/>
    </row>
    <row r="75" spans="1:9" x14ac:dyDescent="0.2">
      <c r="A75" s="47"/>
      <c r="B75" s="49"/>
      <c r="C75" s="49"/>
      <c r="D75" s="49"/>
      <c r="E75" s="49"/>
      <c r="F75" s="49"/>
      <c r="G75" s="50"/>
      <c r="H75" s="50"/>
      <c r="I75" s="50"/>
    </row>
    <row r="76" spans="1:9" x14ac:dyDescent="0.2">
      <c r="A76" s="47" t="s">
        <v>30</v>
      </c>
      <c r="B76" s="49"/>
      <c r="C76" s="49"/>
      <c r="D76" s="49"/>
      <c r="E76" s="49"/>
      <c r="F76" s="49"/>
      <c r="G76" s="50"/>
      <c r="H76" s="50"/>
      <c r="I76" s="50"/>
    </row>
    <row r="77" spans="1:9" x14ac:dyDescent="0.2">
      <c r="A77" s="64">
        <v>3300</v>
      </c>
      <c r="B77" s="59">
        <v>0</v>
      </c>
      <c r="C77" s="59">
        <v>0</v>
      </c>
      <c r="D77" s="59">
        <v>0</v>
      </c>
      <c r="E77" s="60">
        <v>0</v>
      </c>
      <c r="F77" s="60">
        <v>0</v>
      </c>
      <c r="G77" s="61">
        <v>0</v>
      </c>
      <c r="H77" s="61">
        <v>0</v>
      </c>
      <c r="I77" s="75"/>
    </row>
    <row r="78" spans="1:9" x14ac:dyDescent="0.2">
      <c r="A78" s="64">
        <v>3318</v>
      </c>
      <c r="B78" s="59">
        <v>28</v>
      </c>
      <c r="C78" s="59">
        <v>0</v>
      </c>
      <c r="D78" s="59">
        <v>6.12</v>
      </c>
      <c r="E78" s="60">
        <f t="shared" ref="E78:E79" si="15">(((B78+B77)/2)*(A78-A77))/27</f>
        <v>9.3333333333333339</v>
      </c>
      <c r="F78" s="60">
        <f t="shared" ref="F78:F79" si="16">(((C78+C77)/2)*(A78-A77))/27</f>
        <v>0</v>
      </c>
      <c r="G78" s="61">
        <f t="shared" ref="G78:G89" si="17">E78+G77</f>
        <v>9.3333333333333339</v>
      </c>
      <c r="H78" s="61">
        <f t="shared" ref="H78:H89" si="18">F78+H77</f>
        <v>0</v>
      </c>
      <c r="I78" s="75"/>
    </row>
    <row r="79" spans="1:9" x14ac:dyDescent="0.2">
      <c r="A79" s="64">
        <v>3350</v>
      </c>
      <c r="B79" s="59">
        <v>30</v>
      </c>
      <c r="C79" s="59">
        <v>7</v>
      </c>
      <c r="D79" s="59">
        <v>6.72</v>
      </c>
      <c r="E79" s="60">
        <f t="shared" si="15"/>
        <v>34.370370370370374</v>
      </c>
      <c r="F79" s="60">
        <f t="shared" si="16"/>
        <v>4.1481481481481479</v>
      </c>
      <c r="G79" s="61">
        <f t="shared" si="17"/>
        <v>43.703703703703709</v>
      </c>
      <c r="H79" s="61">
        <f t="shared" si="18"/>
        <v>4.1481481481481479</v>
      </c>
      <c r="I79" s="75"/>
    </row>
    <row r="80" spans="1:9" x14ac:dyDescent="0.2">
      <c r="A80" s="64">
        <v>3370</v>
      </c>
      <c r="B80" s="59">
        <v>89.96</v>
      </c>
      <c r="C80" s="59">
        <v>0</v>
      </c>
      <c r="D80" s="59">
        <v>7.16</v>
      </c>
      <c r="E80" s="60">
        <f t="shared" ref="E80:E84" si="19">(((B80+B79)/2)*(A80-A79))/27</f>
        <v>44.429629629629623</v>
      </c>
      <c r="F80" s="60">
        <f t="shared" ref="F80:F84" si="20">(((C80+C79)/2)*(A80-A79))/27</f>
        <v>2.5925925925925926</v>
      </c>
      <c r="G80" s="61">
        <f t="shared" si="17"/>
        <v>88.133333333333326</v>
      </c>
      <c r="H80" s="61">
        <f t="shared" si="18"/>
        <v>6.7407407407407405</v>
      </c>
      <c r="I80" s="75"/>
    </row>
    <row r="81" spans="1:9" x14ac:dyDescent="0.2">
      <c r="A81" s="64">
        <v>3400</v>
      </c>
      <c r="B81" s="59">
        <v>72</v>
      </c>
      <c r="C81" s="59">
        <v>0</v>
      </c>
      <c r="D81" s="59">
        <v>33</v>
      </c>
      <c r="E81" s="60">
        <f t="shared" si="19"/>
        <v>89.97777777777776</v>
      </c>
      <c r="F81" s="60">
        <f t="shared" si="20"/>
        <v>0</v>
      </c>
      <c r="G81" s="61">
        <f t="shared" si="17"/>
        <v>178.11111111111109</v>
      </c>
      <c r="H81" s="61">
        <f t="shared" si="18"/>
        <v>6.7407407407407405</v>
      </c>
      <c r="I81" s="75"/>
    </row>
    <row r="82" spans="1:9" x14ac:dyDescent="0.2">
      <c r="A82" s="64">
        <v>3409</v>
      </c>
      <c r="B82" s="59">
        <v>69</v>
      </c>
      <c r="C82" s="59">
        <v>0</v>
      </c>
      <c r="D82" s="59">
        <v>32</v>
      </c>
      <c r="E82" s="60">
        <f t="shared" si="19"/>
        <v>23.5</v>
      </c>
      <c r="F82" s="60">
        <f t="shared" si="20"/>
        <v>0</v>
      </c>
      <c r="G82" s="61">
        <f t="shared" si="17"/>
        <v>201.61111111111109</v>
      </c>
      <c r="H82" s="61">
        <f t="shared" si="18"/>
        <v>6.7407407407407405</v>
      </c>
      <c r="I82" s="75"/>
    </row>
    <row r="83" spans="1:9" x14ac:dyDescent="0.2">
      <c r="A83" s="64">
        <v>3450</v>
      </c>
      <c r="B83" s="59">
        <v>29</v>
      </c>
      <c r="C83" s="59">
        <v>2</v>
      </c>
      <c r="D83" s="59">
        <f>5.78+17.75</f>
        <v>23.53</v>
      </c>
      <c r="E83" s="60">
        <f t="shared" si="19"/>
        <v>74.407407407407405</v>
      </c>
      <c r="F83" s="60">
        <f t="shared" si="20"/>
        <v>1.5185185185185186</v>
      </c>
      <c r="G83" s="61">
        <f t="shared" si="17"/>
        <v>276.01851851851848</v>
      </c>
      <c r="H83" s="61">
        <f t="shared" si="18"/>
        <v>8.2592592592592595</v>
      </c>
      <c r="I83" s="75"/>
    </row>
    <row r="84" spans="1:9" x14ac:dyDescent="0.2">
      <c r="A84" s="64">
        <v>3461</v>
      </c>
      <c r="B84" s="59">
        <v>19</v>
      </c>
      <c r="C84" s="59">
        <v>2</v>
      </c>
      <c r="D84" s="59">
        <f>2.88+12.84</f>
        <v>15.719999999999999</v>
      </c>
      <c r="E84" s="60">
        <f t="shared" si="19"/>
        <v>9.7777777777777786</v>
      </c>
      <c r="F84" s="60">
        <f t="shared" si="20"/>
        <v>0.81481481481481477</v>
      </c>
      <c r="G84" s="61">
        <f t="shared" si="17"/>
        <v>285.79629629629625</v>
      </c>
      <c r="H84" s="61">
        <f t="shared" si="18"/>
        <v>9.0740740740740744</v>
      </c>
      <c r="I84" s="75"/>
    </row>
    <row r="85" spans="1:9" x14ac:dyDescent="0.2">
      <c r="A85" s="64">
        <v>3500</v>
      </c>
      <c r="B85" s="59">
        <v>16</v>
      </c>
      <c r="C85" s="59">
        <v>2.27</v>
      </c>
      <c r="D85" s="59">
        <v>9</v>
      </c>
      <c r="E85" s="60">
        <f t="shared" ref="E85:E88" si="21">(((B85+B84)/2)*(A85-A84))/27</f>
        <v>25.277777777777779</v>
      </c>
      <c r="F85" s="60">
        <f t="shared" ref="F85:F88" si="22">(((C85+C84)/2)*(A85-A84))/27</f>
        <v>3.0838888888888882</v>
      </c>
      <c r="G85" s="61">
        <f t="shared" si="17"/>
        <v>311.07407407407402</v>
      </c>
      <c r="H85" s="61">
        <f t="shared" si="18"/>
        <v>12.157962962962962</v>
      </c>
      <c r="I85" s="75"/>
    </row>
    <row r="86" spans="1:9" x14ac:dyDescent="0.2">
      <c r="A86" s="64">
        <v>3550</v>
      </c>
      <c r="B86" s="59">
        <v>17.47</v>
      </c>
      <c r="C86" s="59">
        <v>2</v>
      </c>
      <c r="D86" s="59">
        <v>10</v>
      </c>
      <c r="E86" s="60">
        <f t="shared" si="21"/>
        <v>30.99074074074074</v>
      </c>
      <c r="F86" s="60">
        <f t="shared" si="22"/>
        <v>3.9537037037037033</v>
      </c>
      <c r="G86" s="61">
        <f t="shared" si="17"/>
        <v>342.06481481481478</v>
      </c>
      <c r="H86" s="61">
        <f t="shared" si="18"/>
        <v>16.111666666666665</v>
      </c>
      <c r="I86" s="75"/>
    </row>
    <row r="87" spans="1:9" x14ac:dyDescent="0.2">
      <c r="A87" s="64">
        <v>3600</v>
      </c>
      <c r="B87" s="59">
        <v>20</v>
      </c>
      <c r="C87" s="59">
        <v>0</v>
      </c>
      <c r="D87" s="59">
        <v>10</v>
      </c>
      <c r="E87" s="60">
        <f t="shared" si="21"/>
        <v>34.694444444444443</v>
      </c>
      <c r="F87" s="60">
        <f t="shared" si="22"/>
        <v>1.8518518518518519</v>
      </c>
      <c r="G87" s="61">
        <f t="shared" si="17"/>
        <v>376.75925925925924</v>
      </c>
      <c r="H87" s="61">
        <f t="shared" si="18"/>
        <v>17.963518518518516</v>
      </c>
      <c r="I87" s="75"/>
    </row>
    <row r="88" spans="1:9" x14ac:dyDescent="0.2">
      <c r="A88" s="64">
        <v>3627</v>
      </c>
      <c r="B88" s="59">
        <v>59</v>
      </c>
      <c r="C88" s="59">
        <v>0</v>
      </c>
      <c r="D88" s="59">
        <v>35</v>
      </c>
      <c r="E88" s="60">
        <f t="shared" si="21"/>
        <v>39.5</v>
      </c>
      <c r="F88" s="60">
        <f t="shared" si="22"/>
        <v>0</v>
      </c>
      <c r="G88" s="61">
        <f t="shared" si="17"/>
        <v>416.25925925925924</v>
      </c>
      <c r="H88" s="61">
        <f t="shared" si="18"/>
        <v>17.963518518518516</v>
      </c>
      <c r="I88" s="75"/>
    </row>
    <row r="89" spans="1:9" x14ac:dyDescent="0.2">
      <c r="A89" s="64">
        <v>3650</v>
      </c>
      <c r="B89" s="59">
        <v>29.88</v>
      </c>
      <c r="C89" s="59">
        <v>0</v>
      </c>
      <c r="D89" s="59">
        <v>54.61</v>
      </c>
      <c r="E89" s="60">
        <f t="shared" ref="E89" si="23">(((B89+B88)/2)*(A89-A88))/27</f>
        <v>37.856296296296293</v>
      </c>
      <c r="F89" s="60">
        <f t="shared" ref="F89" si="24">(((C89+C88)/2)*(A89-A88))/27</f>
        <v>0</v>
      </c>
      <c r="G89" s="63">
        <f t="shared" si="17"/>
        <v>454.11555555555555</v>
      </c>
      <c r="H89" s="63">
        <f t="shared" si="18"/>
        <v>17.963518518518516</v>
      </c>
      <c r="I89" s="68"/>
    </row>
    <row r="90" spans="1:9" x14ac:dyDescent="0.2">
      <c r="A90" s="65"/>
      <c r="B90" s="66"/>
      <c r="C90" s="66"/>
      <c r="D90" s="66"/>
      <c r="E90" s="67"/>
      <c r="F90" s="67"/>
      <c r="G90" s="68"/>
      <c r="H90" s="68"/>
      <c r="I90" s="68"/>
    </row>
    <row r="91" spans="1:9" x14ac:dyDescent="0.2">
      <c r="A91" s="65"/>
      <c r="B91" s="66"/>
      <c r="C91" s="66"/>
      <c r="D91" s="66"/>
      <c r="E91" s="67"/>
      <c r="F91" s="67"/>
      <c r="G91" s="68"/>
      <c r="H91" s="68"/>
      <c r="I91" s="68"/>
    </row>
    <row r="92" spans="1:9" x14ac:dyDescent="0.2">
      <c r="A92" s="47" t="s">
        <v>31</v>
      </c>
      <c r="B92" s="51"/>
      <c r="C92" s="51"/>
      <c r="D92" s="51"/>
      <c r="E92" s="49"/>
      <c r="F92" s="49"/>
      <c r="G92" s="50"/>
      <c r="H92" s="50"/>
      <c r="I92" s="50"/>
    </row>
    <row r="93" spans="1:9" x14ac:dyDescent="0.2">
      <c r="A93" s="64">
        <v>1000</v>
      </c>
      <c r="B93" s="59">
        <v>0</v>
      </c>
      <c r="C93" s="59">
        <v>0</v>
      </c>
      <c r="D93" s="59">
        <v>0</v>
      </c>
      <c r="E93" s="60">
        <v>0</v>
      </c>
      <c r="F93" s="60">
        <v>0</v>
      </c>
      <c r="G93" s="61">
        <v>0</v>
      </c>
      <c r="H93" s="61">
        <v>0</v>
      </c>
      <c r="I93" s="75"/>
    </row>
    <row r="94" spans="1:9" x14ac:dyDescent="0.2">
      <c r="A94" s="64">
        <v>1050</v>
      </c>
      <c r="B94" s="59">
        <v>59</v>
      </c>
      <c r="C94" s="59">
        <f>130.84+59.71</f>
        <v>190.55</v>
      </c>
      <c r="D94" s="59">
        <v>7.68</v>
      </c>
      <c r="E94" s="60">
        <f t="shared" ref="E94:E109" si="25">(((B94+B93)/2)*(A94-A93))/27</f>
        <v>54.629629629629626</v>
      </c>
      <c r="F94" s="60">
        <f t="shared" ref="F94:F109" si="26">(((C94+C93)/2)*(A94-A93))/27</f>
        <v>176.43518518518519</v>
      </c>
      <c r="G94" s="61">
        <f t="shared" ref="G94:H108" si="27">E94+G93</f>
        <v>54.629629629629626</v>
      </c>
      <c r="H94" s="61">
        <f t="shared" si="27"/>
        <v>176.43518518518519</v>
      </c>
      <c r="I94" s="75"/>
    </row>
    <row r="95" spans="1:9" x14ac:dyDescent="0.2">
      <c r="A95" s="64">
        <v>1100</v>
      </c>
      <c r="B95" s="59">
        <f>90.2+3.09+19.5</f>
        <v>112.79</v>
      </c>
      <c r="C95" s="59">
        <f>5.44+5.57</f>
        <v>11.010000000000002</v>
      </c>
      <c r="D95" s="59">
        <v>100</v>
      </c>
      <c r="E95" s="60">
        <f t="shared" si="25"/>
        <v>159.06481481481484</v>
      </c>
      <c r="F95" s="60">
        <f t="shared" si="26"/>
        <v>186.62962962962962</v>
      </c>
      <c r="G95" s="61">
        <f t="shared" si="27"/>
        <v>213.69444444444446</v>
      </c>
      <c r="H95" s="61">
        <f t="shared" si="27"/>
        <v>363.06481481481478</v>
      </c>
      <c r="I95" s="75"/>
    </row>
    <row r="96" spans="1:9" x14ac:dyDescent="0.2">
      <c r="A96" s="64">
        <v>1150</v>
      </c>
      <c r="B96" s="59">
        <f>108.32+0.14</f>
        <v>108.46</v>
      </c>
      <c r="C96" s="59">
        <f>9.98+1.74+7.35</f>
        <v>19.07</v>
      </c>
      <c r="D96" s="59">
        <v>101</v>
      </c>
      <c r="E96" s="60">
        <f t="shared" si="25"/>
        <v>204.86111111111111</v>
      </c>
      <c r="F96" s="60">
        <f t="shared" si="26"/>
        <v>27.851851851851851</v>
      </c>
      <c r="G96" s="61">
        <f t="shared" si="27"/>
        <v>418.55555555555554</v>
      </c>
      <c r="H96" s="61">
        <f t="shared" si="27"/>
        <v>390.91666666666663</v>
      </c>
      <c r="I96" s="75"/>
    </row>
    <row r="97" spans="1:9" x14ac:dyDescent="0.2">
      <c r="A97" s="64">
        <v>1176</v>
      </c>
      <c r="B97" s="59">
        <f>95.57+0.7+0.95</f>
        <v>97.22</v>
      </c>
      <c r="C97" s="59">
        <f>15.06+2.89+1.33</f>
        <v>19.28</v>
      </c>
      <c r="D97" s="59">
        <v>113</v>
      </c>
      <c r="E97" s="60">
        <f t="shared" si="25"/>
        <v>99.031111111111116</v>
      </c>
      <c r="F97" s="60">
        <f t="shared" si="26"/>
        <v>18.464814814814815</v>
      </c>
      <c r="G97" s="61">
        <f t="shared" si="27"/>
        <v>517.5866666666667</v>
      </c>
      <c r="H97" s="61">
        <f t="shared" si="27"/>
        <v>409.38148148148144</v>
      </c>
      <c r="I97" s="75"/>
    </row>
    <row r="98" spans="1:9" x14ac:dyDescent="0.2">
      <c r="A98" s="64">
        <v>1200</v>
      </c>
      <c r="B98" s="59">
        <f>92.32+2.22+8.75</f>
        <v>103.28999999999999</v>
      </c>
      <c r="C98" s="59">
        <f>0.93+9.04+0.66</f>
        <v>10.629999999999999</v>
      </c>
      <c r="D98" s="59">
        <v>140</v>
      </c>
      <c r="E98" s="60">
        <f t="shared" si="25"/>
        <v>89.115555555555545</v>
      </c>
      <c r="F98" s="60">
        <f t="shared" si="26"/>
        <v>13.293333333333335</v>
      </c>
      <c r="G98" s="61">
        <f t="shared" si="27"/>
        <v>606.70222222222219</v>
      </c>
      <c r="H98" s="61">
        <f t="shared" si="27"/>
        <v>422.67481481481479</v>
      </c>
      <c r="I98" s="75"/>
    </row>
    <row r="99" spans="1:9" x14ac:dyDescent="0.2">
      <c r="A99" s="64">
        <v>1250</v>
      </c>
      <c r="B99" s="59">
        <f>26.63+114.73</f>
        <v>141.36000000000001</v>
      </c>
      <c r="C99" s="59">
        <v>5.69</v>
      </c>
      <c r="D99" s="59">
        <v>152</v>
      </c>
      <c r="E99" s="60">
        <f t="shared" si="25"/>
        <v>226.52777777777777</v>
      </c>
      <c r="F99" s="60">
        <f t="shared" si="26"/>
        <v>15.111111111111111</v>
      </c>
      <c r="G99" s="61">
        <f t="shared" si="27"/>
        <v>833.23</v>
      </c>
      <c r="H99" s="61">
        <f t="shared" si="27"/>
        <v>437.78592592592588</v>
      </c>
      <c r="I99" s="75"/>
    </row>
    <row r="100" spans="1:9" x14ac:dyDescent="0.2">
      <c r="A100" s="64">
        <v>1300</v>
      </c>
      <c r="B100" s="59">
        <v>101</v>
      </c>
      <c r="C100" s="59">
        <v>3</v>
      </c>
      <c r="D100" s="59">
        <v>65</v>
      </c>
      <c r="E100" s="60">
        <f t="shared" si="25"/>
        <v>224.40740740740742</v>
      </c>
      <c r="F100" s="60">
        <f t="shared" si="26"/>
        <v>8.0462962962962976</v>
      </c>
      <c r="G100" s="61">
        <f t="shared" si="27"/>
        <v>1057.6374074074074</v>
      </c>
      <c r="H100" s="61">
        <f t="shared" si="27"/>
        <v>445.83222222222219</v>
      </c>
      <c r="I100" s="75"/>
    </row>
    <row r="101" spans="1:9" x14ac:dyDescent="0.2">
      <c r="A101" s="64">
        <v>1350</v>
      </c>
      <c r="B101" s="59">
        <v>91</v>
      </c>
      <c r="C101" s="59">
        <v>0</v>
      </c>
      <c r="D101" s="59">
        <v>61</v>
      </c>
      <c r="E101" s="60">
        <f t="shared" si="25"/>
        <v>177.77777777777777</v>
      </c>
      <c r="F101" s="60">
        <f t="shared" si="26"/>
        <v>2.7777777777777777</v>
      </c>
      <c r="G101" s="61">
        <f t="shared" si="27"/>
        <v>1235.4151851851852</v>
      </c>
      <c r="H101" s="61">
        <f t="shared" si="27"/>
        <v>448.60999999999996</v>
      </c>
      <c r="I101" s="75"/>
    </row>
    <row r="102" spans="1:9" x14ac:dyDescent="0.2">
      <c r="A102" s="64">
        <v>1400</v>
      </c>
      <c r="B102" s="59">
        <v>90</v>
      </c>
      <c r="C102" s="59">
        <v>4</v>
      </c>
      <c r="D102" s="59">
        <v>64</v>
      </c>
      <c r="E102" s="60">
        <f t="shared" si="25"/>
        <v>167.59259259259258</v>
      </c>
      <c r="F102" s="60">
        <f t="shared" si="26"/>
        <v>3.7037037037037037</v>
      </c>
      <c r="G102" s="61">
        <f t="shared" si="27"/>
        <v>1403.0077777777778</v>
      </c>
      <c r="H102" s="61">
        <f t="shared" si="27"/>
        <v>452.31370370370365</v>
      </c>
      <c r="I102" s="75"/>
    </row>
    <row r="103" spans="1:9" x14ac:dyDescent="0.2">
      <c r="A103" s="64">
        <v>1450</v>
      </c>
      <c r="B103" s="59">
        <v>0</v>
      </c>
      <c r="C103" s="59">
        <v>0</v>
      </c>
      <c r="D103" s="59">
        <v>0</v>
      </c>
      <c r="E103" s="60">
        <f t="shared" si="25"/>
        <v>83.333333333333329</v>
      </c>
      <c r="F103" s="60">
        <f t="shared" si="26"/>
        <v>3.7037037037037037</v>
      </c>
      <c r="G103" s="61">
        <f t="shared" si="27"/>
        <v>1486.3411111111111</v>
      </c>
      <c r="H103" s="61">
        <f t="shared" si="27"/>
        <v>456.01740740740735</v>
      </c>
      <c r="I103" s="75"/>
    </row>
    <row r="104" spans="1:9" x14ac:dyDescent="0.2">
      <c r="A104" s="64">
        <v>1500</v>
      </c>
      <c r="B104" s="59">
        <v>0</v>
      </c>
      <c r="C104" s="59">
        <v>0</v>
      </c>
      <c r="D104" s="59">
        <v>0</v>
      </c>
      <c r="E104" s="60">
        <f t="shared" si="25"/>
        <v>0</v>
      </c>
      <c r="F104" s="60">
        <f t="shared" si="26"/>
        <v>0</v>
      </c>
      <c r="G104" s="61">
        <f t="shared" si="27"/>
        <v>1486.3411111111111</v>
      </c>
      <c r="H104" s="61">
        <f t="shared" si="27"/>
        <v>456.01740740740735</v>
      </c>
      <c r="I104" s="75"/>
    </row>
    <row r="105" spans="1:9" s="54" customFormat="1" x14ac:dyDescent="0.2">
      <c r="A105" s="64">
        <v>1550</v>
      </c>
      <c r="B105" s="59">
        <v>0</v>
      </c>
      <c r="C105" s="59">
        <v>0</v>
      </c>
      <c r="D105" s="59">
        <v>0</v>
      </c>
      <c r="E105" s="60">
        <f t="shared" si="25"/>
        <v>0</v>
      </c>
      <c r="F105" s="60">
        <f t="shared" si="26"/>
        <v>0</v>
      </c>
      <c r="G105" s="61">
        <f t="shared" si="27"/>
        <v>1486.3411111111111</v>
      </c>
      <c r="H105" s="61">
        <f t="shared" si="27"/>
        <v>456.01740740740735</v>
      </c>
      <c r="I105" s="75"/>
    </row>
    <row r="106" spans="1:9" s="54" customFormat="1" x14ac:dyDescent="0.2">
      <c r="A106" s="64">
        <v>1600</v>
      </c>
      <c r="B106" s="59">
        <v>0</v>
      </c>
      <c r="C106" s="59">
        <v>0</v>
      </c>
      <c r="D106" s="59">
        <v>0</v>
      </c>
      <c r="E106" s="60">
        <f t="shared" si="25"/>
        <v>0</v>
      </c>
      <c r="F106" s="60">
        <f t="shared" si="26"/>
        <v>0</v>
      </c>
      <c r="G106" s="61">
        <f t="shared" si="27"/>
        <v>1486.3411111111111</v>
      </c>
      <c r="H106" s="61">
        <f t="shared" si="27"/>
        <v>456.01740740740735</v>
      </c>
      <c r="I106" s="75"/>
    </row>
    <row r="107" spans="1:9" s="54" customFormat="1" x14ac:dyDescent="0.2">
      <c r="A107" s="64">
        <v>1650</v>
      </c>
      <c r="B107" s="59">
        <v>0</v>
      </c>
      <c r="C107" s="59">
        <v>0</v>
      </c>
      <c r="D107" s="59">
        <v>0</v>
      </c>
      <c r="E107" s="60">
        <f t="shared" si="25"/>
        <v>0</v>
      </c>
      <c r="F107" s="60">
        <f t="shared" si="26"/>
        <v>0</v>
      </c>
      <c r="G107" s="61">
        <f t="shared" si="27"/>
        <v>1486.3411111111111</v>
      </c>
      <c r="H107" s="61">
        <f t="shared" si="27"/>
        <v>456.01740740740735</v>
      </c>
      <c r="I107" s="75"/>
    </row>
    <row r="108" spans="1:9" s="54" customFormat="1" x14ac:dyDescent="0.2">
      <c r="A108" s="64">
        <v>1700</v>
      </c>
      <c r="B108" s="59">
        <v>0</v>
      </c>
      <c r="C108" s="59">
        <v>0</v>
      </c>
      <c r="D108" s="59">
        <v>0</v>
      </c>
      <c r="E108" s="60">
        <f t="shared" si="25"/>
        <v>0</v>
      </c>
      <c r="F108" s="60">
        <f t="shared" si="26"/>
        <v>0</v>
      </c>
      <c r="G108" s="61">
        <f t="shared" si="27"/>
        <v>1486.3411111111111</v>
      </c>
      <c r="H108" s="61">
        <f t="shared" si="27"/>
        <v>456.01740740740735</v>
      </c>
      <c r="I108" s="75"/>
    </row>
    <row r="109" spans="1:9" s="54" customFormat="1" x14ac:dyDescent="0.2">
      <c r="A109" s="64">
        <v>1750</v>
      </c>
      <c r="B109" s="59">
        <v>0</v>
      </c>
      <c r="C109" s="59">
        <v>0</v>
      </c>
      <c r="D109" s="59">
        <v>0</v>
      </c>
      <c r="E109" s="60">
        <f t="shared" si="25"/>
        <v>0</v>
      </c>
      <c r="F109" s="60">
        <f t="shared" si="26"/>
        <v>0</v>
      </c>
      <c r="G109" s="63">
        <f t="shared" ref="G109" si="28">E109+G108</f>
        <v>1486.3411111111111</v>
      </c>
      <c r="H109" s="63">
        <f t="shared" ref="H109" si="29">F109+H108</f>
        <v>456.01740740740735</v>
      </c>
      <c r="I109" s="68"/>
    </row>
    <row r="110" spans="1:9" x14ac:dyDescent="0.2">
      <c r="A110" s="47"/>
      <c r="B110" s="49"/>
      <c r="C110" s="49"/>
      <c r="D110" s="49"/>
      <c r="E110" s="49"/>
      <c r="F110" s="49"/>
      <c r="G110" s="50"/>
      <c r="H110" s="50"/>
      <c r="I110" s="50"/>
    </row>
    <row r="111" spans="1:9" x14ac:dyDescent="0.2">
      <c r="A111" s="47"/>
      <c r="B111" s="49"/>
      <c r="C111" s="49"/>
      <c r="D111" s="49"/>
      <c r="E111" s="49"/>
      <c r="F111" s="49"/>
      <c r="G111" s="50"/>
      <c r="H111" s="50"/>
      <c r="I111" s="50"/>
    </row>
    <row r="112" spans="1:9" x14ac:dyDescent="0.2">
      <c r="A112" s="47" t="s">
        <v>32</v>
      </c>
      <c r="B112" s="49"/>
      <c r="C112" s="49"/>
      <c r="D112" s="49"/>
      <c r="E112" s="49"/>
      <c r="F112" s="49"/>
      <c r="G112" s="50"/>
      <c r="H112" s="50"/>
      <c r="I112" s="50"/>
    </row>
    <row r="113" spans="1:9" x14ac:dyDescent="0.2">
      <c r="A113" s="64">
        <v>1200</v>
      </c>
      <c r="B113" s="59">
        <v>243</v>
      </c>
      <c r="C113" s="59">
        <v>0</v>
      </c>
      <c r="D113" s="59">
        <v>67</v>
      </c>
      <c r="E113" s="60">
        <v>0</v>
      </c>
      <c r="F113" s="60">
        <v>0</v>
      </c>
      <c r="G113" s="61">
        <v>0</v>
      </c>
      <c r="H113" s="61">
        <v>0</v>
      </c>
      <c r="I113" s="75"/>
    </row>
    <row r="114" spans="1:9" x14ac:dyDescent="0.2">
      <c r="A114" s="64">
        <v>1250</v>
      </c>
      <c r="B114" s="59">
        <v>431.26</v>
      </c>
      <c r="C114" s="59">
        <v>0.79</v>
      </c>
      <c r="D114" s="59">
        <v>68</v>
      </c>
      <c r="E114" s="60">
        <f>(((B114+B113)/2)*(A114-A113))/27</f>
        <v>624.31481481481478</v>
      </c>
      <c r="F114" s="60">
        <f t="shared" ref="F114:F160" si="30">(((C114+C113)/2)*(A114-A113))/27</f>
        <v>0.73148148148148151</v>
      </c>
      <c r="G114" s="61">
        <f t="shared" ref="G114:G148" si="31">E114+G113</f>
        <v>624.31481481481478</v>
      </c>
      <c r="H114" s="61">
        <f t="shared" ref="H114:H148" si="32">F114+H113</f>
        <v>0.73148148148148151</v>
      </c>
      <c r="I114" s="75"/>
    </row>
    <row r="115" spans="1:9" x14ac:dyDescent="0.2">
      <c r="A115" s="64">
        <v>1272</v>
      </c>
      <c r="B115" s="59">
        <v>1144</v>
      </c>
      <c r="C115" s="59">
        <v>3</v>
      </c>
      <c r="D115" s="59">
        <v>35</v>
      </c>
      <c r="E115" s="60">
        <f t="shared" ref="E115:E160" si="33">(((B115+B114)/2)*(A115-A114))/27</f>
        <v>641.77259259259256</v>
      </c>
      <c r="F115" s="60">
        <f t="shared" si="30"/>
        <v>1.5440740740740739</v>
      </c>
      <c r="G115" s="61">
        <f t="shared" si="31"/>
        <v>1266.0874074074072</v>
      </c>
      <c r="H115" s="61">
        <f t="shared" si="32"/>
        <v>2.2755555555555556</v>
      </c>
      <c r="I115" s="75"/>
    </row>
    <row r="116" spans="1:9" x14ac:dyDescent="0.2">
      <c r="A116" s="64">
        <v>1300</v>
      </c>
      <c r="B116" s="59">
        <v>2506</v>
      </c>
      <c r="C116" s="59">
        <v>1.39</v>
      </c>
      <c r="D116" s="59">
        <v>0</v>
      </c>
      <c r="E116" s="60">
        <f t="shared" si="33"/>
        <v>1892.5925925925926</v>
      </c>
      <c r="F116" s="60">
        <f t="shared" si="30"/>
        <v>2.2762962962962963</v>
      </c>
      <c r="G116" s="61">
        <f t="shared" si="31"/>
        <v>3158.68</v>
      </c>
      <c r="H116" s="61">
        <f t="shared" si="32"/>
        <v>4.5518518518518523</v>
      </c>
      <c r="I116" s="75"/>
    </row>
    <row r="117" spans="1:9" x14ac:dyDescent="0.2">
      <c r="A117" s="64">
        <v>1350</v>
      </c>
      <c r="B117" s="59">
        <v>3934</v>
      </c>
      <c r="C117" s="59">
        <v>0</v>
      </c>
      <c r="D117" s="59">
        <v>0</v>
      </c>
      <c r="E117" s="60">
        <f t="shared" si="33"/>
        <v>5962.9629629629626</v>
      </c>
      <c r="F117" s="60">
        <f t="shared" si="30"/>
        <v>1.287037037037037</v>
      </c>
      <c r="G117" s="61">
        <f t="shared" si="31"/>
        <v>9121.642962962962</v>
      </c>
      <c r="H117" s="61">
        <f t="shared" si="32"/>
        <v>5.8388888888888895</v>
      </c>
      <c r="I117" s="75"/>
    </row>
    <row r="118" spans="1:9" x14ac:dyDescent="0.2">
      <c r="A118" s="64">
        <v>1400</v>
      </c>
      <c r="B118" s="59">
        <v>2358</v>
      </c>
      <c r="C118" s="59">
        <v>0</v>
      </c>
      <c r="D118" s="59">
        <v>0</v>
      </c>
      <c r="E118" s="60">
        <f t="shared" si="33"/>
        <v>5825.9259259259261</v>
      </c>
      <c r="F118" s="60">
        <f t="shared" si="30"/>
        <v>0</v>
      </c>
      <c r="G118" s="61">
        <f t="shared" si="31"/>
        <v>14947.568888888887</v>
      </c>
      <c r="H118" s="61">
        <f t="shared" si="32"/>
        <v>5.8388888888888895</v>
      </c>
      <c r="I118" s="75"/>
    </row>
    <row r="119" spans="1:9" x14ac:dyDescent="0.2">
      <c r="A119" s="64">
        <v>1450</v>
      </c>
      <c r="B119" s="59">
        <v>1918</v>
      </c>
      <c r="C119" s="59">
        <v>0.24</v>
      </c>
      <c r="D119" s="59">
        <v>0</v>
      </c>
      <c r="E119" s="60">
        <f t="shared" si="33"/>
        <v>3959.2592592592591</v>
      </c>
      <c r="F119" s="60">
        <f t="shared" si="30"/>
        <v>0.22222222222222221</v>
      </c>
      <c r="G119" s="61">
        <f t="shared" si="31"/>
        <v>18906.828148148146</v>
      </c>
      <c r="H119" s="61">
        <f t="shared" si="32"/>
        <v>6.0611111111111118</v>
      </c>
      <c r="I119" s="75"/>
    </row>
    <row r="120" spans="1:9" x14ac:dyDescent="0.2">
      <c r="A120" s="64">
        <v>1478</v>
      </c>
      <c r="B120" s="59">
        <v>1764</v>
      </c>
      <c r="C120" s="59">
        <v>0</v>
      </c>
      <c r="D120" s="59">
        <v>0</v>
      </c>
      <c r="E120" s="60">
        <f t="shared" si="33"/>
        <v>1909.1851851851852</v>
      </c>
      <c r="F120" s="60">
        <f t="shared" si="30"/>
        <v>0.12444444444444444</v>
      </c>
      <c r="G120" s="61">
        <f t="shared" si="31"/>
        <v>20816.013333333332</v>
      </c>
      <c r="H120" s="61">
        <f t="shared" si="32"/>
        <v>6.1855555555555561</v>
      </c>
      <c r="I120" s="75"/>
    </row>
    <row r="121" spans="1:9" x14ac:dyDescent="0.2">
      <c r="A121" s="64">
        <v>1500</v>
      </c>
      <c r="B121" s="59">
        <v>1608</v>
      </c>
      <c r="C121" s="59">
        <v>0</v>
      </c>
      <c r="D121" s="59">
        <v>0</v>
      </c>
      <c r="E121" s="60">
        <f t="shared" si="33"/>
        <v>1373.7777777777778</v>
      </c>
      <c r="F121" s="60">
        <f t="shared" si="30"/>
        <v>0</v>
      </c>
      <c r="G121" s="61">
        <f t="shared" si="31"/>
        <v>22189.79111111111</v>
      </c>
      <c r="H121" s="61">
        <f t="shared" si="32"/>
        <v>6.1855555555555561</v>
      </c>
      <c r="I121" s="75"/>
    </row>
    <row r="122" spans="1:9" x14ac:dyDescent="0.2">
      <c r="A122" s="64">
        <v>1550</v>
      </c>
      <c r="B122" s="59">
        <v>1122</v>
      </c>
      <c r="C122" s="59">
        <v>0</v>
      </c>
      <c r="D122" s="59">
        <v>0</v>
      </c>
      <c r="E122" s="60">
        <f t="shared" si="33"/>
        <v>2527.7777777777778</v>
      </c>
      <c r="F122" s="60">
        <f t="shared" si="30"/>
        <v>0</v>
      </c>
      <c r="G122" s="61">
        <f t="shared" si="31"/>
        <v>24717.568888888887</v>
      </c>
      <c r="H122" s="61">
        <f t="shared" si="32"/>
        <v>6.1855555555555561</v>
      </c>
      <c r="I122" s="75"/>
    </row>
    <row r="123" spans="1:9" x14ac:dyDescent="0.2">
      <c r="A123" s="64">
        <v>1567</v>
      </c>
      <c r="B123" s="59">
        <v>1021</v>
      </c>
      <c r="C123" s="59">
        <v>0</v>
      </c>
      <c r="D123" s="59">
        <v>10</v>
      </c>
      <c r="E123" s="60">
        <f t="shared" si="33"/>
        <v>674.64814814814815</v>
      </c>
      <c r="F123" s="60">
        <f t="shared" si="30"/>
        <v>0</v>
      </c>
      <c r="G123" s="61">
        <f t="shared" si="31"/>
        <v>25392.217037037037</v>
      </c>
      <c r="H123" s="61">
        <f t="shared" si="32"/>
        <v>6.1855555555555561</v>
      </c>
      <c r="I123" s="75"/>
    </row>
    <row r="124" spans="1:9" x14ac:dyDescent="0.2">
      <c r="A124" s="64">
        <v>1600</v>
      </c>
      <c r="B124" s="59">
        <v>1115</v>
      </c>
      <c r="C124" s="59">
        <v>0</v>
      </c>
      <c r="D124" s="59">
        <v>33.18</v>
      </c>
      <c r="E124" s="60">
        <f t="shared" si="33"/>
        <v>1305.3333333333333</v>
      </c>
      <c r="F124" s="60">
        <f t="shared" si="30"/>
        <v>0</v>
      </c>
      <c r="G124" s="61">
        <f t="shared" si="31"/>
        <v>26697.550370370369</v>
      </c>
      <c r="H124" s="61">
        <f t="shared" si="32"/>
        <v>6.1855555555555561</v>
      </c>
      <c r="I124" s="75"/>
    </row>
    <row r="125" spans="1:9" x14ac:dyDescent="0.2">
      <c r="A125" s="64">
        <v>1650</v>
      </c>
      <c r="B125" s="59">
        <v>1237</v>
      </c>
      <c r="C125" s="59">
        <v>0</v>
      </c>
      <c r="D125" s="59">
        <v>45.35</v>
      </c>
      <c r="E125" s="60">
        <f t="shared" si="33"/>
        <v>2177.7777777777778</v>
      </c>
      <c r="F125" s="60">
        <f t="shared" si="30"/>
        <v>0</v>
      </c>
      <c r="G125" s="61">
        <f t="shared" si="31"/>
        <v>28875.328148148146</v>
      </c>
      <c r="H125" s="61">
        <f t="shared" si="32"/>
        <v>6.1855555555555561</v>
      </c>
      <c r="I125" s="75"/>
    </row>
    <row r="126" spans="1:9" x14ac:dyDescent="0.2">
      <c r="A126" s="64">
        <v>1700</v>
      </c>
      <c r="B126" s="59">
        <v>2210</v>
      </c>
      <c r="C126" s="59">
        <v>0</v>
      </c>
      <c r="D126" s="59">
        <v>0</v>
      </c>
      <c r="E126" s="60">
        <f t="shared" si="33"/>
        <v>3191.6666666666665</v>
      </c>
      <c r="F126" s="60">
        <f t="shared" si="30"/>
        <v>0</v>
      </c>
      <c r="G126" s="61">
        <f t="shared" si="31"/>
        <v>32066.994814814814</v>
      </c>
      <c r="H126" s="61">
        <f t="shared" si="32"/>
        <v>6.1855555555555561</v>
      </c>
      <c r="I126" s="75"/>
    </row>
    <row r="127" spans="1:9" x14ac:dyDescent="0.2">
      <c r="A127" s="64">
        <v>1730</v>
      </c>
      <c r="B127" s="59">
        <v>3205</v>
      </c>
      <c r="C127" s="59">
        <v>0</v>
      </c>
      <c r="D127" s="59">
        <v>0</v>
      </c>
      <c r="E127" s="60">
        <f t="shared" si="33"/>
        <v>3008.3333333333335</v>
      </c>
      <c r="F127" s="60">
        <f t="shared" si="30"/>
        <v>0</v>
      </c>
      <c r="G127" s="61">
        <f t="shared" si="31"/>
        <v>35075.328148148146</v>
      </c>
      <c r="H127" s="61">
        <f t="shared" si="32"/>
        <v>6.1855555555555561</v>
      </c>
      <c r="I127" s="75"/>
    </row>
    <row r="128" spans="1:9" x14ac:dyDescent="0.2">
      <c r="A128" s="64">
        <v>1750</v>
      </c>
      <c r="B128" s="59">
        <v>3782</v>
      </c>
      <c r="C128" s="59">
        <v>0</v>
      </c>
      <c r="D128" s="59">
        <v>0</v>
      </c>
      <c r="E128" s="60">
        <f t="shared" si="33"/>
        <v>2587.7777777777778</v>
      </c>
      <c r="F128" s="60">
        <f t="shared" si="30"/>
        <v>0</v>
      </c>
      <c r="G128" s="61">
        <f t="shared" si="31"/>
        <v>37663.105925925927</v>
      </c>
      <c r="H128" s="61">
        <f t="shared" si="32"/>
        <v>6.1855555555555561</v>
      </c>
      <c r="I128" s="75"/>
    </row>
    <row r="129" spans="1:9" x14ac:dyDescent="0.2">
      <c r="A129" s="64">
        <v>1800</v>
      </c>
      <c r="B129" s="59">
        <v>5119</v>
      </c>
      <c r="C129" s="59">
        <v>0</v>
      </c>
      <c r="D129" s="59">
        <v>0</v>
      </c>
      <c r="E129" s="60">
        <f t="shared" si="33"/>
        <v>8241.6666666666661</v>
      </c>
      <c r="F129" s="60">
        <f t="shared" si="30"/>
        <v>0</v>
      </c>
      <c r="G129" s="61">
        <f t="shared" si="31"/>
        <v>45904.772592592592</v>
      </c>
      <c r="H129" s="61">
        <f t="shared" si="32"/>
        <v>6.1855555555555561</v>
      </c>
      <c r="I129" s="75"/>
    </row>
    <row r="130" spans="1:9" x14ac:dyDescent="0.2">
      <c r="A130" s="64">
        <v>1804</v>
      </c>
      <c r="B130" s="59">
        <v>5197</v>
      </c>
      <c r="C130" s="59">
        <v>0</v>
      </c>
      <c r="D130" s="59">
        <v>0</v>
      </c>
      <c r="E130" s="60">
        <f t="shared" si="33"/>
        <v>764.14814814814815</v>
      </c>
      <c r="F130" s="60">
        <f t="shared" si="30"/>
        <v>0</v>
      </c>
      <c r="G130" s="61">
        <f t="shared" si="31"/>
        <v>46668.920740740738</v>
      </c>
      <c r="H130" s="61">
        <f t="shared" si="32"/>
        <v>6.1855555555555561</v>
      </c>
      <c r="I130" s="75"/>
    </row>
    <row r="131" spans="1:9" x14ac:dyDescent="0.2">
      <c r="A131" s="64">
        <v>1850</v>
      </c>
      <c r="B131" s="59">
        <v>5348</v>
      </c>
      <c r="C131" s="59">
        <v>0</v>
      </c>
      <c r="D131" s="59">
        <v>0</v>
      </c>
      <c r="E131" s="60">
        <f t="shared" si="33"/>
        <v>8982.7777777777774</v>
      </c>
      <c r="F131" s="60">
        <f t="shared" si="30"/>
        <v>0</v>
      </c>
      <c r="G131" s="61">
        <f t="shared" si="31"/>
        <v>55651.698518518519</v>
      </c>
      <c r="H131" s="61">
        <f t="shared" si="32"/>
        <v>6.1855555555555561</v>
      </c>
      <c r="I131" s="75"/>
    </row>
    <row r="132" spans="1:9" x14ac:dyDescent="0.2">
      <c r="A132" s="64">
        <v>1872</v>
      </c>
      <c r="B132" s="59">
        <v>5582</v>
      </c>
      <c r="C132" s="59">
        <v>0</v>
      </c>
      <c r="D132" s="59">
        <v>0</v>
      </c>
      <c r="E132" s="60">
        <f t="shared" si="33"/>
        <v>4452.9629629629626</v>
      </c>
      <c r="F132" s="60">
        <f t="shared" si="30"/>
        <v>0</v>
      </c>
      <c r="G132" s="61">
        <f t="shared" si="31"/>
        <v>60104.661481481482</v>
      </c>
      <c r="H132" s="61">
        <f t="shared" si="32"/>
        <v>6.1855555555555561</v>
      </c>
      <c r="I132" s="75"/>
    </row>
    <row r="133" spans="1:9" x14ac:dyDescent="0.2">
      <c r="A133" s="64">
        <v>1900</v>
      </c>
      <c r="B133" s="59">
        <v>5485</v>
      </c>
      <c r="C133" s="59">
        <v>0</v>
      </c>
      <c r="D133" s="59">
        <v>0</v>
      </c>
      <c r="E133" s="60">
        <f t="shared" si="33"/>
        <v>5738.4444444444443</v>
      </c>
      <c r="F133" s="60">
        <f t="shared" si="30"/>
        <v>0</v>
      </c>
      <c r="G133" s="61">
        <f t="shared" si="31"/>
        <v>65843.10592592592</v>
      </c>
      <c r="H133" s="61">
        <f t="shared" si="32"/>
        <v>6.1855555555555561</v>
      </c>
      <c r="I133" s="75"/>
    </row>
    <row r="134" spans="1:9" x14ac:dyDescent="0.2">
      <c r="A134" s="64">
        <v>1937</v>
      </c>
      <c r="B134" s="59">
        <v>5210</v>
      </c>
      <c r="C134" s="59">
        <v>0</v>
      </c>
      <c r="D134" s="59">
        <v>0</v>
      </c>
      <c r="E134" s="60">
        <f t="shared" si="33"/>
        <v>7328.0555555555557</v>
      </c>
      <c r="F134" s="60">
        <f t="shared" si="30"/>
        <v>0</v>
      </c>
      <c r="G134" s="61">
        <f t="shared" si="31"/>
        <v>73171.161481481482</v>
      </c>
      <c r="H134" s="61">
        <f t="shared" si="32"/>
        <v>6.1855555555555561</v>
      </c>
      <c r="I134" s="75"/>
    </row>
    <row r="135" spans="1:9" x14ac:dyDescent="0.2">
      <c r="A135" s="64">
        <v>1950</v>
      </c>
      <c r="B135" s="59">
        <v>5084</v>
      </c>
      <c r="C135" s="59">
        <v>0</v>
      </c>
      <c r="D135" s="59">
        <v>0</v>
      </c>
      <c r="E135" s="60">
        <f t="shared" si="33"/>
        <v>2478.1851851851852</v>
      </c>
      <c r="F135" s="60">
        <f t="shared" si="30"/>
        <v>0</v>
      </c>
      <c r="G135" s="61">
        <f t="shared" si="31"/>
        <v>75649.346666666665</v>
      </c>
      <c r="H135" s="61">
        <f t="shared" si="32"/>
        <v>6.1855555555555561</v>
      </c>
      <c r="I135" s="75"/>
    </row>
    <row r="136" spans="1:9" x14ac:dyDescent="0.2">
      <c r="A136" s="64">
        <v>1972</v>
      </c>
      <c r="B136" s="59">
        <v>4667</v>
      </c>
      <c r="C136" s="59">
        <v>0</v>
      </c>
      <c r="D136" s="59">
        <v>0</v>
      </c>
      <c r="E136" s="60">
        <f t="shared" si="33"/>
        <v>3972.6296296296296</v>
      </c>
      <c r="F136" s="60">
        <f t="shared" si="30"/>
        <v>0</v>
      </c>
      <c r="G136" s="61">
        <f t="shared" si="31"/>
        <v>79621.9762962963</v>
      </c>
      <c r="H136" s="61">
        <f t="shared" si="32"/>
        <v>6.1855555555555561</v>
      </c>
      <c r="I136" s="75"/>
    </row>
    <row r="137" spans="1:9" x14ac:dyDescent="0.2">
      <c r="A137" s="64">
        <v>2000</v>
      </c>
      <c r="B137" s="59">
        <v>4369</v>
      </c>
      <c r="C137" s="59">
        <v>0</v>
      </c>
      <c r="D137" s="59">
        <v>0</v>
      </c>
      <c r="E137" s="60">
        <f t="shared" ref="E137:E146" si="34">(((B137+B136)/2)*(A137-A136))/27</f>
        <v>4685.333333333333</v>
      </c>
      <c r="F137" s="60">
        <f t="shared" ref="F137:F146" si="35">(((C137+C136)/2)*(A137-A136))/27</f>
        <v>0</v>
      </c>
      <c r="G137" s="61">
        <f t="shared" si="31"/>
        <v>84307.309629629628</v>
      </c>
      <c r="H137" s="61">
        <f t="shared" si="32"/>
        <v>6.1855555555555561</v>
      </c>
      <c r="I137" s="75"/>
    </row>
    <row r="138" spans="1:9" x14ac:dyDescent="0.2">
      <c r="A138" s="64">
        <v>2050</v>
      </c>
      <c r="B138" s="59">
        <v>3707</v>
      </c>
      <c r="C138" s="59">
        <v>0</v>
      </c>
      <c r="D138" s="59">
        <v>0</v>
      </c>
      <c r="E138" s="60">
        <f t="shared" si="34"/>
        <v>7477.7777777777774</v>
      </c>
      <c r="F138" s="60">
        <f t="shared" si="35"/>
        <v>0</v>
      </c>
      <c r="G138" s="61">
        <f t="shared" si="31"/>
        <v>91785.087407407409</v>
      </c>
      <c r="H138" s="61">
        <f t="shared" si="32"/>
        <v>6.1855555555555561</v>
      </c>
      <c r="I138" s="75"/>
    </row>
    <row r="139" spans="1:9" x14ac:dyDescent="0.2">
      <c r="A139" s="64">
        <v>2100</v>
      </c>
      <c r="B139" s="59">
        <v>3264</v>
      </c>
      <c r="C139" s="59">
        <v>0</v>
      </c>
      <c r="D139" s="59">
        <v>0</v>
      </c>
      <c r="E139" s="60">
        <f t="shared" si="34"/>
        <v>6454.6296296296296</v>
      </c>
      <c r="F139" s="60">
        <f t="shared" si="35"/>
        <v>0</v>
      </c>
      <c r="G139" s="61">
        <f t="shared" si="31"/>
        <v>98239.717037037044</v>
      </c>
      <c r="H139" s="61">
        <f t="shared" si="32"/>
        <v>6.1855555555555561</v>
      </c>
      <c r="I139" s="75"/>
    </row>
    <row r="140" spans="1:9" x14ac:dyDescent="0.2">
      <c r="A140" s="64">
        <v>2115</v>
      </c>
      <c r="B140" s="59">
        <v>3145</v>
      </c>
      <c r="C140" s="59">
        <v>0</v>
      </c>
      <c r="D140" s="59">
        <v>0</v>
      </c>
      <c r="E140" s="60">
        <f t="shared" si="34"/>
        <v>1780.2777777777778</v>
      </c>
      <c r="F140" s="60">
        <f t="shared" si="35"/>
        <v>0</v>
      </c>
      <c r="G140" s="61">
        <f t="shared" si="31"/>
        <v>100019.99481481483</v>
      </c>
      <c r="H140" s="61">
        <f t="shared" si="32"/>
        <v>6.1855555555555561</v>
      </c>
      <c r="I140" s="75"/>
    </row>
    <row r="141" spans="1:9" x14ac:dyDescent="0.2">
      <c r="A141" s="64">
        <v>2150</v>
      </c>
      <c r="B141" s="59">
        <v>2970</v>
      </c>
      <c r="C141" s="59">
        <v>0</v>
      </c>
      <c r="D141" s="59">
        <v>0</v>
      </c>
      <c r="E141" s="60">
        <f t="shared" si="34"/>
        <v>3963.4259259259261</v>
      </c>
      <c r="F141" s="60">
        <f t="shared" si="35"/>
        <v>0</v>
      </c>
      <c r="G141" s="61">
        <f t="shared" si="31"/>
        <v>103983.42074074075</v>
      </c>
      <c r="H141" s="61">
        <f t="shared" si="32"/>
        <v>6.1855555555555561</v>
      </c>
      <c r="I141" s="75"/>
    </row>
    <row r="142" spans="1:9" x14ac:dyDescent="0.2">
      <c r="A142" s="64">
        <v>2200</v>
      </c>
      <c r="B142" s="59">
        <v>2709</v>
      </c>
      <c r="C142" s="59">
        <v>0</v>
      </c>
      <c r="D142" s="59">
        <v>0</v>
      </c>
      <c r="E142" s="60">
        <f t="shared" si="34"/>
        <v>5258.333333333333</v>
      </c>
      <c r="F142" s="60">
        <f t="shared" si="35"/>
        <v>0</v>
      </c>
      <c r="G142" s="61">
        <f t="shared" si="31"/>
        <v>109241.75407407408</v>
      </c>
      <c r="H142" s="61">
        <f t="shared" si="32"/>
        <v>6.1855555555555561</v>
      </c>
      <c r="I142" s="75"/>
    </row>
    <row r="143" spans="1:9" x14ac:dyDescent="0.2">
      <c r="A143" s="64">
        <v>2237</v>
      </c>
      <c r="B143" s="59">
        <v>2297</v>
      </c>
      <c r="C143" s="59">
        <v>0</v>
      </c>
      <c r="D143" s="59">
        <v>0</v>
      </c>
      <c r="E143" s="60">
        <f t="shared" si="34"/>
        <v>3430.037037037037</v>
      </c>
      <c r="F143" s="60">
        <f t="shared" si="35"/>
        <v>0</v>
      </c>
      <c r="G143" s="61">
        <f t="shared" si="31"/>
        <v>112671.79111111112</v>
      </c>
      <c r="H143" s="61">
        <f t="shared" si="32"/>
        <v>6.1855555555555561</v>
      </c>
      <c r="I143" s="75"/>
    </row>
    <row r="144" spans="1:9" x14ac:dyDescent="0.2">
      <c r="A144" s="64">
        <v>2250</v>
      </c>
      <c r="B144" s="59">
        <v>2417</v>
      </c>
      <c r="C144" s="59">
        <v>0</v>
      </c>
      <c r="D144" s="59">
        <v>0</v>
      </c>
      <c r="E144" s="60">
        <f t="shared" si="34"/>
        <v>1134.851851851852</v>
      </c>
      <c r="F144" s="60">
        <f t="shared" si="35"/>
        <v>0</v>
      </c>
      <c r="G144" s="61">
        <f t="shared" si="31"/>
        <v>113806.64296296297</v>
      </c>
      <c r="H144" s="61">
        <f t="shared" si="32"/>
        <v>6.1855555555555561</v>
      </c>
      <c r="I144" s="75"/>
    </row>
    <row r="145" spans="1:9" x14ac:dyDescent="0.2">
      <c r="A145" s="64">
        <v>2300</v>
      </c>
      <c r="B145" s="59">
        <v>1463.9</v>
      </c>
      <c r="C145" s="59">
        <v>0</v>
      </c>
      <c r="D145" s="59">
        <v>0</v>
      </c>
      <c r="E145" s="60">
        <f t="shared" si="34"/>
        <v>3593.4259259259261</v>
      </c>
      <c r="F145" s="60">
        <f t="shared" si="35"/>
        <v>0</v>
      </c>
      <c r="G145" s="61">
        <f t="shared" si="31"/>
        <v>117400.0688888889</v>
      </c>
      <c r="H145" s="61">
        <f t="shared" si="32"/>
        <v>6.1855555555555561</v>
      </c>
      <c r="I145" s="75"/>
    </row>
    <row r="146" spans="1:9" s="54" customFormat="1" x14ac:dyDescent="0.2">
      <c r="A146" s="64">
        <v>2350</v>
      </c>
      <c r="B146" s="59">
        <v>270.58</v>
      </c>
      <c r="C146" s="59">
        <v>448.57</v>
      </c>
      <c r="D146" s="59">
        <v>0</v>
      </c>
      <c r="E146" s="60">
        <f t="shared" si="34"/>
        <v>1606</v>
      </c>
      <c r="F146" s="60">
        <f t="shared" si="35"/>
        <v>415.34259259259261</v>
      </c>
      <c r="G146" s="61">
        <f t="shared" si="31"/>
        <v>119006.0688888889</v>
      </c>
      <c r="H146" s="61">
        <f t="shared" si="32"/>
        <v>421.52814814814815</v>
      </c>
      <c r="I146" s="75"/>
    </row>
    <row r="147" spans="1:9" s="54" customFormat="1" x14ac:dyDescent="0.2">
      <c r="A147" s="64">
        <v>2365.79</v>
      </c>
      <c r="B147" s="59">
        <v>0</v>
      </c>
      <c r="C147" s="59">
        <v>1319.41</v>
      </c>
      <c r="D147" s="59">
        <v>0</v>
      </c>
      <c r="E147" s="60">
        <f t="shared" ref="E147" si="36">(((B147+B146)/2)*(A147-A146))/27</f>
        <v>79.119596296296109</v>
      </c>
      <c r="F147" s="60">
        <f t="shared" ref="F147:F148" si="37">(((C147+C146)/2)*(A147-A146))/27</f>
        <v>516.97044814814694</v>
      </c>
      <c r="G147" s="61">
        <f t="shared" si="31"/>
        <v>119085.18848518519</v>
      </c>
      <c r="H147" s="61">
        <f t="shared" si="32"/>
        <v>938.49859629629509</v>
      </c>
      <c r="I147" s="75"/>
    </row>
    <row r="148" spans="1:9" x14ac:dyDescent="0.2">
      <c r="A148" s="64">
        <v>2580.75</v>
      </c>
      <c r="B148" s="59">
        <v>1551.4937</v>
      </c>
      <c r="C148" s="59">
        <v>0</v>
      </c>
      <c r="D148" s="59">
        <v>0</v>
      </c>
      <c r="E148" s="60">
        <f>(((B148+B147)/2)*(A148-A147))/27</f>
        <v>6176.0941805925931</v>
      </c>
      <c r="F148" s="60">
        <f t="shared" si="37"/>
        <v>5252.229140740742</v>
      </c>
      <c r="G148" s="61">
        <f t="shared" si="31"/>
        <v>125261.28266577779</v>
      </c>
      <c r="H148" s="61">
        <f t="shared" si="32"/>
        <v>6190.7277370370375</v>
      </c>
      <c r="I148" s="68"/>
    </row>
    <row r="149" spans="1:9" x14ac:dyDescent="0.2">
      <c r="A149" s="65"/>
      <c r="B149" s="66"/>
      <c r="C149" s="66"/>
      <c r="D149" s="66"/>
      <c r="E149" s="67"/>
      <c r="F149" s="67"/>
      <c r="G149" s="68"/>
      <c r="H149" s="68"/>
      <c r="I149" s="68"/>
    </row>
    <row r="150" spans="1:9" x14ac:dyDescent="0.2">
      <c r="A150" s="53"/>
      <c r="B150" s="49"/>
      <c r="C150" s="49"/>
      <c r="D150" s="49"/>
      <c r="E150" s="49"/>
      <c r="F150" s="49"/>
      <c r="G150" s="50"/>
      <c r="H150" s="50"/>
      <c r="I150" s="50"/>
    </row>
    <row r="151" spans="1:9" x14ac:dyDescent="0.2">
      <c r="A151" s="47" t="s">
        <v>33</v>
      </c>
      <c r="B151" s="49"/>
      <c r="C151" s="49"/>
      <c r="D151" s="49"/>
      <c r="E151" s="49"/>
      <c r="F151" s="49"/>
      <c r="G151" s="50"/>
      <c r="H151" s="50"/>
      <c r="I151" s="50"/>
    </row>
    <row r="152" spans="1:9" x14ac:dyDescent="0.2">
      <c r="A152" s="64">
        <v>2600</v>
      </c>
      <c r="B152" s="59">
        <v>935.5</v>
      </c>
      <c r="C152" s="59">
        <v>0</v>
      </c>
      <c r="D152" s="59">
        <v>0</v>
      </c>
      <c r="E152" s="60">
        <f>(((B152+B148)/2)*(A152-A148))/27</f>
        <v>886.56719861111117</v>
      </c>
      <c r="F152" s="60">
        <f>(((C152+C148)/2)*(A152-A148))/27</f>
        <v>0</v>
      </c>
      <c r="G152" s="61">
        <f>E152+G148</f>
        <v>126147.8498643889</v>
      </c>
      <c r="H152" s="61">
        <f>F152+H148</f>
        <v>6190.7277370370375</v>
      </c>
      <c r="I152" s="75"/>
    </row>
    <row r="153" spans="1:9" x14ac:dyDescent="0.2">
      <c r="A153" s="64">
        <v>2650</v>
      </c>
      <c r="B153" s="59">
        <v>759.11</v>
      </c>
      <c r="C153" s="59">
        <v>0</v>
      </c>
      <c r="D153" s="59">
        <v>0</v>
      </c>
      <c r="E153" s="60">
        <f t="shared" si="33"/>
        <v>1569.0833333333333</v>
      </c>
      <c r="F153" s="60">
        <f t="shared" si="30"/>
        <v>0</v>
      </c>
      <c r="G153" s="61">
        <f t="shared" ref="G153:G161" si="38">E153+G152</f>
        <v>127716.93319772223</v>
      </c>
      <c r="H153" s="61">
        <f t="shared" ref="H153:H161" si="39">F153+H152</f>
        <v>6190.7277370370375</v>
      </c>
      <c r="I153" s="75"/>
    </row>
    <row r="154" spans="1:9" x14ac:dyDescent="0.2">
      <c r="A154" s="64">
        <v>2660.32</v>
      </c>
      <c r="B154" s="59">
        <v>737.37</v>
      </c>
      <c r="C154" s="59">
        <v>0</v>
      </c>
      <c r="D154" s="59">
        <v>0</v>
      </c>
      <c r="E154" s="60">
        <f t="shared" si="33"/>
        <v>285.99395555556009</v>
      </c>
      <c r="F154" s="60">
        <f t="shared" si="30"/>
        <v>0</v>
      </c>
      <c r="G154" s="61">
        <f t="shared" si="38"/>
        <v>128002.92715327779</v>
      </c>
      <c r="H154" s="61">
        <f t="shared" si="39"/>
        <v>6190.7277370370375</v>
      </c>
      <c r="I154" s="75"/>
    </row>
    <row r="155" spans="1:9" x14ac:dyDescent="0.2">
      <c r="A155" s="64">
        <v>2700</v>
      </c>
      <c r="B155" s="59">
        <v>184</v>
      </c>
      <c r="C155" s="59">
        <v>0</v>
      </c>
      <c r="D155" s="59">
        <v>0</v>
      </c>
      <c r="E155" s="60">
        <f t="shared" si="33"/>
        <v>677.03632592592317</v>
      </c>
      <c r="F155" s="60">
        <f t="shared" si="30"/>
        <v>0</v>
      </c>
      <c r="G155" s="61">
        <f t="shared" si="38"/>
        <v>128679.96347920371</v>
      </c>
      <c r="H155" s="61">
        <f t="shared" si="39"/>
        <v>6190.7277370370375</v>
      </c>
      <c r="I155" s="75"/>
    </row>
    <row r="156" spans="1:9" x14ac:dyDescent="0.2">
      <c r="A156" s="64">
        <v>2717</v>
      </c>
      <c r="B156" s="59">
        <v>143</v>
      </c>
      <c r="C156" s="59">
        <v>0</v>
      </c>
      <c r="D156" s="59">
        <v>0</v>
      </c>
      <c r="E156" s="60">
        <f t="shared" si="33"/>
        <v>102.94444444444444</v>
      </c>
      <c r="F156" s="60">
        <f t="shared" si="30"/>
        <v>0</v>
      </c>
      <c r="G156" s="61">
        <f t="shared" si="38"/>
        <v>128782.90792364815</v>
      </c>
      <c r="H156" s="61">
        <f t="shared" si="39"/>
        <v>6190.7277370370375</v>
      </c>
      <c r="I156" s="75"/>
    </row>
    <row r="157" spans="1:9" x14ac:dyDescent="0.2">
      <c r="A157" s="64">
        <v>2750</v>
      </c>
      <c r="B157" s="59">
        <v>110</v>
      </c>
      <c r="C157" s="59">
        <v>0</v>
      </c>
      <c r="D157" s="59">
        <v>0</v>
      </c>
      <c r="E157" s="60">
        <f t="shared" si="33"/>
        <v>154.61111111111111</v>
      </c>
      <c r="F157" s="60">
        <f t="shared" si="30"/>
        <v>0</v>
      </c>
      <c r="G157" s="61">
        <f t="shared" si="38"/>
        <v>128937.51903475926</v>
      </c>
      <c r="H157" s="61">
        <f t="shared" si="39"/>
        <v>6190.7277370370375</v>
      </c>
      <c r="I157" s="75"/>
    </row>
    <row r="158" spans="1:9" x14ac:dyDescent="0.2">
      <c r="A158" s="64">
        <v>2800</v>
      </c>
      <c r="B158" s="59">
        <v>83</v>
      </c>
      <c r="C158" s="59">
        <v>0</v>
      </c>
      <c r="D158" s="59">
        <v>0</v>
      </c>
      <c r="E158" s="60">
        <f t="shared" si="33"/>
        <v>178.7037037037037</v>
      </c>
      <c r="F158" s="60">
        <f t="shared" si="30"/>
        <v>0</v>
      </c>
      <c r="G158" s="61">
        <f t="shared" si="38"/>
        <v>129116.22273846297</v>
      </c>
      <c r="H158" s="61">
        <f t="shared" si="39"/>
        <v>6190.7277370370375</v>
      </c>
      <c r="I158" s="75"/>
    </row>
    <row r="159" spans="1:9" x14ac:dyDescent="0.2">
      <c r="A159" s="64">
        <v>2850</v>
      </c>
      <c r="B159" s="59">
        <v>111</v>
      </c>
      <c r="C159" s="59">
        <v>0</v>
      </c>
      <c r="D159" s="59">
        <v>0</v>
      </c>
      <c r="E159" s="60">
        <f t="shared" si="33"/>
        <v>179.62962962962962</v>
      </c>
      <c r="F159" s="60">
        <f t="shared" si="30"/>
        <v>0</v>
      </c>
      <c r="G159" s="61">
        <f t="shared" si="38"/>
        <v>129295.8523680926</v>
      </c>
      <c r="H159" s="61">
        <f t="shared" si="39"/>
        <v>6190.7277370370375</v>
      </c>
      <c r="I159" s="75"/>
    </row>
    <row r="160" spans="1:9" x14ac:dyDescent="0.2">
      <c r="A160" s="64">
        <v>2900</v>
      </c>
      <c r="B160" s="59">
        <v>49</v>
      </c>
      <c r="C160" s="59">
        <v>0</v>
      </c>
      <c r="D160" s="59">
        <v>0</v>
      </c>
      <c r="E160" s="60">
        <f t="shared" si="33"/>
        <v>148.14814814814815</v>
      </c>
      <c r="F160" s="60">
        <f t="shared" si="30"/>
        <v>0</v>
      </c>
      <c r="G160" s="61">
        <f t="shared" si="38"/>
        <v>129444.00051624075</v>
      </c>
      <c r="H160" s="61">
        <f t="shared" si="39"/>
        <v>6190.7277370370375</v>
      </c>
      <c r="I160" s="75"/>
    </row>
    <row r="161" spans="1:9" x14ac:dyDescent="0.2">
      <c r="A161" s="64">
        <v>2950</v>
      </c>
      <c r="B161" s="59">
        <v>0</v>
      </c>
      <c r="C161" s="59">
        <v>0</v>
      </c>
      <c r="D161" s="59">
        <v>0</v>
      </c>
      <c r="E161" s="60">
        <f t="shared" ref="E161" si="40">(((B161+B160)/2)*(A161-A160))/27</f>
        <v>45.370370370370374</v>
      </c>
      <c r="F161" s="60">
        <f t="shared" ref="F161" si="41">(((C161+C160)/2)*(A161-A160))/27</f>
        <v>0</v>
      </c>
      <c r="G161" s="63">
        <f t="shared" si="38"/>
        <v>129489.37088661111</v>
      </c>
      <c r="H161" s="63">
        <f t="shared" si="39"/>
        <v>6190.7277370370375</v>
      </c>
      <c r="I161" s="68"/>
    </row>
    <row r="162" spans="1:9" x14ac:dyDescent="0.2">
      <c r="A162" s="65"/>
      <c r="B162" s="66"/>
      <c r="C162" s="66"/>
      <c r="D162" s="66"/>
      <c r="E162" s="67"/>
      <c r="F162" s="67"/>
      <c r="G162" s="68"/>
      <c r="H162" s="68"/>
      <c r="I162" s="68"/>
    </row>
    <row r="163" spans="1:9" x14ac:dyDescent="0.2">
      <c r="A163" s="47"/>
      <c r="B163" s="51"/>
      <c r="C163" s="51"/>
      <c r="D163" s="51"/>
      <c r="E163" s="49"/>
      <c r="F163" s="49"/>
      <c r="G163" s="50"/>
      <c r="H163" s="50"/>
      <c r="I163" s="50"/>
    </row>
    <row r="164" spans="1:9" x14ac:dyDescent="0.2">
      <c r="A164" s="47" t="s">
        <v>41</v>
      </c>
      <c r="B164" s="49"/>
      <c r="C164" s="49"/>
      <c r="D164" s="49"/>
      <c r="E164" s="47"/>
      <c r="F164" s="47"/>
      <c r="G164" s="50"/>
      <c r="H164" s="50"/>
      <c r="I164" s="50"/>
    </row>
    <row r="165" spans="1:9" x14ac:dyDescent="0.2">
      <c r="A165" s="64">
        <v>1650</v>
      </c>
      <c r="B165" s="59">
        <v>0</v>
      </c>
      <c r="C165" s="59">
        <v>0</v>
      </c>
      <c r="D165" s="59">
        <v>0</v>
      </c>
      <c r="E165" s="60">
        <v>0</v>
      </c>
      <c r="F165" s="60">
        <v>0</v>
      </c>
      <c r="G165" s="61">
        <v>0</v>
      </c>
      <c r="H165" s="61">
        <v>0</v>
      </c>
      <c r="I165" s="75"/>
    </row>
    <row r="166" spans="1:9" x14ac:dyDescent="0.2">
      <c r="A166" s="64">
        <v>1700</v>
      </c>
      <c r="B166" s="59">
        <v>936</v>
      </c>
      <c r="C166" s="59">
        <v>0</v>
      </c>
      <c r="D166" s="59">
        <v>0</v>
      </c>
      <c r="E166" s="60">
        <f t="shared" ref="E166:E178" si="42">(((B166+B165)/2)*(A166-A165))/27</f>
        <v>866.66666666666663</v>
      </c>
      <c r="F166" s="60">
        <f t="shared" ref="F166:F178" si="43">(((C166+C165)/2)*(A166-A165))/27</f>
        <v>0</v>
      </c>
      <c r="G166" s="61">
        <f t="shared" ref="G166:H178" si="44">E166+G165</f>
        <v>866.66666666666663</v>
      </c>
      <c r="H166" s="61">
        <f t="shared" si="44"/>
        <v>0</v>
      </c>
      <c r="I166" s="75"/>
    </row>
    <row r="167" spans="1:9" x14ac:dyDescent="0.2">
      <c r="A167" s="64">
        <v>1730</v>
      </c>
      <c r="B167" s="59">
        <v>952</v>
      </c>
      <c r="C167" s="59">
        <v>0</v>
      </c>
      <c r="D167" s="59">
        <v>0</v>
      </c>
      <c r="E167" s="60">
        <f t="shared" si="42"/>
        <v>1048.8888888888889</v>
      </c>
      <c r="F167" s="60">
        <f t="shared" si="43"/>
        <v>0</v>
      </c>
      <c r="G167" s="61">
        <f t="shared" si="44"/>
        <v>1915.5555555555557</v>
      </c>
      <c r="H167" s="61">
        <f t="shared" si="44"/>
        <v>0</v>
      </c>
      <c r="I167" s="75"/>
    </row>
    <row r="168" spans="1:9" x14ac:dyDescent="0.2">
      <c r="A168" s="64">
        <v>1750</v>
      </c>
      <c r="B168" s="59">
        <v>854</v>
      </c>
      <c r="C168" s="59">
        <v>0</v>
      </c>
      <c r="D168" s="59">
        <v>0</v>
      </c>
      <c r="E168" s="60">
        <f t="shared" si="42"/>
        <v>668.88888888888891</v>
      </c>
      <c r="F168" s="60">
        <f t="shared" si="43"/>
        <v>0</v>
      </c>
      <c r="G168" s="61">
        <f t="shared" si="44"/>
        <v>2584.4444444444443</v>
      </c>
      <c r="H168" s="61">
        <f t="shared" si="44"/>
        <v>0</v>
      </c>
      <c r="I168" s="75"/>
    </row>
    <row r="169" spans="1:9" x14ac:dyDescent="0.2">
      <c r="A169" s="64">
        <v>1800</v>
      </c>
      <c r="B169" s="59">
        <v>636</v>
      </c>
      <c r="C169" s="59">
        <v>0</v>
      </c>
      <c r="D169" s="59">
        <v>0</v>
      </c>
      <c r="E169" s="60">
        <f t="shared" si="42"/>
        <v>1379.6296296296296</v>
      </c>
      <c r="F169" s="60">
        <f t="shared" si="43"/>
        <v>0</v>
      </c>
      <c r="G169" s="61">
        <f t="shared" si="44"/>
        <v>3964.0740740740739</v>
      </c>
      <c r="H169" s="61">
        <f t="shared" si="44"/>
        <v>0</v>
      </c>
      <c r="I169" s="75"/>
    </row>
    <row r="170" spans="1:9" x14ac:dyDescent="0.2">
      <c r="A170" s="64">
        <v>1804</v>
      </c>
      <c r="B170" s="59">
        <v>620</v>
      </c>
      <c r="C170" s="59">
        <v>0</v>
      </c>
      <c r="D170" s="59">
        <v>0</v>
      </c>
      <c r="E170" s="60">
        <f t="shared" si="42"/>
        <v>93.037037037037038</v>
      </c>
      <c r="F170" s="60">
        <f t="shared" si="43"/>
        <v>0</v>
      </c>
      <c r="G170" s="61">
        <f t="shared" si="44"/>
        <v>4057.1111111111109</v>
      </c>
      <c r="H170" s="61">
        <f t="shared" si="44"/>
        <v>0</v>
      </c>
      <c r="I170" s="75"/>
    </row>
    <row r="171" spans="1:9" x14ac:dyDescent="0.2">
      <c r="A171" s="64">
        <v>1850</v>
      </c>
      <c r="B171" s="59">
        <v>433</v>
      </c>
      <c r="C171" s="59">
        <v>0</v>
      </c>
      <c r="D171" s="59">
        <v>0</v>
      </c>
      <c r="E171" s="60">
        <f t="shared" si="42"/>
        <v>897</v>
      </c>
      <c r="F171" s="60">
        <f t="shared" si="43"/>
        <v>0</v>
      </c>
      <c r="G171" s="61">
        <f t="shared" si="44"/>
        <v>4954.1111111111113</v>
      </c>
      <c r="H171" s="61">
        <f t="shared" si="44"/>
        <v>0</v>
      </c>
      <c r="I171" s="75"/>
    </row>
    <row r="172" spans="1:9" x14ac:dyDescent="0.2">
      <c r="A172" s="64">
        <v>1872</v>
      </c>
      <c r="B172" s="59">
        <v>373</v>
      </c>
      <c r="C172" s="59">
        <v>0</v>
      </c>
      <c r="D172" s="59">
        <v>0</v>
      </c>
      <c r="E172" s="60">
        <f t="shared" si="42"/>
        <v>328.37037037037038</v>
      </c>
      <c r="F172" s="60">
        <f t="shared" si="43"/>
        <v>0</v>
      </c>
      <c r="G172" s="61">
        <f t="shared" si="44"/>
        <v>5282.4814814814818</v>
      </c>
      <c r="H172" s="61">
        <f t="shared" si="44"/>
        <v>0</v>
      </c>
      <c r="I172" s="68"/>
    </row>
    <row r="173" spans="1:9" x14ac:dyDescent="0.2">
      <c r="A173" s="64">
        <v>1900</v>
      </c>
      <c r="B173" s="59">
        <v>304</v>
      </c>
      <c r="C173" s="59">
        <v>0</v>
      </c>
      <c r="D173" s="59">
        <v>0</v>
      </c>
      <c r="E173" s="60">
        <f t="shared" si="42"/>
        <v>351.03703703703701</v>
      </c>
      <c r="F173" s="60">
        <f t="shared" si="43"/>
        <v>0</v>
      </c>
      <c r="G173" s="61">
        <f t="shared" si="44"/>
        <v>5633.5185185185192</v>
      </c>
      <c r="H173" s="61">
        <f t="shared" si="44"/>
        <v>0</v>
      </c>
      <c r="I173" s="68"/>
    </row>
    <row r="174" spans="1:9" x14ac:dyDescent="0.2">
      <c r="A174" s="64">
        <v>1937</v>
      </c>
      <c r="B174" s="59">
        <v>234</v>
      </c>
      <c r="C174" s="59">
        <v>0</v>
      </c>
      <c r="D174" s="59">
        <v>0</v>
      </c>
      <c r="E174" s="60">
        <f t="shared" si="42"/>
        <v>368.62962962962962</v>
      </c>
      <c r="F174" s="60">
        <f t="shared" si="43"/>
        <v>0</v>
      </c>
      <c r="G174" s="61">
        <f t="shared" si="44"/>
        <v>6002.1481481481487</v>
      </c>
      <c r="H174" s="61">
        <f t="shared" si="44"/>
        <v>0</v>
      </c>
      <c r="I174" s="68"/>
    </row>
    <row r="175" spans="1:9" x14ac:dyDescent="0.2">
      <c r="A175" s="64">
        <v>1950</v>
      </c>
      <c r="B175" s="59">
        <v>212</v>
      </c>
      <c r="C175" s="59">
        <v>0</v>
      </c>
      <c r="D175" s="59">
        <v>0</v>
      </c>
      <c r="E175" s="60">
        <f t="shared" si="42"/>
        <v>107.37037037037037</v>
      </c>
      <c r="F175" s="60">
        <f t="shared" si="43"/>
        <v>0</v>
      </c>
      <c r="G175" s="61">
        <f t="shared" si="44"/>
        <v>6109.5185185185192</v>
      </c>
      <c r="H175" s="61">
        <f t="shared" si="44"/>
        <v>0</v>
      </c>
      <c r="I175" s="68"/>
    </row>
    <row r="176" spans="1:9" x14ac:dyDescent="0.2">
      <c r="A176" s="64">
        <v>1972</v>
      </c>
      <c r="B176" s="59">
        <v>170</v>
      </c>
      <c r="C176" s="59">
        <v>0</v>
      </c>
      <c r="D176" s="59">
        <v>0</v>
      </c>
      <c r="E176" s="60">
        <f t="shared" si="42"/>
        <v>155.62962962962962</v>
      </c>
      <c r="F176" s="60">
        <f t="shared" si="43"/>
        <v>0</v>
      </c>
      <c r="G176" s="61">
        <f t="shared" si="44"/>
        <v>6265.1481481481487</v>
      </c>
      <c r="H176" s="61">
        <f t="shared" si="44"/>
        <v>0</v>
      </c>
      <c r="I176" s="68"/>
    </row>
    <row r="177" spans="1:9" x14ac:dyDescent="0.2">
      <c r="A177" s="64">
        <v>2000</v>
      </c>
      <c r="B177" s="59">
        <v>113</v>
      </c>
      <c r="C177" s="59">
        <v>0</v>
      </c>
      <c r="D177" s="59">
        <v>0</v>
      </c>
      <c r="E177" s="60">
        <f t="shared" si="42"/>
        <v>146.74074074074073</v>
      </c>
      <c r="F177" s="60">
        <f t="shared" si="43"/>
        <v>0</v>
      </c>
      <c r="G177" s="61">
        <f t="shared" si="44"/>
        <v>6411.8888888888896</v>
      </c>
      <c r="H177" s="61">
        <f t="shared" si="44"/>
        <v>0</v>
      </c>
      <c r="I177" s="68"/>
    </row>
    <row r="178" spans="1:9" x14ac:dyDescent="0.2">
      <c r="A178" s="64">
        <v>2050</v>
      </c>
      <c r="B178" s="59">
        <v>39</v>
      </c>
      <c r="C178" s="59">
        <v>0</v>
      </c>
      <c r="D178" s="59">
        <v>0</v>
      </c>
      <c r="E178" s="60">
        <f t="shared" si="42"/>
        <v>140.74074074074073</v>
      </c>
      <c r="F178" s="60">
        <f t="shared" si="43"/>
        <v>0</v>
      </c>
      <c r="G178" s="63">
        <f t="shared" si="44"/>
        <v>6552.6296296296305</v>
      </c>
      <c r="H178" s="63">
        <f t="shared" si="44"/>
        <v>0</v>
      </c>
      <c r="I178" s="68"/>
    </row>
    <row r="179" spans="1:9" x14ac:dyDescent="0.2">
      <c r="A179" s="47"/>
      <c r="B179" s="51"/>
      <c r="C179" s="51"/>
      <c r="D179" s="51"/>
      <c r="E179" s="49"/>
      <c r="F179" s="49"/>
      <c r="G179" s="50"/>
      <c r="H179" s="50"/>
      <c r="I179" s="50"/>
    </row>
    <row r="180" spans="1:9" x14ac:dyDescent="0.2">
      <c r="A180" s="47"/>
      <c r="B180" s="49"/>
      <c r="C180" s="49"/>
      <c r="D180" s="49"/>
      <c r="E180" s="49"/>
      <c r="F180" s="49"/>
      <c r="G180" s="50"/>
      <c r="H180" s="50"/>
      <c r="I180" s="50"/>
    </row>
    <row r="181" spans="1:9" x14ac:dyDescent="0.2">
      <c r="A181" s="47" t="s">
        <v>34</v>
      </c>
      <c r="B181" s="49"/>
      <c r="C181" s="49"/>
      <c r="D181" s="49"/>
      <c r="E181" s="49"/>
      <c r="F181" s="49"/>
      <c r="G181" s="50"/>
      <c r="H181" s="50"/>
      <c r="I181" s="50"/>
    </row>
    <row r="182" spans="1:9" x14ac:dyDescent="0.2">
      <c r="A182" s="64">
        <v>5055</v>
      </c>
      <c r="B182" s="59">
        <v>1215.3900000000001</v>
      </c>
      <c r="C182" s="59">
        <v>0</v>
      </c>
      <c r="D182" s="59">
        <v>0</v>
      </c>
      <c r="E182" s="60">
        <v>0</v>
      </c>
      <c r="F182" s="60">
        <v>0</v>
      </c>
      <c r="G182" s="61">
        <v>0</v>
      </c>
      <c r="H182" s="61">
        <v>0</v>
      </c>
      <c r="I182" s="75"/>
    </row>
    <row r="183" spans="1:9" x14ac:dyDescent="0.2">
      <c r="A183" s="64">
        <v>5100</v>
      </c>
      <c r="B183" s="59">
        <v>46.44</v>
      </c>
      <c r="C183" s="59">
        <v>0</v>
      </c>
      <c r="D183" s="59">
        <v>0</v>
      </c>
      <c r="E183" s="60">
        <f t="shared" ref="E183:E185" si="45">(((B183+B182)/2)*(A183-A182))/27</f>
        <v>1051.5250000000001</v>
      </c>
      <c r="F183" s="60">
        <f t="shared" ref="F183:F185" si="46">(((C183+C182)/2)*(A183-A182))/27</f>
        <v>0</v>
      </c>
      <c r="G183" s="61">
        <f t="shared" ref="G183:H185" si="47">E183+G182</f>
        <v>1051.5250000000001</v>
      </c>
      <c r="H183" s="61">
        <f t="shared" si="47"/>
        <v>0</v>
      </c>
      <c r="I183" s="75"/>
    </row>
    <row r="184" spans="1:9" x14ac:dyDescent="0.2">
      <c r="A184" s="64">
        <v>5150</v>
      </c>
      <c r="B184" s="59">
        <v>0</v>
      </c>
      <c r="C184" s="59">
        <v>0</v>
      </c>
      <c r="D184" s="59">
        <v>0</v>
      </c>
      <c r="E184" s="60">
        <f t="shared" si="45"/>
        <v>43</v>
      </c>
      <c r="F184" s="60">
        <f t="shared" si="46"/>
        <v>0</v>
      </c>
      <c r="G184" s="61">
        <f t="shared" si="47"/>
        <v>1094.5250000000001</v>
      </c>
      <c r="H184" s="61">
        <f t="shared" si="47"/>
        <v>0</v>
      </c>
      <c r="I184" s="75"/>
    </row>
    <row r="185" spans="1:9" x14ac:dyDescent="0.2">
      <c r="A185" s="64">
        <v>5165</v>
      </c>
      <c r="B185" s="59">
        <v>0</v>
      </c>
      <c r="C185" s="59">
        <v>0</v>
      </c>
      <c r="D185" s="59">
        <v>0</v>
      </c>
      <c r="E185" s="60">
        <f t="shared" si="45"/>
        <v>0</v>
      </c>
      <c r="F185" s="60">
        <f t="shared" si="46"/>
        <v>0</v>
      </c>
      <c r="G185" s="63">
        <f t="shared" si="47"/>
        <v>1094.5250000000001</v>
      </c>
      <c r="H185" s="63">
        <f t="shared" si="47"/>
        <v>0</v>
      </c>
      <c r="I185" s="68"/>
    </row>
    <row r="187" spans="1:9" x14ac:dyDescent="0.2">
      <c r="F187" s="76" t="s">
        <v>43</v>
      </c>
      <c r="G187" s="77">
        <f>SUM(G53+G67+G73+G89+G109+G161+G178+G185)</f>
        <v>164239.24181253705</v>
      </c>
      <c r="H187" s="77">
        <f>SUM(H53+H67+H73+H89+H109+H161+H172+H185)</f>
        <v>11048.993107407408</v>
      </c>
    </row>
  </sheetData>
  <mergeCells count="1">
    <mergeCell ref="G9:H9"/>
  </mergeCells>
  <pageMargins left="0.25" right="0.25" top="0.75" bottom="0.75" header="0.3" footer="0.3"/>
  <pageSetup paperSize="17" fitToHeight="0" orientation="portrait" r:id="rId1"/>
  <headerFooter>
    <oddFooter>Page &amp;P of &amp;N</oddFooter>
  </headerFooter>
  <rowBreaks count="4" manualBreakCount="4">
    <brk id="53" max="8" man="1"/>
    <brk id="90" max="8" man="1"/>
    <brk id="110" max="8" man="1"/>
    <brk id="1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E9th Pkg Earthwork Summary</vt:lpstr>
      <vt:lpstr>E9th Pkg Cross Sections</vt:lpstr>
      <vt:lpstr>'E9th Pkg Cross Sections'!Print_Area</vt:lpstr>
      <vt:lpstr>'E9th Pkg Earthwork Summary'!Print_Area</vt:lpstr>
      <vt:lpstr>'E9th Pkg Cross Sections'!Print_Titles</vt:lpstr>
    </vt:vector>
  </TitlesOfParts>
  <Company>HNTB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Kurtz</dc:creator>
  <cp:lastModifiedBy>Kevin Monroe</cp:lastModifiedBy>
  <cp:lastPrinted>2014-09-16T17:51:03Z</cp:lastPrinted>
  <dcterms:created xsi:type="dcterms:W3CDTF">2011-03-23T13:25:31Z</dcterms:created>
  <dcterms:modified xsi:type="dcterms:W3CDTF">2016-01-06T21:41:43Z</dcterms:modified>
</cp:coreProperties>
</file>