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95" windowHeight="11850" activeTab="1"/>
  </bookViews>
  <sheets>
    <sheet name="Tremont Earthwork Summary" sheetId="4" r:id="rId1"/>
    <sheet name="Tremont Cross Sections" sheetId="2" r:id="rId2"/>
  </sheets>
  <definedNames>
    <definedName name="JOB___24810">[0]!job_number</definedName>
    <definedName name="_xlnm.Print_Area" localSheetId="1">'Tremont Cross Sections'!$A$1:$K$175</definedName>
    <definedName name="_xlnm.Print_Area" localSheetId="0">'Tremont Earthwork Summary'!$A$1:$J$36</definedName>
    <definedName name="_xlnm.Print_Titles" localSheetId="1">'Tremont Cross Sections'!$1:$8</definedName>
  </definedNames>
  <calcPr calcId="145621"/>
</workbook>
</file>

<file path=xl/calcChain.xml><?xml version="1.0" encoding="utf-8"?>
<calcChain xmlns="http://schemas.openxmlformats.org/spreadsheetml/2006/main">
  <c r="E36" i="2" l="1"/>
  <c r="F36" i="2"/>
  <c r="E168" i="2"/>
  <c r="F168" i="2"/>
  <c r="E169" i="2"/>
  <c r="F169" i="2"/>
  <c r="E170" i="2"/>
  <c r="F170" i="2"/>
  <c r="E171" i="2"/>
  <c r="F171" i="2"/>
  <c r="E172" i="2"/>
  <c r="F172" i="2"/>
  <c r="F167" i="2"/>
  <c r="H167" i="2" s="1"/>
  <c r="E167" i="2"/>
  <c r="G167" i="2" s="1"/>
  <c r="F157" i="2"/>
  <c r="E157" i="2"/>
  <c r="E116" i="2"/>
  <c r="F116" i="2"/>
  <c r="B114" i="2"/>
  <c r="E115" i="2" s="1"/>
  <c r="B113" i="2"/>
  <c r="B112" i="2"/>
  <c r="B111" i="2"/>
  <c r="B109" i="2"/>
  <c r="B108" i="2"/>
  <c r="B107" i="2"/>
  <c r="B106" i="2"/>
  <c r="B110" i="2"/>
  <c r="B105" i="2"/>
  <c r="B104" i="2"/>
  <c r="B103" i="2"/>
  <c r="B102" i="2"/>
  <c r="D102" i="2"/>
  <c r="B101" i="2"/>
  <c r="B100" i="2"/>
  <c r="B99" i="2"/>
  <c r="B98" i="2"/>
  <c r="B97" i="2"/>
  <c r="B73" i="2"/>
  <c r="B71" i="2"/>
  <c r="C54" i="2"/>
  <c r="B54" i="2"/>
  <c r="E50" i="2"/>
  <c r="F50" i="2"/>
  <c r="E51" i="2"/>
  <c r="F51" i="2"/>
  <c r="C52" i="2"/>
  <c r="F52" i="2" s="1"/>
  <c r="B52" i="2"/>
  <c r="E52" i="2" s="1"/>
  <c r="B48" i="2"/>
  <c r="B47" i="2"/>
  <c r="B46" i="2"/>
  <c r="C45" i="2"/>
  <c r="B45" i="2"/>
  <c r="B44" i="2"/>
  <c r="E44" i="2" s="1"/>
  <c r="C44" i="2"/>
  <c r="C43" i="2"/>
  <c r="E41" i="2"/>
  <c r="B42" i="2"/>
  <c r="E42" i="2" s="1"/>
  <c r="C42" i="2"/>
  <c r="C41" i="2"/>
  <c r="C40" i="2"/>
  <c r="C38" i="2"/>
  <c r="B39" i="2"/>
  <c r="C39" i="2"/>
  <c r="B38" i="2"/>
  <c r="B31" i="2"/>
  <c r="D30" i="2"/>
  <c r="D29" i="2"/>
  <c r="G168" i="2" l="1"/>
  <c r="G169" i="2" s="1"/>
  <c r="G170" i="2" s="1"/>
  <c r="G171" i="2" s="1"/>
  <c r="G172" i="2" s="1"/>
  <c r="D26" i="4" s="1"/>
  <c r="E54" i="2"/>
  <c r="E55" i="2"/>
  <c r="F54" i="2"/>
  <c r="F55" i="2"/>
  <c r="E53" i="2"/>
  <c r="H168" i="2"/>
  <c r="H169" i="2" s="1"/>
  <c r="H170" i="2" s="1"/>
  <c r="H171" i="2" s="1"/>
  <c r="H172" i="2" s="1"/>
  <c r="F26" i="4" s="1"/>
  <c r="F44" i="2"/>
  <c r="F39" i="2"/>
  <c r="F53" i="2"/>
  <c r="F42" i="2"/>
  <c r="F40" i="2"/>
  <c r="E39" i="2"/>
  <c r="E40" i="2"/>
  <c r="F41" i="2"/>
  <c r="F43" i="2"/>
  <c r="E43" i="2"/>
  <c r="J131" i="2"/>
  <c r="J123" i="2"/>
  <c r="I26" i="4" l="1"/>
  <c r="D28" i="4"/>
  <c r="C153" i="2"/>
  <c r="C152" i="2"/>
  <c r="C151" i="2"/>
  <c r="C150" i="2"/>
  <c r="C149" i="2"/>
  <c r="C148" i="2"/>
  <c r="C147" i="2"/>
  <c r="C146" i="2"/>
  <c r="C145" i="2"/>
  <c r="B79" i="2"/>
  <c r="C79" i="2"/>
  <c r="B78" i="2"/>
  <c r="B77" i="2"/>
  <c r="B76" i="2"/>
  <c r="B74" i="2"/>
  <c r="B75" i="2"/>
  <c r="B72" i="2"/>
  <c r="B70" i="2"/>
  <c r="C47" i="2"/>
  <c r="C37" i="2"/>
  <c r="F35" i="2"/>
  <c r="E35" i="2"/>
  <c r="F38" i="2" l="1"/>
  <c r="F37" i="2"/>
  <c r="E128" i="2"/>
  <c r="F128" i="2"/>
  <c r="E129" i="2"/>
  <c r="F129" i="2"/>
  <c r="E130" i="2"/>
  <c r="F130" i="2"/>
  <c r="E133" i="2"/>
  <c r="F133" i="2"/>
  <c r="E134" i="2"/>
  <c r="F134" i="2"/>
  <c r="C137" i="2"/>
  <c r="C135" i="2"/>
  <c r="F135" i="2" s="1"/>
  <c r="B135" i="2"/>
  <c r="E136" i="2" s="1"/>
  <c r="F131" i="2"/>
  <c r="E132" i="2"/>
  <c r="F162" i="2"/>
  <c r="E163" i="2"/>
  <c r="F161" i="2"/>
  <c r="F154" i="2"/>
  <c r="F155" i="2"/>
  <c r="F142" i="2"/>
  <c r="H142" i="2" s="1"/>
  <c r="F143" i="2"/>
  <c r="E142" i="2"/>
  <c r="G142" i="2" s="1"/>
  <c r="C114" i="2"/>
  <c r="F115" i="2" s="1"/>
  <c r="C109" i="2"/>
  <c r="F110" i="2" s="1"/>
  <c r="F108" i="2"/>
  <c r="E108" i="2"/>
  <c r="C106" i="2"/>
  <c r="F107" i="2" s="1"/>
  <c r="E107" i="2"/>
  <c r="E110" i="2"/>
  <c r="E111" i="2"/>
  <c r="F111" i="2"/>
  <c r="E112" i="2"/>
  <c r="F112" i="2"/>
  <c r="E113" i="2"/>
  <c r="E114" i="2"/>
  <c r="F104" i="2"/>
  <c r="C102" i="2"/>
  <c r="F103" i="2" s="1"/>
  <c r="C101" i="2"/>
  <c r="C100" i="2"/>
  <c r="C99" i="2"/>
  <c r="C98" i="2"/>
  <c r="C97" i="2"/>
  <c r="C93" i="2"/>
  <c r="B93" i="2"/>
  <c r="E92" i="2"/>
  <c r="F92" i="2"/>
  <c r="F91" i="2"/>
  <c r="H91" i="2" s="1"/>
  <c r="E91" i="2"/>
  <c r="G91" i="2" s="1"/>
  <c r="E89" i="2"/>
  <c r="C85" i="2"/>
  <c r="F132" i="2" l="1"/>
  <c r="G92" i="2"/>
  <c r="E131" i="2"/>
  <c r="F136" i="2"/>
  <c r="E135" i="2"/>
  <c r="H143" i="2"/>
  <c r="E148" i="2"/>
  <c r="F153" i="2"/>
  <c r="F163" i="2"/>
  <c r="E143" i="2"/>
  <c r="G143" i="2" s="1"/>
  <c r="F147" i="2"/>
  <c r="F144" i="2"/>
  <c r="F145" i="2"/>
  <c r="F146" i="2"/>
  <c r="E147" i="2"/>
  <c r="F148" i="2"/>
  <c r="F149" i="2"/>
  <c r="F150" i="2"/>
  <c r="E144" i="2"/>
  <c r="E145" i="2"/>
  <c r="E146" i="2"/>
  <c r="E149" i="2"/>
  <c r="E150" i="2"/>
  <c r="E103" i="2"/>
  <c r="F151" i="2"/>
  <c r="F152" i="2"/>
  <c r="E155" i="2"/>
  <c r="E104" i="2"/>
  <c r="F113" i="2"/>
  <c r="E151" i="2"/>
  <c r="H161" i="2"/>
  <c r="H162" i="2" s="1"/>
  <c r="E161" i="2"/>
  <c r="G161" i="2" s="1"/>
  <c r="E162" i="2"/>
  <c r="E154" i="2"/>
  <c r="E153" i="2"/>
  <c r="E152" i="2"/>
  <c r="F105" i="2"/>
  <c r="F106" i="2"/>
  <c r="H92" i="2"/>
  <c r="E105" i="2"/>
  <c r="F114" i="2"/>
  <c r="F109" i="2"/>
  <c r="E109" i="2"/>
  <c r="E106" i="2"/>
  <c r="E48" i="2"/>
  <c r="B37" i="2"/>
  <c r="C31" i="2"/>
  <c r="C30" i="2"/>
  <c r="C24" i="2"/>
  <c r="F25" i="2" s="1"/>
  <c r="E25" i="2"/>
  <c r="C23" i="2"/>
  <c r="F23" i="2" s="1"/>
  <c r="E20" i="2"/>
  <c r="F15" i="2"/>
  <c r="E15" i="2"/>
  <c r="E61" i="2"/>
  <c r="F61" i="2"/>
  <c r="E62" i="2"/>
  <c r="F62" i="2"/>
  <c r="E63" i="2"/>
  <c r="F63" i="2"/>
  <c r="E64" i="2"/>
  <c r="F64" i="2"/>
  <c r="F47" i="2"/>
  <c r="F48" i="2"/>
  <c r="F49" i="2"/>
  <c r="E60" i="2"/>
  <c r="F60" i="2"/>
  <c r="E16" i="2"/>
  <c r="F16" i="2"/>
  <c r="E19" i="2"/>
  <c r="F19" i="2"/>
  <c r="F20" i="2"/>
  <c r="F21" i="2"/>
  <c r="F22" i="2"/>
  <c r="E26" i="2"/>
  <c r="F26" i="2"/>
  <c r="E27" i="2"/>
  <c r="F27" i="2"/>
  <c r="E28" i="2"/>
  <c r="F28" i="2"/>
  <c r="E29" i="2"/>
  <c r="F29" i="2"/>
  <c r="E30" i="2"/>
  <c r="E31" i="2"/>
  <c r="E45" i="2"/>
  <c r="F45" i="2"/>
  <c r="E46" i="2"/>
  <c r="F46" i="2"/>
  <c r="G11" i="2"/>
  <c r="H11" i="2"/>
  <c r="E12" i="2"/>
  <c r="F12" i="2"/>
  <c r="E13" i="2"/>
  <c r="F13" i="2"/>
  <c r="E38" i="2" l="1"/>
  <c r="E37" i="2"/>
  <c r="G144" i="2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F31" i="2"/>
  <c r="E14" i="2"/>
  <c r="F14" i="2"/>
  <c r="E24" i="2"/>
  <c r="F30" i="2"/>
  <c r="H163" i="2"/>
  <c r="F24" i="2"/>
  <c r="H144" i="2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2" i="2"/>
  <c r="H13" i="2" s="1"/>
  <c r="E22" i="2"/>
  <c r="E47" i="2"/>
  <c r="G12" i="2"/>
  <c r="G13" i="2" s="1"/>
  <c r="E23" i="2"/>
  <c r="E21" i="2"/>
  <c r="E49" i="2"/>
  <c r="G162" i="2"/>
  <c r="G163" i="2" s="1"/>
  <c r="F24" i="4" l="1"/>
  <c r="D24" i="4"/>
  <c r="G14" i="2"/>
  <c r="G15" i="2" s="1"/>
  <c r="G16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H14" i="2"/>
  <c r="H15" i="2" s="1"/>
  <c r="H16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4" i="2" s="1"/>
  <c r="H35" i="2" s="1"/>
  <c r="H36" i="2" s="1"/>
  <c r="H37" i="2" s="1"/>
  <c r="H38" i="2" s="1"/>
  <c r="H39" i="2" s="1"/>
  <c r="H40" i="2" s="1"/>
  <c r="H41" i="2" s="1"/>
  <c r="H42" i="2" s="1"/>
  <c r="F102" i="2"/>
  <c r="E102" i="2"/>
  <c r="F101" i="2"/>
  <c r="E101" i="2"/>
  <c r="F100" i="2"/>
  <c r="E100" i="2"/>
  <c r="F99" i="2"/>
  <c r="E99" i="2"/>
  <c r="F98" i="2"/>
  <c r="E98" i="2"/>
  <c r="E156" i="2"/>
  <c r="F156" i="2"/>
  <c r="F70" i="2"/>
  <c r="E71" i="2"/>
  <c r="F71" i="2"/>
  <c r="E72" i="2"/>
  <c r="F72" i="2"/>
  <c r="F73" i="2"/>
  <c r="F74" i="2"/>
  <c r="F75" i="2"/>
  <c r="F76" i="2"/>
  <c r="F77" i="2"/>
  <c r="F78" i="2"/>
  <c r="F79" i="2"/>
  <c r="E80" i="2"/>
  <c r="F80" i="2"/>
  <c r="E81" i="2"/>
  <c r="F81" i="2"/>
  <c r="E82" i="2"/>
  <c r="F82" i="2"/>
  <c r="E83" i="2"/>
  <c r="F83" i="2"/>
  <c r="E84" i="2"/>
  <c r="F84" i="2"/>
  <c r="F85" i="2"/>
  <c r="F86" i="2"/>
  <c r="F93" i="2"/>
  <c r="F121" i="2"/>
  <c r="H121" i="2" s="1"/>
  <c r="F122" i="2"/>
  <c r="F123" i="2"/>
  <c r="F124" i="2"/>
  <c r="F125" i="2"/>
  <c r="F126" i="2"/>
  <c r="F127" i="2"/>
  <c r="E137" i="2"/>
  <c r="F137" i="2"/>
  <c r="E123" i="2"/>
  <c r="E85" i="2"/>
  <c r="E75" i="2"/>
  <c r="E73" i="2"/>
  <c r="E70" i="2"/>
  <c r="H43" i="2" l="1"/>
  <c r="H122" i="2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G34" i="2"/>
  <c r="E77" i="2"/>
  <c r="E121" i="2"/>
  <c r="G121" i="2" s="1"/>
  <c r="E124" i="2"/>
  <c r="E74" i="2"/>
  <c r="E76" i="2"/>
  <c r="E78" i="2"/>
  <c r="E86" i="2"/>
  <c r="E93" i="2"/>
  <c r="E125" i="2"/>
  <c r="E126" i="2"/>
  <c r="E79" i="2"/>
  <c r="E127" i="2"/>
  <c r="E122" i="2"/>
  <c r="H44" i="2" l="1"/>
  <c r="H45" i="2" s="1"/>
  <c r="H46" i="2" s="1"/>
  <c r="H47" i="2" s="1"/>
  <c r="H48" i="2" s="1"/>
  <c r="H49" i="2" s="1"/>
  <c r="H50" i="2" s="1"/>
  <c r="H51" i="2" s="1"/>
  <c r="H52" i="2" s="1"/>
  <c r="H53" i="2" s="1"/>
  <c r="G35" i="2"/>
  <c r="G122" i="2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H70" i="2"/>
  <c r="H54" i="2" l="1"/>
  <c r="H55" i="2" s="1"/>
  <c r="G36" i="2"/>
  <c r="G37" i="2" s="1"/>
  <c r="G38" i="2" s="1"/>
  <c r="G39" i="2" s="1"/>
  <c r="G40" i="2" s="1"/>
  <c r="G41" i="2" s="1"/>
  <c r="G42" i="2" s="1"/>
  <c r="H71" i="2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175" i="2" s="1"/>
  <c r="G70" i="2"/>
  <c r="H58" i="2" l="1"/>
  <c r="H60" i="2" s="1"/>
  <c r="H61" i="2" s="1"/>
  <c r="H62" i="2" s="1"/>
  <c r="H63" i="2" s="1"/>
  <c r="H64" i="2" s="1"/>
  <c r="G43" i="2"/>
  <c r="H93" i="2"/>
  <c r="F16" i="4" s="1"/>
  <c r="F14" i="4"/>
  <c r="F28" i="4" s="1"/>
  <c r="I33" i="4" s="1"/>
  <c r="G71" i="2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H98" i="2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F12" i="4" l="1"/>
  <c r="H115" i="2"/>
  <c r="H116" i="2" s="1"/>
  <c r="F18" i="4" s="1"/>
  <c r="G44" i="2"/>
  <c r="G45" i="2" s="1"/>
  <c r="G46" i="2" s="1"/>
  <c r="G47" i="2" s="1"/>
  <c r="G48" i="2" s="1"/>
  <c r="G49" i="2" s="1"/>
  <c r="G93" i="2"/>
  <c r="D16" i="4" s="1"/>
  <c r="D14" i="4"/>
  <c r="I14" i="4" s="1"/>
  <c r="I28" i="4" s="1"/>
  <c r="G98" i="2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l="1"/>
  <c r="G112" i="2" s="1"/>
  <c r="G113" i="2" s="1"/>
  <c r="G114" i="2" s="1"/>
  <c r="G115" i="2" s="1"/>
  <c r="G116" i="2" s="1"/>
  <c r="D18" i="4" s="1"/>
  <c r="G50" i="2"/>
  <c r="G51" i="2" s="1"/>
  <c r="G52" i="2" s="1"/>
  <c r="G53" i="2" s="1"/>
  <c r="I16" i="4"/>
  <c r="H134" i="2"/>
  <c r="H135" i="2" s="1"/>
  <c r="H136" i="2" s="1"/>
  <c r="H156" i="2"/>
  <c r="I24" i="4"/>
  <c r="F22" i="4" l="1"/>
  <c r="H157" i="2"/>
  <c r="G54" i="2"/>
  <c r="G55" i="2" s="1"/>
  <c r="H137" i="2"/>
  <c r="I18" i="4"/>
  <c r="G134" i="2"/>
  <c r="G135" i="2" s="1"/>
  <c r="G136" i="2" s="1"/>
  <c r="G156" i="2"/>
  <c r="D22" i="4" l="1"/>
  <c r="I22" i="4" s="1"/>
  <c r="G157" i="2"/>
  <c r="G58" i="2"/>
  <c r="G60" i="2" s="1"/>
  <c r="G61" i="2" s="1"/>
  <c r="G62" i="2" s="1"/>
  <c r="G63" i="2" s="1"/>
  <c r="G64" i="2" s="1"/>
  <c r="G175" i="2" s="1"/>
  <c r="F20" i="4"/>
  <c r="G137" i="2"/>
  <c r="D20" i="4" s="1"/>
  <c r="D12" i="4" l="1"/>
  <c r="I20" i="4"/>
  <c r="I12" i="4" l="1"/>
  <c r="I31" i="4"/>
</calcChain>
</file>

<file path=xl/sharedStrings.xml><?xml version="1.0" encoding="utf-8"?>
<sst xmlns="http://schemas.openxmlformats.org/spreadsheetml/2006/main" count="68" uniqueCount="45">
  <si>
    <t>PROJECT - Cleveland Innerbelt - CCG1</t>
  </si>
  <si>
    <t>ODOT PROJECT # - CUY-90-14.90</t>
  </si>
  <si>
    <t>PID 77332 / 85531</t>
  </si>
  <si>
    <t>HNTB PROJECT # - 49633 PA 002</t>
  </si>
  <si>
    <t>*Cut/Fill Factor of 1.00</t>
  </si>
  <si>
    <t>CUT</t>
  </si>
  <si>
    <t>FILL</t>
  </si>
  <si>
    <t>Accumulated Section Total</t>
  </si>
  <si>
    <t>TOTAL</t>
  </si>
  <si>
    <t>VOLUME</t>
  </si>
  <si>
    <t>(+)</t>
  </si>
  <si>
    <t>(-)</t>
  </si>
  <si>
    <t>BORROW</t>
  </si>
  <si>
    <t>WASTE</t>
  </si>
  <si>
    <t>(CYS)</t>
  </si>
  <si>
    <t>203E10000</t>
  </si>
  <si>
    <t>EXCAVATION</t>
  </si>
  <si>
    <t>CYS</t>
  </si>
  <si>
    <t>203E20000</t>
  </si>
  <si>
    <t>EMBANKMENT</t>
  </si>
  <si>
    <t>STRUCTURE BACKFILL</t>
  </si>
  <si>
    <t>**** Quantity of Structural Backfill for retaining walls has not been calculated.  The earthwork quantity should be adjusted once those amounts are known. ****</t>
  </si>
  <si>
    <t>Location - Street</t>
  </si>
  <si>
    <t>Station</t>
  </si>
  <si>
    <t>Area Cut
(SFT)</t>
  </si>
  <si>
    <t>Area Fill
(SFT)</t>
  </si>
  <si>
    <t>Pavement Removal (SFT)</t>
  </si>
  <si>
    <t>Vol Cut
(CYS)</t>
  </si>
  <si>
    <t>Vol Fill
(CYS)</t>
  </si>
  <si>
    <t>Total:</t>
  </si>
  <si>
    <t>I-90 WB (Sta. 98+00 to 122+40)</t>
  </si>
  <si>
    <t>Bridge</t>
  </si>
  <si>
    <t>Ramp A6 (Sta.807+83 to 816+00)</t>
  </si>
  <si>
    <t>Ramp A7 (Sta. 1014+35 to 1015+00)</t>
  </si>
  <si>
    <t>Abbey (19+75 to 28+12)</t>
  </si>
  <si>
    <t>W. 14th St (Sta. 100+00 to 108+50)</t>
  </si>
  <si>
    <t>Fairfield (Sta. 11+00 to 18+50)</t>
  </si>
  <si>
    <t>W. 13th St (Sta.1+28 to 2+26)</t>
  </si>
  <si>
    <t>Orange Text took quantities from Roadway Grading A</t>
  </si>
  <si>
    <t>Start of Tremont Grading A</t>
  </si>
  <si>
    <t>End Tremont Grading A</t>
  </si>
  <si>
    <t>Start of Tremont Grading B (Covers Ramp A6 and Fairfield)</t>
  </si>
  <si>
    <t>Non-performed numbers.</t>
  </si>
  <si>
    <t>CPP DRIVE ABBEY ROAD</t>
  </si>
  <si>
    <t>CPP Drive Abbey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</si>
</sst>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+00.00"/>
  </numFmts>
  <fonts count="2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sz val="10"/>
      <color rgb="FF3333FF"/>
      <name val="Arial"/>
      <family val="2"/>
    </font>
    <font>
      <sz val="10"/>
      <color theme="1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110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1" applyFont="1" applyFill="1"/>
    <xf numFmtId="0" fontId="5" fillId="0" borderId="0" xfId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ill="1" applyAlignment="1">
      <alignment horizontal="left"/>
    </xf>
    <xf numFmtId="0" fontId="5" fillId="0" borderId="0" xfId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ill="1" applyAlignment="1">
      <alignment horizontal="right"/>
    </xf>
    <xf numFmtId="0" fontId="5" fillId="0" borderId="0" xfId="1" applyFill="1"/>
    <xf numFmtId="0" fontId="8" fillId="0" borderId="0" xfId="1" applyFont="1" applyFill="1" applyAlignment="1">
      <alignment horizontal="left" vertical="center"/>
    </xf>
    <xf numFmtId="0" fontId="5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2" fontId="5" fillId="0" borderId="0" xfId="1" applyNumberForma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2" fontId="5" fillId="0" borderId="0" xfId="1" applyNumberForma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10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right"/>
    </xf>
    <xf numFmtId="2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2" fontId="5" fillId="0" borderId="0" xfId="1" applyNumberFormat="1" applyFont="1" applyFill="1" applyAlignment="1">
      <alignment horizontal="center"/>
    </xf>
    <xf numFmtId="11" fontId="6" fillId="0" borderId="0" xfId="1" applyNumberFormat="1" applyFont="1" applyFill="1" applyBorder="1" applyAlignment="1">
      <alignment horizontal="left"/>
    </xf>
    <xf numFmtId="0" fontId="6" fillId="0" borderId="3" xfId="1" applyFont="1" applyFill="1" applyBorder="1"/>
    <xf numFmtId="0" fontId="5" fillId="0" borderId="4" xfId="1" applyFill="1" applyBorder="1"/>
    <xf numFmtId="1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/>
    <xf numFmtId="2" fontId="9" fillId="0" borderId="4" xfId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3" fontId="12" fillId="0" borderId="5" xfId="1" applyNumberFormat="1" applyFont="1" applyFill="1" applyBorder="1" applyAlignment="1">
      <alignment horizontal="center"/>
    </xf>
    <xf numFmtId="164" fontId="12" fillId="0" borderId="6" xfId="1" applyNumberFormat="1" applyFont="1" applyFill="1" applyBorder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1" fontId="4" fillId="0" borderId="0" xfId="0" applyNumberFormat="1" applyFont="1" applyFill="1"/>
    <xf numFmtId="1" fontId="1" fillId="0" borderId="0" xfId="0" applyNumberFormat="1" applyFont="1" applyFill="1"/>
    <xf numFmtId="0" fontId="0" fillId="0" borderId="0" xfId="0" applyNumberFormat="1" applyFill="1"/>
    <xf numFmtId="0" fontId="4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" fontId="13" fillId="0" borderId="7" xfId="0" applyNumberFormat="1" applyFont="1" applyFill="1" applyBorder="1"/>
    <xf numFmtId="1" fontId="0" fillId="0" borderId="7" xfId="0" applyNumberFormat="1" applyFill="1" applyBorder="1"/>
    <xf numFmtId="1" fontId="4" fillId="0" borderId="7" xfId="0" applyNumberFormat="1" applyFont="1" applyFill="1" applyBorder="1"/>
    <xf numFmtId="165" fontId="0" fillId="0" borderId="7" xfId="0" applyNumberFormat="1" applyFill="1" applyBorder="1" applyAlignment="1">
      <alignment horizontal="right"/>
    </xf>
    <xf numFmtId="1" fontId="3" fillId="0" borderId="7" xfId="0" applyNumberFormat="1" applyFont="1" applyFill="1" applyBorder="1"/>
    <xf numFmtId="165" fontId="0" fillId="0" borderId="7" xfId="0" applyNumberFormat="1" applyFill="1" applyBorder="1"/>
    <xf numFmtId="165" fontId="0" fillId="0" borderId="0" xfId="0" applyNumberFormat="1" applyFill="1" applyBorder="1"/>
    <xf numFmtId="1" fontId="13" fillId="0" borderId="0" xfId="0" applyNumberFormat="1" applyFon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0" fontId="5" fillId="0" borderId="0" xfId="0" applyFont="1"/>
    <xf numFmtId="14" fontId="5" fillId="0" borderId="0" xfId="0" applyNumberFormat="1" applyFont="1"/>
    <xf numFmtId="0" fontId="2" fillId="0" borderId="7" xfId="2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4" fillId="0" borderId="0" xfId="0" applyNumberFormat="1" applyFont="1" applyFill="1" applyBorder="1"/>
    <xf numFmtId="0" fontId="2" fillId="0" borderId="0" xfId="0" applyFont="1" applyAlignment="1">
      <alignment horizontal="right" vertical="center"/>
    </xf>
    <xf numFmtId="1" fontId="2" fillId="0" borderId="8" xfId="0" applyNumberFormat="1" applyFont="1" applyBorder="1"/>
    <xf numFmtId="0" fontId="4" fillId="0" borderId="0" xfId="0" applyFont="1" applyAlignment="1">
      <alignment horizontal="center"/>
    </xf>
    <xf numFmtId="165" fontId="15" fillId="0" borderId="7" xfId="0" applyNumberFormat="1" applyFont="1" applyFill="1" applyBorder="1" applyAlignment="1">
      <alignment horizontal="right"/>
    </xf>
    <xf numFmtId="0" fontId="15" fillId="0" borderId="0" xfId="0" applyFont="1"/>
    <xf numFmtId="1" fontId="15" fillId="0" borderId="7" xfId="0" applyNumberFormat="1" applyFont="1" applyFill="1" applyBorder="1"/>
    <xf numFmtId="165" fontId="15" fillId="2" borderId="7" xfId="0" applyNumberFormat="1" applyFont="1" applyFill="1" applyBorder="1" applyAlignment="1">
      <alignment horizontal="right"/>
    </xf>
    <xf numFmtId="1" fontId="15" fillId="2" borderId="7" xfId="0" applyNumberFormat="1" applyFont="1" applyFill="1" applyBorder="1"/>
    <xf numFmtId="1" fontId="16" fillId="2" borderId="7" xfId="0" applyNumberFormat="1" applyFont="1" applyFill="1" applyBorder="1"/>
    <xf numFmtId="1" fontId="3" fillId="2" borderId="0" xfId="0" applyNumberFormat="1" applyFont="1" applyFill="1" applyBorder="1"/>
    <xf numFmtId="1" fontId="13" fillId="2" borderId="7" xfId="0" applyNumberFormat="1" applyFont="1" applyFill="1" applyBorder="1"/>
    <xf numFmtId="1" fontId="0" fillId="2" borderId="7" xfId="0" applyNumberFormat="1" applyFill="1" applyBorder="1"/>
    <xf numFmtId="1" fontId="4" fillId="2" borderId="7" xfId="0" applyNumberFormat="1" applyFont="1" applyFill="1" applyBorder="1"/>
    <xf numFmtId="165" fontId="0" fillId="2" borderId="7" xfId="0" applyNumberForma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left"/>
    </xf>
    <xf numFmtId="1" fontId="16" fillId="2" borderId="0" xfId="0" applyNumberFormat="1" applyFont="1" applyFill="1" applyBorder="1"/>
    <xf numFmtId="1" fontId="4" fillId="2" borderId="0" xfId="0" applyNumberFormat="1" applyFont="1" applyFill="1" applyBorder="1"/>
    <xf numFmtId="1" fontId="2" fillId="0" borderId="0" xfId="0" applyNumberFormat="1" applyFont="1" applyBorder="1"/>
    <xf numFmtId="165" fontId="1" fillId="0" borderId="7" xfId="0" applyNumberFormat="1" applyFont="1" applyFill="1" applyBorder="1" applyAlignment="1">
      <alignment horizontal="right"/>
    </xf>
    <xf numFmtId="1" fontId="1" fillId="0" borderId="7" xfId="0" applyNumberFormat="1" applyFont="1" applyFill="1" applyBorder="1"/>
    <xf numFmtId="1" fontId="19" fillId="0" borderId="7" xfId="0" applyNumberFormat="1" applyFont="1" applyFill="1" applyBorder="1"/>
    <xf numFmtId="165" fontId="0" fillId="3" borderId="7" xfId="0" applyNumberFormat="1" applyFill="1" applyBorder="1"/>
    <xf numFmtId="1" fontId="13" fillId="3" borderId="7" xfId="0" applyNumberFormat="1" applyFont="1" applyFill="1" applyBorder="1"/>
    <xf numFmtId="1" fontId="0" fillId="3" borderId="7" xfId="0" applyNumberFormat="1" applyFill="1" applyBorder="1"/>
    <xf numFmtId="1" fontId="4" fillId="3" borderId="7" xfId="0" applyNumberFormat="1" applyFont="1" applyFill="1" applyBorder="1"/>
    <xf numFmtId="1" fontId="3" fillId="3" borderId="7" xfId="0" applyNumberFormat="1" applyFont="1" applyFill="1" applyBorder="1"/>
    <xf numFmtId="165" fontId="0" fillId="4" borderId="7" xfId="0" applyNumberFormat="1" applyFill="1" applyBorder="1"/>
    <xf numFmtId="1" fontId="13" fillId="4" borderId="7" xfId="0" applyNumberFormat="1" applyFont="1" applyFill="1" applyBorder="1"/>
    <xf numFmtId="1" fontId="0" fillId="4" borderId="7" xfId="0" applyNumberFormat="1" applyFill="1" applyBorder="1"/>
    <xf numFmtId="1" fontId="4" fillId="4" borderId="7" xfId="0" applyNumberFormat="1" applyFont="1" applyFill="1" applyBorder="1"/>
    <xf numFmtId="1" fontId="3" fillId="4" borderId="7" xfId="0" applyNumberFormat="1" applyFont="1" applyFill="1" applyBorder="1"/>
    <xf numFmtId="165" fontId="0" fillId="4" borderId="7" xfId="0" applyNumberFormat="1" applyFill="1" applyBorder="1" applyAlignment="1">
      <alignment horizontal="right" vertical="center"/>
    </xf>
    <xf numFmtId="165" fontId="0" fillId="4" borderId="7" xfId="0" applyNumberForma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17" fillId="0" borderId="0" xfId="0" applyNumberFormat="1" applyFont="1" applyFill="1"/>
    <xf numFmtId="1" fontId="17" fillId="0" borderId="0" xfId="0" applyNumberFormat="1" applyFont="1" applyFill="1"/>
    <xf numFmtId="1" fontId="18" fillId="0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view="pageBreakPreview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" sqref="G1:J4"/>
    </sheetView>
  </sheetViews>
  <sheetFormatPr defaultRowHeight="12.75" x14ac:dyDescent="0.2"/>
  <cols>
    <col min="1" max="1" width="2.5703125" style="18" customWidth="1"/>
    <col min="2" max="2" width="23.5703125" style="18" customWidth="1"/>
    <col min="3" max="3" width="21.7109375" style="7" customWidth="1"/>
    <col min="4" max="4" width="10.28515625" style="7" bestFit="1" customWidth="1"/>
    <col min="5" max="5" width="7.7109375" style="7" customWidth="1"/>
    <col min="6" max="6" width="10.28515625" style="7" bestFit="1" customWidth="1"/>
    <col min="7" max="7" width="12.85546875" style="18" customWidth="1"/>
    <col min="8" max="8" width="8.7109375" style="18" customWidth="1"/>
    <col min="9" max="9" width="11" style="7" customWidth="1"/>
    <col min="10" max="10" width="11.140625" style="24" bestFit="1" customWidth="1"/>
    <col min="11" max="12" width="8.7109375" style="7" customWidth="1"/>
    <col min="13" max="13" width="1.7109375" style="18" hidden="1" customWidth="1"/>
    <col min="14" max="14" width="8.7109375" style="7" customWidth="1"/>
    <col min="15" max="256" width="9.140625" style="18"/>
    <col min="257" max="257" width="2.5703125" style="18" customWidth="1"/>
    <col min="258" max="258" width="13.85546875" style="18" customWidth="1"/>
    <col min="259" max="259" width="23.42578125" style="18" customWidth="1"/>
    <col min="260" max="260" width="10.28515625" style="18" bestFit="1" customWidth="1"/>
    <col min="261" max="261" width="7.7109375" style="18" customWidth="1"/>
    <col min="262" max="262" width="10.28515625" style="18" bestFit="1" customWidth="1"/>
    <col min="263" max="263" width="6.7109375" style="18" customWidth="1"/>
    <col min="264" max="264" width="8.7109375" style="18" customWidth="1"/>
    <col min="265" max="265" width="12" style="18" bestFit="1" customWidth="1"/>
    <col min="266" max="266" width="11.140625" style="18" bestFit="1" customWidth="1"/>
    <col min="267" max="268" width="8.7109375" style="18" customWidth="1"/>
    <col min="269" max="269" width="0" style="18" hidden="1" customWidth="1"/>
    <col min="270" max="270" width="8.7109375" style="18" customWidth="1"/>
    <col min="271" max="512" width="9.140625" style="18"/>
    <col min="513" max="513" width="2.5703125" style="18" customWidth="1"/>
    <col min="514" max="514" width="13.85546875" style="18" customWidth="1"/>
    <col min="515" max="515" width="23.42578125" style="18" customWidth="1"/>
    <col min="516" max="516" width="10.28515625" style="18" bestFit="1" customWidth="1"/>
    <col min="517" max="517" width="7.7109375" style="18" customWidth="1"/>
    <col min="518" max="518" width="10.28515625" style="18" bestFit="1" customWidth="1"/>
    <col min="519" max="519" width="6.7109375" style="18" customWidth="1"/>
    <col min="520" max="520" width="8.7109375" style="18" customWidth="1"/>
    <col min="521" max="521" width="12" style="18" bestFit="1" customWidth="1"/>
    <col min="522" max="522" width="11.140625" style="18" bestFit="1" customWidth="1"/>
    <col min="523" max="524" width="8.7109375" style="18" customWidth="1"/>
    <col min="525" max="525" width="0" style="18" hidden="1" customWidth="1"/>
    <col min="526" max="526" width="8.7109375" style="18" customWidth="1"/>
    <col min="527" max="768" width="9.140625" style="18"/>
    <col min="769" max="769" width="2.5703125" style="18" customWidth="1"/>
    <col min="770" max="770" width="13.85546875" style="18" customWidth="1"/>
    <col min="771" max="771" width="23.42578125" style="18" customWidth="1"/>
    <col min="772" max="772" width="10.28515625" style="18" bestFit="1" customWidth="1"/>
    <col min="773" max="773" width="7.7109375" style="18" customWidth="1"/>
    <col min="774" max="774" width="10.28515625" style="18" bestFit="1" customWidth="1"/>
    <col min="775" max="775" width="6.7109375" style="18" customWidth="1"/>
    <col min="776" max="776" width="8.7109375" style="18" customWidth="1"/>
    <col min="777" max="777" width="12" style="18" bestFit="1" customWidth="1"/>
    <col min="778" max="778" width="11.140625" style="18" bestFit="1" customWidth="1"/>
    <col min="779" max="780" width="8.7109375" style="18" customWidth="1"/>
    <col min="781" max="781" width="0" style="18" hidden="1" customWidth="1"/>
    <col min="782" max="782" width="8.7109375" style="18" customWidth="1"/>
    <col min="783" max="1024" width="9.140625" style="18"/>
    <col min="1025" max="1025" width="2.5703125" style="18" customWidth="1"/>
    <col min="1026" max="1026" width="13.85546875" style="18" customWidth="1"/>
    <col min="1027" max="1027" width="23.42578125" style="18" customWidth="1"/>
    <col min="1028" max="1028" width="10.28515625" style="18" bestFit="1" customWidth="1"/>
    <col min="1029" max="1029" width="7.7109375" style="18" customWidth="1"/>
    <col min="1030" max="1030" width="10.28515625" style="18" bestFit="1" customWidth="1"/>
    <col min="1031" max="1031" width="6.7109375" style="18" customWidth="1"/>
    <col min="1032" max="1032" width="8.7109375" style="18" customWidth="1"/>
    <col min="1033" max="1033" width="12" style="18" bestFit="1" customWidth="1"/>
    <col min="1034" max="1034" width="11.140625" style="18" bestFit="1" customWidth="1"/>
    <col min="1035" max="1036" width="8.7109375" style="18" customWidth="1"/>
    <col min="1037" max="1037" width="0" style="18" hidden="1" customWidth="1"/>
    <col min="1038" max="1038" width="8.7109375" style="18" customWidth="1"/>
    <col min="1039" max="1280" width="9.140625" style="18"/>
    <col min="1281" max="1281" width="2.5703125" style="18" customWidth="1"/>
    <col min="1282" max="1282" width="13.85546875" style="18" customWidth="1"/>
    <col min="1283" max="1283" width="23.42578125" style="18" customWidth="1"/>
    <col min="1284" max="1284" width="10.28515625" style="18" bestFit="1" customWidth="1"/>
    <col min="1285" max="1285" width="7.7109375" style="18" customWidth="1"/>
    <col min="1286" max="1286" width="10.28515625" style="18" bestFit="1" customWidth="1"/>
    <col min="1287" max="1287" width="6.7109375" style="18" customWidth="1"/>
    <col min="1288" max="1288" width="8.7109375" style="18" customWidth="1"/>
    <col min="1289" max="1289" width="12" style="18" bestFit="1" customWidth="1"/>
    <col min="1290" max="1290" width="11.140625" style="18" bestFit="1" customWidth="1"/>
    <col min="1291" max="1292" width="8.7109375" style="18" customWidth="1"/>
    <col min="1293" max="1293" width="0" style="18" hidden="1" customWidth="1"/>
    <col min="1294" max="1294" width="8.7109375" style="18" customWidth="1"/>
    <col min="1295" max="1536" width="9.140625" style="18"/>
    <col min="1537" max="1537" width="2.5703125" style="18" customWidth="1"/>
    <col min="1538" max="1538" width="13.85546875" style="18" customWidth="1"/>
    <col min="1539" max="1539" width="23.42578125" style="18" customWidth="1"/>
    <col min="1540" max="1540" width="10.28515625" style="18" bestFit="1" customWidth="1"/>
    <col min="1541" max="1541" width="7.7109375" style="18" customWidth="1"/>
    <col min="1542" max="1542" width="10.28515625" style="18" bestFit="1" customWidth="1"/>
    <col min="1543" max="1543" width="6.7109375" style="18" customWidth="1"/>
    <col min="1544" max="1544" width="8.7109375" style="18" customWidth="1"/>
    <col min="1545" max="1545" width="12" style="18" bestFit="1" customWidth="1"/>
    <col min="1546" max="1546" width="11.140625" style="18" bestFit="1" customWidth="1"/>
    <col min="1547" max="1548" width="8.7109375" style="18" customWidth="1"/>
    <col min="1549" max="1549" width="0" style="18" hidden="1" customWidth="1"/>
    <col min="1550" max="1550" width="8.7109375" style="18" customWidth="1"/>
    <col min="1551" max="1792" width="9.140625" style="18"/>
    <col min="1793" max="1793" width="2.5703125" style="18" customWidth="1"/>
    <col min="1794" max="1794" width="13.85546875" style="18" customWidth="1"/>
    <col min="1795" max="1795" width="23.42578125" style="18" customWidth="1"/>
    <col min="1796" max="1796" width="10.28515625" style="18" bestFit="1" customWidth="1"/>
    <col min="1797" max="1797" width="7.7109375" style="18" customWidth="1"/>
    <col min="1798" max="1798" width="10.28515625" style="18" bestFit="1" customWidth="1"/>
    <col min="1799" max="1799" width="6.7109375" style="18" customWidth="1"/>
    <col min="1800" max="1800" width="8.7109375" style="18" customWidth="1"/>
    <col min="1801" max="1801" width="12" style="18" bestFit="1" customWidth="1"/>
    <col min="1802" max="1802" width="11.140625" style="18" bestFit="1" customWidth="1"/>
    <col min="1803" max="1804" width="8.7109375" style="18" customWidth="1"/>
    <col min="1805" max="1805" width="0" style="18" hidden="1" customWidth="1"/>
    <col min="1806" max="1806" width="8.7109375" style="18" customWidth="1"/>
    <col min="1807" max="2048" width="9.140625" style="18"/>
    <col min="2049" max="2049" width="2.5703125" style="18" customWidth="1"/>
    <col min="2050" max="2050" width="13.85546875" style="18" customWidth="1"/>
    <col min="2051" max="2051" width="23.42578125" style="18" customWidth="1"/>
    <col min="2052" max="2052" width="10.28515625" style="18" bestFit="1" customWidth="1"/>
    <col min="2053" max="2053" width="7.7109375" style="18" customWidth="1"/>
    <col min="2054" max="2054" width="10.28515625" style="18" bestFit="1" customWidth="1"/>
    <col min="2055" max="2055" width="6.7109375" style="18" customWidth="1"/>
    <col min="2056" max="2056" width="8.7109375" style="18" customWidth="1"/>
    <col min="2057" max="2057" width="12" style="18" bestFit="1" customWidth="1"/>
    <col min="2058" max="2058" width="11.140625" style="18" bestFit="1" customWidth="1"/>
    <col min="2059" max="2060" width="8.7109375" style="18" customWidth="1"/>
    <col min="2061" max="2061" width="0" style="18" hidden="1" customWidth="1"/>
    <col min="2062" max="2062" width="8.7109375" style="18" customWidth="1"/>
    <col min="2063" max="2304" width="9.140625" style="18"/>
    <col min="2305" max="2305" width="2.5703125" style="18" customWidth="1"/>
    <col min="2306" max="2306" width="13.85546875" style="18" customWidth="1"/>
    <col min="2307" max="2307" width="23.42578125" style="18" customWidth="1"/>
    <col min="2308" max="2308" width="10.28515625" style="18" bestFit="1" customWidth="1"/>
    <col min="2309" max="2309" width="7.7109375" style="18" customWidth="1"/>
    <col min="2310" max="2310" width="10.28515625" style="18" bestFit="1" customWidth="1"/>
    <col min="2311" max="2311" width="6.7109375" style="18" customWidth="1"/>
    <col min="2312" max="2312" width="8.7109375" style="18" customWidth="1"/>
    <col min="2313" max="2313" width="12" style="18" bestFit="1" customWidth="1"/>
    <col min="2314" max="2314" width="11.140625" style="18" bestFit="1" customWidth="1"/>
    <col min="2315" max="2316" width="8.7109375" style="18" customWidth="1"/>
    <col min="2317" max="2317" width="0" style="18" hidden="1" customWidth="1"/>
    <col min="2318" max="2318" width="8.7109375" style="18" customWidth="1"/>
    <col min="2319" max="2560" width="9.140625" style="18"/>
    <col min="2561" max="2561" width="2.5703125" style="18" customWidth="1"/>
    <col min="2562" max="2562" width="13.85546875" style="18" customWidth="1"/>
    <col min="2563" max="2563" width="23.42578125" style="18" customWidth="1"/>
    <col min="2564" max="2564" width="10.28515625" style="18" bestFit="1" customWidth="1"/>
    <col min="2565" max="2565" width="7.7109375" style="18" customWidth="1"/>
    <col min="2566" max="2566" width="10.28515625" style="18" bestFit="1" customWidth="1"/>
    <col min="2567" max="2567" width="6.7109375" style="18" customWidth="1"/>
    <col min="2568" max="2568" width="8.7109375" style="18" customWidth="1"/>
    <col min="2569" max="2569" width="12" style="18" bestFit="1" customWidth="1"/>
    <col min="2570" max="2570" width="11.140625" style="18" bestFit="1" customWidth="1"/>
    <col min="2571" max="2572" width="8.7109375" style="18" customWidth="1"/>
    <col min="2573" max="2573" width="0" style="18" hidden="1" customWidth="1"/>
    <col min="2574" max="2574" width="8.7109375" style="18" customWidth="1"/>
    <col min="2575" max="2816" width="9.140625" style="18"/>
    <col min="2817" max="2817" width="2.5703125" style="18" customWidth="1"/>
    <col min="2818" max="2818" width="13.85546875" style="18" customWidth="1"/>
    <col min="2819" max="2819" width="23.42578125" style="18" customWidth="1"/>
    <col min="2820" max="2820" width="10.28515625" style="18" bestFit="1" customWidth="1"/>
    <col min="2821" max="2821" width="7.7109375" style="18" customWidth="1"/>
    <col min="2822" max="2822" width="10.28515625" style="18" bestFit="1" customWidth="1"/>
    <col min="2823" max="2823" width="6.7109375" style="18" customWidth="1"/>
    <col min="2824" max="2824" width="8.7109375" style="18" customWidth="1"/>
    <col min="2825" max="2825" width="12" style="18" bestFit="1" customWidth="1"/>
    <col min="2826" max="2826" width="11.140625" style="18" bestFit="1" customWidth="1"/>
    <col min="2827" max="2828" width="8.7109375" style="18" customWidth="1"/>
    <col min="2829" max="2829" width="0" style="18" hidden="1" customWidth="1"/>
    <col min="2830" max="2830" width="8.7109375" style="18" customWidth="1"/>
    <col min="2831" max="3072" width="9.140625" style="18"/>
    <col min="3073" max="3073" width="2.5703125" style="18" customWidth="1"/>
    <col min="3074" max="3074" width="13.85546875" style="18" customWidth="1"/>
    <col min="3075" max="3075" width="23.42578125" style="18" customWidth="1"/>
    <col min="3076" max="3076" width="10.28515625" style="18" bestFit="1" customWidth="1"/>
    <col min="3077" max="3077" width="7.7109375" style="18" customWidth="1"/>
    <col min="3078" max="3078" width="10.28515625" style="18" bestFit="1" customWidth="1"/>
    <col min="3079" max="3079" width="6.7109375" style="18" customWidth="1"/>
    <col min="3080" max="3080" width="8.7109375" style="18" customWidth="1"/>
    <col min="3081" max="3081" width="12" style="18" bestFit="1" customWidth="1"/>
    <col min="3082" max="3082" width="11.140625" style="18" bestFit="1" customWidth="1"/>
    <col min="3083" max="3084" width="8.7109375" style="18" customWidth="1"/>
    <col min="3085" max="3085" width="0" style="18" hidden="1" customWidth="1"/>
    <col min="3086" max="3086" width="8.7109375" style="18" customWidth="1"/>
    <col min="3087" max="3328" width="9.140625" style="18"/>
    <col min="3329" max="3329" width="2.5703125" style="18" customWidth="1"/>
    <col min="3330" max="3330" width="13.85546875" style="18" customWidth="1"/>
    <col min="3331" max="3331" width="23.42578125" style="18" customWidth="1"/>
    <col min="3332" max="3332" width="10.28515625" style="18" bestFit="1" customWidth="1"/>
    <col min="3333" max="3333" width="7.7109375" style="18" customWidth="1"/>
    <col min="3334" max="3334" width="10.28515625" style="18" bestFit="1" customWidth="1"/>
    <col min="3335" max="3335" width="6.7109375" style="18" customWidth="1"/>
    <col min="3336" max="3336" width="8.7109375" style="18" customWidth="1"/>
    <col min="3337" max="3337" width="12" style="18" bestFit="1" customWidth="1"/>
    <col min="3338" max="3338" width="11.140625" style="18" bestFit="1" customWidth="1"/>
    <col min="3339" max="3340" width="8.7109375" style="18" customWidth="1"/>
    <col min="3341" max="3341" width="0" style="18" hidden="1" customWidth="1"/>
    <col min="3342" max="3342" width="8.7109375" style="18" customWidth="1"/>
    <col min="3343" max="3584" width="9.140625" style="18"/>
    <col min="3585" max="3585" width="2.5703125" style="18" customWidth="1"/>
    <col min="3586" max="3586" width="13.85546875" style="18" customWidth="1"/>
    <col min="3587" max="3587" width="23.42578125" style="18" customWidth="1"/>
    <col min="3588" max="3588" width="10.28515625" style="18" bestFit="1" customWidth="1"/>
    <col min="3589" max="3589" width="7.7109375" style="18" customWidth="1"/>
    <col min="3590" max="3590" width="10.28515625" style="18" bestFit="1" customWidth="1"/>
    <col min="3591" max="3591" width="6.7109375" style="18" customWidth="1"/>
    <col min="3592" max="3592" width="8.7109375" style="18" customWidth="1"/>
    <col min="3593" max="3593" width="12" style="18" bestFit="1" customWidth="1"/>
    <col min="3594" max="3594" width="11.140625" style="18" bestFit="1" customWidth="1"/>
    <col min="3595" max="3596" width="8.7109375" style="18" customWidth="1"/>
    <col min="3597" max="3597" width="0" style="18" hidden="1" customWidth="1"/>
    <col min="3598" max="3598" width="8.7109375" style="18" customWidth="1"/>
    <col min="3599" max="3840" width="9.140625" style="18"/>
    <col min="3841" max="3841" width="2.5703125" style="18" customWidth="1"/>
    <col min="3842" max="3842" width="13.85546875" style="18" customWidth="1"/>
    <col min="3843" max="3843" width="23.42578125" style="18" customWidth="1"/>
    <col min="3844" max="3844" width="10.28515625" style="18" bestFit="1" customWidth="1"/>
    <col min="3845" max="3845" width="7.7109375" style="18" customWidth="1"/>
    <col min="3846" max="3846" width="10.28515625" style="18" bestFit="1" customWidth="1"/>
    <col min="3847" max="3847" width="6.7109375" style="18" customWidth="1"/>
    <col min="3848" max="3848" width="8.7109375" style="18" customWidth="1"/>
    <col min="3849" max="3849" width="12" style="18" bestFit="1" customWidth="1"/>
    <col min="3850" max="3850" width="11.140625" style="18" bestFit="1" customWidth="1"/>
    <col min="3851" max="3852" width="8.7109375" style="18" customWidth="1"/>
    <col min="3853" max="3853" width="0" style="18" hidden="1" customWidth="1"/>
    <col min="3854" max="3854" width="8.7109375" style="18" customWidth="1"/>
    <col min="3855" max="4096" width="9.140625" style="18"/>
    <col min="4097" max="4097" width="2.5703125" style="18" customWidth="1"/>
    <col min="4098" max="4098" width="13.85546875" style="18" customWidth="1"/>
    <col min="4099" max="4099" width="23.42578125" style="18" customWidth="1"/>
    <col min="4100" max="4100" width="10.28515625" style="18" bestFit="1" customWidth="1"/>
    <col min="4101" max="4101" width="7.7109375" style="18" customWidth="1"/>
    <col min="4102" max="4102" width="10.28515625" style="18" bestFit="1" customWidth="1"/>
    <col min="4103" max="4103" width="6.7109375" style="18" customWidth="1"/>
    <col min="4104" max="4104" width="8.7109375" style="18" customWidth="1"/>
    <col min="4105" max="4105" width="12" style="18" bestFit="1" customWidth="1"/>
    <col min="4106" max="4106" width="11.140625" style="18" bestFit="1" customWidth="1"/>
    <col min="4107" max="4108" width="8.7109375" style="18" customWidth="1"/>
    <col min="4109" max="4109" width="0" style="18" hidden="1" customWidth="1"/>
    <col min="4110" max="4110" width="8.7109375" style="18" customWidth="1"/>
    <col min="4111" max="4352" width="9.140625" style="18"/>
    <col min="4353" max="4353" width="2.5703125" style="18" customWidth="1"/>
    <col min="4354" max="4354" width="13.85546875" style="18" customWidth="1"/>
    <col min="4355" max="4355" width="23.42578125" style="18" customWidth="1"/>
    <col min="4356" max="4356" width="10.28515625" style="18" bestFit="1" customWidth="1"/>
    <col min="4357" max="4357" width="7.7109375" style="18" customWidth="1"/>
    <col min="4358" max="4358" width="10.28515625" style="18" bestFit="1" customWidth="1"/>
    <col min="4359" max="4359" width="6.7109375" style="18" customWidth="1"/>
    <col min="4360" max="4360" width="8.7109375" style="18" customWidth="1"/>
    <col min="4361" max="4361" width="12" style="18" bestFit="1" customWidth="1"/>
    <col min="4362" max="4362" width="11.140625" style="18" bestFit="1" customWidth="1"/>
    <col min="4363" max="4364" width="8.7109375" style="18" customWidth="1"/>
    <col min="4365" max="4365" width="0" style="18" hidden="1" customWidth="1"/>
    <col min="4366" max="4366" width="8.7109375" style="18" customWidth="1"/>
    <col min="4367" max="4608" width="9.140625" style="18"/>
    <col min="4609" max="4609" width="2.5703125" style="18" customWidth="1"/>
    <col min="4610" max="4610" width="13.85546875" style="18" customWidth="1"/>
    <col min="4611" max="4611" width="23.42578125" style="18" customWidth="1"/>
    <col min="4612" max="4612" width="10.28515625" style="18" bestFit="1" customWidth="1"/>
    <col min="4613" max="4613" width="7.7109375" style="18" customWidth="1"/>
    <col min="4614" max="4614" width="10.28515625" style="18" bestFit="1" customWidth="1"/>
    <col min="4615" max="4615" width="6.7109375" style="18" customWidth="1"/>
    <col min="4616" max="4616" width="8.7109375" style="18" customWidth="1"/>
    <col min="4617" max="4617" width="12" style="18" bestFit="1" customWidth="1"/>
    <col min="4618" max="4618" width="11.140625" style="18" bestFit="1" customWidth="1"/>
    <col min="4619" max="4620" width="8.7109375" style="18" customWidth="1"/>
    <col min="4621" max="4621" width="0" style="18" hidden="1" customWidth="1"/>
    <col min="4622" max="4622" width="8.7109375" style="18" customWidth="1"/>
    <col min="4623" max="4864" width="9.140625" style="18"/>
    <col min="4865" max="4865" width="2.5703125" style="18" customWidth="1"/>
    <col min="4866" max="4866" width="13.85546875" style="18" customWidth="1"/>
    <col min="4867" max="4867" width="23.42578125" style="18" customWidth="1"/>
    <col min="4868" max="4868" width="10.28515625" style="18" bestFit="1" customWidth="1"/>
    <col min="4869" max="4869" width="7.7109375" style="18" customWidth="1"/>
    <col min="4870" max="4870" width="10.28515625" style="18" bestFit="1" customWidth="1"/>
    <col min="4871" max="4871" width="6.7109375" style="18" customWidth="1"/>
    <col min="4872" max="4872" width="8.7109375" style="18" customWidth="1"/>
    <col min="4873" max="4873" width="12" style="18" bestFit="1" customWidth="1"/>
    <col min="4874" max="4874" width="11.140625" style="18" bestFit="1" customWidth="1"/>
    <col min="4875" max="4876" width="8.7109375" style="18" customWidth="1"/>
    <col min="4877" max="4877" width="0" style="18" hidden="1" customWidth="1"/>
    <col min="4878" max="4878" width="8.7109375" style="18" customWidth="1"/>
    <col min="4879" max="5120" width="9.140625" style="18"/>
    <col min="5121" max="5121" width="2.5703125" style="18" customWidth="1"/>
    <col min="5122" max="5122" width="13.85546875" style="18" customWidth="1"/>
    <col min="5123" max="5123" width="23.42578125" style="18" customWidth="1"/>
    <col min="5124" max="5124" width="10.28515625" style="18" bestFit="1" customWidth="1"/>
    <col min="5125" max="5125" width="7.7109375" style="18" customWidth="1"/>
    <col min="5126" max="5126" width="10.28515625" style="18" bestFit="1" customWidth="1"/>
    <col min="5127" max="5127" width="6.7109375" style="18" customWidth="1"/>
    <col min="5128" max="5128" width="8.7109375" style="18" customWidth="1"/>
    <col min="5129" max="5129" width="12" style="18" bestFit="1" customWidth="1"/>
    <col min="5130" max="5130" width="11.140625" style="18" bestFit="1" customWidth="1"/>
    <col min="5131" max="5132" width="8.7109375" style="18" customWidth="1"/>
    <col min="5133" max="5133" width="0" style="18" hidden="1" customWidth="1"/>
    <col min="5134" max="5134" width="8.7109375" style="18" customWidth="1"/>
    <col min="5135" max="5376" width="9.140625" style="18"/>
    <col min="5377" max="5377" width="2.5703125" style="18" customWidth="1"/>
    <col min="5378" max="5378" width="13.85546875" style="18" customWidth="1"/>
    <col min="5379" max="5379" width="23.42578125" style="18" customWidth="1"/>
    <col min="5380" max="5380" width="10.28515625" style="18" bestFit="1" customWidth="1"/>
    <col min="5381" max="5381" width="7.7109375" style="18" customWidth="1"/>
    <col min="5382" max="5382" width="10.28515625" style="18" bestFit="1" customWidth="1"/>
    <col min="5383" max="5383" width="6.7109375" style="18" customWidth="1"/>
    <col min="5384" max="5384" width="8.7109375" style="18" customWidth="1"/>
    <col min="5385" max="5385" width="12" style="18" bestFit="1" customWidth="1"/>
    <col min="5386" max="5386" width="11.140625" style="18" bestFit="1" customWidth="1"/>
    <col min="5387" max="5388" width="8.7109375" style="18" customWidth="1"/>
    <col min="5389" max="5389" width="0" style="18" hidden="1" customWidth="1"/>
    <col min="5390" max="5390" width="8.7109375" style="18" customWidth="1"/>
    <col min="5391" max="5632" width="9.140625" style="18"/>
    <col min="5633" max="5633" width="2.5703125" style="18" customWidth="1"/>
    <col min="5634" max="5634" width="13.85546875" style="18" customWidth="1"/>
    <col min="5635" max="5635" width="23.42578125" style="18" customWidth="1"/>
    <col min="5636" max="5636" width="10.28515625" style="18" bestFit="1" customWidth="1"/>
    <col min="5637" max="5637" width="7.7109375" style="18" customWidth="1"/>
    <col min="5638" max="5638" width="10.28515625" style="18" bestFit="1" customWidth="1"/>
    <col min="5639" max="5639" width="6.7109375" style="18" customWidth="1"/>
    <col min="5640" max="5640" width="8.7109375" style="18" customWidth="1"/>
    <col min="5641" max="5641" width="12" style="18" bestFit="1" customWidth="1"/>
    <col min="5642" max="5642" width="11.140625" style="18" bestFit="1" customWidth="1"/>
    <col min="5643" max="5644" width="8.7109375" style="18" customWidth="1"/>
    <col min="5645" max="5645" width="0" style="18" hidden="1" customWidth="1"/>
    <col min="5646" max="5646" width="8.7109375" style="18" customWidth="1"/>
    <col min="5647" max="5888" width="9.140625" style="18"/>
    <col min="5889" max="5889" width="2.5703125" style="18" customWidth="1"/>
    <col min="5890" max="5890" width="13.85546875" style="18" customWidth="1"/>
    <col min="5891" max="5891" width="23.42578125" style="18" customWidth="1"/>
    <col min="5892" max="5892" width="10.28515625" style="18" bestFit="1" customWidth="1"/>
    <col min="5893" max="5893" width="7.7109375" style="18" customWidth="1"/>
    <col min="5894" max="5894" width="10.28515625" style="18" bestFit="1" customWidth="1"/>
    <col min="5895" max="5895" width="6.7109375" style="18" customWidth="1"/>
    <col min="5896" max="5896" width="8.7109375" style="18" customWidth="1"/>
    <col min="5897" max="5897" width="12" style="18" bestFit="1" customWidth="1"/>
    <col min="5898" max="5898" width="11.140625" style="18" bestFit="1" customWidth="1"/>
    <col min="5899" max="5900" width="8.7109375" style="18" customWidth="1"/>
    <col min="5901" max="5901" width="0" style="18" hidden="1" customWidth="1"/>
    <col min="5902" max="5902" width="8.7109375" style="18" customWidth="1"/>
    <col min="5903" max="6144" width="9.140625" style="18"/>
    <col min="6145" max="6145" width="2.5703125" style="18" customWidth="1"/>
    <col min="6146" max="6146" width="13.85546875" style="18" customWidth="1"/>
    <col min="6147" max="6147" width="23.42578125" style="18" customWidth="1"/>
    <col min="6148" max="6148" width="10.28515625" style="18" bestFit="1" customWidth="1"/>
    <col min="6149" max="6149" width="7.7109375" style="18" customWidth="1"/>
    <col min="6150" max="6150" width="10.28515625" style="18" bestFit="1" customWidth="1"/>
    <col min="6151" max="6151" width="6.7109375" style="18" customWidth="1"/>
    <col min="6152" max="6152" width="8.7109375" style="18" customWidth="1"/>
    <col min="6153" max="6153" width="12" style="18" bestFit="1" customWidth="1"/>
    <col min="6154" max="6154" width="11.140625" style="18" bestFit="1" customWidth="1"/>
    <col min="6155" max="6156" width="8.7109375" style="18" customWidth="1"/>
    <col min="6157" max="6157" width="0" style="18" hidden="1" customWidth="1"/>
    <col min="6158" max="6158" width="8.7109375" style="18" customWidth="1"/>
    <col min="6159" max="6400" width="9.140625" style="18"/>
    <col min="6401" max="6401" width="2.5703125" style="18" customWidth="1"/>
    <col min="6402" max="6402" width="13.85546875" style="18" customWidth="1"/>
    <col min="6403" max="6403" width="23.42578125" style="18" customWidth="1"/>
    <col min="6404" max="6404" width="10.28515625" style="18" bestFit="1" customWidth="1"/>
    <col min="6405" max="6405" width="7.7109375" style="18" customWidth="1"/>
    <col min="6406" max="6406" width="10.28515625" style="18" bestFit="1" customWidth="1"/>
    <col min="6407" max="6407" width="6.7109375" style="18" customWidth="1"/>
    <col min="6408" max="6408" width="8.7109375" style="18" customWidth="1"/>
    <col min="6409" max="6409" width="12" style="18" bestFit="1" customWidth="1"/>
    <col min="6410" max="6410" width="11.140625" style="18" bestFit="1" customWidth="1"/>
    <col min="6411" max="6412" width="8.7109375" style="18" customWidth="1"/>
    <col min="6413" max="6413" width="0" style="18" hidden="1" customWidth="1"/>
    <col min="6414" max="6414" width="8.7109375" style="18" customWidth="1"/>
    <col min="6415" max="6656" width="9.140625" style="18"/>
    <col min="6657" max="6657" width="2.5703125" style="18" customWidth="1"/>
    <col min="6658" max="6658" width="13.85546875" style="18" customWidth="1"/>
    <col min="6659" max="6659" width="23.42578125" style="18" customWidth="1"/>
    <col min="6660" max="6660" width="10.28515625" style="18" bestFit="1" customWidth="1"/>
    <col min="6661" max="6661" width="7.7109375" style="18" customWidth="1"/>
    <col min="6662" max="6662" width="10.28515625" style="18" bestFit="1" customWidth="1"/>
    <col min="6663" max="6663" width="6.7109375" style="18" customWidth="1"/>
    <col min="6664" max="6664" width="8.7109375" style="18" customWidth="1"/>
    <col min="6665" max="6665" width="12" style="18" bestFit="1" customWidth="1"/>
    <col min="6666" max="6666" width="11.140625" style="18" bestFit="1" customWidth="1"/>
    <col min="6667" max="6668" width="8.7109375" style="18" customWidth="1"/>
    <col min="6669" max="6669" width="0" style="18" hidden="1" customWidth="1"/>
    <col min="6670" max="6670" width="8.7109375" style="18" customWidth="1"/>
    <col min="6671" max="6912" width="9.140625" style="18"/>
    <col min="6913" max="6913" width="2.5703125" style="18" customWidth="1"/>
    <col min="6914" max="6914" width="13.85546875" style="18" customWidth="1"/>
    <col min="6915" max="6915" width="23.42578125" style="18" customWidth="1"/>
    <col min="6916" max="6916" width="10.28515625" style="18" bestFit="1" customWidth="1"/>
    <col min="6917" max="6917" width="7.7109375" style="18" customWidth="1"/>
    <col min="6918" max="6918" width="10.28515625" style="18" bestFit="1" customWidth="1"/>
    <col min="6919" max="6919" width="6.7109375" style="18" customWidth="1"/>
    <col min="6920" max="6920" width="8.7109375" style="18" customWidth="1"/>
    <col min="6921" max="6921" width="12" style="18" bestFit="1" customWidth="1"/>
    <col min="6922" max="6922" width="11.140625" style="18" bestFit="1" customWidth="1"/>
    <col min="6923" max="6924" width="8.7109375" style="18" customWidth="1"/>
    <col min="6925" max="6925" width="0" style="18" hidden="1" customWidth="1"/>
    <col min="6926" max="6926" width="8.7109375" style="18" customWidth="1"/>
    <col min="6927" max="7168" width="9.140625" style="18"/>
    <col min="7169" max="7169" width="2.5703125" style="18" customWidth="1"/>
    <col min="7170" max="7170" width="13.85546875" style="18" customWidth="1"/>
    <col min="7171" max="7171" width="23.42578125" style="18" customWidth="1"/>
    <col min="7172" max="7172" width="10.28515625" style="18" bestFit="1" customWidth="1"/>
    <col min="7173" max="7173" width="7.7109375" style="18" customWidth="1"/>
    <col min="7174" max="7174" width="10.28515625" style="18" bestFit="1" customWidth="1"/>
    <col min="7175" max="7175" width="6.7109375" style="18" customWidth="1"/>
    <col min="7176" max="7176" width="8.7109375" style="18" customWidth="1"/>
    <col min="7177" max="7177" width="12" style="18" bestFit="1" customWidth="1"/>
    <col min="7178" max="7178" width="11.140625" style="18" bestFit="1" customWidth="1"/>
    <col min="7179" max="7180" width="8.7109375" style="18" customWidth="1"/>
    <col min="7181" max="7181" width="0" style="18" hidden="1" customWidth="1"/>
    <col min="7182" max="7182" width="8.7109375" style="18" customWidth="1"/>
    <col min="7183" max="7424" width="9.140625" style="18"/>
    <col min="7425" max="7425" width="2.5703125" style="18" customWidth="1"/>
    <col min="7426" max="7426" width="13.85546875" style="18" customWidth="1"/>
    <col min="7427" max="7427" width="23.42578125" style="18" customWidth="1"/>
    <col min="7428" max="7428" width="10.28515625" style="18" bestFit="1" customWidth="1"/>
    <col min="7429" max="7429" width="7.7109375" style="18" customWidth="1"/>
    <col min="7430" max="7430" width="10.28515625" style="18" bestFit="1" customWidth="1"/>
    <col min="7431" max="7431" width="6.7109375" style="18" customWidth="1"/>
    <col min="7432" max="7432" width="8.7109375" style="18" customWidth="1"/>
    <col min="7433" max="7433" width="12" style="18" bestFit="1" customWidth="1"/>
    <col min="7434" max="7434" width="11.140625" style="18" bestFit="1" customWidth="1"/>
    <col min="7435" max="7436" width="8.7109375" style="18" customWidth="1"/>
    <col min="7437" max="7437" width="0" style="18" hidden="1" customWidth="1"/>
    <col min="7438" max="7438" width="8.7109375" style="18" customWidth="1"/>
    <col min="7439" max="7680" width="9.140625" style="18"/>
    <col min="7681" max="7681" width="2.5703125" style="18" customWidth="1"/>
    <col min="7682" max="7682" width="13.85546875" style="18" customWidth="1"/>
    <col min="7683" max="7683" width="23.42578125" style="18" customWidth="1"/>
    <col min="7684" max="7684" width="10.28515625" style="18" bestFit="1" customWidth="1"/>
    <col min="7685" max="7685" width="7.7109375" style="18" customWidth="1"/>
    <col min="7686" max="7686" width="10.28515625" style="18" bestFit="1" customWidth="1"/>
    <col min="7687" max="7687" width="6.7109375" style="18" customWidth="1"/>
    <col min="7688" max="7688" width="8.7109375" style="18" customWidth="1"/>
    <col min="7689" max="7689" width="12" style="18" bestFit="1" customWidth="1"/>
    <col min="7690" max="7690" width="11.140625" style="18" bestFit="1" customWidth="1"/>
    <col min="7691" max="7692" width="8.7109375" style="18" customWidth="1"/>
    <col min="7693" max="7693" width="0" style="18" hidden="1" customWidth="1"/>
    <col min="7694" max="7694" width="8.7109375" style="18" customWidth="1"/>
    <col min="7695" max="7936" width="9.140625" style="18"/>
    <col min="7937" max="7937" width="2.5703125" style="18" customWidth="1"/>
    <col min="7938" max="7938" width="13.85546875" style="18" customWidth="1"/>
    <col min="7939" max="7939" width="23.42578125" style="18" customWidth="1"/>
    <col min="7940" max="7940" width="10.28515625" style="18" bestFit="1" customWidth="1"/>
    <col min="7941" max="7941" width="7.7109375" style="18" customWidth="1"/>
    <col min="7942" max="7942" width="10.28515625" style="18" bestFit="1" customWidth="1"/>
    <col min="7943" max="7943" width="6.7109375" style="18" customWidth="1"/>
    <col min="7944" max="7944" width="8.7109375" style="18" customWidth="1"/>
    <col min="7945" max="7945" width="12" style="18" bestFit="1" customWidth="1"/>
    <col min="7946" max="7946" width="11.140625" style="18" bestFit="1" customWidth="1"/>
    <col min="7947" max="7948" width="8.7109375" style="18" customWidth="1"/>
    <col min="7949" max="7949" width="0" style="18" hidden="1" customWidth="1"/>
    <col min="7950" max="7950" width="8.7109375" style="18" customWidth="1"/>
    <col min="7951" max="8192" width="9.140625" style="18"/>
    <col min="8193" max="8193" width="2.5703125" style="18" customWidth="1"/>
    <col min="8194" max="8194" width="13.85546875" style="18" customWidth="1"/>
    <col min="8195" max="8195" width="23.42578125" style="18" customWidth="1"/>
    <col min="8196" max="8196" width="10.28515625" style="18" bestFit="1" customWidth="1"/>
    <col min="8197" max="8197" width="7.7109375" style="18" customWidth="1"/>
    <col min="8198" max="8198" width="10.28515625" style="18" bestFit="1" customWidth="1"/>
    <col min="8199" max="8199" width="6.7109375" style="18" customWidth="1"/>
    <col min="8200" max="8200" width="8.7109375" style="18" customWidth="1"/>
    <col min="8201" max="8201" width="12" style="18" bestFit="1" customWidth="1"/>
    <col min="8202" max="8202" width="11.140625" style="18" bestFit="1" customWidth="1"/>
    <col min="8203" max="8204" width="8.7109375" style="18" customWidth="1"/>
    <col min="8205" max="8205" width="0" style="18" hidden="1" customWidth="1"/>
    <col min="8206" max="8206" width="8.7109375" style="18" customWidth="1"/>
    <col min="8207" max="8448" width="9.140625" style="18"/>
    <col min="8449" max="8449" width="2.5703125" style="18" customWidth="1"/>
    <col min="8450" max="8450" width="13.85546875" style="18" customWidth="1"/>
    <col min="8451" max="8451" width="23.42578125" style="18" customWidth="1"/>
    <col min="8452" max="8452" width="10.28515625" style="18" bestFit="1" customWidth="1"/>
    <col min="8453" max="8453" width="7.7109375" style="18" customWidth="1"/>
    <col min="8454" max="8454" width="10.28515625" style="18" bestFit="1" customWidth="1"/>
    <col min="8455" max="8455" width="6.7109375" style="18" customWidth="1"/>
    <col min="8456" max="8456" width="8.7109375" style="18" customWidth="1"/>
    <col min="8457" max="8457" width="12" style="18" bestFit="1" customWidth="1"/>
    <col min="8458" max="8458" width="11.140625" style="18" bestFit="1" customWidth="1"/>
    <col min="8459" max="8460" width="8.7109375" style="18" customWidth="1"/>
    <col min="8461" max="8461" width="0" style="18" hidden="1" customWidth="1"/>
    <col min="8462" max="8462" width="8.7109375" style="18" customWidth="1"/>
    <col min="8463" max="8704" width="9.140625" style="18"/>
    <col min="8705" max="8705" width="2.5703125" style="18" customWidth="1"/>
    <col min="8706" max="8706" width="13.85546875" style="18" customWidth="1"/>
    <col min="8707" max="8707" width="23.42578125" style="18" customWidth="1"/>
    <col min="8708" max="8708" width="10.28515625" style="18" bestFit="1" customWidth="1"/>
    <col min="8709" max="8709" width="7.7109375" style="18" customWidth="1"/>
    <col min="8710" max="8710" width="10.28515625" style="18" bestFit="1" customWidth="1"/>
    <col min="8711" max="8711" width="6.7109375" style="18" customWidth="1"/>
    <col min="8712" max="8712" width="8.7109375" style="18" customWidth="1"/>
    <col min="8713" max="8713" width="12" style="18" bestFit="1" customWidth="1"/>
    <col min="8714" max="8714" width="11.140625" style="18" bestFit="1" customWidth="1"/>
    <col min="8715" max="8716" width="8.7109375" style="18" customWidth="1"/>
    <col min="8717" max="8717" width="0" style="18" hidden="1" customWidth="1"/>
    <col min="8718" max="8718" width="8.7109375" style="18" customWidth="1"/>
    <col min="8719" max="8960" width="9.140625" style="18"/>
    <col min="8961" max="8961" width="2.5703125" style="18" customWidth="1"/>
    <col min="8962" max="8962" width="13.85546875" style="18" customWidth="1"/>
    <col min="8963" max="8963" width="23.42578125" style="18" customWidth="1"/>
    <col min="8964" max="8964" width="10.28515625" style="18" bestFit="1" customWidth="1"/>
    <col min="8965" max="8965" width="7.7109375" style="18" customWidth="1"/>
    <col min="8966" max="8966" width="10.28515625" style="18" bestFit="1" customWidth="1"/>
    <col min="8967" max="8967" width="6.7109375" style="18" customWidth="1"/>
    <col min="8968" max="8968" width="8.7109375" style="18" customWidth="1"/>
    <col min="8969" max="8969" width="12" style="18" bestFit="1" customWidth="1"/>
    <col min="8970" max="8970" width="11.140625" style="18" bestFit="1" customWidth="1"/>
    <col min="8971" max="8972" width="8.7109375" style="18" customWidth="1"/>
    <col min="8973" max="8973" width="0" style="18" hidden="1" customWidth="1"/>
    <col min="8974" max="8974" width="8.7109375" style="18" customWidth="1"/>
    <col min="8975" max="9216" width="9.140625" style="18"/>
    <col min="9217" max="9217" width="2.5703125" style="18" customWidth="1"/>
    <col min="9218" max="9218" width="13.85546875" style="18" customWidth="1"/>
    <col min="9219" max="9219" width="23.42578125" style="18" customWidth="1"/>
    <col min="9220" max="9220" width="10.28515625" style="18" bestFit="1" customWidth="1"/>
    <col min="9221" max="9221" width="7.7109375" style="18" customWidth="1"/>
    <col min="9222" max="9222" width="10.28515625" style="18" bestFit="1" customWidth="1"/>
    <col min="9223" max="9223" width="6.7109375" style="18" customWidth="1"/>
    <col min="9224" max="9224" width="8.7109375" style="18" customWidth="1"/>
    <col min="9225" max="9225" width="12" style="18" bestFit="1" customWidth="1"/>
    <col min="9226" max="9226" width="11.140625" style="18" bestFit="1" customWidth="1"/>
    <col min="9227" max="9228" width="8.7109375" style="18" customWidth="1"/>
    <col min="9229" max="9229" width="0" style="18" hidden="1" customWidth="1"/>
    <col min="9230" max="9230" width="8.7109375" style="18" customWidth="1"/>
    <col min="9231" max="9472" width="9.140625" style="18"/>
    <col min="9473" max="9473" width="2.5703125" style="18" customWidth="1"/>
    <col min="9474" max="9474" width="13.85546875" style="18" customWidth="1"/>
    <col min="9475" max="9475" width="23.42578125" style="18" customWidth="1"/>
    <col min="9476" max="9476" width="10.28515625" style="18" bestFit="1" customWidth="1"/>
    <col min="9477" max="9477" width="7.7109375" style="18" customWidth="1"/>
    <col min="9478" max="9478" width="10.28515625" style="18" bestFit="1" customWidth="1"/>
    <col min="9479" max="9479" width="6.7109375" style="18" customWidth="1"/>
    <col min="9480" max="9480" width="8.7109375" style="18" customWidth="1"/>
    <col min="9481" max="9481" width="12" style="18" bestFit="1" customWidth="1"/>
    <col min="9482" max="9482" width="11.140625" style="18" bestFit="1" customWidth="1"/>
    <col min="9483" max="9484" width="8.7109375" style="18" customWidth="1"/>
    <col min="9485" max="9485" width="0" style="18" hidden="1" customWidth="1"/>
    <col min="9486" max="9486" width="8.7109375" style="18" customWidth="1"/>
    <col min="9487" max="9728" width="9.140625" style="18"/>
    <col min="9729" max="9729" width="2.5703125" style="18" customWidth="1"/>
    <col min="9730" max="9730" width="13.85546875" style="18" customWidth="1"/>
    <col min="9731" max="9731" width="23.42578125" style="18" customWidth="1"/>
    <col min="9732" max="9732" width="10.28515625" style="18" bestFit="1" customWidth="1"/>
    <col min="9733" max="9733" width="7.7109375" style="18" customWidth="1"/>
    <col min="9734" max="9734" width="10.28515625" style="18" bestFit="1" customWidth="1"/>
    <col min="9735" max="9735" width="6.7109375" style="18" customWidth="1"/>
    <col min="9736" max="9736" width="8.7109375" style="18" customWidth="1"/>
    <col min="9737" max="9737" width="12" style="18" bestFit="1" customWidth="1"/>
    <col min="9738" max="9738" width="11.140625" style="18" bestFit="1" customWidth="1"/>
    <col min="9739" max="9740" width="8.7109375" style="18" customWidth="1"/>
    <col min="9741" max="9741" width="0" style="18" hidden="1" customWidth="1"/>
    <col min="9742" max="9742" width="8.7109375" style="18" customWidth="1"/>
    <col min="9743" max="9984" width="9.140625" style="18"/>
    <col min="9985" max="9985" width="2.5703125" style="18" customWidth="1"/>
    <col min="9986" max="9986" width="13.85546875" style="18" customWidth="1"/>
    <col min="9987" max="9987" width="23.42578125" style="18" customWidth="1"/>
    <col min="9988" max="9988" width="10.28515625" style="18" bestFit="1" customWidth="1"/>
    <col min="9989" max="9989" width="7.7109375" style="18" customWidth="1"/>
    <col min="9990" max="9990" width="10.28515625" style="18" bestFit="1" customWidth="1"/>
    <col min="9991" max="9991" width="6.7109375" style="18" customWidth="1"/>
    <col min="9992" max="9992" width="8.7109375" style="18" customWidth="1"/>
    <col min="9993" max="9993" width="12" style="18" bestFit="1" customWidth="1"/>
    <col min="9994" max="9994" width="11.140625" style="18" bestFit="1" customWidth="1"/>
    <col min="9995" max="9996" width="8.7109375" style="18" customWidth="1"/>
    <col min="9997" max="9997" width="0" style="18" hidden="1" customWidth="1"/>
    <col min="9998" max="9998" width="8.7109375" style="18" customWidth="1"/>
    <col min="9999" max="10240" width="9.140625" style="18"/>
    <col min="10241" max="10241" width="2.5703125" style="18" customWidth="1"/>
    <col min="10242" max="10242" width="13.85546875" style="18" customWidth="1"/>
    <col min="10243" max="10243" width="23.42578125" style="18" customWidth="1"/>
    <col min="10244" max="10244" width="10.28515625" style="18" bestFit="1" customWidth="1"/>
    <col min="10245" max="10245" width="7.7109375" style="18" customWidth="1"/>
    <col min="10246" max="10246" width="10.28515625" style="18" bestFit="1" customWidth="1"/>
    <col min="10247" max="10247" width="6.7109375" style="18" customWidth="1"/>
    <col min="10248" max="10248" width="8.7109375" style="18" customWidth="1"/>
    <col min="10249" max="10249" width="12" style="18" bestFit="1" customWidth="1"/>
    <col min="10250" max="10250" width="11.140625" style="18" bestFit="1" customWidth="1"/>
    <col min="10251" max="10252" width="8.7109375" style="18" customWidth="1"/>
    <col min="10253" max="10253" width="0" style="18" hidden="1" customWidth="1"/>
    <col min="10254" max="10254" width="8.7109375" style="18" customWidth="1"/>
    <col min="10255" max="10496" width="9.140625" style="18"/>
    <col min="10497" max="10497" width="2.5703125" style="18" customWidth="1"/>
    <col min="10498" max="10498" width="13.85546875" style="18" customWidth="1"/>
    <col min="10499" max="10499" width="23.42578125" style="18" customWidth="1"/>
    <col min="10500" max="10500" width="10.28515625" style="18" bestFit="1" customWidth="1"/>
    <col min="10501" max="10501" width="7.7109375" style="18" customWidth="1"/>
    <col min="10502" max="10502" width="10.28515625" style="18" bestFit="1" customWidth="1"/>
    <col min="10503" max="10503" width="6.7109375" style="18" customWidth="1"/>
    <col min="10504" max="10504" width="8.7109375" style="18" customWidth="1"/>
    <col min="10505" max="10505" width="12" style="18" bestFit="1" customWidth="1"/>
    <col min="10506" max="10506" width="11.140625" style="18" bestFit="1" customWidth="1"/>
    <col min="10507" max="10508" width="8.7109375" style="18" customWidth="1"/>
    <col min="10509" max="10509" width="0" style="18" hidden="1" customWidth="1"/>
    <col min="10510" max="10510" width="8.7109375" style="18" customWidth="1"/>
    <col min="10511" max="10752" width="9.140625" style="18"/>
    <col min="10753" max="10753" width="2.5703125" style="18" customWidth="1"/>
    <col min="10754" max="10754" width="13.85546875" style="18" customWidth="1"/>
    <col min="10755" max="10755" width="23.42578125" style="18" customWidth="1"/>
    <col min="10756" max="10756" width="10.28515625" style="18" bestFit="1" customWidth="1"/>
    <col min="10757" max="10757" width="7.7109375" style="18" customWidth="1"/>
    <col min="10758" max="10758" width="10.28515625" style="18" bestFit="1" customWidth="1"/>
    <col min="10759" max="10759" width="6.7109375" style="18" customWidth="1"/>
    <col min="10760" max="10760" width="8.7109375" style="18" customWidth="1"/>
    <col min="10761" max="10761" width="12" style="18" bestFit="1" customWidth="1"/>
    <col min="10762" max="10762" width="11.140625" style="18" bestFit="1" customWidth="1"/>
    <col min="10763" max="10764" width="8.7109375" style="18" customWidth="1"/>
    <col min="10765" max="10765" width="0" style="18" hidden="1" customWidth="1"/>
    <col min="10766" max="10766" width="8.7109375" style="18" customWidth="1"/>
    <col min="10767" max="11008" width="9.140625" style="18"/>
    <col min="11009" max="11009" width="2.5703125" style="18" customWidth="1"/>
    <col min="11010" max="11010" width="13.85546875" style="18" customWidth="1"/>
    <col min="11011" max="11011" width="23.42578125" style="18" customWidth="1"/>
    <col min="11012" max="11012" width="10.28515625" style="18" bestFit="1" customWidth="1"/>
    <col min="11013" max="11013" width="7.7109375" style="18" customWidth="1"/>
    <col min="11014" max="11014" width="10.28515625" style="18" bestFit="1" customWidth="1"/>
    <col min="11015" max="11015" width="6.7109375" style="18" customWidth="1"/>
    <col min="11016" max="11016" width="8.7109375" style="18" customWidth="1"/>
    <col min="11017" max="11017" width="12" style="18" bestFit="1" customWidth="1"/>
    <col min="11018" max="11018" width="11.140625" style="18" bestFit="1" customWidth="1"/>
    <col min="11019" max="11020" width="8.7109375" style="18" customWidth="1"/>
    <col min="11021" max="11021" width="0" style="18" hidden="1" customWidth="1"/>
    <col min="11022" max="11022" width="8.7109375" style="18" customWidth="1"/>
    <col min="11023" max="11264" width="9.140625" style="18"/>
    <col min="11265" max="11265" width="2.5703125" style="18" customWidth="1"/>
    <col min="11266" max="11266" width="13.85546875" style="18" customWidth="1"/>
    <col min="11267" max="11267" width="23.42578125" style="18" customWidth="1"/>
    <col min="11268" max="11268" width="10.28515625" style="18" bestFit="1" customWidth="1"/>
    <col min="11269" max="11269" width="7.7109375" style="18" customWidth="1"/>
    <col min="11270" max="11270" width="10.28515625" style="18" bestFit="1" customWidth="1"/>
    <col min="11271" max="11271" width="6.7109375" style="18" customWidth="1"/>
    <col min="11272" max="11272" width="8.7109375" style="18" customWidth="1"/>
    <col min="11273" max="11273" width="12" style="18" bestFit="1" customWidth="1"/>
    <col min="11274" max="11274" width="11.140625" style="18" bestFit="1" customWidth="1"/>
    <col min="11275" max="11276" width="8.7109375" style="18" customWidth="1"/>
    <col min="11277" max="11277" width="0" style="18" hidden="1" customWidth="1"/>
    <col min="11278" max="11278" width="8.7109375" style="18" customWidth="1"/>
    <col min="11279" max="11520" width="9.140625" style="18"/>
    <col min="11521" max="11521" width="2.5703125" style="18" customWidth="1"/>
    <col min="11522" max="11522" width="13.85546875" style="18" customWidth="1"/>
    <col min="11523" max="11523" width="23.42578125" style="18" customWidth="1"/>
    <col min="11524" max="11524" width="10.28515625" style="18" bestFit="1" customWidth="1"/>
    <col min="11525" max="11525" width="7.7109375" style="18" customWidth="1"/>
    <col min="11526" max="11526" width="10.28515625" style="18" bestFit="1" customWidth="1"/>
    <col min="11527" max="11527" width="6.7109375" style="18" customWidth="1"/>
    <col min="11528" max="11528" width="8.7109375" style="18" customWidth="1"/>
    <col min="11529" max="11529" width="12" style="18" bestFit="1" customWidth="1"/>
    <col min="11530" max="11530" width="11.140625" style="18" bestFit="1" customWidth="1"/>
    <col min="11531" max="11532" width="8.7109375" style="18" customWidth="1"/>
    <col min="11533" max="11533" width="0" style="18" hidden="1" customWidth="1"/>
    <col min="11534" max="11534" width="8.7109375" style="18" customWidth="1"/>
    <col min="11535" max="11776" width="9.140625" style="18"/>
    <col min="11777" max="11777" width="2.5703125" style="18" customWidth="1"/>
    <col min="11778" max="11778" width="13.85546875" style="18" customWidth="1"/>
    <col min="11779" max="11779" width="23.42578125" style="18" customWidth="1"/>
    <col min="11780" max="11780" width="10.28515625" style="18" bestFit="1" customWidth="1"/>
    <col min="11781" max="11781" width="7.7109375" style="18" customWidth="1"/>
    <col min="11782" max="11782" width="10.28515625" style="18" bestFit="1" customWidth="1"/>
    <col min="11783" max="11783" width="6.7109375" style="18" customWidth="1"/>
    <col min="11784" max="11784" width="8.7109375" style="18" customWidth="1"/>
    <col min="11785" max="11785" width="12" style="18" bestFit="1" customWidth="1"/>
    <col min="11786" max="11786" width="11.140625" style="18" bestFit="1" customWidth="1"/>
    <col min="11787" max="11788" width="8.7109375" style="18" customWidth="1"/>
    <col min="11789" max="11789" width="0" style="18" hidden="1" customWidth="1"/>
    <col min="11790" max="11790" width="8.7109375" style="18" customWidth="1"/>
    <col min="11791" max="12032" width="9.140625" style="18"/>
    <col min="12033" max="12033" width="2.5703125" style="18" customWidth="1"/>
    <col min="12034" max="12034" width="13.85546875" style="18" customWidth="1"/>
    <col min="12035" max="12035" width="23.42578125" style="18" customWidth="1"/>
    <col min="12036" max="12036" width="10.28515625" style="18" bestFit="1" customWidth="1"/>
    <col min="12037" max="12037" width="7.7109375" style="18" customWidth="1"/>
    <col min="12038" max="12038" width="10.28515625" style="18" bestFit="1" customWidth="1"/>
    <col min="12039" max="12039" width="6.7109375" style="18" customWidth="1"/>
    <col min="12040" max="12040" width="8.7109375" style="18" customWidth="1"/>
    <col min="12041" max="12041" width="12" style="18" bestFit="1" customWidth="1"/>
    <col min="12042" max="12042" width="11.140625" style="18" bestFit="1" customWidth="1"/>
    <col min="12043" max="12044" width="8.7109375" style="18" customWidth="1"/>
    <col min="12045" max="12045" width="0" style="18" hidden="1" customWidth="1"/>
    <col min="12046" max="12046" width="8.7109375" style="18" customWidth="1"/>
    <col min="12047" max="12288" width="9.140625" style="18"/>
    <col min="12289" max="12289" width="2.5703125" style="18" customWidth="1"/>
    <col min="12290" max="12290" width="13.85546875" style="18" customWidth="1"/>
    <col min="12291" max="12291" width="23.42578125" style="18" customWidth="1"/>
    <col min="12292" max="12292" width="10.28515625" style="18" bestFit="1" customWidth="1"/>
    <col min="12293" max="12293" width="7.7109375" style="18" customWidth="1"/>
    <col min="12294" max="12294" width="10.28515625" style="18" bestFit="1" customWidth="1"/>
    <col min="12295" max="12295" width="6.7109375" style="18" customWidth="1"/>
    <col min="12296" max="12296" width="8.7109375" style="18" customWidth="1"/>
    <col min="12297" max="12297" width="12" style="18" bestFit="1" customWidth="1"/>
    <col min="12298" max="12298" width="11.140625" style="18" bestFit="1" customWidth="1"/>
    <col min="12299" max="12300" width="8.7109375" style="18" customWidth="1"/>
    <col min="12301" max="12301" width="0" style="18" hidden="1" customWidth="1"/>
    <col min="12302" max="12302" width="8.7109375" style="18" customWidth="1"/>
    <col min="12303" max="12544" width="9.140625" style="18"/>
    <col min="12545" max="12545" width="2.5703125" style="18" customWidth="1"/>
    <col min="12546" max="12546" width="13.85546875" style="18" customWidth="1"/>
    <col min="12547" max="12547" width="23.42578125" style="18" customWidth="1"/>
    <col min="12548" max="12548" width="10.28515625" style="18" bestFit="1" customWidth="1"/>
    <col min="12549" max="12549" width="7.7109375" style="18" customWidth="1"/>
    <col min="12550" max="12550" width="10.28515625" style="18" bestFit="1" customWidth="1"/>
    <col min="12551" max="12551" width="6.7109375" style="18" customWidth="1"/>
    <col min="12552" max="12552" width="8.7109375" style="18" customWidth="1"/>
    <col min="12553" max="12553" width="12" style="18" bestFit="1" customWidth="1"/>
    <col min="12554" max="12554" width="11.140625" style="18" bestFit="1" customWidth="1"/>
    <col min="12555" max="12556" width="8.7109375" style="18" customWidth="1"/>
    <col min="12557" max="12557" width="0" style="18" hidden="1" customWidth="1"/>
    <col min="12558" max="12558" width="8.7109375" style="18" customWidth="1"/>
    <col min="12559" max="12800" width="9.140625" style="18"/>
    <col min="12801" max="12801" width="2.5703125" style="18" customWidth="1"/>
    <col min="12802" max="12802" width="13.85546875" style="18" customWidth="1"/>
    <col min="12803" max="12803" width="23.42578125" style="18" customWidth="1"/>
    <col min="12804" max="12804" width="10.28515625" style="18" bestFit="1" customWidth="1"/>
    <col min="12805" max="12805" width="7.7109375" style="18" customWidth="1"/>
    <col min="12806" max="12806" width="10.28515625" style="18" bestFit="1" customWidth="1"/>
    <col min="12807" max="12807" width="6.7109375" style="18" customWidth="1"/>
    <col min="12808" max="12808" width="8.7109375" style="18" customWidth="1"/>
    <col min="12809" max="12809" width="12" style="18" bestFit="1" customWidth="1"/>
    <col min="12810" max="12810" width="11.140625" style="18" bestFit="1" customWidth="1"/>
    <col min="12811" max="12812" width="8.7109375" style="18" customWidth="1"/>
    <col min="12813" max="12813" width="0" style="18" hidden="1" customWidth="1"/>
    <col min="12814" max="12814" width="8.7109375" style="18" customWidth="1"/>
    <col min="12815" max="13056" width="9.140625" style="18"/>
    <col min="13057" max="13057" width="2.5703125" style="18" customWidth="1"/>
    <col min="13058" max="13058" width="13.85546875" style="18" customWidth="1"/>
    <col min="13059" max="13059" width="23.42578125" style="18" customWidth="1"/>
    <col min="13060" max="13060" width="10.28515625" style="18" bestFit="1" customWidth="1"/>
    <col min="13061" max="13061" width="7.7109375" style="18" customWidth="1"/>
    <col min="13062" max="13062" width="10.28515625" style="18" bestFit="1" customWidth="1"/>
    <col min="13063" max="13063" width="6.7109375" style="18" customWidth="1"/>
    <col min="13064" max="13064" width="8.7109375" style="18" customWidth="1"/>
    <col min="13065" max="13065" width="12" style="18" bestFit="1" customWidth="1"/>
    <col min="13066" max="13066" width="11.140625" style="18" bestFit="1" customWidth="1"/>
    <col min="13067" max="13068" width="8.7109375" style="18" customWidth="1"/>
    <col min="13069" max="13069" width="0" style="18" hidden="1" customWidth="1"/>
    <col min="13070" max="13070" width="8.7109375" style="18" customWidth="1"/>
    <col min="13071" max="13312" width="9.140625" style="18"/>
    <col min="13313" max="13313" width="2.5703125" style="18" customWidth="1"/>
    <col min="13314" max="13314" width="13.85546875" style="18" customWidth="1"/>
    <col min="13315" max="13315" width="23.42578125" style="18" customWidth="1"/>
    <col min="13316" max="13316" width="10.28515625" style="18" bestFit="1" customWidth="1"/>
    <col min="13317" max="13317" width="7.7109375" style="18" customWidth="1"/>
    <col min="13318" max="13318" width="10.28515625" style="18" bestFit="1" customWidth="1"/>
    <col min="13319" max="13319" width="6.7109375" style="18" customWidth="1"/>
    <col min="13320" max="13320" width="8.7109375" style="18" customWidth="1"/>
    <col min="13321" max="13321" width="12" style="18" bestFit="1" customWidth="1"/>
    <col min="13322" max="13322" width="11.140625" style="18" bestFit="1" customWidth="1"/>
    <col min="13323" max="13324" width="8.7109375" style="18" customWidth="1"/>
    <col min="13325" max="13325" width="0" style="18" hidden="1" customWidth="1"/>
    <col min="13326" max="13326" width="8.7109375" style="18" customWidth="1"/>
    <col min="13327" max="13568" width="9.140625" style="18"/>
    <col min="13569" max="13569" width="2.5703125" style="18" customWidth="1"/>
    <col min="13570" max="13570" width="13.85546875" style="18" customWidth="1"/>
    <col min="13571" max="13571" width="23.42578125" style="18" customWidth="1"/>
    <col min="13572" max="13572" width="10.28515625" style="18" bestFit="1" customWidth="1"/>
    <col min="13573" max="13573" width="7.7109375" style="18" customWidth="1"/>
    <col min="13574" max="13574" width="10.28515625" style="18" bestFit="1" customWidth="1"/>
    <col min="13575" max="13575" width="6.7109375" style="18" customWidth="1"/>
    <col min="13576" max="13576" width="8.7109375" style="18" customWidth="1"/>
    <col min="13577" max="13577" width="12" style="18" bestFit="1" customWidth="1"/>
    <col min="13578" max="13578" width="11.140625" style="18" bestFit="1" customWidth="1"/>
    <col min="13579" max="13580" width="8.7109375" style="18" customWidth="1"/>
    <col min="13581" max="13581" width="0" style="18" hidden="1" customWidth="1"/>
    <col min="13582" max="13582" width="8.7109375" style="18" customWidth="1"/>
    <col min="13583" max="13824" width="9.140625" style="18"/>
    <col min="13825" max="13825" width="2.5703125" style="18" customWidth="1"/>
    <col min="13826" max="13826" width="13.85546875" style="18" customWidth="1"/>
    <col min="13827" max="13827" width="23.42578125" style="18" customWidth="1"/>
    <col min="13828" max="13828" width="10.28515625" style="18" bestFit="1" customWidth="1"/>
    <col min="13829" max="13829" width="7.7109375" style="18" customWidth="1"/>
    <col min="13830" max="13830" width="10.28515625" style="18" bestFit="1" customWidth="1"/>
    <col min="13831" max="13831" width="6.7109375" style="18" customWidth="1"/>
    <col min="13832" max="13832" width="8.7109375" style="18" customWidth="1"/>
    <col min="13833" max="13833" width="12" style="18" bestFit="1" customWidth="1"/>
    <col min="13834" max="13834" width="11.140625" style="18" bestFit="1" customWidth="1"/>
    <col min="13835" max="13836" width="8.7109375" style="18" customWidth="1"/>
    <col min="13837" max="13837" width="0" style="18" hidden="1" customWidth="1"/>
    <col min="13838" max="13838" width="8.7109375" style="18" customWidth="1"/>
    <col min="13839" max="14080" width="9.140625" style="18"/>
    <col min="14081" max="14081" width="2.5703125" style="18" customWidth="1"/>
    <col min="14082" max="14082" width="13.85546875" style="18" customWidth="1"/>
    <col min="14083" max="14083" width="23.42578125" style="18" customWidth="1"/>
    <col min="14084" max="14084" width="10.28515625" style="18" bestFit="1" customWidth="1"/>
    <col min="14085" max="14085" width="7.7109375" style="18" customWidth="1"/>
    <col min="14086" max="14086" width="10.28515625" style="18" bestFit="1" customWidth="1"/>
    <col min="14087" max="14087" width="6.7109375" style="18" customWidth="1"/>
    <col min="14088" max="14088" width="8.7109375" style="18" customWidth="1"/>
    <col min="14089" max="14089" width="12" style="18" bestFit="1" customWidth="1"/>
    <col min="14090" max="14090" width="11.140625" style="18" bestFit="1" customWidth="1"/>
    <col min="14091" max="14092" width="8.7109375" style="18" customWidth="1"/>
    <col min="14093" max="14093" width="0" style="18" hidden="1" customWidth="1"/>
    <col min="14094" max="14094" width="8.7109375" style="18" customWidth="1"/>
    <col min="14095" max="14336" width="9.140625" style="18"/>
    <col min="14337" max="14337" width="2.5703125" style="18" customWidth="1"/>
    <col min="14338" max="14338" width="13.85546875" style="18" customWidth="1"/>
    <col min="14339" max="14339" width="23.42578125" style="18" customWidth="1"/>
    <col min="14340" max="14340" width="10.28515625" style="18" bestFit="1" customWidth="1"/>
    <col min="14341" max="14341" width="7.7109375" style="18" customWidth="1"/>
    <col min="14342" max="14342" width="10.28515625" style="18" bestFit="1" customWidth="1"/>
    <col min="14343" max="14343" width="6.7109375" style="18" customWidth="1"/>
    <col min="14344" max="14344" width="8.7109375" style="18" customWidth="1"/>
    <col min="14345" max="14345" width="12" style="18" bestFit="1" customWidth="1"/>
    <col min="14346" max="14346" width="11.140625" style="18" bestFit="1" customWidth="1"/>
    <col min="14347" max="14348" width="8.7109375" style="18" customWidth="1"/>
    <col min="14349" max="14349" width="0" style="18" hidden="1" customWidth="1"/>
    <col min="14350" max="14350" width="8.7109375" style="18" customWidth="1"/>
    <col min="14351" max="14592" width="9.140625" style="18"/>
    <col min="14593" max="14593" width="2.5703125" style="18" customWidth="1"/>
    <col min="14594" max="14594" width="13.85546875" style="18" customWidth="1"/>
    <col min="14595" max="14595" width="23.42578125" style="18" customWidth="1"/>
    <col min="14596" max="14596" width="10.28515625" style="18" bestFit="1" customWidth="1"/>
    <col min="14597" max="14597" width="7.7109375" style="18" customWidth="1"/>
    <col min="14598" max="14598" width="10.28515625" style="18" bestFit="1" customWidth="1"/>
    <col min="14599" max="14599" width="6.7109375" style="18" customWidth="1"/>
    <col min="14600" max="14600" width="8.7109375" style="18" customWidth="1"/>
    <col min="14601" max="14601" width="12" style="18" bestFit="1" customWidth="1"/>
    <col min="14602" max="14602" width="11.140625" style="18" bestFit="1" customWidth="1"/>
    <col min="14603" max="14604" width="8.7109375" style="18" customWidth="1"/>
    <col min="14605" max="14605" width="0" style="18" hidden="1" customWidth="1"/>
    <col min="14606" max="14606" width="8.7109375" style="18" customWidth="1"/>
    <col min="14607" max="14848" width="9.140625" style="18"/>
    <col min="14849" max="14849" width="2.5703125" style="18" customWidth="1"/>
    <col min="14850" max="14850" width="13.85546875" style="18" customWidth="1"/>
    <col min="14851" max="14851" width="23.42578125" style="18" customWidth="1"/>
    <col min="14852" max="14852" width="10.28515625" style="18" bestFit="1" customWidth="1"/>
    <col min="14853" max="14853" width="7.7109375" style="18" customWidth="1"/>
    <col min="14854" max="14854" width="10.28515625" style="18" bestFit="1" customWidth="1"/>
    <col min="14855" max="14855" width="6.7109375" style="18" customWidth="1"/>
    <col min="14856" max="14856" width="8.7109375" style="18" customWidth="1"/>
    <col min="14857" max="14857" width="12" style="18" bestFit="1" customWidth="1"/>
    <col min="14858" max="14858" width="11.140625" style="18" bestFit="1" customWidth="1"/>
    <col min="14859" max="14860" width="8.7109375" style="18" customWidth="1"/>
    <col min="14861" max="14861" width="0" style="18" hidden="1" customWidth="1"/>
    <col min="14862" max="14862" width="8.7109375" style="18" customWidth="1"/>
    <col min="14863" max="15104" width="9.140625" style="18"/>
    <col min="15105" max="15105" width="2.5703125" style="18" customWidth="1"/>
    <col min="15106" max="15106" width="13.85546875" style="18" customWidth="1"/>
    <col min="15107" max="15107" width="23.42578125" style="18" customWidth="1"/>
    <col min="15108" max="15108" width="10.28515625" style="18" bestFit="1" customWidth="1"/>
    <col min="15109" max="15109" width="7.7109375" style="18" customWidth="1"/>
    <col min="15110" max="15110" width="10.28515625" style="18" bestFit="1" customWidth="1"/>
    <col min="15111" max="15111" width="6.7109375" style="18" customWidth="1"/>
    <col min="15112" max="15112" width="8.7109375" style="18" customWidth="1"/>
    <col min="15113" max="15113" width="12" style="18" bestFit="1" customWidth="1"/>
    <col min="15114" max="15114" width="11.140625" style="18" bestFit="1" customWidth="1"/>
    <col min="15115" max="15116" width="8.7109375" style="18" customWidth="1"/>
    <col min="15117" max="15117" width="0" style="18" hidden="1" customWidth="1"/>
    <col min="15118" max="15118" width="8.7109375" style="18" customWidth="1"/>
    <col min="15119" max="15360" width="9.140625" style="18"/>
    <col min="15361" max="15361" width="2.5703125" style="18" customWidth="1"/>
    <col min="15362" max="15362" width="13.85546875" style="18" customWidth="1"/>
    <col min="15363" max="15363" width="23.42578125" style="18" customWidth="1"/>
    <col min="15364" max="15364" width="10.28515625" style="18" bestFit="1" customWidth="1"/>
    <col min="15365" max="15365" width="7.7109375" style="18" customWidth="1"/>
    <col min="15366" max="15366" width="10.28515625" style="18" bestFit="1" customWidth="1"/>
    <col min="15367" max="15367" width="6.7109375" style="18" customWidth="1"/>
    <col min="15368" max="15368" width="8.7109375" style="18" customWidth="1"/>
    <col min="15369" max="15369" width="12" style="18" bestFit="1" customWidth="1"/>
    <col min="15370" max="15370" width="11.140625" style="18" bestFit="1" customWidth="1"/>
    <col min="15371" max="15372" width="8.7109375" style="18" customWidth="1"/>
    <col min="15373" max="15373" width="0" style="18" hidden="1" customWidth="1"/>
    <col min="15374" max="15374" width="8.7109375" style="18" customWidth="1"/>
    <col min="15375" max="15616" width="9.140625" style="18"/>
    <col min="15617" max="15617" width="2.5703125" style="18" customWidth="1"/>
    <col min="15618" max="15618" width="13.85546875" style="18" customWidth="1"/>
    <col min="15619" max="15619" width="23.42578125" style="18" customWidth="1"/>
    <col min="15620" max="15620" width="10.28515625" style="18" bestFit="1" customWidth="1"/>
    <col min="15621" max="15621" width="7.7109375" style="18" customWidth="1"/>
    <col min="15622" max="15622" width="10.28515625" style="18" bestFit="1" customWidth="1"/>
    <col min="15623" max="15623" width="6.7109375" style="18" customWidth="1"/>
    <col min="15624" max="15624" width="8.7109375" style="18" customWidth="1"/>
    <col min="15625" max="15625" width="12" style="18" bestFit="1" customWidth="1"/>
    <col min="15626" max="15626" width="11.140625" style="18" bestFit="1" customWidth="1"/>
    <col min="15627" max="15628" width="8.7109375" style="18" customWidth="1"/>
    <col min="15629" max="15629" width="0" style="18" hidden="1" customWidth="1"/>
    <col min="15630" max="15630" width="8.7109375" style="18" customWidth="1"/>
    <col min="15631" max="15872" width="9.140625" style="18"/>
    <col min="15873" max="15873" width="2.5703125" style="18" customWidth="1"/>
    <col min="15874" max="15874" width="13.85546875" style="18" customWidth="1"/>
    <col min="15875" max="15875" width="23.42578125" style="18" customWidth="1"/>
    <col min="15876" max="15876" width="10.28515625" style="18" bestFit="1" customWidth="1"/>
    <col min="15877" max="15877" width="7.7109375" style="18" customWidth="1"/>
    <col min="15878" max="15878" width="10.28515625" style="18" bestFit="1" customWidth="1"/>
    <col min="15879" max="15879" width="6.7109375" style="18" customWidth="1"/>
    <col min="15880" max="15880" width="8.7109375" style="18" customWidth="1"/>
    <col min="15881" max="15881" width="12" style="18" bestFit="1" customWidth="1"/>
    <col min="15882" max="15882" width="11.140625" style="18" bestFit="1" customWidth="1"/>
    <col min="15883" max="15884" width="8.7109375" style="18" customWidth="1"/>
    <col min="15885" max="15885" width="0" style="18" hidden="1" customWidth="1"/>
    <col min="15886" max="15886" width="8.7109375" style="18" customWidth="1"/>
    <col min="15887" max="16128" width="9.140625" style="18"/>
    <col min="16129" max="16129" width="2.5703125" style="18" customWidth="1"/>
    <col min="16130" max="16130" width="13.85546875" style="18" customWidth="1"/>
    <col min="16131" max="16131" width="23.42578125" style="18" customWidth="1"/>
    <col min="16132" max="16132" width="10.28515625" style="18" bestFit="1" customWidth="1"/>
    <col min="16133" max="16133" width="7.7109375" style="18" customWidth="1"/>
    <col min="16134" max="16134" width="10.28515625" style="18" bestFit="1" customWidth="1"/>
    <col min="16135" max="16135" width="6.7109375" style="18" customWidth="1"/>
    <col min="16136" max="16136" width="8.7109375" style="18" customWidth="1"/>
    <col min="16137" max="16137" width="12" style="18" bestFit="1" customWidth="1"/>
    <col min="16138" max="16138" width="11.140625" style="18" bestFit="1" customWidth="1"/>
    <col min="16139" max="16140" width="8.7109375" style="18" customWidth="1"/>
    <col min="16141" max="16141" width="0" style="18" hidden="1" customWidth="1"/>
    <col min="16142" max="16142" width="8.7109375" style="18" customWidth="1"/>
    <col min="16143" max="16384" width="9.140625" style="18"/>
  </cols>
  <sheetData>
    <row r="1" spans="2:16" ht="12.75" customHeight="1" x14ac:dyDescent="0.2">
      <c r="B1" s="6" t="s">
        <v>0</v>
      </c>
      <c r="C1" s="15"/>
      <c r="D1" s="15"/>
      <c r="E1" s="15"/>
      <c r="F1" s="16"/>
      <c r="G1" s="2"/>
      <c r="H1" s="2"/>
      <c r="I1" s="2"/>
      <c r="J1" s="3"/>
      <c r="K1" s="18"/>
      <c r="L1" s="15"/>
      <c r="M1" s="15"/>
      <c r="N1" s="15"/>
      <c r="O1" s="15"/>
      <c r="P1" s="15"/>
    </row>
    <row r="2" spans="2:16" ht="12.75" customHeight="1" x14ac:dyDescent="0.2">
      <c r="B2" s="6" t="s">
        <v>1</v>
      </c>
      <c r="C2" s="15"/>
      <c r="D2" s="15"/>
      <c r="E2" s="15"/>
      <c r="F2" s="19"/>
      <c r="G2" s="63"/>
      <c r="H2" s="63"/>
      <c r="I2" s="63"/>
      <c r="J2" s="64"/>
      <c r="K2" s="18"/>
      <c r="L2" s="15"/>
      <c r="M2" s="15"/>
      <c r="N2" s="15"/>
      <c r="O2" s="15"/>
      <c r="P2" s="15"/>
    </row>
    <row r="3" spans="2:16" ht="12.75" customHeight="1" x14ac:dyDescent="0.2">
      <c r="B3" s="6" t="s">
        <v>2</v>
      </c>
      <c r="C3" s="15"/>
      <c r="D3" s="15"/>
      <c r="E3" s="15"/>
      <c r="F3" s="19"/>
      <c r="G3" s="2"/>
      <c r="H3" s="2"/>
      <c r="I3" s="2"/>
      <c r="J3" s="3"/>
      <c r="K3" s="18"/>
      <c r="L3" s="15"/>
      <c r="M3" s="15"/>
      <c r="N3" s="15"/>
      <c r="O3" s="15"/>
      <c r="P3" s="15"/>
    </row>
    <row r="4" spans="2:16" ht="12.75" customHeight="1" x14ac:dyDescent="0.2">
      <c r="B4" s="6" t="s">
        <v>3</v>
      </c>
      <c r="C4" s="15"/>
      <c r="D4" s="20"/>
      <c r="E4" s="18"/>
      <c r="F4" s="18"/>
      <c r="G4" s="63"/>
      <c r="H4" s="63"/>
      <c r="I4" s="63"/>
      <c r="J4" s="64"/>
      <c r="K4" s="15"/>
      <c r="L4" s="15"/>
      <c r="M4" s="15"/>
      <c r="N4" s="15"/>
      <c r="O4" s="15"/>
      <c r="P4" s="15"/>
    </row>
    <row r="5" spans="2:16" ht="15" x14ac:dyDescent="0.2">
      <c r="B5" s="20"/>
      <c r="C5" s="20"/>
      <c r="D5" s="20"/>
      <c r="E5" s="20"/>
      <c r="F5" s="21"/>
      <c r="G5" s="20"/>
      <c r="H5" s="20"/>
      <c r="I5" s="20"/>
      <c r="J5" s="22"/>
      <c r="K5" s="15"/>
      <c r="L5" s="15"/>
      <c r="M5" s="15"/>
      <c r="N5" s="15"/>
      <c r="O5" s="15"/>
      <c r="P5" s="15"/>
    </row>
    <row r="6" spans="2:16" x14ac:dyDescent="0.2">
      <c r="B6" s="14"/>
      <c r="C6" s="23"/>
      <c r="G6" s="7"/>
      <c r="H6" s="7"/>
      <c r="I6" s="23" t="s">
        <v>8</v>
      </c>
    </row>
    <row r="7" spans="2:16" x14ac:dyDescent="0.2">
      <c r="B7" s="7"/>
      <c r="D7" s="23" t="s">
        <v>9</v>
      </c>
      <c r="F7" s="23" t="s">
        <v>9</v>
      </c>
      <c r="G7" s="7"/>
      <c r="H7" s="7"/>
      <c r="I7" s="23" t="s">
        <v>9</v>
      </c>
      <c r="J7" s="7"/>
      <c r="K7" s="18"/>
      <c r="L7" s="18"/>
      <c r="N7" s="18"/>
    </row>
    <row r="8" spans="2:16" x14ac:dyDescent="0.2">
      <c r="B8" s="7"/>
      <c r="D8" s="7" t="s">
        <v>10</v>
      </c>
      <c r="F8" s="7" t="s">
        <v>11</v>
      </c>
      <c r="G8" s="7"/>
      <c r="H8" s="17" t="s">
        <v>11</v>
      </c>
      <c r="I8" s="25" t="s">
        <v>12</v>
      </c>
      <c r="J8" s="7"/>
      <c r="K8" s="18"/>
      <c r="L8" s="18"/>
      <c r="N8" s="18"/>
    </row>
    <row r="9" spans="2:16" s="26" customFormat="1" x14ac:dyDescent="0.2">
      <c r="B9" s="25"/>
      <c r="C9" s="25"/>
      <c r="D9" s="23" t="s">
        <v>5</v>
      </c>
      <c r="E9" s="7"/>
      <c r="F9" s="23" t="s">
        <v>6</v>
      </c>
      <c r="G9" s="7"/>
      <c r="H9" s="17" t="s">
        <v>10</v>
      </c>
      <c r="I9" s="25" t="s">
        <v>13</v>
      </c>
      <c r="J9" s="25"/>
    </row>
    <row r="10" spans="2:16" s="26" customFormat="1" ht="12" thickBot="1" x14ac:dyDescent="0.25">
      <c r="B10" s="27" t="s">
        <v>22</v>
      </c>
      <c r="C10" s="28"/>
      <c r="D10" s="29" t="s">
        <v>14</v>
      </c>
      <c r="E10" s="29"/>
      <c r="F10" s="29" t="s">
        <v>14</v>
      </c>
      <c r="G10" s="28"/>
      <c r="H10" s="28"/>
      <c r="I10" s="29" t="s">
        <v>14</v>
      </c>
      <c r="J10" s="28"/>
    </row>
    <row r="11" spans="2:16" s="26" customFormat="1" x14ac:dyDescent="0.2">
      <c r="B11" s="103"/>
      <c r="C11" s="103"/>
      <c r="D11" s="12"/>
      <c r="E11" s="8"/>
      <c r="F11" s="12"/>
      <c r="G11" s="12"/>
      <c r="H11" s="12"/>
      <c r="I11" s="12"/>
      <c r="J11" s="12"/>
    </row>
    <row r="12" spans="2:16" s="26" customFormat="1" x14ac:dyDescent="0.2">
      <c r="B12" t="s">
        <v>30</v>
      </c>
      <c r="C12" s="8"/>
      <c r="D12" s="9">
        <f>'Tremont Cross Sections'!G64</f>
        <v>4863.9631666666664</v>
      </c>
      <c r="E12" s="10"/>
      <c r="F12" s="9">
        <f>'Tremont Cross Sections'!H64</f>
        <v>98683.788148148131</v>
      </c>
      <c r="G12" s="8"/>
      <c r="H12" s="11"/>
      <c r="I12" s="11">
        <f>D12-F12</f>
        <v>-93819.824981481463</v>
      </c>
      <c r="J12" s="30"/>
    </row>
    <row r="13" spans="2:16" s="26" customFormat="1" x14ac:dyDescent="0.2">
      <c r="C13" s="8"/>
      <c r="D13" s="9"/>
      <c r="E13" s="10"/>
      <c r="F13" s="9"/>
      <c r="G13" s="8"/>
      <c r="H13" s="11"/>
      <c r="I13" s="11"/>
      <c r="J13" s="30"/>
    </row>
    <row r="14" spans="2:16" s="26" customFormat="1" x14ac:dyDescent="0.2">
      <c r="B14" s="46" t="s">
        <v>32</v>
      </c>
      <c r="C14" s="8"/>
      <c r="D14" s="9">
        <f>'Tremont Cross Sections'!G86</f>
        <v>26575.30574074074</v>
      </c>
      <c r="E14" s="10"/>
      <c r="F14" s="9">
        <f>'Tremont Cross Sections'!H86</f>
        <v>43556.228888888887</v>
      </c>
      <c r="G14" s="8"/>
      <c r="H14" s="11"/>
      <c r="I14" s="11">
        <f>D14-F14</f>
        <v>-16980.923148148147</v>
      </c>
      <c r="J14" s="30"/>
    </row>
    <row r="15" spans="2:16" s="26" customFormat="1" x14ac:dyDescent="0.2">
      <c r="C15" s="8"/>
      <c r="D15" s="9"/>
      <c r="E15" s="10"/>
      <c r="F15" s="9"/>
      <c r="G15" s="8"/>
      <c r="H15" s="11"/>
      <c r="I15" s="11"/>
      <c r="J15" s="30"/>
    </row>
    <row r="16" spans="2:16" s="26" customFormat="1" x14ac:dyDescent="0.2">
      <c r="B16" s="46" t="s">
        <v>33</v>
      </c>
      <c r="C16" s="8"/>
      <c r="D16" s="9">
        <f>'Tremont Cross Sections'!G93</f>
        <v>141.68185185185183</v>
      </c>
      <c r="E16" s="10"/>
      <c r="F16" s="9">
        <f>'Tremont Cross Sections'!H93</f>
        <v>0.74666666666666681</v>
      </c>
      <c r="G16" s="8"/>
      <c r="H16" s="11"/>
      <c r="I16" s="11">
        <f>D16-F16</f>
        <v>140.93518518518516</v>
      </c>
      <c r="J16" s="30"/>
    </row>
    <row r="17" spans="2:14" s="26" customFormat="1" x14ac:dyDescent="0.2">
      <c r="C17" s="8"/>
      <c r="D17" s="9"/>
      <c r="E17" s="10"/>
      <c r="F17" s="9"/>
      <c r="G17" s="8"/>
      <c r="H17" s="11"/>
      <c r="I17" s="11"/>
      <c r="J17" s="30"/>
    </row>
    <row r="18" spans="2:14" s="26" customFormat="1" x14ac:dyDescent="0.2">
      <c r="B18" s="46" t="s">
        <v>34</v>
      </c>
      <c r="C18" s="8"/>
      <c r="D18" s="9">
        <f>'Tremont Cross Sections'!G116</f>
        <v>1006.1296296296297</v>
      </c>
      <c r="E18" s="10"/>
      <c r="F18" s="9">
        <f>'Tremont Cross Sections'!H116</f>
        <v>1371.4953703703704</v>
      </c>
      <c r="G18" s="8"/>
      <c r="H18" s="11"/>
      <c r="I18" s="11">
        <f>D18-F18</f>
        <v>-365.36574074074076</v>
      </c>
      <c r="J18" s="30"/>
    </row>
    <row r="19" spans="2:14" s="26" customFormat="1" x14ac:dyDescent="0.2">
      <c r="C19" s="8"/>
      <c r="D19" s="9"/>
      <c r="E19" s="10"/>
      <c r="F19" s="9"/>
      <c r="G19" s="8"/>
      <c r="H19" s="11"/>
      <c r="I19" s="11"/>
      <c r="J19" s="30"/>
    </row>
    <row r="20" spans="2:14" s="26" customFormat="1" x14ac:dyDescent="0.2">
      <c r="B20" s="46" t="s">
        <v>35</v>
      </c>
      <c r="C20" s="8"/>
      <c r="D20" s="9">
        <f>'Tremont Cross Sections'!G137</f>
        <v>2569.1388888888887</v>
      </c>
      <c r="E20" s="10"/>
      <c r="F20" s="9">
        <f>'Tremont Cross Sections'!H137</f>
        <v>90.861111111111114</v>
      </c>
      <c r="G20" s="8"/>
      <c r="H20" s="11"/>
      <c r="I20" s="11">
        <f>D20-F20</f>
        <v>2478.2777777777774</v>
      </c>
      <c r="J20" s="30"/>
    </row>
    <row r="21" spans="2:14" s="26" customFormat="1" x14ac:dyDescent="0.2">
      <c r="C21" s="8"/>
      <c r="D21" s="9"/>
      <c r="E21" s="10"/>
      <c r="F21" s="9"/>
      <c r="G21" s="8"/>
      <c r="H21" s="11"/>
      <c r="I21" s="11"/>
      <c r="J21" s="30"/>
    </row>
    <row r="22" spans="2:14" s="26" customFormat="1" x14ac:dyDescent="0.2">
      <c r="B22" s="46" t="s">
        <v>36</v>
      </c>
      <c r="C22" s="8"/>
      <c r="D22" s="9">
        <f>'Tremont Cross Sections'!G156</f>
        <v>669.81481481481467</v>
      </c>
      <c r="E22" s="10"/>
      <c r="F22" s="9">
        <f>'Tremont Cross Sections'!H156</f>
        <v>14610.527777777776</v>
      </c>
      <c r="G22" s="8"/>
      <c r="H22" s="11"/>
      <c r="I22" s="11">
        <f>D22-F22</f>
        <v>-13940.712962962962</v>
      </c>
      <c r="J22" s="30"/>
    </row>
    <row r="23" spans="2:14" s="26" customFormat="1" x14ac:dyDescent="0.2">
      <c r="B23" s="13"/>
      <c r="C23" s="8"/>
      <c r="D23" s="9"/>
      <c r="E23" s="10"/>
      <c r="F23" s="9"/>
      <c r="G23" s="8"/>
      <c r="H23" s="11"/>
      <c r="I23" s="11"/>
      <c r="J23" s="30"/>
    </row>
    <row r="24" spans="2:14" s="26" customFormat="1" x14ac:dyDescent="0.2">
      <c r="B24" s="59" t="s">
        <v>37</v>
      </c>
      <c r="C24" s="8"/>
      <c r="D24" s="9">
        <f>'Tremont Cross Sections'!G163</f>
        <v>88.951851851851842</v>
      </c>
      <c r="E24" s="10"/>
      <c r="F24" s="9">
        <f>'Tremont Cross Sections'!H163</f>
        <v>5.3194444444444446</v>
      </c>
      <c r="G24" s="8"/>
      <c r="H24" s="11"/>
      <c r="I24" s="11">
        <f>D24-F24</f>
        <v>83.632407407407399</v>
      </c>
      <c r="J24" s="30"/>
    </row>
    <row r="25" spans="2:14" s="26" customFormat="1" x14ac:dyDescent="0.2">
      <c r="B25" s="13"/>
      <c r="C25" s="8"/>
      <c r="D25" s="9"/>
      <c r="E25" s="10"/>
      <c r="F25" s="9"/>
      <c r="G25" s="8"/>
      <c r="H25" s="11"/>
      <c r="I25" s="11"/>
      <c r="J25" s="30"/>
    </row>
    <row r="26" spans="2:14" s="26" customFormat="1" x14ac:dyDescent="0.2">
      <c r="B26" s="13" t="s">
        <v>44</v>
      </c>
      <c r="C26" s="8"/>
      <c r="D26" s="9">
        <f>'Tremont Cross Sections'!G172</f>
        <v>4.7037037037037042</v>
      </c>
      <c r="E26" s="10"/>
      <c r="F26" s="9">
        <f>'Tremont Cross Sections'!H172</f>
        <v>137.20185185185184</v>
      </c>
      <c r="G26" s="8"/>
      <c r="H26" s="11"/>
      <c r="I26" s="11">
        <f>D26-F26</f>
        <v>-132.49814814814815</v>
      </c>
      <c r="J26" s="30"/>
    </row>
    <row r="27" spans="2:14" s="26" customFormat="1" x14ac:dyDescent="0.2">
      <c r="B27" s="13"/>
      <c r="C27" s="8"/>
      <c r="D27" s="9"/>
      <c r="E27" s="10"/>
      <c r="F27" s="9"/>
      <c r="G27" s="8"/>
      <c r="H27" s="11"/>
      <c r="I27" s="11"/>
      <c r="J27" s="30"/>
    </row>
    <row r="28" spans="2:14" s="26" customFormat="1" x14ac:dyDescent="0.2">
      <c r="B28" s="12"/>
      <c r="C28" s="12"/>
      <c r="D28" s="9">
        <f>SUM(D12:D26)</f>
        <v>35919.689648148153</v>
      </c>
      <c r="E28" s="11"/>
      <c r="F28" s="9">
        <f>SUM(F12:F26)</f>
        <v>158456.16925925924</v>
      </c>
      <c r="G28" s="32"/>
      <c r="H28" s="31"/>
      <c r="I28" s="11">
        <f>SUM(I12:I26)</f>
        <v>-122536.47961111111</v>
      </c>
      <c r="J28" s="30"/>
    </row>
    <row r="29" spans="2:14" s="26" customFormat="1" x14ac:dyDescent="0.2">
      <c r="B29" s="12"/>
      <c r="C29" s="12"/>
      <c r="D29" s="9"/>
      <c r="E29" s="11"/>
      <c r="F29" s="9"/>
      <c r="G29" s="32"/>
      <c r="H29" s="11"/>
      <c r="I29" s="11"/>
      <c r="J29" s="30"/>
    </row>
    <row r="30" spans="2:14" s="26" customFormat="1" ht="13.5" thickBot="1" x14ac:dyDescent="0.25">
      <c r="B30" s="33"/>
      <c r="C30" s="33"/>
      <c r="D30" s="12"/>
      <c r="E30" s="12"/>
      <c r="F30" s="33"/>
      <c r="G30" s="12"/>
      <c r="H30" s="12"/>
      <c r="I30" s="11"/>
      <c r="J30" s="34"/>
      <c r="K30" s="25"/>
      <c r="L30" s="25"/>
      <c r="M30" s="25"/>
      <c r="N30" s="25"/>
    </row>
    <row r="31" spans="2:14" s="26" customFormat="1" ht="13.5" thickBot="1" x14ac:dyDescent="0.25">
      <c r="B31" s="35" t="s">
        <v>15</v>
      </c>
      <c r="C31" s="36" t="s">
        <v>16</v>
      </c>
      <c r="D31" s="37"/>
      <c r="E31" s="38"/>
      <c r="F31" s="39"/>
      <c r="G31" s="40"/>
      <c r="H31" s="41"/>
      <c r="I31" s="42">
        <f>SUM(D12:D26)</f>
        <v>35919.689648148153</v>
      </c>
      <c r="J31" s="43" t="s">
        <v>17</v>
      </c>
      <c r="K31" s="44"/>
      <c r="L31" s="44"/>
      <c r="M31" s="25"/>
      <c r="N31" s="44"/>
    </row>
    <row r="32" spans="2:14" ht="13.5" thickBot="1" x14ac:dyDescent="0.25">
      <c r="B32" s="14"/>
    </row>
    <row r="33" spans="2:10" ht="13.5" thickBot="1" x14ac:dyDescent="0.25">
      <c r="B33" s="35" t="s">
        <v>18</v>
      </c>
      <c r="C33" s="36" t="s">
        <v>19</v>
      </c>
      <c r="D33" s="37"/>
      <c r="E33" s="38"/>
      <c r="F33" s="39"/>
      <c r="G33" s="40"/>
      <c r="H33" s="41"/>
      <c r="I33" s="42">
        <f>F28</f>
        <v>158456.16925925924</v>
      </c>
      <c r="J33" s="43" t="s">
        <v>17</v>
      </c>
    </row>
    <row r="34" spans="2:10" ht="13.5" thickBot="1" x14ac:dyDescent="0.25">
      <c r="B34" s="14"/>
    </row>
    <row r="35" spans="2:10" ht="13.5" thickBot="1" x14ac:dyDescent="0.25">
      <c r="B35" s="45"/>
      <c r="C35" s="36" t="s">
        <v>20</v>
      </c>
      <c r="D35" s="37"/>
      <c r="E35" s="38"/>
      <c r="F35" s="39"/>
      <c r="G35" s="40"/>
      <c r="H35" s="41"/>
      <c r="I35" s="42"/>
      <c r="J35" s="43" t="s">
        <v>17</v>
      </c>
    </row>
    <row r="36" spans="2:10" ht="25.5" customHeight="1" x14ac:dyDescent="0.2">
      <c r="C36" s="104" t="s">
        <v>21</v>
      </c>
      <c r="D36" s="104"/>
      <c r="E36" s="104"/>
      <c r="F36" s="104"/>
      <c r="G36" s="104"/>
      <c r="H36" s="104"/>
    </row>
  </sheetData>
  <mergeCells count="2">
    <mergeCell ref="B11:C11"/>
    <mergeCell ref="C36:H36"/>
  </mergeCells>
  <pageMargins left="0.75" right="0.75" top="1" bottom="1" header="0.5" footer="0.5"/>
  <pageSetup scale="93" orientation="landscape" r:id="rId1"/>
  <headerFooter alignWithMargins="0">
    <oddFooter>&amp;L&amp;F&amp;C&amp;A&amp;RPage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75"/>
  <sheetViews>
    <sheetView tabSelected="1" view="pageBreakPreview" zoomScale="115" zoomScaleNormal="100" zoomScaleSheetLayoutView="115" workbookViewId="0">
      <selection activeCell="G3" sqref="G3"/>
    </sheetView>
  </sheetViews>
  <sheetFormatPr defaultRowHeight="12.75" x14ac:dyDescent="0.2"/>
  <cols>
    <col min="1" max="1" width="10.7109375" bestFit="1" customWidth="1"/>
    <col min="2" max="3" width="9.28515625" bestFit="1" customWidth="1"/>
    <col min="4" max="4" width="12.85546875" hidden="1" customWidth="1"/>
    <col min="5" max="5" width="12.85546875" customWidth="1"/>
    <col min="6" max="6" width="9.28515625" bestFit="1" customWidth="1"/>
    <col min="7" max="7" width="12.42578125" style="5" customWidth="1"/>
    <col min="8" max="8" width="14.42578125" style="5" customWidth="1"/>
    <col min="9" max="9" width="6.7109375" style="5" customWidth="1"/>
    <col min="10" max="10" width="14.42578125" style="5" customWidth="1"/>
    <col min="11" max="11" width="66.85546875" style="5" customWidth="1"/>
  </cols>
  <sheetData>
    <row r="1" spans="1:11" x14ac:dyDescent="0.2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</row>
    <row r="2" spans="1:11" x14ac:dyDescent="0.2">
      <c r="A2" s="1" t="s">
        <v>1</v>
      </c>
      <c r="B2" s="1"/>
      <c r="C2" s="1"/>
      <c r="D2" s="1"/>
      <c r="E2" s="63"/>
      <c r="F2" s="63"/>
      <c r="G2" s="63"/>
      <c r="H2" s="64"/>
      <c r="I2" s="64"/>
      <c r="J2" s="64"/>
      <c r="K2" s="64"/>
    </row>
    <row r="3" spans="1:11" x14ac:dyDescent="0.2">
      <c r="A3" s="1" t="s">
        <v>2</v>
      </c>
      <c r="B3" s="1"/>
      <c r="C3" s="1"/>
      <c r="D3" s="1"/>
      <c r="E3" s="2"/>
      <c r="F3" s="2"/>
      <c r="G3" s="2"/>
      <c r="H3" s="3"/>
      <c r="I3" s="3"/>
      <c r="J3" s="3"/>
      <c r="K3" s="3"/>
    </row>
    <row r="4" spans="1:11" x14ac:dyDescent="0.2">
      <c r="A4" s="1" t="s">
        <v>3</v>
      </c>
      <c r="B4" s="1"/>
      <c r="C4" s="1"/>
      <c r="D4" s="1"/>
      <c r="E4" s="63"/>
      <c r="F4" s="63"/>
      <c r="G4" s="63"/>
      <c r="H4" s="64"/>
      <c r="I4" s="64"/>
      <c r="J4" s="64"/>
      <c r="K4" s="64"/>
    </row>
    <row r="5" spans="1:11" x14ac:dyDescent="0.2">
      <c r="A5" s="1"/>
      <c r="B5" s="1"/>
      <c r="C5" s="1"/>
      <c r="D5" s="1"/>
      <c r="E5" s="1"/>
      <c r="F5" s="1"/>
      <c r="G5" s="4"/>
      <c r="H5" s="4"/>
      <c r="I5" s="4"/>
      <c r="J5" s="4"/>
      <c r="K5" s="4"/>
    </row>
    <row r="6" spans="1:11" x14ac:dyDescent="0.2">
      <c r="A6" s="1" t="s">
        <v>4</v>
      </c>
      <c r="B6" s="1"/>
      <c r="C6" s="1"/>
      <c r="D6" s="1"/>
      <c r="E6" s="1"/>
      <c r="F6" s="1"/>
      <c r="G6" s="4"/>
      <c r="H6" s="4"/>
      <c r="I6" s="4"/>
      <c r="J6" s="4"/>
      <c r="K6" s="4"/>
    </row>
    <row r="7" spans="1:11" x14ac:dyDescent="0.2">
      <c r="A7" s="74" t="s">
        <v>38</v>
      </c>
    </row>
    <row r="9" spans="1:11" x14ac:dyDescent="0.2">
      <c r="A9" t="s">
        <v>30</v>
      </c>
      <c r="G9" s="105" t="s">
        <v>7</v>
      </c>
      <c r="H9" s="105"/>
      <c r="I9" s="72"/>
      <c r="J9" s="72"/>
      <c r="K9" s="51"/>
    </row>
    <row r="10" spans="1:11" ht="38.25" x14ac:dyDescent="0.2">
      <c r="A10" s="65" t="s">
        <v>23</v>
      </c>
      <c r="B10" s="66" t="s">
        <v>24</v>
      </c>
      <c r="C10" s="66" t="s">
        <v>25</v>
      </c>
      <c r="D10" s="66" t="s">
        <v>26</v>
      </c>
      <c r="E10" s="66" t="s">
        <v>27</v>
      </c>
      <c r="F10" s="66" t="s">
        <v>28</v>
      </c>
      <c r="G10" s="67" t="s">
        <v>27</v>
      </c>
      <c r="H10" s="67" t="s">
        <v>28</v>
      </c>
      <c r="I10" s="68"/>
      <c r="J10" s="68"/>
      <c r="K10" s="68"/>
    </row>
    <row r="11" spans="1:11" x14ac:dyDescent="0.2">
      <c r="A11" s="101">
        <v>9800</v>
      </c>
      <c r="B11" s="97"/>
      <c r="C11" s="97"/>
      <c r="D11" s="97"/>
      <c r="E11" s="98">
        <v>0</v>
      </c>
      <c r="F11" s="98">
        <v>0</v>
      </c>
      <c r="G11" s="55">
        <f>E11</f>
        <v>0</v>
      </c>
      <c r="H11" s="55">
        <f>F11</f>
        <v>0</v>
      </c>
      <c r="I11" s="69"/>
      <c r="J11" s="69"/>
      <c r="K11" s="69"/>
    </row>
    <row r="12" spans="1:11" x14ac:dyDescent="0.2">
      <c r="A12" s="56">
        <v>9850</v>
      </c>
      <c r="B12" s="53">
        <v>1</v>
      </c>
      <c r="C12" s="53">
        <v>0</v>
      </c>
      <c r="D12" s="53">
        <v>3</v>
      </c>
      <c r="E12" s="54">
        <f t="shared" ref="E12:E14" si="0">(((B12+B11)/2)*(A12-A11))/27</f>
        <v>0.92592592592592593</v>
      </c>
      <c r="F12" s="54">
        <f t="shared" ref="F12:F14" si="1">(((C12+C11)/2)*(A12-A11))/27</f>
        <v>0</v>
      </c>
      <c r="G12" s="55">
        <f t="shared" ref="G12:H15" si="2">E12+G11</f>
        <v>0.92592592592592593</v>
      </c>
      <c r="H12" s="55">
        <f t="shared" si="2"/>
        <v>0</v>
      </c>
      <c r="I12" s="69"/>
      <c r="J12" s="69"/>
      <c r="K12" s="69"/>
    </row>
    <row r="13" spans="1:11" x14ac:dyDescent="0.2">
      <c r="A13" s="102">
        <v>9900</v>
      </c>
      <c r="B13" s="97">
        <v>5</v>
      </c>
      <c r="C13" s="97">
        <v>0.14000000000000001</v>
      </c>
      <c r="D13" s="97">
        <v>2</v>
      </c>
      <c r="E13" s="98">
        <f t="shared" si="0"/>
        <v>5.5555555555555554</v>
      </c>
      <c r="F13" s="98">
        <f t="shared" si="1"/>
        <v>0.12962962962962965</v>
      </c>
      <c r="G13" s="55">
        <f t="shared" si="2"/>
        <v>6.481481481481481</v>
      </c>
      <c r="H13" s="55">
        <f t="shared" si="2"/>
        <v>0.12962962962962965</v>
      </c>
      <c r="I13" s="69"/>
      <c r="J13" s="69"/>
      <c r="K13" s="69"/>
    </row>
    <row r="14" spans="1:11" x14ac:dyDescent="0.2">
      <c r="A14" s="56">
        <v>9950</v>
      </c>
      <c r="B14" s="53">
        <v>5</v>
      </c>
      <c r="C14" s="53">
        <v>1</v>
      </c>
      <c r="D14" s="53">
        <v>2</v>
      </c>
      <c r="E14" s="54">
        <f t="shared" si="0"/>
        <v>9.2592592592592595</v>
      </c>
      <c r="F14" s="54">
        <f t="shared" si="1"/>
        <v>1.0555555555555556</v>
      </c>
      <c r="G14" s="55">
        <f t="shared" si="2"/>
        <v>15.74074074074074</v>
      </c>
      <c r="H14" s="55">
        <f t="shared" si="2"/>
        <v>1.1851851851851851</v>
      </c>
      <c r="I14" s="69"/>
      <c r="J14" s="69"/>
      <c r="K14" s="69"/>
    </row>
    <row r="15" spans="1:11" x14ac:dyDescent="0.2">
      <c r="A15" s="102">
        <v>10000</v>
      </c>
      <c r="B15" s="97">
        <v>30</v>
      </c>
      <c r="C15" s="97">
        <v>0</v>
      </c>
      <c r="D15" s="97">
        <v>56.7</v>
      </c>
      <c r="E15" s="98">
        <f>(((B15+B14)/2)*(A15-A14))/27</f>
        <v>32.407407407407405</v>
      </c>
      <c r="F15" s="98">
        <f>(((C15+C14)/2)*(A15-A14))/27</f>
        <v>0.92592592592592593</v>
      </c>
      <c r="G15" s="55">
        <f t="shared" si="2"/>
        <v>48.148148148148145</v>
      </c>
      <c r="H15" s="55">
        <f t="shared" si="2"/>
        <v>2.1111111111111112</v>
      </c>
      <c r="I15" s="69"/>
      <c r="J15" s="69"/>
      <c r="K15" s="62"/>
    </row>
    <row r="16" spans="1:11" x14ac:dyDescent="0.2">
      <c r="A16" s="56">
        <v>10049.25</v>
      </c>
      <c r="B16" s="53">
        <v>31.9</v>
      </c>
      <c r="C16" s="53">
        <v>0</v>
      </c>
      <c r="D16" s="53">
        <v>50.65</v>
      </c>
      <c r="E16" s="54">
        <f>(((B16+B15)/2)*(A16-A15))/27</f>
        <v>56.455092592592592</v>
      </c>
      <c r="F16" s="54">
        <f>(((C16+C15)/2)*(A16-A15))/27</f>
        <v>0</v>
      </c>
      <c r="G16" s="55">
        <f>E16+G15</f>
        <v>104.60324074074074</v>
      </c>
      <c r="H16" s="55">
        <f>F16+H15</f>
        <v>2.1111111111111112</v>
      </c>
      <c r="I16" s="69"/>
      <c r="J16" s="69"/>
      <c r="K16" s="62"/>
    </row>
    <row r="17" spans="1:11" x14ac:dyDescent="0.2">
      <c r="A17" s="102" t="s">
        <v>31</v>
      </c>
      <c r="B17" s="97">
        <v>0</v>
      </c>
      <c r="C17" s="97">
        <v>0</v>
      </c>
      <c r="D17" s="97"/>
      <c r="E17" s="98"/>
      <c r="F17" s="98"/>
      <c r="G17" s="55"/>
      <c r="H17" s="55"/>
      <c r="I17" s="69"/>
      <c r="J17" s="69"/>
      <c r="K17" s="62"/>
    </row>
    <row r="18" spans="1:11" x14ac:dyDescent="0.2">
      <c r="A18" s="56">
        <v>10264.780000000001</v>
      </c>
      <c r="B18" s="53">
        <v>34.799999999999997</v>
      </c>
      <c r="C18" s="53">
        <v>0</v>
      </c>
      <c r="D18" s="53">
        <v>41.8</v>
      </c>
      <c r="E18" s="54">
        <v>0</v>
      </c>
      <c r="F18" s="54">
        <v>0</v>
      </c>
      <c r="G18" s="55">
        <f>E18+G16</f>
        <v>104.60324074074074</v>
      </c>
      <c r="H18" s="55">
        <f>F18+H16</f>
        <v>2.1111111111111112</v>
      </c>
      <c r="I18" s="69"/>
      <c r="J18" s="69"/>
      <c r="K18" s="62"/>
    </row>
    <row r="19" spans="1:11" x14ac:dyDescent="0.2">
      <c r="A19" s="102">
        <v>10300</v>
      </c>
      <c r="B19" s="97">
        <v>45.5</v>
      </c>
      <c r="C19" s="97">
        <v>0</v>
      </c>
      <c r="D19" s="97">
        <v>41.3</v>
      </c>
      <c r="E19" s="98">
        <f t="shared" ref="E19:E46" si="3">(((B19+B18)/2)*(A19-A18))/27</f>
        <v>52.373444444443471</v>
      </c>
      <c r="F19" s="98">
        <f t="shared" ref="F19:F46" si="4">(((C19+C18)/2)*(A19-A18))/27</f>
        <v>0</v>
      </c>
      <c r="G19" s="99">
        <f t="shared" ref="G19:G47" si="5">E19+G18</f>
        <v>156.97668518518421</v>
      </c>
      <c r="H19" s="99">
        <f t="shared" ref="H19:H47" si="6">F19+H18</f>
        <v>2.1111111111111112</v>
      </c>
      <c r="I19" s="69"/>
      <c r="J19" s="69"/>
      <c r="K19" s="62"/>
    </row>
    <row r="20" spans="1:11" x14ac:dyDescent="0.2">
      <c r="A20" s="56">
        <v>10350</v>
      </c>
      <c r="B20" s="53">
        <v>49.5</v>
      </c>
      <c r="C20" s="53">
        <v>2.57</v>
      </c>
      <c r="D20" s="53">
        <v>41.9</v>
      </c>
      <c r="E20" s="54">
        <f t="shared" si="3"/>
        <v>87.962962962962962</v>
      </c>
      <c r="F20" s="54">
        <f t="shared" si="4"/>
        <v>2.3796296296296298</v>
      </c>
      <c r="G20" s="55">
        <f t="shared" si="5"/>
        <v>244.93964814814717</v>
      </c>
      <c r="H20" s="55">
        <f t="shared" si="6"/>
        <v>4.4907407407407405</v>
      </c>
      <c r="I20" s="69"/>
      <c r="J20" s="69"/>
      <c r="K20" s="62"/>
    </row>
    <row r="21" spans="1:11" x14ac:dyDescent="0.2">
      <c r="A21" s="102">
        <v>10400</v>
      </c>
      <c r="B21" s="97">
        <v>40</v>
      </c>
      <c r="C21" s="97">
        <v>1.75</v>
      </c>
      <c r="D21" s="97">
        <v>41.6</v>
      </c>
      <c r="E21" s="98">
        <f t="shared" si="3"/>
        <v>82.870370370370367</v>
      </c>
      <c r="F21" s="98">
        <f t="shared" si="4"/>
        <v>4</v>
      </c>
      <c r="G21" s="55">
        <f t="shared" si="5"/>
        <v>327.81001851851755</v>
      </c>
      <c r="H21" s="55">
        <f t="shared" si="6"/>
        <v>8.4907407407407405</v>
      </c>
      <c r="I21" s="69"/>
      <c r="J21" s="69"/>
      <c r="K21" s="62"/>
    </row>
    <row r="22" spans="1:11" x14ac:dyDescent="0.2">
      <c r="A22" s="56">
        <v>10450</v>
      </c>
      <c r="B22" s="53">
        <v>31</v>
      </c>
      <c r="C22" s="53">
        <v>5.91</v>
      </c>
      <c r="D22" s="53">
        <v>41.5</v>
      </c>
      <c r="E22" s="54">
        <f t="shared" si="3"/>
        <v>65.740740740740748</v>
      </c>
      <c r="F22" s="54">
        <f t="shared" si="4"/>
        <v>7.0925925925925926</v>
      </c>
      <c r="G22" s="55">
        <f t="shared" si="5"/>
        <v>393.55075925925831</v>
      </c>
      <c r="H22" s="55">
        <f t="shared" si="6"/>
        <v>15.583333333333332</v>
      </c>
      <c r="I22" s="69"/>
      <c r="J22" s="69"/>
      <c r="K22" s="62"/>
    </row>
    <row r="23" spans="1:11" x14ac:dyDescent="0.2">
      <c r="A23" s="102">
        <v>10500</v>
      </c>
      <c r="B23" s="97">
        <v>27</v>
      </c>
      <c r="C23" s="97">
        <f>1.55</f>
        <v>1.55</v>
      </c>
      <c r="D23" s="97">
        <v>41.3</v>
      </c>
      <c r="E23" s="98">
        <f t="shared" si="3"/>
        <v>53.703703703703702</v>
      </c>
      <c r="F23" s="98">
        <f t="shared" si="4"/>
        <v>6.9074074074074074</v>
      </c>
      <c r="G23" s="55">
        <f t="shared" si="5"/>
        <v>447.25446296296201</v>
      </c>
      <c r="H23" s="55">
        <f t="shared" si="6"/>
        <v>22.49074074074074</v>
      </c>
      <c r="I23" s="69"/>
      <c r="J23" s="69"/>
      <c r="K23" s="62"/>
    </row>
    <row r="24" spans="1:11" x14ac:dyDescent="0.2">
      <c r="A24" s="56">
        <v>10550</v>
      </c>
      <c r="B24" s="53">
        <v>28</v>
      </c>
      <c r="C24" s="53">
        <f>3.42</f>
        <v>3.42</v>
      </c>
      <c r="D24" s="53">
        <v>41</v>
      </c>
      <c r="E24" s="54">
        <f t="shared" si="3"/>
        <v>50.925925925925924</v>
      </c>
      <c r="F24" s="54">
        <f t="shared" si="4"/>
        <v>4.6018518518518521</v>
      </c>
      <c r="G24" s="55">
        <f t="shared" si="5"/>
        <v>498.18038888888793</v>
      </c>
      <c r="H24" s="55">
        <f t="shared" si="6"/>
        <v>27.092592592592592</v>
      </c>
      <c r="I24" s="69"/>
      <c r="J24" s="69"/>
      <c r="K24" s="62"/>
    </row>
    <row r="25" spans="1:11" x14ac:dyDescent="0.2">
      <c r="A25" s="102">
        <v>10600</v>
      </c>
      <c r="B25" s="97">
        <v>27.5</v>
      </c>
      <c r="C25" s="97">
        <v>4.6399999999999997</v>
      </c>
      <c r="D25" s="97">
        <v>41.4</v>
      </c>
      <c r="E25" s="98">
        <f t="shared" si="3"/>
        <v>51.388888888888886</v>
      </c>
      <c r="F25" s="98">
        <f t="shared" si="4"/>
        <v>7.4629629629629619</v>
      </c>
      <c r="G25" s="55">
        <f t="shared" si="5"/>
        <v>549.56927777777685</v>
      </c>
      <c r="H25" s="55">
        <f t="shared" si="6"/>
        <v>34.555555555555557</v>
      </c>
      <c r="I25" s="69"/>
      <c r="J25" s="69"/>
      <c r="K25" s="62"/>
    </row>
    <row r="26" spans="1:11" x14ac:dyDescent="0.2">
      <c r="A26" s="56">
        <v>10650</v>
      </c>
      <c r="B26" s="53">
        <v>18.5</v>
      </c>
      <c r="C26" s="53">
        <v>8.35</v>
      </c>
      <c r="D26" s="53">
        <v>40</v>
      </c>
      <c r="E26" s="54">
        <f t="shared" si="3"/>
        <v>42.592592592592595</v>
      </c>
      <c r="F26" s="54">
        <f t="shared" si="4"/>
        <v>12.027777777777775</v>
      </c>
      <c r="G26" s="55">
        <f t="shared" si="5"/>
        <v>592.16187037036946</v>
      </c>
      <c r="H26" s="55">
        <f t="shared" si="6"/>
        <v>46.583333333333329</v>
      </c>
      <c r="I26" s="69"/>
      <c r="J26" s="69"/>
      <c r="K26" s="62"/>
    </row>
    <row r="27" spans="1:11" x14ac:dyDescent="0.2">
      <c r="A27" s="102">
        <v>10700</v>
      </c>
      <c r="B27" s="97">
        <v>21.6</v>
      </c>
      <c r="C27" s="97">
        <v>18</v>
      </c>
      <c r="D27" s="97">
        <v>41</v>
      </c>
      <c r="E27" s="98">
        <f t="shared" si="3"/>
        <v>37.129629629629626</v>
      </c>
      <c r="F27" s="98">
        <f t="shared" si="4"/>
        <v>24.398148148148149</v>
      </c>
      <c r="G27" s="55">
        <f t="shared" si="5"/>
        <v>629.29149999999913</v>
      </c>
      <c r="H27" s="55">
        <f t="shared" si="6"/>
        <v>70.981481481481481</v>
      </c>
      <c r="I27" s="69"/>
      <c r="J27" s="69"/>
      <c r="K27" s="62"/>
    </row>
    <row r="28" spans="1:11" x14ac:dyDescent="0.2">
      <c r="A28" s="56">
        <v>10750</v>
      </c>
      <c r="B28" s="53">
        <v>48</v>
      </c>
      <c r="C28" s="53">
        <v>20.29</v>
      </c>
      <c r="D28" s="53">
        <v>40.799999999999997</v>
      </c>
      <c r="E28" s="54">
        <f t="shared" si="3"/>
        <v>64.444444444444443</v>
      </c>
      <c r="F28" s="54">
        <f t="shared" si="4"/>
        <v>35.453703703703702</v>
      </c>
      <c r="G28" s="55">
        <f t="shared" si="5"/>
        <v>693.73594444444359</v>
      </c>
      <c r="H28" s="55">
        <f t="shared" si="6"/>
        <v>106.43518518518519</v>
      </c>
      <c r="I28" s="69"/>
      <c r="J28" s="69"/>
      <c r="K28" s="62"/>
    </row>
    <row r="29" spans="1:11" x14ac:dyDescent="0.2">
      <c r="A29" s="102">
        <v>10800</v>
      </c>
      <c r="B29" s="97">
        <v>43.2</v>
      </c>
      <c r="C29" s="97">
        <v>14.9</v>
      </c>
      <c r="D29" s="97">
        <f>35+48.9</f>
        <v>83.9</v>
      </c>
      <c r="E29" s="98">
        <f t="shared" si="3"/>
        <v>84.444444444444443</v>
      </c>
      <c r="F29" s="98">
        <f t="shared" si="4"/>
        <v>32.583333333333336</v>
      </c>
      <c r="G29" s="55">
        <f t="shared" si="5"/>
        <v>778.18038888888805</v>
      </c>
      <c r="H29" s="55">
        <f t="shared" si="6"/>
        <v>139.01851851851853</v>
      </c>
      <c r="I29" s="69"/>
      <c r="J29" s="69"/>
      <c r="K29" s="62"/>
    </row>
    <row r="30" spans="1:11" x14ac:dyDescent="0.2">
      <c r="A30" s="56">
        <v>10850</v>
      </c>
      <c r="B30" s="53">
        <v>32.26</v>
      </c>
      <c r="C30" s="53">
        <f>22.61+10.27</f>
        <v>32.879999999999995</v>
      </c>
      <c r="D30" s="53">
        <f>35.9+41.5</f>
        <v>77.400000000000006</v>
      </c>
      <c r="E30" s="54">
        <f t="shared" si="3"/>
        <v>69.870370370370381</v>
      </c>
      <c r="F30" s="54">
        <f t="shared" si="4"/>
        <v>44.240740740740733</v>
      </c>
      <c r="G30" s="55">
        <f t="shared" si="5"/>
        <v>848.05075925925848</v>
      </c>
      <c r="H30" s="55">
        <f t="shared" si="6"/>
        <v>183.25925925925927</v>
      </c>
      <c r="I30" s="69"/>
      <c r="J30" s="69"/>
      <c r="K30" s="62"/>
    </row>
    <row r="31" spans="1:11" x14ac:dyDescent="0.2">
      <c r="A31" s="102">
        <v>10877</v>
      </c>
      <c r="B31" s="97">
        <f>22.8+16.6</f>
        <v>39.400000000000006</v>
      </c>
      <c r="C31" s="97">
        <f>40.72+10.66</f>
        <v>51.379999999999995</v>
      </c>
      <c r="D31" s="97">
        <v>37.5</v>
      </c>
      <c r="E31" s="98">
        <f t="shared" si="3"/>
        <v>35.83</v>
      </c>
      <c r="F31" s="98">
        <f t="shared" si="4"/>
        <v>42.129999999999988</v>
      </c>
      <c r="G31" s="55">
        <f t="shared" si="5"/>
        <v>883.88075925925853</v>
      </c>
      <c r="H31" s="55">
        <f t="shared" si="6"/>
        <v>225.38925925925926</v>
      </c>
      <c r="I31" s="69"/>
      <c r="J31" s="69"/>
      <c r="K31" s="62"/>
    </row>
    <row r="32" spans="1:11" x14ac:dyDescent="0.2">
      <c r="A32" s="56" t="s">
        <v>31</v>
      </c>
      <c r="B32" s="53"/>
      <c r="C32" s="53"/>
      <c r="D32" s="53"/>
      <c r="E32" s="54"/>
      <c r="F32" s="54"/>
      <c r="G32" s="55"/>
      <c r="H32" s="55"/>
      <c r="I32" s="69"/>
      <c r="J32" s="69"/>
      <c r="K32" s="62" t="s">
        <v>39</v>
      </c>
    </row>
    <row r="33" spans="1:11" ht="5.25" customHeight="1" x14ac:dyDescent="0.2">
      <c r="A33" s="76"/>
      <c r="B33" s="77"/>
      <c r="C33" s="77"/>
      <c r="D33" s="77"/>
      <c r="E33" s="77"/>
      <c r="F33" s="77"/>
      <c r="G33" s="78"/>
      <c r="H33" s="78"/>
      <c r="I33" s="85"/>
      <c r="J33" s="85"/>
      <c r="K33" s="79"/>
    </row>
    <row r="34" spans="1:11" x14ac:dyDescent="0.2">
      <c r="A34" s="73">
        <v>11025</v>
      </c>
      <c r="B34" s="75">
        <v>1</v>
      </c>
      <c r="C34" s="75">
        <v>2</v>
      </c>
      <c r="D34" s="53"/>
      <c r="E34" s="54">
        <v>1</v>
      </c>
      <c r="F34" s="54">
        <v>1</v>
      </c>
      <c r="G34" s="55">
        <f>G31+E34</f>
        <v>884.88075925925853</v>
      </c>
      <c r="H34" s="55">
        <f>F34+H31</f>
        <v>226.38925925925926</v>
      </c>
      <c r="I34" s="69"/>
      <c r="J34" s="69"/>
      <c r="K34" s="62"/>
    </row>
    <row r="35" spans="1:11" x14ac:dyDescent="0.2">
      <c r="A35" s="73">
        <v>11050</v>
      </c>
      <c r="B35" s="75">
        <v>1</v>
      </c>
      <c r="C35" s="75">
        <v>290</v>
      </c>
      <c r="D35" s="53"/>
      <c r="E35" s="54">
        <f t="shared" si="3"/>
        <v>0.92592592592592593</v>
      </c>
      <c r="F35" s="54">
        <f t="shared" si="4"/>
        <v>135.18518518518519</v>
      </c>
      <c r="G35" s="55">
        <f>G34+E35</f>
        <v>885.80668518518451</v>
      </c>
      <c r="H35" s="55">
        <f>F35+H34</f>
        <v>361.57444444444445</v>
      </c>
      <c r="I35" s="69"/>
      <c r="J35" s="69"/>
      <c r="K35" s="62"/>
    </row>
    <row r="36" spans="1:11" x14ac:dyDescent="0.2">
      <c r="A36" s="73">
        <v>11075</v>
      </c>
      <c r="B36" s="75">
        <v>1</v>
      </c>
      <c r="C36" s="75">
        <v>563</v>
      </c>
      <c r="D36" s="53"/>
      <c r="E36" s="54">
        <f t="shared" ref="E36" si="7">(((B36+B35)/2)*(A36-A35))/27</f>
        <v>0.92592592592592593</v>
      </c>
      <c r="F36" s="54">
        <f t="shared" ref="F36" si="8">(((C36+C35)/2)*(A36-A35))/27</f>
        <v>394.90740740740739</v>
      </c>
      <c r="G36" s="55">
        <f>G35+E36</f>
        <v>886.73261111111049</v>
      </c>
      <c r="H36" s="55">
        <f>F36+H35</f>
        <v>756.48185185185184</v>
      </c>
      <c r="I36" s="69"/>
      <c r="J36" s="69"/>
      <c r="K36" s="62"/>
    </row>
    <row r="37" spans="1:11" x14ac:dyDescent="0.2">
      <c r="A37" s="56">
        <v>11095</v>
      </c>
      <c r="B37" s="53">
        <f>1.2+35.66+0.03</f>
        <v>36.89</v>
      </c>
      <c r="C37" s="53">
        <f>537.73+7.03</f>
        <v>544.76</v>
      </c>
      <c r="D37" s="53">
        <v>69.7</v>
      </c>
      <c r="E37" s="54">
        <f t="shared" ref="E37" si="9">(((B37+B36)/2)*(A37-A36))/27</f>
        <v>14.033333333333333</v>
      </c>
      <c r="F37" s="54">
        <f t="shared" ref="F37" si="10">(((C37+C36)/2)*(A37-A36))/27</f>
        <v>410.28148148148148</v>
      </c>
      <c r="G37" s="55">
        <f>E37+G36</f>
        <v>900.76594444444379</v>
      </c>
      <c r="H37" s="55">
        <f>F37+H36</f>
        <v>1166.7633333333333</v>
      </c>
      <c r="I37" s="69"/>
      <c r="J37" s="69"/>
      <c r="K37" s="62"/>
    </row>
    <row r="38" spans="1:11" x14ac:dyDescent="0.2">
      <c r="A38" s="56">
        <v>11100</v>
      </c>
      <c r="B38" s="53">
        <f>7+6+7+4+13</f>
        <v>37</v>
      </c>
      <c r="C38" s="53">
        <f>574+15</f>
        <v>589</v>
      </c>
      <c r="D38" s="53">
        <v>68.5</v>
      </c>
      <c r="E38" s="54">
        <f t="shared" ref="E38:E42" si="11">(((B38+B37)/2)*(A38-A37))/27</f>
        <v>6.8416666666666668</v>
      </c>
      <c r="F38" s="54">
        <f t="shared" ref="F38:F42" si="12">(((C38+C37)/2)*(A38-A37))/27</f>
        <v>104.97777777777777</v>
      </c>
      <c r="G38" s="55">
        <f t="shared" ref="G38:G42" si="13">E38+G37</f>
        <v>907.60761111111049</v>
      </c>
      <c r="H38" s="55">
        <f t="shared" ref="H38:H42" si="14">F38+H37</f>
        <v>1271.7411111111112</v>
      </c>
      <c r="I38" s="69"/>
      <c r="J38" s="69"/>
      <c r="K38" s="62"/>
    </row>
    <row r="39" spans="1:11" x14ac:dyDescent="0.2">
      <c r="A39" s="56">
        <v>11150</v>
      </c>
      <c r="B39" s="53">
        <f>4.2+13.4+2+2</f>
        <v>21.6</v>
      </c>
      <c r="C39" s="53">
        <f>420.5+3.7+4.9+4.45+17.5</f>
        <v>451.04999999999995</v>
      </c>
      <c r="D39" s="53">
        <v>69.75</v>
      </c>
      <c r="E39" s="54">
        <f t="shared" si="11"/>
        <v>54.25925925925926</v>
      </c>
      <c r="F39" s="54">
        <f t="shared" si="12"/>
        <v>963.00925925925924</v>
      </c>
      <c r="G39" s="55">
        <f t="shared" si="13"/>
        <v>961.86687037036972</v>
      </c>
      <c r="H39" s="55">
        <f t="shared" si="14"/>
        <v>2234.7503703703705</v>
      </c>
      <c r="I39" s="69"/>
      <c r="J39" s="69"/>
      <c r="K39" s="62"/>
    </row>
    <row r="40" spans="1:11" x14ac:dyDescent="0.2">
      <c r="A40" s="56">
        <v>11200</v>
      </c>
      <c r="B40" s="53">
        <v>5</v>
      </c>
      <c r="C40" s="53">
        <f>405.19+7.5+3</f>
        <v>415.69</v>
      </c>
      <c r="D40" s="53">
        <v>69.099999999999994</v>
      </c>
      <c r="E40" s="54">
        <f t="shared" si="11"/>
        <v>24.62962962962963</v>
      </c>
      <c r="F40" s="54">
        <f t="shared" si="12"/>
        <v>802.53703703703707</v>
      </c>
      <c r="G40" s="55">
        <f t="shared" si="13"/>
        <v>986.4964999999994</v>
      </c>
      <c r="H40" s="55">
        <f t="shared" si="14"/>
        <v>3037.2874074074075</v>
      </c>
      <c r="I40" s="69"/>
      <c r="J40" s="69"/>
      <c r="K40" s="62"/>
    </row>
    <row r="41" spans="1:11" x14ac:dyDescent="0.2">
      <c r="A41" s="56">
        <v>11250</v>
      </c>
      <c r="B41" s="53">
        <v>5</v>
      </c>
      <c r="C41" s="53">
        <f>440.3+4.5+2.5+1</f>
        <v>448.3</v>
      </c>
      <c r="D41" s="53">
        <v>67.5</v>
      </c>
      <c r="E41" s="54">
        <f t="shared" si="11"/>
        <v>9.2592592592592595</v>
      </c>
      <c r="F41" s="54">
        <f t="shared" si="12"/>
        <v>799.99074074074076</v>
      </c>
      <c r="G41" s="55">
        <f t="shared" si="13"/>
        <v>995.75575925925864</v>
      </c>
      <c r="H41" s="55">
        <f t="shared" si="14"/>
        <v>3837.2781481481484</v>
      </c>
      <c r="I41" s="69"/>
      <c r="J41" s="69"/>
      <c r="K41" s="62"/>
    </row>
    <row r="42" spans="1:11" ht="12" customHeight="1" x14ac:dyDescent="0.2">
      <c r="A42" s="56">
        <v>11300</v>
      </c>
      <c r="B42" s="53">
        <f>2+7</f>
        <v>9</v>
      </c>
      <c r="C42" s="53">
        <f>500+9</f>
        <v>509</v>
      </c>
      <c r="D42" s="53">
        <v>62.9</v>
      </c>
      <c r="E42" s="54">
        <f t="shared" si="11"/>
        <v>12.962962962962964</v>
      </c>
      <c r="F42" s="54">
        <f t="shared" si="12"/>
        <v>886.38888888888891</v>
      </c>
      <c r="G42" s="55">
        <f t="shared" si="13"/>
        <v>1008.7187222222216</v>
      </c>
      <c r="H42" s="55">
        <f t="shared" si="14"/>
        <v>4723.6670370370375</v>
      </c>
      <c r="I42" s="69"/>
      <c r="J42" s="69"/>
      <c r="K42" s="62"/>
    </row>
    <row r="43" spans="1:11" x14ac:dyDescent="0.2">
      <c r="A43" s="56">
        <v>11350</v>
      </c>
      <c r="B43" s="53">
        <v>3</v>
      </c>
      <c r="C43" s="53">
        <f>728+35</f>
        <v>763</v>
      </c>
      <c r="D43" s="53">
        <v>63.3</v>
      </c>
      <c r="E43" s="54">
        <f>(((B43+B42)/2)*(A43-A42))/27</f>
        <v>11.111111111111111</v>
      </c>
      <c r="F43" s="54">
        <f>(((C43+C42)/2)*(A43-A42))/27</f>
        <v>1177.7777777777778</v>
      </c>
      <c r="G43" s="55">
        <f>E43+G42</f>
        <v>1019.8298333333327</v>
      </c>
      <c r="H43" s="55">
        <f>F43+H42</f>
        <v>5901.4448148148149</v>
      </c>
      <c r="I43" s="69"/>
      <c r="J43" s="69"/>
      <c r="K43" s="62"/>
    </row>
    <row r="44" spans="1:11" x14ac:dyDescent="0.2">
      <c r="A44" s="56">
        <v>11400</v>
      </c>
      <c r="B44" s="53">
        <f>12+2</f>
        <v>14</v>
      </c>
      <c r="C44" s="53">
        <f>2972.15+76</f>
        <v>3048.15</v>
      </c>
      <c r="D44" s="53">
        <v>51.4</v>
      </c>
      <c r="E44" s="54">
        <f>(((B44+B43)/2)*(A44-A43))/27</f>
        <v>15.74074074074074</v>
      </c>
      <c r="F44" s="54">
        <f>(((C44+C43)/2)*(A44-A43))/27</f>
        <v>3528.8425925925926</v>
      </c>
      <c r="G44" s="55">
        <f>E44+G43</f>
        <v>1035.5705740740734</v>
      </c>
      <c r="H44" s="55">
        <f>F44+H43</f>
        <v>9430.287407407408</v>
      </c>
      <c r="I44" s="69"/>
      <c r="J44" s="69"/>
      <c r="K44" s="62"/>
    </row>
    <row r="45" spans="1:11" x14ac:dyDescent="0.2">
      <c r="A45" s="56">
        <v>11450</v>
      </c>
      <c r="B45" s="53">
        <f>4+21+20+9.6+5</f>
        <v>59.6</v>
      </c>
      <c r="C45" s="53">
        <f>3179</f>
        <v>3179</v>
      </c>
      <c r="D45" s="53">
        <v>39.200000000000003</v>
      </c>
      <c r="E45" s="54">
        <f t="shared" si="3"/>
        <v>68.148148148148138</v>
      </c>
      <c r="F45" s="54">
        <f t="shared" si="4"/>
        <v>5765.8796296296296</v>
      </c>
      <c r="G45" s="55">
        <f t="shared" si="5"/>
        <v>1103.7187222222215</v>
      </c>
      <c r="H45" s="55">
        <f t="shared" si="6"/>
        <v>15196.167037037038</v>
      </c>
      <c r="I45" s="69"/>
      <c r="J45" s="69"/>
      <c r="K45" s="62"/>
    </row>
    <row r="46" spans="1:11" x14ac:dyDescent="0.2">
      <c r="A46" s="56">
        <v>11500</v>
      </c>
      <c r="B46" s="53">
        <f>3+7.3+7.9+7</f>
        <v>25.200000000000003</v>
      </c>
      <c r="C46" s="53">
        <v>3306.94</v>
      </c>
      <c r="D46" s="53">
        <v>39.5</v>
      </c>
      <c r="E46" s="54">
        <f t="shared" si="3"/>
        <v>78.518518518518533</v>
      </c>
      <c r="F46" s="54">
        <f t="shared" si="4"/>
        <v>6005.5</v>
      </c>
      <c r="G46" s="55">
        <f t="shared" si="5"/>
        <v>1182.2372407407399</v>
      </c>
      <c r="H46" s="55">
        <f t="shared" si="6"/>
        <v>21201.667037037038</v>
      </c>
      <c r="I46" s="69"/>
      <c r="J46" s="69"/>
      <c r="K46" s="62"/>
    </row>
    <row r="47" spans="1:11" x14ac:dyDescent="0.2">
      <c r="A47" s="56">
        <v>11550</v>
      </c>
      <c r="B47" s="53">
        <f>14.81+14.3</f>
        <v>29.11</v>
      </c>
      <c r="C47" s="53">
        <f>3336.2-387.25</f>
        <v>2948.95</v>
      </c>
      <c r="D47" s="53">
        <v>31.1</v>
      </c>
      <c r="E47" s="54">
        <f>(((B47+B46)/2)*(A47-A46))/27</f>
        <v>50.287037037037038</v>
      </c>
      <c r="F47" s="54">
        <f>(((C47+C46)/2)*(A47-A46))/27</f>
        <v>5792.4907407407409</v>
      </c>
      <c r="G47" s="55">
        <f t="shared" si="5"/>
        <v>1232.5242777777769</v>
      </c>
      <c r="H47" s="55">
        <f t="shared" si="6"/>
        <v>26994.157777777778</v>
      </c>
      <c r="I47" s="69"/>
      <c r="J47" s="69"/>
      <c r="K47" s="62"/>
    </row>
    <row r="48" spans="1:11" x14ac:dyDescent="0.2">
      <c r="A48" s="56">
        <v>11600</v>
      </c>
      <c r="B48" s="53">
        <f>87.16-5</f>
        <v>82.16</v>
      </c>
      <c r="C48" s="53">
        <v>3356</v>
      </c>
      <c r="D48" s="53">
        <v>22.9</v>
      </c>
      <c r="E48" s="54">
        <f t="shared" ref="E48:E49" si="15">(((B48+B47)/2)*(A48-A47))/27</f>
        <v>103.02777777777777</v>
      </c>
      <c r="F48" s="54">
        <f t="shared" ref="F48:F49" si="16">(((C48+C47)/2)*(A48-A47))/27</f>
        <v>5837.916666666667</v>
      </c>
      <c r="G48" s="55">
        <f t="shared" ref="G48:G49" si="17">E48+G47</f>
        <v>1335.5520555555547</v>
      </c>
      <c r="H48" s="55">
        <f t="shared" ref="H48:H49" si="18">F48+H47</f>
        <v>32832.074444444443</v>
      </c>
      <c r="I48" s="69"/>
      <c r="J48" s="69"/>
      <c r="K48" s="62"/>
    </row>
    <row r="49" spans="1:11" x14ac:dyDescent="0.2">
      <c r="A49" s="56">
        <v>11650</v>
      </c>
      <c r="B49" s="53">
        <v>64.8</v>
      </c>
      <c r="C49" s="53">
        <v>3485.04</v>
      </c>
      <c r="D49" s="53">
        <v>15.13</v>
      </c>
      <c r="E49" s="54">
        <f t="shared" si="15"/>
        <v>136.07407407407405</v>
      </c>
      <c r="F49" s="54">
        <f t="shared" si="16"/>
        <v>6334.2962962962965</v>
      </c>
      <c r="G49" s="55">
        <f t="shared" si="17"/>
        <v>1471.6261296296288</v>
      </c>
      <c r="H49" s="55">
        <f t="shared" si="18"/>
        <v>39166.370740740742</v>
      </c>
      <c r="I49" s="69"/>
      <c r="J49" s="69"/>
      <c r="K49" s="62"/>
    </row>
    <row r="50" spans="1:11" x14ac:dyDescent="0.2">
      <c r="A50" s="56">
        <v>11700</v>
      </c>
      <c r="B50" s="53">
        <v>71.010000000000005</v>
      </c>
      <c r="C50" s="53">
        <v>3782.73</v>
      </c>
      <c r="D50" s="53">
        <v>0</v>
      </c>
      <c r="E50" s="54">
        <f t="shared" ref="E50:E53" si="19">(((B50+B49)/2)*(A50-A49))/27</f>
        <v>125.75</v>
      </c>
      <c r="F50" s="54">
        <f t="shared" ref="F50:F53" si="20">(((C50+C49)/2)*(A50-A49))/27</f>
        <v>6729.416666666667</v>
      </c>
      <c r="G50" s="55">
        <f t="shared" ref="G50:G53" si="21">E50+G49</f>
        <v>1597.3761296296288</v>
      </c>
      <c r="H50" s="55">
        <f t="shared" ref="H50:H53" si="22">F50+H49</f>
        <v>45895.787407407406</v>
      </c>
      <c r="I50" s="69"/>
      <c r="J50" s="69"/>
      <c r="K50" s="62"/>
    </row>
    <row r="51" spans="1:11" x14ac:dyDescent="0.2">
      <c r="A51" s="56">
        <v>11750</v>
      </c>
      <c r="B51" s="53">
        <v>81.91</v>
      </c>
      <c r="C51" s="53">
        <v>3985.72</v>
      </c>
      <c r="D51" s="53">
        <v>0</v>
      </c>
      <c r="E51" s="54">
        <f t="shared" si="19"/>
        <v>141.59259259259261</v>
      </c>
      <c r="F51" s="54">
        <f t="shared" si="20"/>
        <v>7193.0092592592591</v>
      </c>
      <c r="G51" s="55">
        <f t="shared" si="21"/>
        <v>1738.9687222222215</v>
      </c>
      <c r="H51" s="55">
        <f t="shared" si="22"/>
        <v>53088.796666666662</v>
      </c>
      <c r="I51" s="69"/>
      <c r="J51" s="69"/>
      <c r="K51" s="62"/>
    </row>
    <row r="52" spans="1:11" x14ac:dyDescent="0.2">
      <c r="A52" s="56">
        <v>11800</v>
      </c>
      <c r="B52" s="53">
        <f>286+18</f>
        <v>304</v>
      </c>
      <c r="C52" s="53">
        <f>3887+20</f>
        <v>3907</v>
      </c>
      <c r="D52" s="53">
        <v>0</v>
      </c>
      <c r="E52" s="54">
        <f t="shared" si="19"/>
        <v>357.32407407407408</v>
      </c>
      <c r="F52" s="54">
        <f t="shared" si="20"/>
        <v>7308.074074074073</v>
      </c>
      <c r="G52" s="55">
        <f t="shared" si="21"/>
        <v>2096.2927962962954</v>
      </c>
      <c r="H52" s="55">
        <f t="shared" si="22"/>
        <v>60396.870740740735</v>
      </c>
      <c r="I52" s="69"/>
      <c r="J52" s="69"/>
      <c r="K52" s="62"/>
    </row>
    <row r="53" spans="1:11" x14ac:dyDescent="0.2">
      <c r="A53" s="56">
        <v>11850</v>
      </c>
      <c r="B53" s="53">
        <v>337</v>
      </c>
      <c r="C53" s="53">
        <v>4294.1000000000004</v>
      </c>
      <c r="D53" s="53">
        <v>0</v>
      </c>
      <c r="E53" s="54">
        <f t="shared" si="19"/>
        <v>593.51851851851848</v>
      </c>
      <c r="F53" s="54">
        <f t="shared" si="20"/>
        <v>7593.6111111111113</v>
      </c>
      <c r="G53" s="55">
        <f t="shared" si="21"/>
        <v>2689.8113148148141</v>
      </c>
      <c r="H53" s="55">
        <f t="shared" si="22"/>
        <v>67990.481851851844</v>
      </c>
      <c r="I53" s="69"/>
      <c r="J53" s="69"/>
      <c r="K53" s="62"/>
    </row>
    <row r="54" spans="1:11" x14ac:dyDescent="0.2">
      <c r="A54" s="88">
        <v>11900</v>
      </c>
      <c r="B54" s="89">
        <f>22.11+130.59+13.79</f>
        <v>166.48999999999998</v>
      </c>
      <c r="C54" s="89">
        <f>4377.42+13.41</f>
        <v>4390.83</v>
      </c>
      <c r="D54" s="89"/>
      <c r="E54" s="89">
        <f>(((B54+B53)/2)*(A54-A53))/27</f>
        <v>466.19444444444446</v>
      </c>
      <c r="F54" s="89">
        <f>(((C54+C53)/2)*(A54-A53))/27</f>
        <v>8041.6018518518522</v>
      </c>
      <c r="G54" s="90">
        <f>E54+G53</f>
        <v>3156.0057592592584</v>
      </c>
      <c r="H54" s="90">
        <f>F54+H53</f>
        <v>76032.083703703698</v>
      </c>
      <c r="I54" s="69"/>
      <c r="J54" s="69"/>
      <c r="K54" s="62"/>
    </row>
    <row r="55" spans="1:11" x14ac:dyDescent="0.2">
      <c r="A55" s="73">
        <v>11930</v>
      </c>
      <c r="B55" s="75">
        <v>64</v>
      </c>
      <c r="C55" s="75">
        <v>549</v>
      </c>
      <c r="D55" s="53"/>
      <c r="E55" s="54">
        <f>(((B55+B54)/2)*(A55-A54))/27</f>
        <v>128.04999999999998</v>
      </c>
      <c r="F55" s="54">
        <f>(((C55+C54)/2)*(A55-A54))/27</f>
        <v>2744.35</v>
      </c>
      <c r="G55" s="55">
        <f>E55+G54</f>
        <v>3284.0557592592586</v>
      </c>
      <c r="H55" s="55">
        <f>F55+H54</f>
        <v>78776.433703703704</v>
      </c>
      <c r="I55" s="69"/>
      <c r="J55" s="69"/>
      <c r="K55" s="62" t="s">
        <v>40</v>
      </c>
    </row>
    <row r="56" spans="1:11" ht="5.25" customHeight="1" x14ac:dyDescent="0.2">
      <c r="A56" s="76"/>
      <c r="B56" s="77"/>
      <c r="C56" s="77"/>
      <c r="D56" s="80"/>
      <c r="E56" s="81"/>
      <c r="F56" s="81"/>
      <c r="G56" s="82"/>
      <c r="H56" s="82"/>
      <c r="I56" s="86"/>
      <c r="J56" s="86"/>
      <c r="K56" s="79"/>
    </row>
    <row r="57" spans="1:11" x14ac:dyDescent="0.2">
      <c r="A57" s="56" t="s">
        <v>31</v>
      </c>
      <c r="B57" s="53"/>
      <c r="C57" s="53"/>
      <c r="D57" s="53"/>
      <c r="E57" s="54"/>
      <c r="F57" s="54"/>
      <c r="G57" s="55"/>
      <c r="H57" s="55"/>
      <c r="I57" s="69"/>
      <c r="J57" s="69"/>
      <c r="K57" s="62"/>
    </row>
    <row r="58" spans="1:11" x14ac:dyDescent="0.2">
      <c r="A58" s="56">
        <v>12038</v>
      </c>
      <c r="B58" s="53">
        <v>0</v>
      </c>
      <c r="C58" s="53">
        <v>4620.6000000000004</v>
      </c>
      <c r="D58" s="53"/>
      <c r="E58" s="54">
        <v>0</v>
      </c>
      <c r="F58" s="54">
        <v>0</v>
      </c>
      <c r="G58" s="55">
        <f>E58+G55</f>
        <v>3284.0557592592586</v>
      </c>
      <c r="H58" s="55">
        <f>F58+H55</f>
        <v>78776.433703703704</v>
      </c>
      <c r="I58" s="69"/>
      <c r="J58" s="69"/>
      <c r="K58" s="62" t="s">
        <v>41</v>
      </c>
    </row>
    <row r="59" spans="1:11" ht="5.25" customHeight="1" x14ac:dyDescent="0.2">
      <c r="A59" s="83"/>
      <c r="B59" s="80"/>
      <c r="C59" s="80"/>
      <c r="D59" s="80"/>
      <c r="E59" s="81"/>
      <c r="F59" s="81"/>
      <c r="G59" s="82"/>
      <c r="H59" s="82"/>
      <c r="I59" s="86"/>
      <c r="J59" s="86"/>
      <c r="K59" s="79"/>
    </row>
    <row r="60" spans="1:11" x14ac:dyDescent="0.2">
      <c r="A60" s="56">
        <v>12050</v>
      </c>
      <c r="B60" s="53">
        <v>9.6</v>
      </c>
      <c r="C60" s="53">
        <v>4377.72</v>
      </c>
      <c r="D60" s="53"/>
      <c r="E60" s="54">
        <f>(((B60+B58)/2)*(A60-A58))/27</f>
        <v>2.1333333333333333</v>
      </c>
      <c r="F60" s="54">
        <f>(((C60+C58)/2)*(A60-A58))/27</f>
        <v>1999.6266666666666</v>
      </c>
      <c r="G60" s="55">
        <f>E60+G58</f>
        <v>3286.1890925925918</v>
      </c>
      <c r="H60" s="55">
        <f>F60+H58</f>
        <v>80776.060370370367</v>
      </c>
      <c r="I60" s="69"/>
      <c r="J60" s="69"/>
      <c r="K60" s="62"/>
    </row>
    <row r="61" spans="1:11" x14ac:dyDescent="0.2">
      <c r="A61" s="56">
        <v>12100</v>
      </c>
      <c r="B61" s="53">
        <v>144.72999999999999</v>
      </c>
      <c r="C61" s="53">
        <v>2195.37</v>
      </c>
      <c r="D61" s="53"/>
      <c r="E61" s="54">
        <f t="shared" ref="E61:E64" si="23">(((B61+B60)/2)*(A61-A60))/27</f>
        <v>142.89814814814812</v>
      </c>
      <c r="F61" s="54">
        <f t="shared" ref="F61:F64" si="24">(((C61+C60)/2)*(A61-A60))/27</f>
        <v>6086.1944444444443</v>
      </c>
      <c r="G61" s="55">
        <f t="shared" ref="G61:G64" si="25">E61+G60</f>
        <v>3429.0872407407401</v>
      </c>
      <c r="H61" s="55">
        <f t="shared" ref="H61:H64" si="26">F61+H60</f>
        <v>86862.254814814805</v>
      </c>
      <c r="I61" s="69"/>
      <c r="J61" s="69"/>
      <c r="K61" s="62"/>
    </row>
    <row r="62" spans="1:11" x14ac:dyDescent="0.2">
      <c r="A62" s="56">
        <v>12150</v>
      </c>
      <c r="B62" s="53">
        <v>307.08</v>
      </c>
      <c r="C62" s="53">
        <v>2295.4</v>
      </c>
      <c r="D62" s="53"/>
      <c r="E62" s="54">
        <f t="shared" si="23"/>
        <v>418.34259259259255</v>
      </c>
      <c r="F62" s="54">
        <f t="shared" si="24"/>
        <v>4158.1203703703713</v>
      </c>
      <c r="G62" s="55">
        <f t="shared" si="25"/>
        <v>3847.4298333333327</v>
      </c>
      <c r="H62" s="55">
        <f t="shared" si="26"/>
        <v>91020.37518518517</v>
      </c>
      <c r="I62" s="69"/>
      <c r="J62" s="69"/>
      <c r="K62" s="62"/>
    </row>
    <row r="63" spans="1:11" x14ac:dyDescent="0.2">
      <c r="A63" s="56">
        <v>12200</v>
      </c>
      <c r="B63" s="53">
        <v>315.32</v>
      </c>
      <c r="C63" s="53">
        <v>2252.4699999999998</v>
      </c>
      <c r="D63" s="53"/>
      <c r="E63" s="54">
        <f t="shared" si="23"/>
        <v>576.2962962962963</v>
      </c>
      <c r="F63" s="54">
        <f t="shared" si="24"/>
        <v>4210.9907407407409</v>
      </c>
      <c r="G63" s="55">
        <f t="shared" si="25"/>
        <v>4423.7261296296292</v>
      </c>
      <c r="H63" s="55">
        <f t="shared" si="26"/>
        <v>95231.365925925915</v>
      </c>
      <c r="I63" s="69"/>
      <c r="J63" s="69"/>
      <c r="K63" s="62"/>
    </row>
    <row r="64" spans="1:11" x14ac:dyDescent="0.2">
      <c r="A64" s="56">
        <v>12240</v>
      </c>
      <c r="B64" s="53">
        <v>279</v>
      </c>
      <c r="C64" s="53">
        <v>2408.3000000000002</v>
      </c>
      <c r="D64" s="53"/>
      <c r="E64" s="54">
        <f t="shared" si="23"/>
        <v>440.23703703703694</v>
      </c>
      <c r="F64" s="54">
        <f t="shared" si="24"/>
        <v>3452.4222222222224</v>
      </c>
      <c r="G64" s="57">
        <f t="shared" si="25"/>
        <v>4863.9631666666664</v>
      </c>
      <c r="H64" s="57">
        <f t="shared" si="26"/>
        <v>98683.788148148131</v>
      </c>
      <c r="I64" s="62"/>
      <c r="J64" s="62"/>
      <c r="K64" s="62"/>
    </row>
    <row r="65" spans="1:11" x14ac:dyDescent="0.2">
      <c r="A65" s="52"/>
      <c r="B65" s="60"/>
      <c r="C65" s="60"/>
      <c r="D65" s="60"/>
      <c r="E65" s="61"/>
      <c r="F65" s="61"/>
      <c r="G65" s="69"/>
      <c r="H65" s="69"/>
      <c r="I65" s="69"/>
      <c r="J65" s="69"/>
      <c r="K65" s="62"/>
    </row>
    <row r="66" spans="1:11" x14ac:dyDescent="0.2">
      <c r="A66" s="46"/>
      <c r="B66" s="47"/>
      <c r="C66" s="47"/>
      <c r="D66" s="47"/>
      <c r="E66" s="47"/>
      <c r="F66" s="47"/>
      <c r="G66" s="48"/>
      <c r="H66" s="48"/>
      <c r="I66" s="48"/>
      <c r="J66" s="48"/>
      <c r="K66" s="48"/>
    </row>
    <row r="67" spans="1:11" x14ac:dyDescent="0.2">
      <c r="A67" s="46"/>
      <c r="B67" s="47"/>
      <c r="C67" s="47"/>
      <c r="D67" s="47"/>
      <c r="E67" s="47"/>
      <c r="F67" s="47"/>
      <c r="G67" s="48"/>
      <c r="H67" s="48"/>
      <c r="I67" s="48"/>
      <c r="J67" s="48"/>
      <c r="K67" s="48"/>
    </row>
    <row r="68" spans="1:11" x14ac:dyDescent="0.2">
      <c r="A68" s="46" t="s">
        <v>32</v>
      </c>
      <c r="B68" s="47"/>
      <c r="C68" s="47"/>
      <c r="D68" s="47"/>
      <c r="E68" s="47"/>
      <c r="F68" s="47"/>
      <c r="G68" s="48"/>
      <c r="H68" s="48"/>
      <c r="I68" s="48"/>
      <c r="J68" s="48"/>
      <c r="K68" s="48"/>
    </row>
    <row r="69" spans="1:11" x14ac:dyDescent="0.2">
      <c r="A69" s="58">
        <v>80783</v>
      </c>
      <c r="B69" s="53">
        <v>79.209999999999994</v>
      </c>
      <c r="C69" s="53">
        <v>1929.08</v>
      </c>
      <c r="D69" s="53"/>
      <c r="E69" s="54">
        <v>0</v>
      </c>
      <c r="F69" s="54">
        <v>0</v>
      </c>
      <c r="G69" s="55">
        <v>0</v>
      </c>
      <c r="H69" s="55">
        <v>0</v>
      </c>
      <c r="I69" s="69"/>
      <c r="J69" s="69"/>
      <c r="K69" s="69"/>
    </row>
    <row r="70" spans="1:11" x14ac:dyDescent="0.2">
      <c r="A70" s="58">
        <v>80800</v>
      </c>
      <c r="B70" s="53">
        <f>85.82+39</f>
        <v>124.82</v>
      </c>
      <c r="C70" s="53">
        <v>1987</v>
      </c>
      <c r="D70" s="53"/>
      <c r="E70" s="54">
        <f t="shared" ref="E70:E93" si="27">(((B70+B69)/2)*(A70-A69))/27</f>
        <v>64.231666666666655</v>
      </c>
      <c r="F70" s="54">
        <f t="shared" ref="F70:F93" si="28">(((C70+C69)/2)*(A70-A69))/27</f>
        <v>1232.8399999999999</v>
      </c>
      <c r="G70" s="55">
        <f t="shared" ref="G70:G86" si="29">E70+G69</f>
        <v>64.231666666666655</v>
      </c>
      <c r="H70" s="55">
        <f t="shared" ref="H70:H86" si="30">F70+H69</f>
        <v>1232.8399999999999</v>
      </c>
      <c r="I70" s="69"/>
      <c r="J70" s="69"/>
      <c r="K70" s="69"/>
    </row>
    <row r="71" spans="1:11" x14ac:dyDescent="0.2">
      <c r="A71" s="58">
        <v>80850</v>
      </c>
      <c r="B71" s="53">
        <f>107.48+42.4</f>
        <v>149.88</v>
      </c>
      <c r="C71" s="53">
        <v>2285.27</v>
      </c>
      <c r="D71" s="53"/>
      <c r="E71" s="54">
        <f t="shared" si="27"/>
        <v>254.35185185185185</v>
      </c>
      <c r="F71" s="54">
        <f t="shared" si="28"/>
        <v>3955.8055555555561</v>
      </c>
      <c r="G71" s="55">
        <f t="shared" si="29"/>
        <v>318.58351851851853</v>
      </c>
      <c r="H71" s="55">
        <f t="shared" si="30"/>
        <v>5188.6455555555558</v>
      </c>
      <c r="I71" s="69"/>
      <c r="J71" s="69"/>
      <c r="K71" s="69"/>
    </row>
    <row r="72" spans="1:11" x14ac:dyDescent="0.2">
      <c r="A72" s="91">
        <v>80900</v>
      </c>
      <c r="B72" s="92">
        <f>117.38+42</f>
        <v>159.38</v>
      </c>
      <c r="C72" s="92">
        <v>3132.6</v>
      </c>
      <c r="D72" s="92"/>
      <c r="E72" s="93">
        <f t="shared" si="27"/>
        <v>286.35185185185185</v>
      </c>
      <c r="F72" s="93">
        <f t="shared" si="28"/>
        <v>5016.5462962962965</v>
      </c>
      <c r="G72" s="94">
        <f t="shared" si="29"/>
        <v>604.93537037037038</v>
      </c>
      <c r="H72" s="94">
        <f t="shared" si="30"/>
        <v>10205.191851851852</v>
      </c>
      <c r="I72" s="69"/>
      <c r="J72" s="69"/>
      <c r="K72" s="69"/>
    </row>
    <row r="73" spans="1:11" x14ac:dyDescent="0.2">
      <c r="A73" s="58">
        <v>80950</v>
      </c>
      <c r="B73" s="53">
        <f>159.15+42+302.62</f>
        <v>503.77</v>
      </c>
      <c r="C73" s="53">
        <v>3311.6</v>
      </c>
      <c r="D73" s="53"/>
      <c r="E73" s="54">
        <f t="shared" si="27"/>
        <v>614.02777777777783</v>
      </c>
      <c r="F73" s="54">
        <f t="shared" si="28"/>
        <v>5966.8518518518522</v>
      </c>
      <c r="G73" s="55">
        <f t="shared" si="29"/>
        <v>1218.9631481481483</v>
      </c>
      <c r="H73" s="55">
        <f t="shared" si="30"/>
        <v>16172.043703703705</v>
      </c>
      <c r="I73" s="69"/>
      <c r="J73" s="69"/>
      <c r="K73" s="69"/>
    </row>
    <row r="74" spans="1:11" x14ac:dyDescent="0.2">
      <c r="A74" s="91">
        <v>81000</v>
      </c>
      <c r="B74" s="92">
        <f>211.99+42+397</f>
        <v>650.99</v>
      </c>
      <c r="C74" s="92">
        <v>3595</v>
      </c>
      <c r="D74" s="92"/>
      <c r="E74" s="93">
        <f t="shared" si="27"/>
        <v>1069.2222222222222</v>
      </c>
      <c r="F74" s="93">
        <f t="shared" si="28"/>
        <v>6395</v>
      </c>
      <c r="G74" s="94">
        <f t="shared" si="29"/>
        <v>2288.1853703703705</v>
      </c>
      <c r="H74" s="94">
        <f t="shared" si="30"/>
        <v>22567.043703703705</v>
      </c>
      <c r="I74" s="69"/>
      <c r="J74" s="69"/>
      <c r="K74" s="69"/>
    </row>
    <row r="75" spans="1:11" x14ac:dyDescent="0.2">
      <c r="A75" s="58">
        <v>81050</v>
      </c>
      <c r="B75" s="53">
        <f>278.85+42+608</f>
        <v>928.85</v>
      </c>
      <c r="C75" s="53">
        <v>3602</v>
      </c>
      <c r="D75" s="53"/>
      <c r="E75" s="54">
        <f t="shared" si="27"/>
        <v>1462.8148148148148</v>
      </c>
      <c r="F75" s="54">
        <f t="shared" si="28"/>
        <v>6663.8888888888887</v>
      </c>
      <c r="G75" s="55">
        <f t="shared" si="29"/>
        <v>3751.0001851851853</v>
      </c>
      <c r="H75" s="55">
        <f t="shared" si="30"/>
        <v>29230.932592592595</v>
      </c>
      <c r="I75" s="69"/>
      <c r="J75" s="69"/>
      <c r="K75" s="69"/>
    </row>
    <row r="76" spans="1:11" x14ac:dyDescent="0.2">
      <c r="A76" s="91">
        <v>81100</v>
      </c>
      <c r="B76" s="92">
        <f>362.86+42+463</f>
        <v>867.86</v>
      </c>
      <c r="C76" s="92">
        <v>3154</v>
      </c>
      <c r="D76" s="92"/>
      <c r="E76" s="93">
        <f t="shared" si="27"/>
        <v>1663.6203703703704</v>
      </c>
      <c r="F76" s="93">
        <f t="shared" si="28"/>
        <v>6255.5555555555557</v>
      </c>
      <c r="G76" s="94">
        <f t="shared" si="29"/>
        <v>5414.6205555555553</v>
      </c>
      <c r="H76" s="94">
        <f t="shared" si="30"/>
        <v>35486.48814814815</v>
      </c>
      <c r="I76" s="69"/>
      <c r="J76" s="69"/>
      <c r="K76" s="69"/>
    </row>
    <row r="77" spans="1:11" x14ac:dyDescent="0.2">
      <c r="A77" s="58">
        <v>81150</v>
      </c>
      <c r="B77" s="53">
        <f>456.89+534+42</f>
        <v>1032.8899999999999</v>
      </c>
      <c r="C77" s="53">
        <v>1340</v>
      </c>
      <c r="D77" s="53"/>
      <c r="E77" s="54">
        <f t="shared" si="27"/>
        <v>1759.9537037037037</v>
      </c>
      <c r="F77" s="54">
        <f t="shared" si="28"/>
        <v>4161.1111111111113</v>
      </c>
      <c r="G77" s="55">
        <f t="shared" si="29"/>
        <v>7174.5742592592587</v>
      </c>
      <c r="H77" s="55">
        <f t="shared" si="30"/>
        <v>39647.599259259259</v>
      </c>
      <c r="I77" s="69"/>
      <c r="J77" s="69"/>
      <c r="K77" s="69"/>
    </row>
    <row r="78" spans="1:11" x14ac:dyDescent="0.2">
      <c r="A78" s="91">
        <v>81200</v>
      </c>
      <c r="B78" s="92">
        <f>15.21+570.69+42+494.84</f>
        <v>1122.74</v>
      </c>
      <c r="C78" s="92">
        <v>894.4</v>
      </c>
      <c r="D78" s="92"/>
      <c r="E78" s="93">
        <f t="shared" si="27"/>
        <v>1995.9537037037037</v>
      </c>
      <c r="F78" s="93">
        <f t="shared" si="28"/>
        <v>2068.8888888888887</v>
      </c>
      <c r="G78" s="94">
        <f t="shared" si="29"/>
        <v>9170.5279629629622</v>
      </c>
      <c r="H78" s="94">
        <f t="shared" si="30"/>
        <v>41716.48814814815</v>
      </c>
      <c r="I78" s="69"/>
      <c r="J78" s="69"/>
      <c r="K78" s="69"/>
    </row>
    <row r="79" spans="1:11" x14ac:dyDescent="0.2">
      <c r="A79" s="58">
        <v>81250</v>
      </c>
      <c r="B79" s="53">
        <f>32.61+0.03+660.44+237.8+42</f>
        <v>972.88000000000011</v>
      </c>
      <c r="C79" s="53">
        <f>364.7</f>
        <v>364.7</v>
      </c>
      <c r="D79" s="53"/>
      <c r="E79" s="54">
        <f t="shared" si="27"/>
        <v>1940.3888888888889</v>
      </c>
      <c r="F79" s="54">
        <f t="shared" si="28"/>
        <v>1165.8333333333333</v>
      </c>
      <c r="G79" s="55">
        <f t="shared" si="29"/>
        <v>11110.916851851851</v>
      </c>
      <c r="H79" s="55">
        <f t="shared" si="30"/>
        <v>42882.321481481486</v>
      </c>
      <c r="I79" s="69"/>
      <c r="J79" s="69"/>
      <c r="K79" s="69"/>
    </row>
    <row r="80" spans="1:11" x14ac:dyDescent="0.2">
      <c r="A80" s="91">
        <v>81300</v>
      </c>
      <c r="B80" s="92">
        <v>953.3</v>
      </c>
      <c r="C80" s="92">
        <v>35</v>
      </c>
      <c r="D80" s="92"/>
      <c r="E80" s="93">
        <f t="shared" si="27"/>
        <v>1783.5</v>
      </c>
      <c r="F80" s="93">
        <f t="shared" si="28"/>
        <v>370.09259259259261</v>
      </c>
      <c r="G80" s="94">
        <f t="shared" si="29"/>
        <v>12894.416851851851</v>
      </c>
      <c r="H80" s="94">
        <f t="shared" si="30"/>
        <v>43252.414074074077</v>
      </c>
      <c r="I80" s="69"/>
      <c r="J80" s="69"/>
      <c r="K80" s="69"/>
    </row>
    <row r="81" spans="1:11" x14ac:dyDescent="0.2">
      <c r="A81" s="58">
        <v>81350</v>
      </c>
      <c r="B81" s="53">
        <v>1200</v>
      </c>
      <c r="C81" s="53">
        <v>0</v>
      </c>
      <c r="D81" s="53"/>
      <c r="E81" s="54">
        <f t="shared" si="27"/>
        <v>1993.7962962962965</v>
      </c>
      <c r="F81" s="54">
        <f t="shared" si="28"/>
        <v>32.407407407407405</v>
      </c>
      <c r="G81" s="55">
        <f t="shared" si="29"/>
        <v>14888.213148148148</v>
      </c>
      <c r="H81" s="55">
        <f t="shared" si="30"/>
        <v>43284.821481481486</v>
      </c>
      <c r="I81" s="69"/>
      <c r="J81" s="69"/>
      <c r="K81" s="69"/>
    </row>
    <row r="82" spans="1:11" x14ac:dyDescent="0.2">
      <c r="A82" s="91">
        <v>81400</v>
      </c>
      <c r="B82" s="92">
        <v>1499</v>
      </c>
      <c r="C82" s="92">
        <v>25</v>
      </c>
      <c r="D82" s="92"/>
      <c r="E82" s="93">
        <f t="shared" si="27"/>
        <v>2499.0740740740739</v>
      </c>
      <c r="F82" s="93">
        <f t="shared" si="28"/>
        <v>23.148148148148149</v>
      </c>
      <c r="G82" s="94">
        <f t="shared" si="29"/>
        <v>17387.287222222221</v>
      </c>
      <c r="H82" s="94">
        <f t="shared" si="30"/>
        <v>43307.969629629632</v>
      </c>
      <c r="I82" s="69"/>
      <c r="J82" s="69"/>
      <c r="K82" s="69"/>
    </row>
    <row r="83" spans="1:11" x14ac:dyDescent="0.2">
      <c r="A83" s="58">
        <v>81450</v>
      </c>
      <c r="B83" s="53">
        <v>1778</v>
      </c>
      <c r="C83" s="53">
        <v>29.43</v>
      </c>
      <c r="D83" s="53"/>
      <c r="E83" s="54">
        <f t="shared" si="27"/>
        <v>3034.2592592592591</v>
      </c>
      <c r="F83" s="54">
        <f t="shared" si="28"/>
        <v>50.398148148148145</v>
      </c>
      <c r="G83" s="55">
        <f t="shared" si="29"/>
        <v>20421.54648148148</v>
      </c>
      <c r="H83" s="55">
        <f t="shared" si="30"/>
        <v>43358.367777777778</v>
      </c>
      <c r="I83" s="69"/>
      <c r="J83" s="69"/>
      <c r="K83" s="69"/>
    </row>
    <row r="84" spans="1:11" x14ac:dyDescent="0.2">
      <c r="A84" s="91">
        <v>81500</v>
      </c>
      <c r="B84" s="92">
        <v>1312</v>
      </c>
      <c r="C84" s="92">
        <v>4.72</v>
      </c>
      <c r="D84" s="92"/>
      <c r="E84" s="93">
        <f t="shared" si="27"/>
        <v>2861.1111111111113</v>
      </c>
      <c r="F84" s="93">
        <f t="shared" si="28"/>
        <v>31.62037037037037</v>
      </c>
      <c r="G84" s="94">
        <f t="shared" si="29"/>
        <v>23282.657592592594</v>
      </c>
      <c r="H84" s="94">
        <f t="shared" si="30"/>
        <v>43389.98814814815</v>
      </c>
      <c r="I84" s="69"/>
      <c r="J84" s="69"/>
      <c r="K84" s="69"/>
    </row>
    <row r="85" spans="1:11" x14ac:dyDescent="0.2">
      <c r="A85" s="58">
        <v>81550</v>
      </c>
      <c r="B85" s="53">
        <v>741.43</v>
      </c>
      <c r="C85" s="53">
        <f>66.58+18.33</f>
        <v>84.91</v>
      </c>
      <c r="D85" s="53"/>
      <c r="E85" s="54">
        <f t="shared" si="27"/>
        <v>1901.3240740740739</v>
      </c>
      <c r="F85" s="54">
        <f t="shared" si="28"/>
        <v>82.990740740740748</v>
      </c>
      <c r="G85" s="55">
        <f t="shared" si="29"/>
        <v>25183.981666666667</v>
      </c>
      <c r="H85" s="55">
        <f t="shared" si="30"/>
        <v>43472.978888888887</v>
      </c>
      <c r="I85" s="69"/>
      <c r="J85" s="69"/>
      <c r="K85" s="69"/>
    </row>
    <row r="86" spans="1:11" x14ac:dyDescent="0.2">
      <c r="A86" s="91">
        <v>81600</v>
      </c>
      <c r="B86" s="92">
        <v>761.2</v>
      </c>
      <c r="C86" s="92">
        <v>5</v>
      </c>
      <c r="D86" s="92"/>
      <c r="E86" s="93">
        <f t="shared" si="27"/>
        <v>1391.3240740740741</v>
      </c>
      <c r="F86" s="93">
        <f t="shared" si="28"/>
        <v>83.25</v>
      </c>
      <c r="G86" s="95">
        <f t="shared" si="29"/>
        <v>26575.30574074074</v>
      </c>
      <c r="H86" s="95">
        <f t="shared" si="30"/>
        <v>43556.228888888887</v>
      </c>
      <c r="I86" s="62"/>
      <c r="J86" s="62"/>
      <c r="K86" s="69"/>
    </row>
    <row r="87" spans="1:11" x14ac:dyDescent="0.2">
      <c r="A87" s="59"/>
      <c r="B87" s="60"/>
      <c r="C87" s="60"/>
      <c r="D87" s="60"/>
      <c r="E87" s="61"/>
      <c r="F87" s="61"/>
      <c r="G87" s="62"/>
      <c r="H87" s="62"/>
      <c r="I87" s="62"/>
      <c r="J87" s="62"/>
      <c r="K87" s="62"/>
    </row>
    <row r="88" spans="1:11" x14ac:dyDescent="0.2">
      <c r="A88" s="107"/>
      <c r="B88" s="108"/>
      <c r="C88" s="108"/>
      <c r="D88" s="108"/>
      <c r="E88" s="108"/>
      <c r="F88" s="108"/>
      <c r="G88" s="109"/>
      <c r="H88" s="109"/>
      <c r="I88" s="109"/>
      <c r="J88" s="109"/>
      <c r="K88" s="109"/>
    </row>
    <row r="89" spans="1:11" x14ac:dyDescent="0.2">
      <c r="A89" s="46" t="s">
        <v>33</v>
      </c>
      <c r="B89" s="47"/>
      <c r="C89" s="47"/>
      <c r="D89" s="47"/>
      <c r="E89" s="50">
        <f>A91-A90</f>
        <v>15</v>
      </c>
      <c r="F89" s="47"/>
      <c r="G89" s="48"/>
      <c r="H89" s="48"/>
      <c r="I89" s="48"/>
      <c r="J89" s="48"/>
      <c r="K89" s="48"/>
    </row>
    <row r="90" spans="1:11" x14ac:dyDescent="0.2">
      <c r="A90" s="58">
        <v>101435</v>
      </c>
      <c r="B90" s="53">
        <v>70.23</v>
      </c>
      <c r="C90" s="53">
        <v>0</v>
      </c>
      <c r="D90" s="53"/>
      <c r="E90" s="54">
        <v>0</v>
      </c>
      <c r="F90" s="54">
        <v>0</v>
      </c>
      <c r="G90" s="55">
        <v>0</v>
      </c>
      <c r="H90" s="55">
        <v>0</v>
      </c>
      <c r="I90" s="69"/>
      <c r="J90" s="69"/>
      <c r="K90" s="69"/>
    </row>
    <row r="91" spans="1:11" x14ac:dyDescent="0.2">
      <c r="A91" s="58">
        <v>101450</v>
      </c>
      <c r="B91" s="53">
        <v>73.25</v>
      </c>
      <c r="C91" s="53">
        <v>0</v>
      </c>
      <c r="D91" s="53"/>
      <c r="E91" s="54">
        <f t="shared" ref="E91" si="31">(((B91+B90)/2)*(A91-A90))/27</f>
        <v>39.855555555555561</v>
      </c>
      <c r="F91" s="54">
        <f t="shared" ref="F91" si="32">(((C91+C90)/2)*(A91-A90))/27</f>
        <v>0</v>
      </c>
      <c r="G91" s="55">
        <f t="shared" ref="G91" si="33">E91+G90</f>
        <v>39.855555555555561</v>
      </c>
      <c r="H91" s="55">
        <f t="shared" ref="H91" si="34">F91+H90</f>
        <v>0</v>
      </c>
      <c r="I91" s="69"/>
      <c r="J91" s="69"/>
      <c r="K91" s="69"/>
    </row>
    <row r="92" spans="1:11" x14ac:dyDescent="0.2">
      <c r="A92" s="58">
        <v>101476</v>
      </c>
      <c r="B92" s="53">
        <v>70.14</v>
      </c>
      <c r="C92" s="53">
        <v>0</v>
      </c>
      <c r="D92" s="53"/>
      <c r="E92" s="54">
        <f t="shared" ref="E92" si="35">(((B92+B91)/2)*(A92-A91))/27</f>
        <v>69.039629629629616</v>
      </c>
      <c r="F92" s="54">
        <f t="shared" ref="F92" si="36">(((C92+C91)/2)*(A92-A91))/27</f>
        <v>0</v>
      </c>
      <c r="G92" s="55">
        <f t="shared" ref="G92" si="37">E92+G91</f>
        <v>108.89518518518517</v>
      </c>
      <c r="H92" s="55">
        <f t="shared" ref="H92" si="38">F92+H91</f>
        <v>0</v>
      </c>
      <c r="I92" s="69"/>
      <c r="J92" s="69"/>
      <c r="K92" s="69"/>
    </row>
    <row r="93" spans="1:11" x14ac:dyDescent="0.2">
      <c r="A93" s="58">
        <v>101500</v>
      </c>
      <c r="B93" s="53">
        <f>0.02+2.2+1.41</f>
        <v>3.63</v>
      </c>
      <c r="C93" s="53">
        <f>0.09+1.59</f>
        <v>1.6800000000000002</v>
      </c>
      <c r="D93" s="53"/>
      <c r="E93" s="54">
        <f t="shared" si="27"/>
        <v>32.786666666666669</v>
      </c>
      <c r="F93" s="54">
        <f t="shared" si="28"/>
        <v>0.74666666666666681</v>
      </c>
      <c r="G93" s="57">
        <f t="shared" ref="G93" si="39">E93+G92</f>
        <v>141.68185185185183</v>
      </c>
      <c r="H93" s="57">
        <f t="shared" ref="H93" si="40">F93+H92</f>
        <v>0.74666666666666681</v>
      </c>
      <c r="I93" s="62"/>
      <c r="J93" s="62"/>
      <c r="K93" s="69"/>
    </row>
    <row r="94" spans="1:11" x14ac:dyDescent="0.2">
      <c r="A94" s="59"/>
      <c r="B94" s="60"/>
      <c r="C94" s="60"/>
      <c r="D94" s="60"/>
      <c r="E94" s="61"/>
      <c r="F94" s="61"/>
      <c r="G94" s="62"/>
      <c r="H94" s="62"/>
      <c r="I94" s="62"/>
      <c r="J94" s="62"/>
      <c r="K94" s="62"/>
    </row>
    <row r="95" spans="1:11" x14ac:dyDescent="0.2">
      <c r="A95" s="46"/>
      <c r="B95" s="49"/>
      <c r="C95" s="49"/>
      <c r="D95" s="49"/>
      <c r="E95" s="47"/>
      <c r="F95" s="47"/>
      <c r="G95" s="48"/>
      <c r="H95" s="48"/>
      <c r="I95" s="48"/>
      <c r="J95" s="48"/>
      <c r="K95" s="48"/>
    </row>
    <row r="96" spans="1:11" x14ac:dyDescent="0.2">
      <c r="A96" s="46" t="s">
        <v>34</v>
      </c>
      <c r="B96" s="47"/>
      <c r="C96" s="47"/>
      <c r="D96" s="47"/>
      <c r="E96" s="46"/>
      <c r="F96" s="46"/>
      <c r="G96" s="48"/>
      <c r="H96" s="48"/>
      <c r="I96" s="48"/>
      <c r="J96" s="48"/>
      <c r="K96" s="48"/>
    </row>
    <row r="97" spans="1:11" x14ac:dyDescent="0.2">
      <c r="A97" s="58">
        <v>1975</v>
      </c>
      <c r="B97" s="53">
        <f>0.43+63.85-D97</f>
        <v>36.28</v>
      </c>
      <c r="C97" s="53">
        <f>0.03+0.41</f>
        <v>0.43999999999999995</v>
      </c>
      <c r="D97" s="53">
        <v>28</v>
      </c>
      <c r="E97" s="54">
        <v>0</v>
      </c>
      <c r="F97" s="54">
        <v>0</v>
      </c>
      <c r="G97" s="55">
        <v>0</v>
      </c>
      <c r="H97" s="55">
        <v>0</v>
      </c>
      <c r="I97" s="69"/>
      <c r="J97" s="69"/>
      <c r="K97" s="69"/>
    </row>
    <row r="98" spans="1:11" x14ac:dyDescent="0.2">
      <c r="A98" s="58">
        <v>2000</v>
      </c>
      <c r="B98" s="53">
        <f>1+56.72-D98</f>
        <v>27.36</v>
      </c>
      <c r="C98" s="53">
        <f>0.06+1.59</f>
        <v>1.6500000000000001</v>
      </c>
      <c r="D98" s="53">
        <v>30.36</v>
      </c>
      <c r="E98" s="54">
        <f t="shared" ref="E98:E102" si="41">(((B98+B97)/2)*(A98-A97))/27</f>
        <v>29.462962962962962</v>
      </c>
      <c r="F98" s="54">
        <f t="shared" ref="F98:F102" si="42">(((C98+C97)/2)*(A98-A97))/27</f>
        <v>0.96759259259259256</v>
      </c>
      <c r="G98" s="55">
        <f t="shared" ref="G98:H102" si="43">E98+G97</f>
        <v>29.462962962962962</v>
      </c>
      <c r="H98" s="55">
        <f t="shared" si="43"/>
        <v>0.96759259259259256</v>
      </c>
      <c r="I98" s="69"/>
      <c r="J98" s="69"/>
      <c r="K98" s="69"/>
    </row>
    <row r="99" spans="1:11" x14ac:dyDescent="0.2">
      <c r="A99" s="91">
        <v>2050</v>
      </c>
      <c r="B99" s="92">
        <f>68.84+0.07+57.47+0.75+31.15-D99</f>
        <v>123</v>
      </c>
      <c r="C99" s="92">
        <f>0.83+1.17+0.73+18.99</f>
        <v>21.72</v>
      </c>
      <c r="D99" s="92">
        <v>35.28</v>
      </c>
      <c r="E99" s="93">
        <f t="shared" si="41"/>
        <v>139.22222222222223</v>
      </c>
      <c r="F99" s="93">
        <f t="shared" si="42"/>
        <v>21.638888888888886</v>
      </c>
      <c r="G99" s="94">
        <f t="shared" si="43"/>
        <v>168.68518518518519</v>
      </c>
      <c r="H99" s="94">
        <f t="shared" si="43"/>
        <v>22.606481481481477</v>
      </c>
      <c r="I99" s="69"/>
      <c r="J99" s="69"/>
      <c r="K99" s="69"/>
    </row>
    <row r="100" spans="1:11" x14ac:dyDescent="0.2">
      <c r="A100" s="58">
        <v>2100</v>
      </c>
      <c r="B100" s="53">
        <f>59.44+0.04-35</f>
        <v>24.479999999999997</v>
      </c>
      <c r="C100" s="53">
        <f>136.96+2.34+2.15+158.45</f>
        <v>299.89999999999998</v>
      </c>
      <c r="D100" s="53">
        <v>39</v>
      </c>
      <c r="E100" s="54">
        <f t="shared" si="41"/>
        <v>136.55555555555554</v>
      </c>
      <c r="F100" s="54">
        <f t="shared" si="42"/>
        <v>297.7962962962963</v>
      </c>
      <c r="G100" s="55">
        <f t="shared" si="43"/>
        <v>305.24074074074076</v>
      </c>
      <c r="H100" s="55">
        <f t="shared" si="43"/>
        <v>320.40277777777777</v>
      </c>
      <c r="I100" s="69"/>
      <c r="J100" s="69"/>
      <c r="K100" s="69"/>
    </row>
    <row r="101" spans="1:11" x14ac:dyDescent="0.2">
      <c r="A101" s="91">
        <v>2150</v>
      </c>
      <c r="B101" s="92">
        <f>38.59-35</f>
        <v>3.5900000000000034</v>
      </c>
      <c r="C101" s="92">
        <f>182.1+8.3</f>
        <v>190.4</v>
      </c>
      <c r="D101" s="92">
        <v>41.1</v>
      </c>
      <c r="E101" s="93">
        <f t="shared" si="41"/>
        <v>25.99074074074074</v>
      </c>
      <c r="F101" s="93">
        <f t="shared" si="42"/>
        <v>453.98148148148141</v>
      </c>
      <c r="G101" s="94">
        <f t="shared" si="43"/>
        <v>331.23148148148152</v>
      </c>
      <c r="H101" s="94">
        <f t="shared" si="43"/>
        <v>774.38425925925912</v>
      </c>
      <c r="I101" s="69"/>
      <c r="J101" s="69"/>
      <c r="K101" s="69"/>
    </row>
    <row r="102" spans="1:11" x14ac:dyDescent="0.2">
      <c r="A102" s="58">
        <v>2200</v>
      </c>
      <c r="B102" s="53">
        <f>0.04+21.69+69.39-45</f>
        <v>46.120000000000005</v>
      </c>
      <c r="C102" s="53">
        <f>0.01+4.5+11.88</f>
        <v>16.39</v>
      </c>
      <c r="D102" s="53">
        <f>41.3+7</f>
        <v>48.3</v>
      </c>
      <c r="E102" s="54">
        <f t="shared" si="41"/>
        <v>46.027777777777786</v>
      </c>
      <c r="F102" s="54">
        <f t="shared" si="42"/>
        <v>191.47222222222226</v>
      </c>
      <c r="G102" s="55">
        <f t="shared" si="43"/>
        <v>377.2592592592593</v>
      </c>
      <c r="H102" s="55">
        <f t="shared" si="43"/>
        <v>965.85648148148141</v>
      </c>
      <c r="I102" s="69"/>
      <c r="J102" s="69"/>
      <c r="K102" s="69"/>
    </row>
    <row r="103" spans="1:11" x14ac:dyDescent="0.2">
      <c r="A103" s="91">
        <v>2250</v>
      </c>
      <c r="B103" s="92">
        <f>68-40</f>
        <v>28</v>
      </c>
      <c r="C103" s="92">
        <v>54</v>
      </c>
      <c r="D103" s="92">
        <v>46</v>
      </c>
      <c r="E103" s="93">
        <f t="shared" ref="E103:E114" si="44">(((B103+B102)/2)*(A103-A102))/27</f>
        <v>68.629629629629633</v>
      </c>
      <c r="F103" s="93">
        <f t="shared" ref="F103:F114" si="45">(((C103+C102)/2)*(A103-A102))/27</f>
        <v>65.175925925925924</v>
      </c>
      <c r="G103" s="94">
        <f t="shared" ref="G103:G114" si="46">E103+G102</f>
        <v>445.88888888888891</v>
      </c>
      <c r="H103" s="94">
        <f t="shared" ref="H103:H114" si="47">F103+H102</f>
        <v>1031.0324074074074</v>
      </c>
      <c r="I103" s="69"/>
      <c r="J103" s="69"/>
      <c r="K103" s="69"/>
    </row>
    <row r="104" spans="1:11" x14ac:dyDescent="0.2">
      <c r="A104" s="58">
        <v>2300</v>
      </c>
      <c r="B104" s="53">
        <f>68-35</f>
        <v>33</v>
      </c>
      <c r="C104" s="53">
        <v>12</v>
      </c>
      <c r="D104" s="53">
        <v>41</v>
      </c>
      <c r="E104" s="54">
        <f t="shared" si="44"/>
        <v>56.481481481481481</v>
      </c>
      <c r="F104" s="54">
        <f t="shared" si="45"/>
        <v>61.111111111111114</v>
      </c>
      <c r="G104" s="55">
        <f t="shared" si="46"/>
        <v>502.37037037037038</v>
      </c>
      <c r="H104" s="55">
        <f t="shared" si="47"/>
        <v>1092.1435185185185</v>
      </c>
      <c r="I104" s="69"/>
      <c r="J104" s="69"/>
      <c r="K104" s="69"/>
    </row>
    <row r="105" spans="1:11" x14ac:dyDescent="0.2">
      <c r="A105" s="91">
        <v>2350</v>
      </c>
      <c r="B105" s="92">
        <f>54-31</f>
        <v>23</v>
      </c>
      <c r="C105" s="92">
        <v>19</v>
      </c>
      <c r="D105" s="92">
        <v>41</v>
      </c>
      <c r="E105" s="93">
        <f t="shared" si="44"/>
        <v>51.851851851851855</v>
      </c>
      <c r="F105" s="93">
        <f t="shared" si="45"/>
        <v>28.703703703703702</v>
      </c>
      <c r="G105" s="94">
        <f t="shared" si="46"/>
        <v>554.22222222222229</v>
      </c>
      <c r="H105" s="94">
        <f t="shared" si="47"/>
        <v>1120.8472222222222</v>
      </c>
      <c r="I105" s="69"/>
      <c r="J105" s="69"/>
      <c r="K105" s="69"/>
    </row>
    <row r="106" spans="1:11" x14ac:dyDescent="0.2">
      <c r="A106" s="58">
        <v>2400</v>
      </c>
      <c r="B106" s="53">
        <f>55-35</f>
        <v>20</v>
      </c>
      <c r="C106" s="53">
        <f>11.36+7.52</f>
        <v>18.88</v>
      </c>
      <c r="D106" s="53">
        <v>41</v>
      </c>
      <c r="E106" s="54">
        <f t="shared" si="44"/>
        <v>39.814814814814817</v>
      </c>
      <c r="F106" s="54">
        <f t="shared" si="45"/>
        <v>35.074074074074069</v>
      </c>
      <c r="G106" s="55">
        <f t="shared" si="46"/>
        <v>594.03703703703707</v>
      </c>
      <c r="H106" s="55">
        <f t="shared" si="47"/>
        <v>1155.9212962962963</v>
      </c>
      <c r="I106" s="69"/>
      <c r="J106" s="69"/>
      <c r="K106" s="69"/>
    </row>
    <row r="107" spans="1:11" x14ac:dyDescent="0.2">
      <c r="A107" s="91">
        <v>2450</v>
      </c>
      <c r="B107" s="92">
        <f>55-41</f>
        <v>14</v>
      </c>
      <c r="C107" s="92">
        <v>11</v>
      </c>
      <c r="D107" s="92">
        <v>46</v>
      </c>
      <c r="E107" s="93">
        <f t="shared" si="44"/>
        <v>31.481481481481481</v>
      </c>
      <c r="F107" s="93">
        <f t="shared" si="45"/>
        <v>27.666666666666668</v>
      </c>
      <c r="G107" s="94">
        <f t="shared" si="46"/>
        <v>625.51851851851859</v>
      </c>
      <c r="H107" s="94">
        <f t="shared" si="47"/>
        <v>1183.587962962963</v>
      </c>
      <c r="I107" s="69"/>
      <c r="J107" s="69"/>
      <c r="K107" s="69"/>
    </row>
    <row r="108" spans="1:11" x14ac:dyDescent="0.2">
      <c r="A108" s="58">
        <v>2500</v>
      </c>
      <c r="B108" s="53">
        <f>91-35</f>
        <v>56</v>
      </c>
      <c r="C108" s="53">
        <v>30</v>
      </c>
      <c r="D108" s="53">
        <v>41</v>
      </c>
      <c r="E108" s="54">
        <f t="shared" si="44"/>
        <v>64.81481481481481</v>
      </c>
      <c r="F108" s="54">
        <f t="shared" si="45"/>
        <v>37.962962962962962</v>
      </c>
      <c r="G108" s="55">
        <f t="shared" si="46"/>
        <v>690.33333333333337</v>
      </c>
      <c r="H108" s="55">
        <f t="shared" si="47"/>
        <v>1221.5509259259261</v>
      </c>
      <c r="I108" s="69"/>
      <c r="J108" s="69"/>
      <c r="K108" s="69"/>
    </row>
    <row r="109" spans="1:11" x14ac:dyDescent="0.2">
      <c r="A109" s="91">
        <v>2550</v>
      </c>
      <c r="B109" s="92">
        <f>51-35</f>
        <v>16</v>
      </c>
      <c r="C109" s="92">
        <f>13+5.14</f>
        <v>18.14</v>
      </c>
      <c r="D109" s="92">
        <v>40.5</v>
      </c>
      <c r="E109" s="93">
        <f t="shared" si="44"/>
        <v>66.666666666666671</v>
      </c>
      <c r="F109" s="93">
        <f t="shared" si="45"/>
        <v>44.574074074074076</v>
      </c>
      <c r="G109" s="94">
        <f t="shared" si="46"/>
        <v>757</v>
      </c>
      <c r="H109" s="94">
        <f t="shared" si="47"/>
        <v>1266.1250000000002</v>
      </c>
      <c r="I109" s="69"/>
      <c r="J109" s="69"/>
      <c r="K109" s="69"/>
    </row>
    <row r="110" spans="1:11" x14ac:dyDescent="0.2">
      <c r="A110" s="58">
        <v>2600</v>
      </c>
      <c r="B110" s="53">
        <f>54-34</f>
        <v>20</v>
      </c>
      <c r="C110" s="53">
        <v>8</v>
      </c>
      <c r="D110" s="53">
        <v>40</v>
      </c>
      <c r="E110" s="54">
        <f t="shared" si="44"/>
        <v>33.333333333333336</v>
      </c>
      <c r="F110" s="54">
        <f t="shared" si="45"/>
        <v>24.203703703703702</v>
      </c>
      <c r="G110" s="55">
        <f t="shared" si="46"/>
        <v>790.33333333333337</v>
      </c>
      <c r="H110" s="55">
        <f t="shared" si="47"/>
        <v>1290.3287037037039</v>
      </c>
      <c r="I110" s="69"/>
      <c r="J110" s="69"/>
      <c r="K110" s="69"/>
    </row>
    <row r="111" spans="1:11" x14ac:dyDescent="0.2">
      <c r="A111" s="91">
        <v>2650</v>
      </c>
      <c r="B111" s="92">
        <f>55-35</f>
        <v>20</v>
      </c>
      <c r="C111" s="92">
        <v>7</v>
      </c>
      <c r="D111" s="92">
        <v>40</v>
      </c>
      <c r="E111" s="93">
        <f t="shared" si="44"/>
        <v>37.037037037037038</v>
      </c>
      <c r="F111" s="93">
        <f t="shared" si="45"/>
        <v>13.888888888888889</v>
      </c>
      <c r="G111" s="94">
        <f t="shared" si="46"/>
        <v>827.37037037037044</v>
      </c>
      <c r="H111" s="94">
        <f t="shared" si="47"/>
        <v>1304.2175925925928</v>
      </c>
      <c r="I111" s="69"/>
      <c r="J111" s="69"/>
      <c r="K111" s="69"/>
    </row>
    <row r="112" spans="1:11" x14ac:dyDescent="0.2">
      <c r="A112" s="58">
        <v>2700</v>
      </c>
      <c r="B112" s="53">
        <f>59-35</f>
        <v>24</v>
      </c>
      <c r="C112" s="53">
        <v>5</v>
      </c>
      <c r="D112" s="53">
        <v>40</v>
      </c>
      <c r="E112" s="54">
        <f t="shared" si="44"/>
        <v>40.74074074074074</v>
      </c>
      <c r="F112" s="54">
        <f t="shared" si="45"/>
        <v>11.111111111111111</v>
      </c>
      <c r="G112" s="55">
        <f t="shared" si="46"/>
        <v>868.1111111111112</v>
      </c>
      <c r="H112" s="55">
        <f t="shared" si="47"/>
        <v>1315.3287037037039</v>
      </c>
      <c r="I112" s="69"/>
      <c r="J112" s="69"/>
      <c r="K112" s="69"/>
    </row>
    <row r="113" spans="1:11" x14ac:dyDescent="0.2">
      <c r="A113" s="91">
        <v>2750</v>
      </c>
      <c r="B113" s="92">
        <f>52-35</f>
        <v>17</v>
      </c>
      <c r="C113" s="92">
        <v>20</v>
      </c>
      <c r="D113" s="92">
        <v>40.5</v>
      </c>
      <c r="E113" s="93">
        <f t="shared" si="44"/>
        <v>37.962962962962962</v>
      </c>
      <c r="F113" s="93">
        <f t="shared" si="45"/>
        <v>23.148148148148149</v>
      </c>
      <c r="G113" s="94">
        <f t="shared" si="46"/>
        <v>906.07407407407413</v>
      </c>
      <c r="H113" s="94">
        <f t="shared" si="47"/>
        <v>1338.476851851852</v>
      </c>
      <c r="I113" s="69"/>
      <c r="J113" s="69"/>
      <c r="K113" s="69"/>
    </row>
    <row r="114" spans="1:11" x14ac:dyDescent="0.2">
      <c r="A114" s="58">
        <v>2800</v>
      </c>
      <c r="B114" s="53">
        <f>58-35</f>
        <v>23</v>
      </c>
      <c r="C114" s="53">
        <f>2.02+5.81</f>
        <v>7.83</v>
      </c>
      <c r="D114" s="53">
        <v>40.799999999999997</v>
      </c>
      <c r="E114" s="54">
        <f t="shared" si="44"/>
        <v>37.037037037037038</v>
      </c>
      <c r="F114" s="54">
        <f t="shared" si="45"/>
        <v>25.768518518518519</v>
      </c>
      <c r="G114" s="55">
        <f t="shared" si="46"/>
        <v>943.1111111111112</v>
      </c>
      <c r="H114" s="55">
        <f t="shared" si="47"/>
        <v>1364.2453703703704</v>
      </c>
      <c r="I114" s="69"/>
      <c r="J114" s="69"/>
      <c r="K114" s="69"/>
    </row>
    <row r="115" spans="1:11" x14ac:dyDescent="0.2">
      <c r="A115" s="91">
        <v>2850</v>
      </c>
      <c r="B115" s="92">
        <v>33</v>
      </c>
      <c r="C115" s="92">
        <v>0</v>
      </c>
      <c r="D115" s="92">
        <v>44.5</v>
      </c>
      <c r="E115" s="93">
        <f t="shared" ref="E115:E116" si="48">(((B115+B114)/2)*(A115-A114))/27</f>
        <v>51.851851851851855</v>
      </c>
      <c r="F115" s="93">
        <f t="shared" ref="F115:F116" si="49">(((C115+C114)/2)*(A115-A114))/27</f>
        <v>7.25</v>
      </c>
      <c r="G115" s="94">
        <f t="shared" ref="G115:G116" si="50">E115+G114</f>
        <v>994.96296296296305</v>
      </c>
      <c r="H115" s="94">
        <f t="shared" ref="H115:H116" si="51">F115+H114</f>
        <v>1371.4953703703704</v>
      </c>
      <c r="I115" s="69"/>
      <c r="J115" s="69"/>
      <c r="K115" s="69"/>
    </row>
    <row r="116" spans="1:11" x14ac:dyDescent="0.2">
      <c r="A116" s="58">
        <v>2859</v>
      </c>
      <c r="B116" s="53">
        <v>34</v>
      </c>
      <c r="C116" s="53">
        <v>0</v>
      </c>
      <c r="D116" s="53">
        <v>40</v>
      </c>
      <c r="E116" s="54">
        <f t="shared" si="48"/>
        <v>11.166666666666666</v>
      </c>
      <c r="F116" s="54">
        <f t="shared" si="49"/>
        <v>0</v>
      </c>
      <c r="G116" s="57">
        <f t="shared" si="50"/>
        <v>1006.1296296296297</v>
      </c>
      <c r="H116" s="57">
        <f t="shared" si="51"/>
        <v>1371.4953703703704</v>
      </c>
      <c r="I116" s="62"/>
      <c r="J116" s="62"/>
      <c r="K116" s="69"/>
    </row>
    <row r="117" spans="1:11" x14ac:dyDescent="0.2">
      <c r="A117" s="46"/>
      <c r="B117" s="49"/>
      <c r="C117" s="49"/>
      <c r="D117" s="49"/>
      <c r="E117" s="47"/>
      <c r="F117" s="47"/>
      <c r="G117" s="48"/>
      <c r="H117" s="48"/>
      <c r="I117" s="48"/>
      <c r="J117" s="48"/>
      <c r="K117" s="48"/>
    </row>
    <row r="118" spans="1:11" x14ac:dyDescent="0.2">
      <c r="A118" s="46"/>
      <c r="B118" s="47"/>
      <c r="C118" s="47"/>
      <c r="D118" s="47"/>
      <c r="E118" s="47"/>
      <c r="F118" s="47"/>
      <c r="G118" s="48"/>
      <c r="H118" s="48"/>
      <c r="I118" s="48"/>
      <c r="J118" s="48"/>
      <c r="K118" s="48"/>
    </row>
    <row r="119" spans="1:11" x14ac:dyDescent="0.2">
      <c r="A119" s="46" t="s">
        <v>35</v>
      </c>
      <c r="B119" s="47"/>
      <c r="C119" s="47"/>
      <c r="D119" s="47"/>
      <c r="E119" s="47"/>
      <c r="F119" s="47"/>
      <c r="G119" s="48"/>
      <c r="H119" s="48"/>
      <c r="I119" s="48"/>
      <c r="J119" s="106" t="s">
        <v>42</v>
      </c>
      <c r="K119" s="106"/>
    </row>
    <row r="120" spans="1:11" x14ac:dyDescent="0.2">
      <c r="A120" s="58">
        <v>10000</v>
      </c>
      <c r="B120" s="53"/>
      <c r="C120" s="53"/>
      <c r="D120" s="53"/>
      <c r="E120" s="54">
        <v>0</v>
      </c>
      <c r="F120" s="54">
        <v>0</v>
      </c>
      <c r="G120" s="55">
        <v>0</v>
      </c>
      <c r="H120" s="55">
        <v>0</v>
      </c>
      <c r="I120" s="48"/>
      <c r="J120" s="84">
        <v>90.1</v>
      </c>
      <c r="K120" s="84">
        <v>0</v>
      </c>
    </row>
    <row r="121" spans="1:11" x14ac:dyDescent="0.2">
      <c r="A121" s="58">
        <v>10050</v>
      </c>
      <c r="B121" s="53"/>
      <c r="C121" s="53"/>
      <c r="D121" s="53"/>
      <c r="E121" s="54">
        <f t="shared" ref="E121:E131" si="52">(((K121+K120)/2)*(A121-A120))/27</f>
        <v>0</v>
      </c>
      <c r="F121" s="54">
        <f t="shared" ref="F121:F132" si="53">(((C121+C120)/2)*(A121-A120))/27</f>
        <v>0</v>
      </c>
      <c r="G121" s="55">
        <f t="shared" ref="G121:G127" si="54">E121+G120</f>
        <v>0</v>
      </c>
      <c r="H121" s="55">
        <f t="shared" ref="H121:H127" si="55">F121+H120</f>
        <v>0</v>
      </c>
      <c r="I121" s="48"/>
      <c r="J121" s="84">
        <v>170.18</v>
      </c>
      <c r="K121" s="84">
        <v>0</v>
      </c>
    </row>
    <row r="122" spans="1:11" x14ac:dyDescent="0.2">
      <c r="A122" s="58">
        <v>10100</v>
      </c>
      <c r="B122" s="53"/>
      <c r="C122" s="53"/>
      <c r="D122" s="53"/>
      <c r="E122" s="54">
        <f t="shared" si="52"/>
        <v>0</v>
      </c>
      <c r="F122" s="54">
        <f t="shared" si="53"/>
        <v>0</v>
      </c>
      <c r="G122" s="55">
        <f t="shared" si="54"/>
        <v>0</v>
      </c>
      <c r="H122" s="55">
        <f t="shared" si="55"/>
        <v>0</v>
      </c>
      <c r="I122" s="48"/>
      <c r="J122" s="84">
        <v>134.49</v>
      </c>
      <c r="K122" s="84">
        <v>0</v>
      </c>
    </row>
    <row r="123" spans="1:11" x14ac:dyDescent="0.2">
      <c r="A123" s="58">
        <v>10150</v>
      </c>
      <c r="B123" s="53"/>
      <c r="C123" s="53"/>
      <c r="D123" s="53"/>
      <c r="E123" s="54">
        <f t="shared" si="52"/>
        <v>1.6666666666666667</v>
      </c>
      <c r="F123" s="54">
        <f t="shared" si="53"/>
        <v>0</v>
      </c>
      <c r="G123" s="55">
        <f t="shared" si="54"/>
        <v>1.6666666666666667</v>
      </c>
      <c r="H123" s="55">
        <f t="shared" si="55"/>
        <v>0</v>
      </c>
      <c r="I123" s="48"/>
      <c r="J123" s="84">
        <f>4.01+60.74</f>
        <v>64.75</v>
      </c>
      <c r="K123" s="84">
        <v>1.8</v>
      </c>
    </row>
    <row r="124" spans="1:11" x14ac:dyDescent="0.2">
      <c r="A124" s="58">
        <v>10200</v>
      </c>
      <c r="B124" s="53"/>
      <c r="C124" s="53"/>
      <c r="D124" s="53"/>
      <c r="E124" s="54">
        <f t="shared" si="52"/>
        <v>1.6666666666666667</v>
      </c>
      <c r="F124" s="54">
        <f t="shared" si="53"/>
        <v>0</v>
      </c>
      <c r="G124" s="55">
        <f t="shared" si="54"/>
        <v>3.3333333333333335</v>
      </c>
      <c r="H124" s="55">
        <f t="shared" si="55"/>
        <v>0</v>
      </c>
      <c r="I124" s="48"/>
      <c r="J124" s="84">
        <v>91.03</v>
      </c>
      <c r="K124" s="84">
        <v>0</v>
      </c>
    </row>
    <row r="125" spans="1:11" x14ac:dyDescent="0.2">
      <c r="A125" s="58">
        <v>10250</v>
      </c>
      <c r="B125" s="53"/>
      <c r="C125" s="53"/>
      <c r="D125" s="53"/>
      <c r="E125" s="54">
        <f t="shared" si="52"/>
        <v>0</v>
      </c>
      <c r="F125" s="54">
        <f t="shared" si="53"/>
        <v>0</v>
      </c>
      <c r="G125" s="55">
        <f t="shared" si="54"/>
        <v>3.3333333333333335</v>
      </c>
      <c r="H125" s="55">
        <f t="shared" si="55"/>
        <v>0</v>
      </c>
      <c r="I125" s="48"/>
      <c r="J125" s="84">
        <v>153.46</v>
      </c>
      <c r="K125" s="84">
        <v>0</v>
      </c>
    </row>
    <row r="126" spans="1:11" x14ac:dyDescent="0.2">
      <c r="A126" s="58">
        <v>10300</v>
      </c>
      <c r="B126" s="53"/>
      <c r="C126" s="53"/>
      <c r="D126" s="53"/>
      <c r="E126" s="54">
        <f t="shared" si="52"/>
        <v>0</v>
      </c>
      <c r="F126" s="54">
        <f t="shared" si="53"/>
        <v>0</v>
      </c>
      <c r="G126" s="55">
        <f t="shared" si="54"/>
        <v>3.3333333333333335</v>
      </c>
      <c r="H126" s="55">
        <f t="shared" si="55"/>
        <v>0</v>
      </c>
      <c r="I126" s="48"/>
      <c r="J126" s="84">
        <v>238.67</v>
      </c>
      <c r="K126" s="84">
        <v>0</v>
      </c>
    </row>
    <row r="127" spans="1:11" x14ac:dyDescent="0.2">
      <c r="A127" s="58">
        <v>10350</v>
      </c>
      <c r="B127" s="53"/>
      <c r="C127" s="53"/>
      <c r="D127" s="53"/>
      <c r="E127" s="54">
        <f t="shared" si="52"/>
        <v>3.8796296296296302</v>
      </c>
      <c r="F127" s="54">
        <f t="shared" si="53"/>
        <v>0</v>
      </c>
      <c r="G127" s="55">
        <f t="shared" si="54"/>
        <v>7.2129629629629637</v>
      </c>
      <c r="H127" s="55">
        <f t="shared" si="55"/>
        <v>0</v>
      </c>
      <c r="I127" s="48"/>
      <c r="J127" s="84">
        <v>385.99</v>
      </c>
      <c r="K127" s="84">
        <v>4.1900000000000004</v>
      </c>
    </row>
    <row r="128" spans="1:11" x14ac:dyDescent="0.2">
      <c r="A128" s="58">
        <v>10400</v>
      </c>
      <c r="B128" s="53"/>
      <c r="C128" s="53"/>
      <c r="D128" s="53"/>
      <c r="E128" s="54">
        <f t="shared" si="52"/>
        <v>3.8796296296296302</v>
      </c>
      <c r="F128" s="54">
        <f t="shared" si="53"/>
        <v>0</v>
      </c>
      <c r="G128" s="55">
        <f t="shared" ref="G128:G136" si="56">E128+G127</f>
        <v>11.092592592592593</v>
      </c>
      <c r="H128" s="55">
        <f t="shared" ref="H128:H136" si="57">F128+H127</f>
        <v>0</v>
      </c>
      <c r="I128" s="48"/>
      <c r="J128" s="84">
        <v>414.95</v>
      </c>
      <c r="K128" s="84">
        <v>0</v>
      </c>
    </row>
    <row r="129" spans="1:11" x14ac:dyDescent="0.2">
      <c r="A129" s="58">
        <v>10450</v>
      </c>
      <c r="B129" s="53"/>
      <c r="C129" s="53"/>
      <c r="D129" s="53"/>
      <c r="E129" s="54">
        <f t="shared" si="52"/>
        <v>0</v>
      </c>
      <c r="F129" s="54">
        <f t="shared" si="53"/>
        <v>0</v>
      </c>
      <c r="G129" s="55">
        <f t="shared" si="56"/>
        <v>11.092592592592593</v>
      </c>
      <c r="H129" s="55">
        <f t="shared" si="57"/>
        <v>0</v>
      </c>
      <c r="I129" s="48"/>
      <c r="J129" s="84">
        <v>510.73</v>
      </c>
      <c r="K129" s="84">
        <v>0</v>
      </c>
    </row>
    <row r="130" spans="1:11" x14ac:dyDescent="0.2">
      <c r="A130" s="58">
        <v>10500</v>
      </c>
      <c r="B130" s="53"/>
      <c r="C130" s="53"/>
      <c r="D130" s="53"/>
      <c r="E130" s="54">
        <f t="shared" si="52"/>
        <v>0</v>
      </c>
      <c r="F130" s="54">
        <f t="shared" si="53"/>
        <v>0</v>
      </c>
      <c r="G130" s="55">
        <f t="shared" si="56"/>
        <v>11.092592592592593</v>
      </c>
      <c r="H130" s="55">
        <f t="shared" si="57"/>
        <v>0</v>
      </c>
      <c r="I130" s="48"/>
      <c r="J130" s="84">
        <v>798.22</v>
      </c>
      <c r="K130" s="84">
        <v>0</v>
      </c>
    </row>
    <row r="131" spans="1:11" x14ac:dyDescent="0.2">
      <c r="A131" s="58">
        <v>10550</v>
      </c>
      <c r="B131" s="53"/>
      <c r="C131" s="53"/>
      <c r="D131" s="53"/>
      <c r="E131" s="54">
        <f t="shared" si="52"/>
        <v>44.851851851851862</v>
      </c>
      <c r="F131" s="54">
        <f t="shared" si="53"/>
        <v>0</v>
      </c>
      <c r="G131" s="55">
        <f t="shared" si="56"/>
        <v>55.944444444444457</v>
      </c>
      <c r="H131" s="55">
        <f t="shared" si="57"/>
        <v>0</v>
      </c>
      <c r="I131" s="48"/>
      <c r="J131" s="84">
        <f>17.57+333.73</f>
        <v>351.3</v>
      </c>
      <c r="K131" s="84">
        <v>48.440000000000005</v>
      </c>
    </row>
    <row r="132" spans="1:11" x14ac:dyDescent="0.2">
      <c r="A132" s="58">
        <v>10600</v>
      </c>
      <c r="B132" s="53">
        <v>261.75</v>
      </c>
      <c r="C132" s="53">
        <v>0</v>
      </c>
      <c r="D132" s="53"/>
      <c r="E132" s="54">
        <f>(((B132+K131)/2)*(A132-A131))/27</f>
        <v>287.21296296296299</v>
      </c>
      <c r="F132" s="54">
        <f t="shared" si="53"/>
        <v>0</v>
      </c>
      <c r="G132" s="55">
        <f t="shared" si="56"/>
        <v>343.15740740740745</v>
      </c>
      <c r="H132" s="55">
        <f t="shared" si="57"/>
        <v>0</v>
      </c>
      <c r="I132" s="69"/>
      <c r="J132" s="69"/>
      <c r="K132" s="69"/>
    </row>
    <row r="133" spans="1:11" x14ac:dyDescent="0.2">
      <c r="A133" s="58">
        <v>10650</v>
      </c>
      <c r="B133" s="53">
        <v>487.82</v>
      </c>
      <c r="C133" s="53">
        <v>0</v>
      </c>
      <c r="D133" s="53"/>
      <c r="E133" s="54">
        <f t="shared" ref="E133:E136" si="58">(((B133+B132)/2)*(A133-A132))/27</f>
        <v>694.0462962962963</v>
      </c>
      <c r="F133" s="54">
        <f t="shared" ref="F133:F136" si="59">(((C133+C132)/2)*(A133-A132))/27</f>
        <v>0</v>
      </c>
      <c r="G133" s="55">
        <f t="shared" si="56"/>
        <v>1037.2037037037037</v>
      </c>
      <c r="H133" s="55">
        <f t="shared" si="57"/>
        <v>0</v>
      </c>
      <c r="I133" s="69"/>
      <c r="J133" s="69"/>
      <c r="K133" s="69"/>
    </row>
    <row r="134" spans="1:11" x14ac:dyDescent="0.2">
      <c r="A134" s="58">
        <v>10700</v>
      </c>
      <c r="B134" s="53">
        <v>282.48</v>
      </c>
      <c r="C134" s="53">
        <v>0</v>
      </c>
      <c r="D134" s="53"/>
      <c r="E134" s="54">
        <f t="shared" si="58"/>
        <v>713.24074074074076</v>
      </c>
      <c r="F134" s="54">
        <f t="shared" si="59"/>
        <v>0</v>
      </c>
      <c r="G134" s="55">
        <f t="shared" si="56"/>
        <v>1750.4444444444443</v>
      </c>
      <c r="H134" s="55">
        <f t="shared" si="57"/>
        <v>0</v>
      </c>
      <c r="I134" s="69"/>
      <c r="J134" s="69"/>
      <c r="K134" s="69"/>
    </row>
    <row r="135" spans="1:11" x14ac:dyDescent="0.2">
      <c r="A135" s="58">
        <v>10750</v>
      </c>
      <c r="B135" s="53">
        <f>0.02+125.67</f>
        <v>125.69</v>
      </c>
      <c r="C135" s="53">
        <f>10.28+0.25</f>
        <v>10.53</v>
      </c>
      <c r="D135" s="53"/>
      <c r="E135" s="54">
        <f t="shared" si="58"/>
        <v>377.93518518518516</v>
      </c>
      <c r="F135" s="54">
        <f t="shared" si="59"/>
        <v>9.75</v>
      </c>
      <c r="G135" s="55">
        <f t="shared" si="56"/>
        <v>2128.3796296296296</v>
      </c>
      <c r="H135" s="55">
        <f t="shared" si="57"/>
        <v>9.75</v>
      </c>
      <c r="I135" s="69"/>
      <c r="J135" s="69"/>
      <c r="K135" s="69"/>
    </row>
    <row r="136" spans="1:11" x14ac:dyDescent="0.2">
      <c r="A136" s="58">
        <v>10800</v>
      </c>
      <c r="B136" s="53">
        <v>55.98</v>
      </c>
      <c r="C136" s="53">
        <v>111.84</v>
      </c>
      <c r="D136" s="53"/>
      <c r="E136" s="54">
        <f t="shared" si="58"/>
        <v>168.21296296296296</v>
      </c>
      <c r="F136" s="54">
        <f t="shared" si="59"/>
        <v>113.30555555555556</v>
      </c>
      <c r="G136" s="55">
        <f t="shared" si="56"/>
        <v>2296.5925925925926</v>
      </c>
      <c r="H136" s="55">
        <f t="shared" si="57"/>
        <v>123.05555555555556</v>
      </c>
      <c r="I136" s="69"/>
      <c r="J136" s="69"/>
      <c r="K136" s="69"/>
    </row>
    <row r="137" spans="1:11" x14ac:dyDescent="0.2">
      <c r="A137" s="58">
        <v>10850</v>
      </c>
      <c r="B137" s="53">
        <v>112.32</v>
      </c>
      <c r="C137" s="53">
        <f>25.34+7.93</f>
        <v>33.269999999999996</v>
      </c>
      <c r="D137" s="53"/>
      <c r="E137" s="54">
        <f>(((B137+B135)/2)*(A137-A135))/27</f>
        <v>440.75925925925924</v>
      </c>
      <c r="F137" s="54">
        <f>(((C137+C135)/2)*(A137-A135))/27</f>
        <v>81.111111111111114</v>
      </c>
      <c r="G137" s="57">
        <f>E137+G135</f>
        <v>2569.1388888888887</v>
      </c>
      <c r="H137" s="57">
        <f>F137+H135</f>
        <v>90.861111111111114</v>
      </c>
      <c r="I137" s="62"/>
      <c r="J137" s="62"/>
      <c r="K137" s="62"/>
    </row>
    <row r="138" spans="1:11" x14ac:dyDescent="0.2">
      <c r="A138" s="59"/>
      <c r="B138" s="60"/>
      <c r="C138" s="60"/>
      <c r="D138" s="60"/>
      <c r="E138" s="61"/>
      <c r="F138" s="61"/>
      <c r="G138" s="62"/>
      <c r="H138" s="62"/>
      <c r="I138" s="62"/>
      <c r="J138" s="62"/>
      <c r="K138" s="62"/>
    </row>
    <row r="139" spans="1:11" x14ac:dyDescent="0.2">
      <c r="A139" s="46"/>
      <c r="B139" s="47"/>
      <c r="C139" s="47"/>
      <c r="D139" s="47"/>
      <c r="E139" s="47"/>
      <c r="F139" s="47"/>
      <c r="G139" s="48"/>
      <c r="H139" s="48"/>
      <c r="I139" s="48"/>
      <c r="J139" s="48"/>
      <c r="K139" s="48"/>
    </row>
    <row r="140" spans="1:11" x14ac:dyDescent="0.2">
      <c r="A140" s="46" t="s">
        <v>36</v>
      </c>
      <c r="B140" s="47"/>
      <c r="C140" s="47"/>
      <c r="D140" s="47"/>
      <c r="E140" s="47"/>
      <c r="F140" s="47"/>
      <c r="G140" s="48"/>
      <c r="H140" s="48"/>
      <c r="I140" s="48"/>
      <c r="J140" s="48"/>
      <c r="K140" s="48"/>
    </row>
    <row r="141" spans="1:11" x14ac:dyDescent="0.2">
      <c r="A141" s="96">
        <v>1100</v>
      </c>
      <c r="B141" s="97">
        <v>14</v>
      </c>
      <c r="C141" s="97">
        <v>0</v>
      </c>
      <c r="D141" s="97">
        <v>0</v>
      </c>
      <c r="E141" s="98">
        <v>0</v>
      </c>
      <c r="F141" s="98">
        <v>0</v>
      </c>
      <c r="G141" s="99">
        <v>0</v>
      </c>
      <c r="H141" s="99">
        <v>0</v>
      </c>
      <c r="I141" s="69"/>
      <c r="J141" s="69"/>
      <c r="K141" s="69"/>
    </row>
    <row r="142" spans="1:11" x14ac:dyDescent="0.2">
      <c r="A142" s="58">
        <v>1150</v>
      </c>
      <c r="B142" s="53">
        <v>21</v>
      </c>
      <c r="C142" s="53">
        <v>8.1</v>
      </c>
      <c r="D142" s="53">
        <v>3</v>
      </c>
      <c r="E142" s="54">
        <f t="shared" ref="E142" si="60">(((B142+B141)/2)*(A142-A141))/27</f>
        <v>32.407407407407405</v>
      </c>
      <c r="F142" s="54">
        <f t="shared" ref="F142" si="61">(((C142+C141)/2)*(A142-A141))/27</f>
        <v>7.5</v>
      </c>
      <c r="G142" s="55">
        <f t="shared" ref="G142" si="62">E142+G141</f>
        <v>32.407407407407405</v>
      </c>
      <c r="H142" s="55">
        <f t="shared" ref="H142" si="63">F142+H141</f>
        <v>7.5</v>
      </c>
      <c r="I142" s="69"/>
      <c r="J142" s="69"/>
      <c r="K142" s="69"/>
    </row>
    <row r="143" spans="1:11" x14ac:dyDescent="0.2">
      <c r="A143" s="96">
        <v>1200</v>
      </c>
      <c r="B143" s="97">
        <v>17.7</v>
      </c>
      <c r="C143" s="97">
        <v>903.5</v>
      </c>
      <c r="D143" s="97">
        <v>3</v>
      </c>
      <c r="E143" s="98">
        <f t="shared" ref="E143:E155" si="64">(((B143+B142)/2)*(A143-A142))/27</f>
        <v>35.833333333333336</v>
      </c>
      <c r="F143" s="98">
        <f t="shared" ref="F143:F155" si="65">(((C143+C142)/2)*(A143-A142))/27</f>
        <v>844.07407407407402</v>
      </c>
      <c r="G143" s="99">
        <f t="shared" ref="G143:G155" si="66">E143+G142</f>
        <v>68.240740740740733</v>
      </c>
      <c r="H143" s="99">
        <f t="shared" ref="H143:H155" si="67">F143+H142</f>
        <v>851.57407407407402</v>
      </c>
      <c r="I143" s="69"/>
      <c r="J143" s="69"/>
      <c r="K143" s="69"/>
    </row>
    <row r="144" spans="1:11" x14ac:dyDescent="0.2">
      <c r="A144" s="58">
        <v>1250</v>
      </c>
      <c r="B144" s="53">
        <v>24</v>
      </c>
      <c r="C144" s="53">
        <v>994</v>
      </c>
      <c r="D144" s="53">
        <v>3</v>
      </c>
      <c r="E144" s="54">
        <f t="shared" si="64"/>
        <v>38.611111111111114</v>
      </c>
      <c r="F144" s="54">
        <f t="shared" si="65"/>
        <v>1756.9444444444443</v>
      </c>
      <c r="G144" s="55">
        <f t="shared" si="66"/>
        <v>106.85185185185185</v>
      </c>
      <c r="H144" s="55">
        <f t="shared" si="67"/>
        <v>2608.5185185185182</v>
      </c>
      <c r="I144" s="69"/>
      <c r="J144" s="69"/>
      <c r="K144" s="69"/>
    </row>
    <row r="145" spans="1:11" x14ac:dyDescent="0.2">
      <c r="A145" s="96">
        <v>1300</v>
      </c>
      <c r="B145" s="97">
        <v>21</v>
      </c>
      <c r="C145" s="97">
        <f>663.3+8.4</f>
        <v>671.69999999999993</v>
      </c>
      <c r="D145" s="97">
        <v>3</v>
      </c>
      <c r="E145" s="98">
        <f t="shared" si="64"/>
        <v>41.666666666666664</v>
      </c>
      <c r="F145" s="98">
        <f t="shared" si="65"/>
        <v>1542.3148148148146</v>
      </c>
      <c r="G145" s="99">
        <f t="shared" si="66"/>
        <v>148.5185185185185</v>
      </c>
      <c r="H145" s="99">
        <f t="shared" si="67"/>
        <v>4150.833333333333</v>
      </c>
      <c r="I145" s="69"/>
      <c r="J145" s="69"/>
      <c r="K145" s="69"/>
    </row>
    <row r="146" spans="1:11" x14ac:dyDescent="0.2">
      <c r="A146" s="58">
        <v>1350</v>
      </c>
      <c r="B146" s="53">
        <v>24</v>
      </c>
      <c r="C146" s="53">
        <f>474.98+10.63</f>
        <v>485.61</v>
      </c>
      <c r="D146" s="53">
        <v>3</v>
      </c>
      <c r="E146" s="54">
        <f t="shared" si="64"/>
        <v>41.666666666666664</v>
      </c>
      <c r="F146" s="54">
        <f t="shared" si="65"/>
        <v>1071.5833333333333</v>
      </c>
      <c r="G146" s="55">
        <f t="shared" si="66"/>
        <v>190.18518518518516</v>
      </c>
      <c r="H146" s="55">
        <f t="shared" si="67"/>
        <v>5222.4166666666661</v>
      </c>
      <c r="I146" s="69"/>
      <c r="J146" s="69"/>
      <c r="K146" s="69"/>
    </row>
    <row r="147" spans="1:11" x14ac:dyDescent="0.2">
      <c r="A147" s="96">
        <v>1400</v>
      </c>
      <c r="B147" s="97">
        <v>33</v>
      </c>
      <c r="C147" s="97">
        <f>830.15+12</f>
        <v>842.15</v>
      </c>
      <c r="D147" s="97">
        <v>3</v>
      </c>
      <c r="E147" s="98">
        <f t="shared" si="64"/>
        <v>52.777777777777779</v>
      </c>
      <c r="F147" s="98">
        <f t="shared" si="65"/>
        <v>1229.4074074074074</v>
      </c>
      <c r="G147" s="99">
        <f t="shared" si="66"/>
        <v>242.96296296296293</v>
      </c>
      <c r="H147" s="99">
        <f t="shared" si="67"/>
        <v>6451.824074074073</v>
      </c>
      <c r="I147" s="69"/>
      <c r="J147" s="69"/>
      <c r="K147" s="69"/>
    </row>
    <row r="148" spans="1:11" x14ac:dyDescent="0.2">
      <c r="A148" s="58">
        <v>1450</v>
      </c>
      <c r="B148" s="53">
        <v>53</v>
      </c>
      <c r="C148" s="53">
        <f>1715.5+12</f>
        <v>1727.5</v>
      </c>
      <c r="D148" s="53">
        <v>3</v>
      </c>
      <c r="E148" s="54">
        <f t="shared" si="64"/>
        <v>79.629629629629633</v>
      </c>
      <c r="F148" s="54">
        <f t="shared" si="65"/>
        <v>2379.3055555555557</v>
      </c>
      <c r="G148" s="55">
        <f t="shared" si="66"/>
        <v>322.59259259259255</v>
      </c>
      <c r="H148" s="55">
        <f t="shared" si="67"/>
        <v>8831.1296296296277</v>
      </c>
      <c r="I148" s="69"/>
      <c r="J148" s="69"/>
      <c r="K148" s="69"/>
    </row>
    <row r="149" spans="1:11" x14ac:dyDescent="0.2">
      <c r="A149" s="96">
        <v>1500</v>
      </c>
      <c r="B149" s="97">
        <v>11</v>
      </c>
      <c r="C149" s="97">
        <f>424.6+14.56</f>
        <v>439.16</v>
      </c>
      <c r="D149" s="97">
        <v>5</v>
      </c>
      <c r="E149" s="98">
        <f t="shared" si="64"/>
        <v>59.25925925925926</v>
      </c>
      <c r="F149" s="98">
        <f t="shared" si="65"/>
        <v>2006.1666666666667</v>
      </c>
      <c r="G149" s="99">
        <f t="shared" si="66"/>
        <v>381.85185185185179</v>
      </c>
      <c r="H149" s="99">
        <f t="shared" si="67"/>
        <v>10837.296296296294</v>
      </c>
      <c r="I149" s="69"/>
      <c r="J149" s="69"/>
      <c r="K149" s="69"/>
    </row>
    <row r="150" spans="1:11" x14ac:dyDescent="0.2">
      <c r="A150" s="58">
        <v>1550</v>
      </c>
      <c r="B150" s="53">
        <v>17</v>
      </c>
      <c r="C150" s="53">
        <f>597.36+8</f>
        <v>605.36</v>
      </c>
      <c r="D150" s="53">
        <v>5</v>
      </c>
      <c r="E150" s="54">
        <f t="shared" si="64"/>
        <v>25.925925925925927</v>
      </c>
      <c r="F150" s="54">
        <f t="shared" si="65"/>
        <v>967.14814814814815</v>
      </c>
      <c r="G150" s="55">
        <f t="shared" si="66"/>
        <v>407.77777777777771</v>
      </c>
      <c r="H150" s="55">
        <f t="shared" si="67"/>
        <v>11804.444444444442</v>
      </c>
      <c r="I150" s="69"/>
      <c r="J150" s="69"/>
      <c r="K150" s="69"/>
    </row>
    <row r="151" spans="1:11" x14ac:dyDescent="0.2">
      <c r="A151" s="96">
        <v>1600</v>
      </c>
      <c r="B151" s="97">
        <v>15</v>
      </c>
      <c r="C151" s="97">
        <f>646.2+8.63</f>
        <v>654.83000000000004</v>
      </c>
      <c r="D151" s="97">
        <v>3</v>
      </c>
      <c r="E151" s="98">
        <f t="shared" si="64"/>
        <v>29.62962962962963</v>
      </c>
      <c r="F151" s="98">
        <f t="shared" si="65"/>
        <v>1166.8425925925926</v>
      </c>
      <c r="G151" s="99">
        <f t="shared" si="66"/>
        <v>437.40740740740733</v>
      </c>
      <c r="H151" s="99">
        <f t="shared" si="67"/>
        <v>12971.287037037035</v>
      </c>
      <c r="I151" s="69"/>
      <c r="J151" s="69"/>
      <c r="K151" s="69"/>
    </row>
    <row r="152" spans="1:11" x14ac:dyDescent="0.2">
      <c r="A152" s="58">
        <v>1650</v>
      </c>
      <c r="B152" s="53">
        <v>15</v>
      </c>
      <c r="C152" s="53">
        <f>514.34+13.29</f>
        <v>527.63</v>
      </c>
      <c r="D152" s="53">
        <v>4</v>
      </c>
      <c r="E152" s="54">
        <f t="shared" si="64"/>
        <v>27.777777777777779</v>
      </c>
      <c r="F152" s="54">
        <f t="shared" si="65"/>
        <v>1094.8703703703704</v>
      </c>
      <c r="G152" s="55">
        <f t="shared" si="66"/>
        <v>465.18518518518511</v>
      </c>
      <c r="H152" s="55">
        <f t="shared" si="67"/>
        <v>14066.157407407405</v>
      </c>
      <c r="I152" s="69"/>
      <c r="J152" s="69"/>
      <c r="K152" s="69"/>
    </row>
    <row r="153" spans="1:11" x14ac:dyDescent="0.2">
      <c r="A153" s="96">
        <v>1700</v>
      </c>
      <c r="B153" s="97">
        <v>49</v>
      </c>
      <c r="C153" s="97">
        <f>24.25+5.7</f>
        <v>29.95</v>
      </c>
      <c r="D153" s="97">
        <v>2</v>
      </c>
      <c r="E153" s="98">
        <f t="shared" si="64"/>
        <v>59.25925925925926</v>
      </c>
      <c r="F153" s="98">
        <f t="shared" si="65"/>
        <v>516.27777777777783</v>
      </c>
      <c r="G153" s="99">
        <f t="shared" si="66"/>
        <v>524.44444444444434</v>
      </c>
      <c r="H153" s="99">
        <f t="shared" si="67"/>
        <v>14582.435185185182</v>
      </c>
      <c r="I153" s="69"/>
      <c r="J153" s="69"/>
      <c r="K153" s="69"/>
    </row>
    <row r="154" spans="1:11" x14ac:dyDescent="0.2">
      <c r="A154" s="58">
        <v>1750</v>
      </c>
      <c r="B154" s="53">
        <v>32</v>
      </c>
      <c r="C154" s="53">
        <v>0.04</v>
      </c>
      <c r="D154" s="53">
        <v>2</v>
      </c>
      <c r="E154" s="54">
        <f t="shared" si="64"/>
        <v>75</v>
      </c>
      <c r="F154" s="54">
        <f t="shared" si="65"/>
        <v>27.768518518518519</v>
      </c>
      <c r="G154" s="55">
        <f t="shared" si="66"/>
        <v>599.44444444444434</v>
      </c>
      <c r="H154" s="55">
        <f t="shared" si="67"/>
        <v>14610.203703703701</v>
      </c>
      <c r="I154" s="69"/>
      <c r="J154" s="69"/>
      <c r="K154" s="69"/>
    </row>
    <row r="155" spans="1:11" x14ac:dyDescent="0.2">
      <c r="A155" s="96">
        <v>1800</v>
      </c>
      <c r="B155" s="97">
        <v>9</v>
      </c>
      <c r="C155" s="97">
        <v>0.05</v>
      </c>
      <c r="D155" s="97">
        <v>2</v>
      </c>
      <c r="E155" s="98">
        <f t="shared" si="64"/>
        <v>37.962962962962962</v>
      </c>
      <c r="F155" s="98">
        <f t="shared" si="65"/>
        <v>8.3333333333333329E-2</v>
      </c>
      <c r="G155" s="99">
        <f t="shared" si="66"/>
        <v>637.40740740740728</v>
      </c>
      <c r="H155" s="99">
        <f t="shared" si="67"/>
        <v>14610.287037037035</v>
      </c>
      <c r="I155" s="69"/>
      <c r="J155" s="69"/>
      <c r="K155" s="69"/>
    </row>
    <row r="156" spans="1:11" x14ac:dyDescent="0.2">
      <c r="A156" s="58">
        <v>1850</v>
      </c>
      <c r="B156" s="53">
        <v>26</v>
      </c>
      <c r="C156" s="53">
        <v>0.21</v>
      </c>
      <c r="D156" s="53">
        <v>4</v>
      </c>
      <c r="E156" s="54">
        <f t="shared" ref="E156:E157" si="68">(((B156+B155)/2)*(A156-A155))/27</f>
        <v>32.407407407407405</v>
      </c>
      <c r="F156" s="54">
        <f t="shared" ref="F156:F157" si="69">(((C156+C155)/2)*(A156-A155))/27</f>
        <v>0.24074074074074073</v>
      </c>
      <c r="G156" s="55">
        <f t="shared" ref="G156:H157" si="70">E156+G155</f>
        <v>669.81481481481467</v>
      </c>
      <c r="H156" s="55">
        <f t="shared" si="70"/>
        <v>14610.527777777776</v>
      </c>
      <c r="I156" s="62"/>
      <c r="J156" s="62"/>
      <c r="K156" s="62"/>
    </row>
    <row r="157" spans="1:11" x14ac:dyDescent="0.2">
      <c r="A157" s="96">
        <v>1900</v>
      </c>
      <c r="B157" s="97">
        <v>44</v>
      </c>
      <c r="C157" s="97">
        <v>0.05</v>
      </c>
      <c r="D157" s="97">
        <v>50</v>
      </c>
      <c r="E157" s="98">
        <f t="shared" si="68"/>
        <v>64.81481481481481</v>
      </c>
      <c r="F157" s="98">
        <f t="shared" si="69"/>
        <v>0.24074074074074073</v>
      </c>
      <c r="G157" s="100">
        <f t="shared" si="70"/>
        <v>734.62962962962945</v>
      </c>
      <c r="H157" s="100">
        <f t="shared" si="70"/>
        <v>14610.768518518516</v>
      </c>
      <c r="I157" s="62"/>
      <c r="J157" s="62"/>
      <c r="K157" s="62"/>
    </row>
    <row r="158" spans="1:11" x14ac:dyDescent="0.2">
      <c r="A158" s="59"/>
      <c r="B158" s="60"/>
      <c r="C158" s="60"/>
      <c r="D158" s="60"/>
      <c r="E158" s="61"/>
      <c r="F158" s="61"/>
      <c r="G158" s="62"/>
      <c r="H158" s="62"/>
      <c r="I158" s="62"/>
      <c r="J158" s="62"/>
      <c r="K158" s="62"/>
    </row>
    <row r="159" spans="1:11" x14ac:dyDescent="0.2">
      <c r="A159" s="59" t="s">
        <v>37</v>
      </c>
      <c r="B159" s="60"/>
      <c r="C159" s="60"/>
      <c r="D159" s="60"/>
      <c r="E159" s="61"/>
      <c r="F159" s="61"/>
      <c r="G159" s="62"/>
      <c r="H159" s="62"/>
      <c r="I159" s="62"/>
      <c r="J159" s="62"/>
      <c r="K159" s="62"/>
    </row>
    <row r="160" spans="1:11" x14ac:dyDescent="0.2">
      <c r="A160" s="58">
        <v>1125</v>
      </c>
      <c r="B160" s="53">
        <v>22</v>
      </c>
      <c r="C160" s="53">
        <v>0.28999999999999998</v>
      </c>
      <c r="D160" s="53">
        <v>21</v>
      </c>
      <c r="E160" s="54">
        <v>0</v>
      </c>
      <c r="F160" s="54">
        <v>0</v>
      </c>
      <c r="G160" s="54">
        <v>0</v>
      </c>
      <c r="H160" s="54">
        <v>0</v>
      </c>
      <c r="I160" s="61"/>
      <c r="J160" s="61"/>
      <c r="K160" s="69"/>
    </row>
    <row r="161" spans="1:11" x14ac:dyDescent="0.2">
      <c r="A161" s="58">
        <v>1150</v>
      </c>
      <c r="B161" s="53">
        <v>30.6</v>
      </c>
      <c r="C161" s="53">
        <v>0</v>
      </c>
      <c r="D161" s="53">
        <v>20</v>
      </c>
      <c r="E161" s="54">
        <f t="shared" ref="E161:E163" si="71">(((B161+B160)/2)*(A161-A160))/27</f>
        <v>24.351851851851851</v>
      </c>
      <c r="F161" s="54">
        <f t="shared" ref="F161:F163" si="72">(((C161+C160)/2)*(A161-A160))/27</f>
        <v>0.13425925925925924</v>
      </c>
      <c r="G161" s="55">
        <f t="shared" ref="G161:G163" si="73">E161+G160</f>
        <v>24.351851851851851</v>
      </c>
      <c r="H161" s="55">
        <f t="shared" ref="H161:H163" si="74">F161+H160</f>
        <v>0.13425925925925924</v>
      </c>
      <c r="I161" s="69"/>
      <c r="J161" s="69"/>
      <c r="K161" s="69"/>
    </row>
    <row r="162" spans="1:11" x14ac:dyDescent="0.2">
      <c r="A162" s="58">
        <v>1200</v>
      </c>
      <c r="B162" s="53">
        <v>19.2</v>
      </c>
      <c r="C162" s="53">
        <v>3</v>
      </c>
      <c r="D162" s="53">
        <v>27</v>
      </c>
      <c r="E162" s="54">
        <f t="shared" si="71"/>
        <v>46.111111111111114</v>
      </c>
      <c r="F162" s="54">
        <f t="shared" si="72"/>
        <v>2.7777777777777777</v>
      </c>
      <c r="G162" s="55">
        <f t="shared" si="73"/>
        <v>70.462962962962962</v>
      </c>
      <c r="H162" s="55">
        <f t="shared" si="74"/>
        <v>2.9120370370370368</v>
      </c>
      <c r="I162" s="69"/>
      <c r="J162" s="69"/>
      <c r="K162" s="69"/>
    </row>
    <row r="163" spans="1:11" x14ac:dyDescent="0.2">
      <c r="A163" s="58">
        <v>1226</v>
      </c>
      <c r="B163" s="53">
        <v>19.2</v>
      </c>
      <c r="C163" s="53">
        <v>2</v>
      </c>
      <c r="D163" s="53">
        <v>27</v>
      </c>
      <c r="E163" s="54">
        <f t="shared" si="71"/>
        <v>18.488888888888887</v>
      </c>
      <c r="F163" s="54">
        <f t="shared" si="72"/>
        <v>2.4074074074074074</v>
      </c>
      <c r="G163" s="57">
        <f t="shared" si="73"/>
        <v>88.951851851851842</v>
      </c>
      <c r="H163" s="57">
        <f t="shared" si="74"/>
        <v>5.3194444444444446</v>
      </c>
      <c r="I163" s="62"/>
      <c r="J163" s="69"/>
      <c r="K163" s="69"/>
    </row>
    <row r="165" spans="1:11" x14ac:dyDescent="0.2">
      <c r="A165" s="59" t="s">
        <v>43</v>
      </c>
      <c r="B165" s="60"/>
      <c r="C165" s="60"/>
      <c r="D165" s="60"/>
      <c r="E165" s="61"/>
      <c r="F165" s="61"/>
      <c r="G165" s="62"/>
      <c r="H165" s="62"/>
      <c r="I165" s="62"/>
      <c r="J165" s="62"/>
      <c r="K165" s="62"/>
    </row>
    <row r="166" spans="1:11" x14ac:dyDescent="0.2">
      <c r="A166" s="58">
        <v>1000</v>
      </c>
      <c r="B166" s="53">
        <v>0</v>
      </c>
      <c r="C166" s="53">
        <v>0.28999999999999998</v>
      </c>
      <c r="D166" s="53">
        <v>0</v>
      </c>
      <c r="E166" s="54">
        <v>0</v>
      </c>
      <c r="F166" s="54">
        <v>0</v>
      </c>
      <c r="G166" s="54">
        <v>0</v>
      </c>
      <c r="H166" s="54">
        <v>0</v>
      </c>
      <c r="I166" s="61"/>
      <c r="J166" s="61"/>
      <c r="K166" s="69"/>
    </row>
    <row r="167" spans="1:11" ht="13.5" customHeight="1" x14ac:dyDescent="0.2">
      <c r="A167" s="58">
        <v>1050</v>
      </c>
      <c r="B167" s="53">
        <v>2</v>
      </c>
      <c r="C167" s="53">
        <v>0</v>
      </c>
      <c r="D167" s="53">
        <v>0</v>
      </c>
      <c r="E167" s="54">
        <f t="shared" ref="E167" si="75">(((B167+B166)/2)*(A167-A166))/27</f>
        <v>1.8518518518518519</v>
      </c>
      <c r="F167" s="54">
        <f t="shared" ref="F167" si="76">(((C167+C166)/2)*(A167-A166))/27</f>
        <v>0.26851851851851849</v>
      </c>
      <c r="G167" s="55">
        <f t="shared" ref="G167" si="77">E167+G166</f>
        <v>1.8518518518518519</v>
      </c>
      <c r="H167" s="55">
        <f t="shared" ref="H167" si="78">F167+H166</f>
        <v>0.26851851851851849</v>
      </c>
      <c r="I167" s="69"/>
      <c r="J167" s="69"/>
      <c r="K167" s="69"/>
    </row>
    <row r="168" spans="1:11" ht="13.5" customHeight="1" x14ac:dyDescent="0.2">
      <c r="A168" s="58">
        <v>1100</v>
      </c>
      <c r="B168" s="53">
        <v>0</v>
      </c>
      <c r="C168" s="53">
        <v>15.9</v>
      </c>
      <c r="D168" s="53">
        <v>0</v>
      </c>
      <c r="E168" s="54">
        <f t="shared" ref="E168:E172" si="79">(((B168+B167)/2)*(A168-A167))/27</f>
        <v>1.8518518518518519</v>
      </c>
      <c r="F168" s="54">
        <f t="shared" ref="F168:F172" si="80">(((C168+C167)/2)*(A168-A167))/27</f>
        <v>14.722222222222221</v>
      </c>
      <c r="G168" s="55">
        <f t="shared" ref="G168:G172" si="81">E168+G167</f>
        <v>3.7037037037037037</v>
      </c>
      <c r="H168" s="55">
        <f t="shared" ref="H168:H172" si="82">F168+H167</f>
        <v>14.99074074074074</v>
      </c>
      <c r="I168" s="69"/>
      <c r="J168" s="69"/>
      <c r="K168" s="69"/>
    </row>
    <row r="169" spans="1:11" ht="13.5" customHeight="1" x14ac:dyDescent="0.2">
      <c r="A169" s="58">
        <v>1150</v>
      </c>
      <c r="B169" s="53">
        <v>0</v>
      </c>
      <c r="C169" s="53">
        <v>28.6</v>
      </c>
      <c r="D169" s="53">
        <v>0</v>
      </c>
      <c r="E169" s="54">
        <f t="shared" si="79"/>
        <v>0</v>
      </c>
      <c r="F169" s="54">
        <f t="shared" si="80"/>
        <v>41.203703703703702</v>
      </c>
      <c r="G169" s="55">
        <f t="shared" si="81"/>
        <v>3.7037037037037037</v>
      </c>
      <c r="H169" s="55">
        <f t="shared" si="82"/>
        <v>56.194444444444443</v>
      </c>
      <c r="I169" s="69"/>
      <c r="J169" s="69"/>
      <c r="K169" s="69"/>
    </row>
    <row r="170" spans="1:11" ht="13.5" customHeight="1" x14ac:dyDescent="0.2">
      <c r="A170" s="58">
        <v>1200</v>
      </c>
      <c r="B170" s="53">
        <v>0</v>
      </c>
      <c r="C170" s="53">
        <v>27.2</v>
      </c>
      <c r="D170" s="53">
        <v>0</v>
      </c>
      <c r="E170" s="54">
        <f t="shared" si="79"/>
        <v>0</v>
      </c>
      <c r="F170" s="54">
        <f t="shared" si="80"/>
        <v>51.666666666666664</v>
      </c>
      <c r="G170" s="55">
        <f t="shared" si="81"/>
        <v>3.7037037037037037</v>
      </c>
      <c r="H170" s="55">
        <f t="shared" si="82"/>
        <v>107.86111111111111</v>
      </c>
      <c r="I170" s="69"/>
      <c r="J170" s="69"/>
      <c r="K170" s="69"/>
    </row>
    <row r="171" spans="1:11" ht="13.5" customHeight="1" x14ac:dyDescent="0.2">
      <c r="A171" s="58">
        <v>1250</v>
      </c>
      <c r="B171" s="53">
        <v>0</v>
      </c>
      <c r="C171" s="53">
        <v>3.3</v>
      </c>
      <c r="D171" s="53">
        <v>0</v>
      </c>
      <c r="E171" s="54">
        <f t="shared" si="79"/>
        <v>0</v>
      </c>
      <c r="F171" s="54">
        <f t="shared" si="80"/>
        <v>28.24074074074074</v>
      </c>
      <c r="G171" s="55">
        <f t="shared" si="81"/>
        <v>3.7037037037037037</v>
      </c>
      <c r="H171" s="55">
        <f t="shared" si="82"/>
        <v>136.10185185185185</v>
      </c>
      <c r="I171" s="69"/>
      <c r="J171" s="69"/>
      <c r="K171" s="69"/>
    </row>
    <row r="172" spans="1:11" ht="13.5" customHeight="1" x14ac:dyDescent="0.2">
      <c r="A172" s="58">
        <v>1268</v>
      </c>
      <c r="B172" s="53">
        <v>3</v>
      </c>
      <c r="C172" s="53">
        <v>0</v>
      </c>
      <c r="D172" s="53">
        <v>0</v>
      </c>
      <c r="E172" s="54">
        <f t="shared" si="79"/>
        <v>1</v>
      </c>
      <c r="F172" s="54">
        <f t="shared" si="80"/>
        <v>1.0999999999999999</v>
      </c>
      <c r="G172" s="57">
        <f t="shared" si="81"/>
        <v>4.7037037037037042</v>
      </c>
      <c r="H172" s="57">
        <f t="shared" si="82"/>
        <v>137.20185185185184</v>
      </c>
      <c r="I172" s="69"/>
      <c r="J172" s="69"/>
      <c r="K172" s="69"/>
    </row>
    <row r="175" spans="1:11" x14ac:dyDescent="0.2">
      <c r="F175" s="70" t="s">
        <v>29</v>
      </c>
      <c r="G175" s="71">
        <f>SUM(G64+G86+G93+G116+G137+G156+G163+G172)</f>
        <v>35919.689648148153</v>
      </c>
      <c r="H175" s="71">
        <f>SUM(H64+H86+H93+H116+H137+H157+H163+H172)</f>
        <v>158456.40999999997</v>
      </c>
      <c r="I175" s="87"/>
      <c r="J175" s="87"/>
    </row>
  </sheetData>
  <mergeCells count="2">
    <mergeCell ref="G9:H9"/>
    <mergeCell ref="J119:K119"/>
  </mergeCells>
  <pageMargins left="0.7" right="0.7" top="0.75" bottom="0.75" header="0.3" footer="0.3"/>
  <pageSetup paperSize="17" scale="74" fitToHeight="0" orientation="portrait" r:id="rId1"/>
  <headerFooter>
    <oddFooter>Page &amp;P of &amp;N</oddFooter>
  </headerFooter>
  <rowBreaks count="1" manualBreakCount="1">
    <brk id="1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Tremont Earthwork Summary</vt:lpstr>
      <vt:lpstr>Tremont Cross Sections</vt:lpstr>
      <vt:lpstr>'Tremont Cross Sections'!Print_Area</vt:lpstr>
      <vt:lpstr>'Tremont Earthwork Summary'!Print_Area</vt:lpstr>
      <vt:lpstr>'Tremont Cross Sections'!Print_Titles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Kurtz</dc:creator>
  <cp:lastModifiedBy>Kevin Monroe</cp:lastModifiedBy>
  <cp:lastPrinted>2014-04-02T12:11:21Z</cp:lastPrinted>
  <dcterms:created xsi:type="dcterms:W3CDTF">2011-03-23T13:25:31Z</dcterms:created>
  <dcterms:modified xsi:type="dcterms:W3CDTF">2016-01-11T22:39:01Z</dcterms:modified>
</cp:coreProperties>
</file>