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50" windowWidth="25890" windowHeight="11400" activeTab="0"/>
  </bookViews>
  <sheets>
    <sheet name="Tremont" sheetId="1" r:id="rId1"/>
  </sheets>
  <definedNames>
    <definedName name="_xlnm.Print_Area" localSheetId="0">'Tremont'!$A$1:$AI$119</definedName>
    <definedName name="_xlnm.Print_Titles" localSheetId="0">'Tremont'!$7:$11</definedName>
  </definedNames>
  <calcPr fullCalcOnLoad="1"/>
</workbook>
</file>

<file path=xl/sharedStrings.xml><?xml version="1.0" encoding="utf-8"?>
<sst xmlns="http://schemas.openxmlformats.org/spreadsheetml/2006/main" count="125" uniqueCount="87">
  <si>
    <t>FROM</t>
  </si>
  <si>
    <t>TO</t>
  </si>
  <si>
    <t>FT.</t>
  </si>
  <si>
    <t>SQ. FT.</t>
  </si>
  <si>
    <t>SQ. YD.</t>
  </si>
  <si>
    <t>CU. YD.</t>
  </si>
  <si>
    <t>CU. YD</t>
  </si>
  <si>
    <t>D</t>
  </si>
  <si>
    <t>PLANIMETER AREA</t>
  </si>
  <si>
    <t>AGGREGATE BASE, 6"</t>
  </si>
  <si>
    <t>STATION</t>
  </si>
  <si>
    <t>LENGTH</t>
  </si>
  <si>
    <t>PAVEMENT QUANTITIES</t>
  </si>
  <si>
    <t>E</t>
  </si>
  <si>
    <t>F</t>
  </si>
  <si>
    <t>A</t>
  </si>
  <si>
    <t>B</t>
  </si>
  <si>
    <t>B-A=C</t>
  </si>
  <si>
    <t>G</t>
  </si>
  <si>
    <t>H</t>
  </si>
  <si>
    <t>AREA (1)</t>
  </si>
  <si>
    <t>AREA (2)</t>
  </si>
  <si>
    <t>J</t>
  </si>
  <si>
    <t>AVERAGE WIDTH AGGR.
BASE (1)</t>
  </si>
  <si>
    <t>AVERAGE WIDTHCONCRETE OR ASPHALT(2)</t>
  </si>
  <si>
    <t>AVERAGE WIDTH GUTTERTO GUTTER (3)</t>
  </si>
  <si>
    <t>CU.YD.</t>
  </si>
  <si>
    <t>SQ.YD.</t>
  </si>
  <si>
    <t>ASPHALT CONCRETE BASE, 8"</t>
  </si>
  <si>
    <t xml:space="preserve">1.75" Asphalt Concrete Intermediate Course, 19mm, Type A (446) </t>
  </si>
  <si>
    <t>1.5" Stone Matrix Asphalt Concrete, 12.5mm, PG 70-22M (446)</t>
  </si>
  <si>
    <t>1.25" ASPHALT CONCRETE SURFACE COURSE, TYPE 1H</t>
  </si>
  <si>
    <t>9" PORTLAND CEMENT CONCRETE BASE</t>
  </si>
  <si>
    <t>Abbey Avenue</t>
  </si>
  <si>
    <t>TACK COAT FOR INTERMEDIATE COURSE</t>
  </si>
  <si>
    <t>TACK COAT</t>
  </si>
  <si>
    <t>3" PAVEMENT PLANING</t>
  </si>
  <si>
    <t>GALLON</t>
  </si>
  <si>
    <t>Subtotal</t>
  </si>
  <si>
    <t>PROJECT - Cleveland Innerbelt - CCG1</t>
  </si>
  <si>
    <t>Date:</t>
  </si>
  <si>
    <t>ODOT PROJECT # - CUY-90-14.90</t>
  </si>
  <si>
    <t>PID 77332 / 85531</t>
  </si>
  <si>
    <t>HNTB PROJECT # - 49633 PA 002</t>
  </si>
  <si>
    <t>JGO</t>
  </si>
  <si>
    <t>TOTAL</t>
  </si>
  <si>
    <t>49633-B-RD-DS-CMS_quant.dgn</t>
  </si>
  <si>
    <t>Verified By:</t>
  </si>
  <si>
    <t>SUBGRADE COMPACTION</t>
  </si>
  <si>
    <t>J12/9</t>
  </si>
  <si>
    <t>K12/9</t>
  </si>
  <si>
    <t>(K12*(8/12))/27</t>
  </si>
  <si>
    <t>(J12*(6/12))/27</t>
  </si>
  <si>
    <t>0.075*(K12/9)</t>
  </si>
  <si>
    <t>(K12*(1.75/12))/27</t>
  </si>
  <si>
    <t>(K12*(1.5/12))/27</t>
  </si>
  <si>
    <t>(K12*(1.25/12))/27</t>
  </si>
  <si>
    <t>L12/9</t>
  </si>
  <si>
    <t>West 14th Street Extension</t>
  </si>
  <si>
    <t>Allman Court</t>
  </si>
  <si>
    <t>10" NON-REINFORCED PORTLAND CEMENT CONCRETE PAVEMENT</t>
  </si>
  <si>
    <t>Kenilworth Avenue</t>
  </si>
  <si>
    <t>Sarkweather Avenue</t>
  </si>
  <si>
    <t>Fairfield Avenue</t>
  </si>
  <si>
    <t>West 13th Street</t>
  </si>
  <si>
    <t>University Road</t>
  </si>
  <si>
    <t>Ramp A6</t>
  </si>
  <si>
    <t>12" NON-REINFORCED PORTLAND CEMENT CONCRETE PAVEMENT</t>
  </si>
  <si>
    <t>ML-I-90 WB</t>
  </si>
  <si>
    <t>Ramp A7</t>
  </si>
  <si>
    <t>1.25" ASPHALT CONCRETE SURFACE COURSE, TYPE 1, PG 70-22</t>
  </si>
  <si>
    <t>PB</t>
  </si>
  <si>
    <t>Gore Area Between Ramp A7 and ML-I-90</t>
  </si>
  <si>
    <t>0.045*(K12/9)</t>
  </si>
  <si>
    <t>1.75" Asphalt Concrete Intermediate Course, Type 1, PG 64-28</t>
  </si>
  <si>
    <t>Tremont Parking Area</t>
  </si>
  <si>
    <t>ASPHALT CONCRETE BASE, 6"</t>
  </si>
  <si>
    <t>1.5" ASPHALT CONCRETE SURFACE COUSE, TYPE 1, PG 64-22</t>
  </si>
  <si>
    <t>(l12*(1.5/12))/27</t>
  </si>
  <si>
    <t>3" ASPHALT CONCRETE INTERMEDIATE COURSE, TYPE 1, UNDER GUARDRAIL, PG 64-22</t>
  </si>
  <si>
    <t>AGGREGATE BASE, 8"</t>
  </si>
  <si>
    <t>8" REINFORCED PORTLAND CEMENT CONCRETE PAVEMENT</t>
  </si>
  <si>
    <t>PARKING AREA/UNIV RD</t>
  </si>
  <si>
    <t>1.25" ASPHALT CONCRETE SURFACE COURSE, TYPE 1, PG 64-22</t>
  </si>
  <si>
    <r>
      <t xml:space="preserve">1.75" Asphalt Concrete Intermediate Course, Type 2, </t>
    </r>
    <r>
      <rPr>
        <b/>
        <sz val="10"/>
        <rFont val="Arial"/>
        <family val="2"/>
      </rPr>
      <t>PG 64-28</t>
    </r>
  </si>
  <si>
    <r>
      <t>1.75" Asphalt Concrete Intermediate Course, Type 2,</t>
    </r>
    <r>
      <rPr>
        <b/>
        <sz val="10"/>
        <rFont val="Arial"/>
        <family val="2"/>
      </rPr>
      <t xml:space="preserve"> PG 64-22</t>
    </r>
  </si>
  <si>
    <t>9" REINFORCED PORTLAND CEMENT CONCRETE PAVEMENT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</si>
</sst>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\+0.00"/>
    <numFmt numFmtId="167" formatCode="0\+00.00"/>
    <numFmt numFmtId="168" formatCode="0.000000000000"/>
    <numFmt numFmtId="169" formatCode="0.0000"/>
    <numFmt numFmtId="170" formatCode="0\+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00\+00"/>
    <numFmt numFmtId="179" formatCode="0.0\+00"/>
    <numFmt numFmtId="180" formatCode="0.\+00"/>
    <numFmt numFmtId="181" formatCode="[$-409]dddd\,\ mmmm\ dd\,\ yyyy"/>
    <numFmt numFmtId="182" formatCode="[$-409]h:mm:ss\ AM/PM"/>
    <numFmt numFmtId="183" formatCode="000\+00.00"/>
    <numFmt numFmtId="184" formatCode="00\+0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NumberFormat="1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vertical="center" textRotation="90" wrapText="1"/>
    </xf>
    <xf numFmtId="167" fontId="1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ont="1" applyFill="1" applyBorder="1" applyAlignment="1">
      <alignment vertical="center" textRotation="90" wrapText="1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53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Continuous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7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 vertical="center"/>
    </xf>
    <xf numFmtId="167" fontId="1" fillId="35" borderId="12" xfId="0" applyNumberFormat="1" applyFont="1" applyFill="1" applyBorder="1" applyAlignment="1">
      <alignment horizontal="center" vertical="center"/>
    </xf>
    <xf numFmtId="167" fontId="1" fillId="35" borderId="11" xfId="0" applyNumberFormat="1" applyFont="1" applyFill="1" applyBorder="1" applyAlignment="1">
      <alignment horizontal="center" vertical="center"/>
    </xf>
    <xf numFmtId="167" fontId="1" fillId="35" borderId="12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40" fillId="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2" fontId="40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7" fontId="40" fillId="0" borderId="10" xfId="0" applyNumberFormat="1" applyFont="1" applyFill="1" applyBorder="1" applyAlignment="1">
      <alignment horizontal="center" vertical="center"/>
    </xf>
    <xf numFmtId="167" fontId="40" fillId="0" borderId="11" xfId="0" applyNumberFormat="1" applyFont="1" applyFill="1" applyBorder="1" applyAlignment="1">
      <alignment horizontal="center" vertical="center"/>
    </xf>
    <xf numFmtId="167" fontId="40" fillId="0" borderId="12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2" fontId="40" fillId="5" borderId="10" xfId="0" applyNumberFormat="1" applyFont="1" applyFill="1" applyBorder="1" applyAlignment="1">
      <alignment horizontal="center" vertical="center"/>
    </xf>
    <xf numFmtId="0" fontId="40" fillId="5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67" fontId="1" fillId="35" borderId="11" xfId="0" applyNumberFormat="1" applyFont="1" applyFill="1" applyBorder="1" applyAlignment="1">
      <alignment horizontal="center" vertical="center"/>
    </xf>
    <xf numFmtId="167" fontId="1" fillId="35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w:\\HNTBW352:Design_Build\Documents\Walsh\49633%20Central%20Viaduct%20Innerbelt%20WB%20Bridge\Design%20Post%20Award\Cadd\Base\Working\49633-B-RD-DS-CMS_quant.dg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T124"/>
  <sheetViews>
    <sheetView tabSelected="1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J126" sqref="J126"/>
    </sheetView>
  </sheetViews>
  <sheetFormatPr defaultColWidth="9.140625" defaultRowHeight="12.75"/>
  <cols>
    <col min="1" max="1" width="16.8515625" style="4" customWidth="1"/>
    <col min="2" max="2" width="12.28125" style="4" customWidth="1"/>
    <col min="3" max="3" width="10.8515625" style="4" customWidth="1"/>
    <col min="4" max="4" width="6.8515625" style="4" bestFit="1" customWidth="1"/>
    <col min="5" max="5" width="7.7109375" style="4" bestFit="1" customWidth="1"/>
    <col min="6" max="7" width="6.8515625" style="27" hidden="1" customWidth="1"/>
    <col min="8" max="8" width="0.5625" style="27" hidden="1" customWidth="1"/>
    <col min="9" max="9" width="6.421875" style="4" customWidth="1"/>
    <col min="10" max="11" width="10.00390625" style="4" bestFit="1" customWidth="1"/>
    <col min="12" max="13" width="11.421875" style="4" customWidth="1"/>
    <col min="14" max="14" width="8.7109375" style="4" customWidth="1"/>
    <col min="15" max="15" width="8.57421875" style="4" bestFit="1" customWidth="1"/>
    <col min="16" max="16" width="12.00390625" style="4" customWidth="1"/>
    <col min="17" max="18" width="8.140625" style="4" customWidth="1"/>
    <col min="19" max="19" width="10.421875" style="4" customWidth="1"/>
    <col min="20" max="20" width="8.7109375" style="4" customWidth="1"/>
    <col min="21" max="21" width="9.57421875" style="4" customWidth="1"/>
    <col min="22" max="22" width="8.140625" style="4" customWidth="1"/>
    <col min="23" max="23" width="8.7109375" style="4" bestFit="1" customWidth="1"/>
    <col min="24" max="30" width="8.57421875" style="4" customWidth="1"/>
    <col min="31" max="31" width="10.140625" style="4" customWidth="1"/>
    <col min="32" max="34" width="8.57421875" style="4" customWidth="1"/>
    <col min="35" max="35" width="14.8515625" style="4" customWidth="1"/>
    <col min="36" max="36" width="3.7109375" style="1" customWidth="1"/>
    <col min="37" max="37" width="3.57421875" style="1" customWidth="1"/>
    <col min="38" max="46" width="11.7109375" style="1" customWidth="1"/>
    <col min="47" max="65" width="11.7109375" style="0" customWidth="1"/>
  </cols>
  <sheetData>
    <row r="1" spans="1:19" ht="12.75">
      <c r="A1" s="18" t="s">
        <v>39</v>
      </c>
      <c r="I1" s="29"/>
      <c r="J1" s="37"/>
      <c r="L1" s="30"/>
      <c r="M1" s="30"/>
      <c r="O1" s="33"/>
      <c r="P1" s="33"/>
      <c r="Q1" s="1"/>
      <c r="R1" s="1"/>
      <c r="S1" s="31"/>
    </row>
    <row r="2" spans="1:16" ht="12.75">
      <c r="A2" s="18" t="s">
        <v>41</v>
      </c>
      <c r="I2" s="29"/>
      <c r="J2" s="53"/>
      <c r="K2" s="1"/>
      <c r="L2" s="31"/>
      <c r="M2" s="31"/>
      <c r="O2" s="63"/>
      <c r="P2" s="64"/>
    </row>
    <row r="3" spans="1:13" ht="12.75">
      <c r="A3" s="18" t="s">
        <v>42</v>
      </c>
      <c r="I3" s="33"/>
      <c r="J3" s="34"/>
      <c r="K3" s="1"/>
      <c r="L3" s="31"/>
      <c r="M3" s="31"/>
    </row>
    <row r="4" spans="1:13" ht="12.75">
      <c r="A4" s="18" t="s">
        <v>43</v>
      </c>
      <c r="I4" s="33"/>
      <c r="J4" s="34"/>
      <c r="K4" s="1"/>
      <c r="L4" s="31"/>
      <c r="M4" s="31"/>
    </row>
    <row r="5" spans="1:36" ht="13.5" thickBot="1">
      <c r="A5" s="32" t="s">
        <v>46</v>
      </c>
      <c r="F5" s="33" t="s">
        <v>47</v>
      </c>
      <c r="G5" s="34" t="s">
        <v>44</v>
      </c>
      <c r="H5" s="1" t="s">
        <v>40</v>
      </c>
      <c r="I5" s="33"/>
      <c r="J5" s="34"/>
      <c r="K5" s="1"/>
      <c r="L5" s="3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3"/>
    </row>
    <row r="6" spans="1:37" ht="13.5" thickBot="1">
      <c r="A6" s="72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  <c r="AJ6" s="35"/>
      <c r="AK6" s="35"/>
    </row>
    <row r="7" spans="1:37" ht="13.5" customHeight="1" thickBot="1">
      <c r="A7" s="79" t="s">
        <v>10</v>
      </c>
      <c r="B7" s="79"/>
      <c r="C7" s="75" t="s">
        <v>11</v>
      </c>
      <c r="D7" s="75" t="s">
        <v>23</v>
      </c>
      <c r="E7" s="75" t="s">
        <v>24</v>
      </c>
      <c r="F7" s="22"/>
      <c r="G7" s="22"/>
      <c r="H7" s="22"/>
      <c r="I7" s="75" t="s">
        <v>25</v>
      </c>
      <c r="J7" s="75" t="s">
        <v>20</v>
      </c>
      <c r="K7" s="75" t="s">
        <v>21</v>
      </c>
      <c r="L7" s="75" t="s">
        <v>8</v>
      </c>
      <c r="M7" s="8">
        <v>204</v>
      </c>
      <c r="N7" s="8">
        <v>254</v>
      </c>
      <c r="O7" s="8">
        <v>302</v>
      </c>
      <c r="P7" s="8">
        <v>302</v>
      </c>
      <c r="Q7" s="8">
        <v>304</v>
      </c>
      <c r="R7" s="8">
        <v>304</v>
      </c>
      <c r="S7" s="8">
        <v>305</v>
      </c>
      <c r="T7" s="8">
        <v>407</v>
      </c>
      <c r="U7" s="8">
        <v>407</v>
      </c>
      <c r="V7" s="8">
        <v>442</v>
      </c>
      <c r="W7" s="8">
        <v>443</v>
      </c>
      <c r="X7" s="8">
        <v>446</v>
      </c>
      <c r="Y7" s="8">
        <v>446</v>
      </c>
      <c r="Z7" s="8">
        <v>448</v>
      </c>
      <c r="AA7" s="8">
        <v>446</v>
      </c>
      <c r="AB7" s="8">
        <v>446</v>
      </c>
      <c r="AC7" s="8">
        <v>446</v>
      </c>
      <c r="AD7" s="8">
        <v>446</v>
      </c>
      <c r="AE7" s="8">
        <v>446</v>
      </c>
      <c r="AF7" s="8">
        <v>452</v>
      </c>
      <c r="AG7" s="8">
        <v>452</v>
      </c>
      <c r="AH7" s="8">
        <v>452</v>
      </c>
      <c r="AI7" s="8">
        <v>452</v>
      </c>
      <c r="AK7" s="3"/>
    </row>
    <row r="8" spans="1:37" ht="12.75" customHeight="1" hidden="1">
      <c r="A8" s="79"/>
      <c r="B8" s="79"/>
      <c r="C8" s="75"/>
      <c r="D8" s="75"/>
      <c r="E8" s="75"/>
      <c r="F8" s="22"/>
      <c r="G8" s="22"/>
      <c r="H8" s="22"/>
      <c r="I8" s="75"/>
      <c r="J8" s="75"/>
      <c r="K8" s="75"/>
      <c r="L8" s="75"/>
      <c r="M8" s="10"/>
      <c r="N8" s="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K8" s="3"/>
    </row>
    <row r="9" spans="1:37" ht="12.75" customHeight="1" hidden="1">
      <c r="A9" s="79"/>
      <c r="B9" s="79"/>
      <c r="C9" s="75"/>
      <c r="D9" s="75"/>
      <c r="E9" s="75"/>
      <c r="F9" s="22"/>
      <c r="G9" s="22"/>
      <c r="H9" s="22"/>
      <c r="I9" s="75"/>
      <c r="J9" s="75"/>
      <c r="K9" s="75"/>
      <c r="L9" s="75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K9" s="3"/>
    </row>
    <row r="10" spans="1:37" ht="222" customHeight="1" thickBot="1">
      <c r="A10" s="79"/>
      <c r="B10" s="79"/>
      <c r="C10" s="75"/>
      <c r="D10" s="75"/>
      <c r="E10" s="75"/>
      <c r="F10" s="22"/>
      <c r="G10" s="22"/>
      <c r="H10" s="22"/>
      <c r="I10" s="75"/>
      <c r="J10" s="75"/>
      <c r="K10" s="75"/>
      <c r="L10" s="75"/>
      <c r="M10" s="36" t="s">
        <v>48</v>
      </c>
      <c r="N10" s="11" t="s">
        <v>36</v>
      </c>
      <c r="O10" s="11" t="s">
        <v>28</v>
      </c>
      <c r="P10" s="36" t="s">
        <v>76</v>
      </c>
      <c r="Q10" s="12" t="s">
        <v>9</v>
      </c>
      <c r="R10" s="56" t="s">
        <v>80</v>
      </c>
      <c r="S10" s="12" t="s">
        <v>32</v>
      </c>
      <c r="T10" s="11" t="s">
        <v>35</v>
      </c>
      <c r="U10" s="11" t="s">
        <v>34</v>
      </c>
      <c r="V10" s="13" t="s">
        <v>29</v>
      </c>
      <c r="W10" s="14" t="s">
        <v>30</v>
      </c>
      <c r="X10" s="14" t="s">
        <v>31</v>
      </c>
      <c r="Y10" s="36" t="s">
        <v>70</v>
      </c>
      <c r="Z10" s="55" t="s">
        <v>83</v>
      </c>
      <c r="AA10" s="36" t="s">
        <v>77</v>
      </c>
      <c r="AB10" s="36" t="s">
        <v>74</v>
      </c>
      <c r="AC10" s="55" t="s">
        <v>84</v>
      </c>
      <c r="AD10" s="55" t="s">
        <v>85</v>
      </c>
      <c r="AE10" s="55" t="s">
        <v>79</v>
      </c>
      <c r="AF10" s="36" t="s">
        <v>67</v>
      </c>
      <c r="AG10" s="55" t="s">
        <v>81</v>
      </c>
      <c r="AH10" s="55" t="s">
        <v>86</v>
      </c>
      <c r="AI10" s="36" t="s">
        <v>60</v>
      </c>
      <c r="AK10" s="28"/>
    </row>
    <row r="11" spans="1:37" ht="13.5" thickBot="1">
      <c r="A11" s="5" t="s">
        <v>0</v>
      </c>
      <c r="B11" s="5" t="s">
        <v>1</v>
      </c>
      <c r="C11" s="5" t="s">
        <v>2</v>
      </c>
      <c r="D11" s="5" t="s">
        <v>2</v>
      </c>
      <c r="E11" s="5" t="s">
        <v>2</v>
      </c>
      <c r="F11" s="23"/>
      <c r="G11" s="23"/>
      <c r="H11" s="23"/>
      <c r="I11" s="5" t="s">
        <v>2</v>
      </c>
      <c r="J11" s="5" t="s">
        <v>3</v>
      </c>
      <c r="K11" s="5" t="s">
        <v>3</v>
      </c>
      <c r="L11" s="5" t="s">
        <v>3</v>
      </c>
      <c r="M11" s="9" t="s">
        <v>4</v>
      </c>
      <c r="N11" s="9" t="s">
        <v>4</v>
      </c>
      <c r="O11" s="5" t="s">
        <v>26</v>
      </c>
      <c r="P11" s="5" t="s">
        <v>26</v>
      </c>
      <c r="Q11" s="5" t="s">
        <v>26</v>
      </c>
      <c r="R11" s="5" t="s">
        <v>26</v>
      </c>
      <c r="S11" s="9" t="s">
        <v>27</v>
      </c>
      <c r="T11" s="9" t="s">
        <v>37</v>
      </c>
      <c r="U11" s="9" t="s">
        <v>37</v>
      </c>
      <c r="V11" s="5" t="s">
        <v>5</v>
      </c>
      <c r="W11" s="5" t="s">
        <v>6</v>
      </c>
      <c r="X11" s="5" t="s">
        <v>5</v>
      </c>
      <c r="Y11" s="5" t="s">
        <v>5</v>
      </c>
      <c r="Z11" s="5" t="s">
        <v>5</v>
      </c>
      <c r="AA11" s="5" t="s">
        <v>5</v>
      </c>
      <c r="AB11" s="49" t="s">
        <v>5</v>
      </c>
      <c r="AC11" s="5" t="s">
        <v>5</v>
      </c>
      <c r="AD11" s="5" t="s">
        <v>5</v>
      </c>
      <c r="AE11" s="5" t="s">
        <v>5</v>
      </c>
      <c r="AF11" s="5" t="s">
        <v>4</v>
      </c>
      <c r="AG11" s="5" t="s">
        <v>4</v>
      </c>
      <c r="AH11" s="5" t="s">
        <v>4</v>
      </c>
      <c r="AI11" s="5" t="s">
        <v>4</v>
      </c>
      <c r="AK11" s="3"/>
    </row>
    <row r="12" spans="1:46" s="2" customFormat="1" ht="32.25" customHeight="1" thickBot="1">
      <c r="A12" s="6" t="s">
        <v>15</v>
      </c>
      <c r="B12" s="6" t="s">
        <v>16</v>
      </c>
      <c r="C12" s="7" t="s">
        <v>17</v>
      </c>
      <c r="D12" s="7" t="s">
        <v>7</v>
      </c>
      <c r="E12" s="7" t="s">
        <v>13</v>
      </c>
      <c r="F12" s="24"/>
      <c r="G12" s="24"/>
      <c r="H12" s="24"/>
      <c r="I12" s="7" t="s">
        <v>14</v>
      </c>
      <c r="J12" s="7" t="s">
        <v>18</v>
      </c>
      <c r="K12" s="7" t="s">
        <v>19</v>
      </c>
      <c r="L12" s="7" t="s">
        <v>22</v>
      </c>
      <c r="M12" s="16" t="s">
        <v>49</v>
      </c>
      <c r="N12" s="16" t="s">
        <v>50</v>
      </c>
      <c r="O12" s="17" t="s">
        <v>51</v>
      </c>
      <c r="P12" s="17"/>
      <c r="Q12" s="17" t="s">
        <v>52</v>
      </c>
      <c r="R12" s="17"/>
      <c r="S12" s="17" t="s">
        <v>50</v>
      </c>
      <c r="T12" s="17" t="s">
        <v>53</v>
      </c>
      <c r="U12" s="17" t="s">
        <v>73</v>
      </c>
      <c r="V12" s="17" t="s">
        <v>54</v>
      </c>
      <c r="W12" s="17" t="s">
        <v>55</v>
      </c>
      <c r="X12" s="17" t="s">
        <v>56</v>
      </c>
      <c r="Y12" s="17" t="s">
        <v>56</v>
      </c>
      <c r="Z12" s="17"/>
      <c r="AA12" s="17" t="s">
        <v>78</v>
      </c>
      <c r="AB12" s="17" t="s">
        <v>54</v>
      </c>
      <c r="AC12" s="17"/>
      <c r="AD12" s="17"/>
      <c r="AE12" s="17"/>
      <c r="AF12" s="17" t="s">
        <v>57</v>
      </c>
      <c r="AG12" s="17"/>
      <c r="AH12" s="17"/>
      <c r="AI12" s="17" t="s">
        <v>57</v>
      </c>
      <c r="AK12" s="3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2" customFormat="1" ht="12.75" customHeight="1" thickBot="1">
      <c r="A13" s="15"/>
      <c r="B13" s="38"/>
      <c r="C13" s="16"/>
      <c r="D13" s="16"/>
      <c r="E13" s="16"/>
      <c r="F13" s="26"/>
      <c r="G13" s="26"/>
      <c r="H13" s="2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K13" s="3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2" customFormat="1" ht="12.75" customHeight="1" thickBot="1">
      <c r="A14" s="15" t="s">
        <v>33</v>
      </c>
      <c r="B14" s="38"/>
      <c r="C14" s="16"/>
      <c r="D14" s="16"/>
      <c r="E14" s="16"/>
      <c r="F14" s="26"/>
      <c r="G14" s="26"/>
      <c r="H14" s="26"/>
      <c r="I14" s="16"/>
      <c r="J14" s="16"/>
      <c r="K14" s="16"/>
      <c r="L14" s="16"/>
      <c r="M14" s="16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K14" s="3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2" customFormat="1" ht="12.75" customHeight="1" thickBot="1">
      <c r="A15" s="38">
        <v>9672.01</v>
      </c>
      <c r="B15" s="38">
        <v>9697.67</v>
      </c>
      <c r="C15" s="51">
        <f aca="true" t="shared" si="0" ref="C15:C21">B15-A15</f>
        <v>25.659999999999854</v>
      </c>
      <c r="D15" s="16"/>
      <c r="E15" s="16"/>
      <c r="F15" s="16"/>
      <c r="G15" s="16"/>
      <c r="H15" s="16"/>
      <c r="I15" s="16"/>
      <c r="J15" s="16"/>
      <c r="K15" s="16"/>
      <c r="L15" s="16">
        <v>1229.24</v>
      </c>
      <c r="M15" s="16"/>
      <c r="N15" s="16">
        <f>L15/9</f>
        <v>136.5822222222222</v>
      </c>
      <c r="O15" s="17"/>
      <c r="P15" s="17"/>
      <c r="Q15" s="17"/>
      <c r="R15" s="17"/>
      <c r="S15" s="17"/>
      <c r="T15" s="17">
        <f>0.075*(L15/9)</f>
        <v>10.243666666666666</v>
      </c>
      <c r="U15" s="17">
        <f>0.045*(L15/9)</f>
        <v>6.146199999999999</v>
      </c>
      <c r="V15" s="17"/>
      <c r="W15" s="17"/>
      <c r="X15" s="17">
        <f>(L15*(1.25/12))/27</f>
        <v>4.7424382716049385</v>
      </c>
      <c r="Y15" s="17"/>
      <c r="Z15" s="17"/>
      <c r="AA15" s="17"/>
      <c r="AB15" s="17"/>
      <c r="AC15" s="54">
        <f>(L15*(1.75/12))/27</f>
        <v>6.639413580246914</v>
      </c>
      <c r="AD15" s="54"/>
      <c r="AE15" s="17"/>
      <c r="AF15" s="17"/>
      <c r="AG15" s="17"/>
      <c r="AH15" s="17"/>
      <c r="AI15" s="17"/>
      <c r="AJ15" s="2">
        <v>5</v>
      </c>
      <c r="AK15" s="3"/>
      <c r="AL15" s="4"/>
      <c r="AM15" s="4"/>
      <c r="AN15" s="4"/>
      <c r="AO15" s="4"/>
      <c r="AP15" s="4"/>
      <c r="AQ15" s="4"/>
      <c r="AR15" s="4"/>
      <c r="AS15" s="4"/>
      <c r="AT15" s="4"/>
    </row>
    <row r="16" spans="1:46" s="2" customFormat="1" ht="12.75" customHeight="1" thickBot="1">
      <c r="A16" s="38">
        <v>9697.67</v>
      </c>
      <c r="B16" s="38">
        <v>9785</v>
      </c>
      <c r="C16" s="51">
        <f t="shared" si="0"/>
        <v>87.32999999999993</v>
      </c>
      <c r="D16" s="16">
        <f>E16+2</f>
        <v>44.05</v>
      </c>
      <c r="E16" s="16">
        <v>42.05</v>
      </c>
      <c r="F16" s="16"/>
      <c r="G16" s="16"/>
      <c r="H16" s="16"/>
      <c r="I16" s="16"/>
      <c r="J16" s="16">
        <f>C16*D16</f>
        <v>3846.8864999999964</v>
      </c>
      <c r="K16" s="16">
        <f>C16*E16</f>
        <v>3672.2264999999966</v>
      </c>
      <c r="L16" s="16"/>
      <c r="M16" s="16"/>
      <c r="N16" s="16">
        <f>K16/9</f>
        <v>408.0251666666663</v>
      </c>
      <c r="O16" s="17"/>
      <c r="P16" s="17"/>
      <c r="Q16" s="17"/>
      <c r="R16" s="17"/>
      <c r="S16" s="17"/>
      <c r="T16" s="17">
        <f>0.075*(K16/9)</f>
        <v>30.601887499999968</v>
      </c>
      <c r="U16" s="17">
        <f>0.045*(K16/9)</f>
        <v>18.361132499999982</v>
      </c>
      <c r="V16" s="17"/>
      <c r="W16" s="17"/>
      <c r="X16" s="17">
        <f>(K16*(1.25/12))/27</f>
        <v>14.167540509259245</v>
      </c>
      <c r="Y16" s="17"/>
      <c r="Z16" s="17"/>
      <c r="AA16" s="17"/>
      <c r="AB16" s="17"/>
      <c r="AC16" s="54">
        <f>(K16*(1.75/12))/27</f>
        <v>19.834556712962947</v>
      </c>
      <c r="AD16" s="54"/>
      <c r="AE16" s="17"/>
      <c r="AF16" s="17"/>
      <c r="AG16" s="17"/>
      <c r="AH16" s="17"/>
      <c r="AI16" s="17"/>
      <c r="AJ16" s="2">
        <v>5</v>
      </c>
      <c r="AK16" s="3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2" customFormat="1" ht="12.75" customHeight="1" thickBot="1">
      <c r="A17" s="38">
        <v>9940</v>
      </c>
      <c r="B17" s="38">
        <v>10025.81</v>
      </c>
      <c r="C17" s="51">
        <f t="shared" si="0"/>
        <v>85.80999999999949</v>
      </c>
      <c r="D17" s="16">
        <f>E17+2</f>
        <v>43.44</v>
      </c>
      <c r="E17" s="16">
        <v>41.44</v>
      </c>
      <c r="F17" s="16"/>
      <c r="G17" s="16"/>
      <c r="H17" s="16"/>
      <c r="I17" s="16"/>
      <c r="J17" s="16">
        <f>C17*D17</f>
        <v>3727.586399999978</v>
      </c>
      <c r="K17" s="16">
        <f>C17*E17</f>
        <v>3555.966399999979</v>
      </c>
      <c r="L17" s="16"/>
      <c r="M17" s="16"/>
      <c r="N17" s="16">
        <f>K17/9</f>
        <v>395.1073777777754</v>
      </c>
      <c r="O17" s="17"/>
      <c r="P17" s="17"/>
      <c r="Q17" s="17"/>
      <c r="R17" s="17"/>
      <c r="S17" s="17"/>
      <c r="T17" s="17">
        <f>0.075*(K17/9)</f>
        <v>29.633053333333155</v>
      </c>
      <c r="U17" s="17">
        <f>0.045*(K17/9)</f>
        <v>17.779831999999892</v>
      </c>
      <c r="V17" s="17"/>
      <c r="W17" s="17"/>
      <c r="X17" s="17">
        <f>(K17*(1.25/12))/27</f>
        <v>13.719006172839427</v>
      </c>
      <c r="Y17" s="17"/>
      <c r="Z17" s="17"/>
      <c r="AA17" s="17"/>
      <c r="AB17" s="17"/>
      <c r="AC17" s="54">
        <f>(K17*(1.75/12))/27</f>
        <v>19.206608641975194</v>
      </c>
      <c r="AD17" s="54"/>
      <c r="AE17" s="17"/>
      <c r="AF17" s="17"/>
      <c r="AG17" s="17"/>
      <c r="AH17" s="17"/>
      <c r="AI17" s="17"/>
      <c r="AJ17" s="2">
        <v>5</v>
      </c>
      <c r="AK17" s="3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2" customFormat="1" ht="12.75" customHeight="1" thickBot="1">
      <c r="A18" s="38">
        <v>10025.81</v>
      </c>
      <c r="B18" s="38">
        <v>10091.04</v>
      </c>
      <c r="C18" s="51">
        <f t="shared" si="0"/>
        <v>65.23000000000138</v>
      </c>
      <c r="D18" s="16"/>
      <c r="E18" s="16"/>
      <c r="F18" s="16"/>
      <c r="G18" s="16"/>
      <c r="H18" s="16"/>
      <c r="I18" s="16"/>
      <c r="J18" s="16"/>
      <c r="K18" s="16"/>
      <c r="L18" s="16">
        <v>3739.52</v>
      </c>
      <c r="M18" s="16"/>
      <c r="N18" s="16">
        <f>L18/9</f>
        <v>415.5022222222222</v>
      </c>
      <c r="O18" s="17"/>
      <c r="P18" s="17"/>
      <c r="Q18" s="17"/>
      <c r="R18" s="17"/>
      <c r="S18" s="17"/>
      <c r="T18" s="17">
        <f>0.075*(L18/9)</f>
        <v>31.162666666666663</v>
      </c>
      <c r="U18" s="17">
        <f>0.045*(L18/9)</f>
        <v>18.697599999999998</v>
      </c>
      <c r="V18" s="17"/>
      <c r="W18" s="17"/>
      <c r="X18" s="17">
        <f>(L18*(1.25/12))/27</f>
        <v>14.427160493827161</v>
      </c>
      <c r="Y18" s="17"/>
      <c r="Z18" s="17"/>
      <c r="AA18" s="17"/>
      <c r="AB18" s="17"/>
      <c r="AC18" s="54">
        <f>(L18*(1.75/12))/27</f>
        <v>20.198024691358025</v>
      </c>
      <c r="AD18" s="54"/>
      <c r="AE18" s="17"/>
      <c r="AF18" s="17"/>
      <c r="AG18" s="17"/>
      <c r="AH18" s="17"/>
      <c r="AI18" s="17"/>
      <c r="AJ18" s="2">
        <v>5</v>
      </c>
      <c r="AK18" s="3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2" customFormat="1" ht="12.75" customHeight="1" thickBot="1">
      <c r="A19" s="38">
        <v>10091.04</v>
      </c>
      <c r="B19" s="38">
        <v>10435.79</v>
      </c>
      <c r="C19" s="51">
        <f t="shared" si="0"/>
        <v>344.75</v>
      </c>
      <c r="D19" s="16">
        <f>E19+2</f>
        <v>43.77</v>
      </c>
      <c r="E19" s="16">
        <v>41.77</v>
      </c>
      <c r="F19" s="16"/>
      <c r="G19" s="16"/>
      <c r="H19" s="16"/>
      <c r="I19" s="16"/>
      <c r="J19" s="16">
        <f>C19*D19</f>
        <v>15089.7075</v>
      </c>
      <c r="K19" s="16">
        <f>C19*E19</f>
        <v>14400.2075</v>
      </c>
      <c r="L19" s="16"/>
      <c r="M19" s="16"/>
      <c r="N19" s="16">
        <f>K19/9</f>
        <v>1600.0230555555556</v>
      </c>
      <c r="O19" s="17"/>
      <c r="P19" s="17"/>
      <c r="Q19" s="17"/>
      <c r="R19" s="17"/>
      <c r="S19" s="17"/>
      <c r="T19" s="17">
        <f>0.075*(K19/9)</f>
        <v>120.00172916666666</v>
      </c>
      <c r="U19" s="17">
        <f>0.045*(K19/9)</f>
        <v>72.0010375</v>
      </c>
      <c r="V19" s="17"/>
      <c r="W19" s="17"/>
      <c r="X19" s="17">
        <f>(K19*(1.25/12))/27</f>
        <v>55.55635609567902</v>
      </c>
      <c r="Y19" s="17"/>
      <c r="Z19" s="17"/>
      <c r="AA19" s="17"/>
      <c r="AB19" s="17"/>
      <c r="AC19" s="54">
        <f>(K19*(1.75/12))/27</f>
        <v>77.77889853395062</v>
      </c>
      <c r="AD19" s="54"/>
      <c r="AE19" s="17"/>
      <c r="AF19" s="17"/>
      <c r="AG19" s="17"/>
      <c r="AH19" s="17"/>
      <c r="AI19" s="17"/>
      <c r="AJ19" s="2">
        <v>5</v>
      </c>
      <c r="AK19" s="3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2" customFormat="1" ht="12.75" customHeight="1" thickBot="1">
      <c r="A20" s="38">
        <v>10435.79</v>
      </c>
      <c r="B20" s="38">
        <v>10497.11</v>
      </c>
      <c r="C20" s="51">
        <v>63.87</v>
      </c>
      <c r="D20" s="16"/>
      <c r="E20" s="16"/>
      <c r="F20" s="16"/>
      <c r="G20" s="16"/>
      <c r="H20" s="16"/>
      <c r="I20" s="16"/>
      <c r="J20" s="16"/>
      <c r="K20" s="16"/>
      <c r="L20" s="16">
        <v>3329.43</v>
      </c>
      <c r="M20" s="16"/>
      <c r="N20" s="16">
        <f>L20/9</f>
        <v>369.93666666666667</v>
      </c>
      <c r="O20" s="17"/>
      <c r="P20" s="17"/>
      <c r="Q20" s="17"/>
      <c r="R20" s="17"/>
      <c r="S20" s="17"/>
      <c r="T20" s="17">
        <f>0.075*(L20/9)</f>
        <v>27.74525</v>
      </c>
      <c r="U20" s="17">
        <f>0.045*(L20/9)</f>
        <v>16.64715</v>
      </c>
      <c r="V20" s="17"/>
      <c r="W20" s="17"/>
      <c r="X20" s="17">
        <f>(L20*(1.25/12))/27</f>
        <v>12.84502314814815</v>
      </c>
      <c r="Y20" s="17"/>
      <c r="Z20" s="17"/>
      <c r="AA20" s="17"/>
      <c r="AB20" s="17"/>
      <c r="AC20" s="54">
        <f>(L20*(1.75/12))/27</f>
        <v>17.983032407407407</v>
      </c>
      <c r="AD20" s="54"/>
      <c r="AE20" s="17"/>
      <c r="AF20" s="17"/>
      <c r="AG20" s="17"/>
      <c r="AH20" s="17"/>
      <c r="AI20" s="17"/>
      <c r="AJ20" s="2">
        <v>5</v>
      </c>
      <c r="AK20" s="3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2" customFormat="1" ht="12.75" customHeight="1" thickBot="1">
      <c r="A21" s="38">
        <v>10497.11</v>
      </c>
      <c r="B21" s="38">
        <v>10755.24</v>
      </c>
      <c r="C21" s="51">
        <f t="shared" si="0"/>
        <v>258.1299999999992</v>
      </c>
      <c r="D21" s="16">
        <f>E21+2</f>
        <v>43.88</v>
      </c>
      <c r="E21" s="16">
        <v>41.88</v>
      </c>
      <c r="F21" s="16"/>
      <c r="G21" s="16"/>
      <c r="H21" s="16"/>
      <c r="I21" s="16"/>
      <c r="J21" s="16">
        <f>C21*D21</f>
        <v>11326.744399999965</v>
      </c>
      <c r="K21" s="16">
        <f>C21*E21</f>
        <v>10810.484399999967</v>
      </c>
      <c r="L21" s="16"/>
      <c r="M21" s="16"/>
      <c r="N21" s="16">
        <f>K21/9</f>
        <v>1201.1649333333296</v>
      </c>
      <c r="O21" s="17"/>
      <c r="P21" s="17"/>
      <c r="Q21" s="17"/>
      <c r="R21" s="17"/>
      <c r="S21" s="17"/>
      <c r="T21" s="17">
        <f>0.075*(K21/9)</f>
        <v>90.08736999999972</v>
      </c>
      <c r="U21" s="17">
        <f>0.045*(K21/9)</f>
        <v>54.05242199999983</v>
      </c>
      <c r="V21" s="17"/>
      <c r="W21" s="17"/>
      <c r="X21" s="17">
        <f>(K21*(1.25/12))/27</f>
        <v>41.70711574074061</v>
      </c>
      <c r="Y21" s="17"/>
      <c r="Z21" s="17"/>
      <c r="AA21" s="17"/>
      <c r="AB21" s="17"/>
      <c r="AC21" s="54">
        <f>(K21*(1.75/12))/27</f>
        <v>58.38996203703686</v>
      </c>
      <c r="AD21" s="54"/>
      <c r="AE21" s="17"/>
      <c r="AF21" s="17"/>
      <c r="AG21" s="17"/>
      <c r="AH21" s="17"/>
      <c r="AI21" s="17"/>
      <c r="AJ21" s="2">
        <v>5</v>
      </c>
      <c r="AK21" s="3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2" customFormat="1" ht="12.75" customHeight="1" thickBot="1">
      <c r="A22" s="38">
        <v>10755.24</v>
      </c>
      <c r="B22" s="38">
        <v>841.5</v>
      </c>
      <c r="C22" s="16">
        <f>B22-A22+10000</f>
        <v>86.26000000000022</v>
      </c>
      <c r="D22" s="16"/>
      <c r="E22" s="16"/>
      <c r="F22" s="16"/>
      <c r="G22" s="16"/>
      <c r="H22" s="16"/>
      <c r="I22" s="16"/>
      <c r="J22" s="16"/>
      <c r="K22" s="16"/>
      <c r="L22" s="16">
        <v>3457.74</v>
      </c>
      <c r="M22" s="16"/>
      <c r="N22" s="16">
        <f>L22/9</f>
        <v>384.1933333333333</v>
      </c>
      <c r="O22" s="17"/>
      <c r="P22" s="17"/>
      <c r="Q22" s="17"/>
      <c r="R22" s="17"/>
      <c r="S22" s="17"/>
      <c r="T22" s="17">
        <f>0.075*(L22/9)</f>
        <v>28.8145</v>
      </c>
      <c r="U22" s="17">
        <f>0.045*(L22/9)</f>
        <v>17.2887</v>
      </c>
      <c r="V22" s="17"/>
      <c r="W22" s="17"/>
      <c r="X22" s="17">
        <f>(L22*(1.25/12))/27</f>
        <v>13.340046296296295</v>
      </c>
      <c r="Y22" s="17"/>
      <c r="Z22" s="17"/>
      <c r="AA22" s="17"/>
      <c r="AB22" s="17"/>
      <c r="AC22" s="54">
        <f>(L22*(1.75/12))/27</f>
        <v>18.676064814814815</v>
      </c>
      <c r="AD22" s="54"/>
      <c r="AE22" s="17"/>
      <c r="AF22" s="17"/>
      <c r="AG22" s="17"/>
      <c r="AH22" s="17"/>
      <c r="AI22" s="17"/>
      <c r="AJ22" s="2">
        <v>5</v>
      </c>
      <c r="AK22" s="3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2" customFormat="1" ht="12.75" customHeight="1" thickBot="1">
      <c r="A23" s="38">
        <v>10783.49</v>
      </c>
      <c r="B23" s="38">
        <v>841.5</v>
      </c>
      <c r="C23" s="16">
        <f>B23-A23+10000</f>
        <v>58.01000000000022</v>
      </c>
      <c r="D23" s="16"/>
      <c r="E23" s="16"/>
      <c r="F23" s="16"/>
      <c r="G23" s="16"/>
      <c r="H23" s="16"/>
      <c r="I23" s="16"/>
      <c r="J23" s="16"/>
      <c r="K23" s="16"/>
      <c r="L23" s="16">
        <v>232.13</v>
      </c>
      <c r="M23" s="16">
        <f>L23/9</f>
        <v>25.79222222222222</v>
      </c>
      <c r="N23" s="16"/>
      <c r="O23" s="17"/>
      <c r="P23" s="17"/>
      <c r="Q23" s="17">
        <f>(L23*(6/12))/27</f>
        <v>4.298703703703704</v>
      </c>
      <c r="R23" s="17"/>
      <c r="S23" s="17">
        <f>L23/9</f>
        <v>25.79222222222222</v>
      </c>
      <c r="T23" s="17">
        <f>0.075*(L23/9)</f>
        <v>1.9344166666666665</v>
      </c>
      <c r="U23" s="17">
        <f>0.045*(L23/9)</f>
        <v>1.16065</v>
      </c>
      <c r="V23" s="17"/>
      <c r="W23" s="17"/>
      <c r="X23" s="17">
        <f>(L23*(1.25/12))/27</f>
        <v>0.8955632716049382</v>
      </c>
      <c r="Y23" s="17"/>
      <c r="Z23" s="17"/>
      <c r="AA23" s="17"/>
      <c r="AB23" s="17"/>
      <c r="AC23" s="54">
        <f>(L23*(1.75/12))/27</f>
        <v>1.2537885802469135</v>
      </c>
      <c r="AD23" s="54"/>
      <c r="AE23" s="17"/>
      <c r="AF23" s="17"/>
      <c r="AG23" s="17"/>
      <c r="AH23" s="17"/>
      <c r="AI23" s="17"/>
      <c r="AJ23" s="2">
        <v>4</v>
      </c>
      <c r="AK23" s="3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2" customFormat="1" ht="12.75" customHeight="1" thickBot="1">
      <c r="A24" s="38">
        <v>803.19</v>
      </c>
      <c r="B24" s="38">
        <v>841.5</v>
      </c>
      <c r="C24" s="16">
        <f>B24-A24</f>
        <v>38.309999999999945</v>
      </c>
      <c r="D24" s="16"/>
      <c r="E24" s="16"/>
      <c r="F24" s="16"/>
      <c r="G24" s="16"/>
      <c r="H24" s="16"/>
      <c r="I24" s="16"/>
      <c r="J24" s="16"/>
      <c r="K24" s="16"/>
      <c r="L24" s="16">
        <v>159.23</v>
      </c>
      <c r="M24" s="16">
        <f>L24/9</f>
        <v>17.69222222222222</v>
      </c>
      <c r="N24" s="16"/>
      <c r="O24" s="17"/>
      <c r="P24" s="17"/>
      <c r="Q24" s="17">
        <f>(L24*(6/12))/27</f>
        <v>2.9487037037037034</v>
      </c>
      <c r="R24" s="17"/>
      <c r="S24" s="17">
        <f>L24/9</f>
        <v>17.69222222222222</v>
      </c>
      <c r="T24" s="17">
        <f>0.075*(L24/9)</f>
        <v>1.3269166666666665</v>
      </c>
      <c r="U24" s="17">
        <f>0.045*(L24/9)</f>
        <v>0.7961499999999999</v>
      </c>
      <c r="V24" s="17"/>
      <c r="W24" s="17"/>
      <c r="X24" s="17">
        <f>(L24*(1.25/12))/27</f>
        <v>0.6143132716049382</v>
      </c>
      <c r="Y24" s="17"/>
      <c r="Z24" s="17"/>
      <c r="AA24" s="17"/>
      <c r="AB24" s="17"/>
      <c r="AC24" s="54">
        <f>(L24*(1.75/12))/27</f>
        <v>0.8600385802469136</v>
      </c>
      <c r="AD24" s="54"/>
      <c r="AE24" s="17"/>
      <c r="AF24" s="17"/>
      <c r="AG24" s="17"/>
      <c r="AH24" s="17"/>
      <c r="AI24" s="17"/>
      <c r="AK24" s="3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2" customFormat="1" ht="12.75" customHeight="1" thickBot="1">
      <c r="A25" s="38">
        <v>1974.5</v>
      </c>
      <c r="B25" s="38">
        <v>2166.6</v>
      </c>
      <c r="C25" s="52">
        <f aca="true" t="shared" si="1" ref="C25:C37">B25-A25</f>
        <v>192.0999999999999</v>
      </c>
      <c r="D25" s="16">
        <f>E25+2</f>
        <v>34</v>
      </c>
      <c r="E25" s="16">
        <v>32</v>
      </c>
      <c r="F25" s="16"/>
      <c r="G25" s="16"/>
      <c r="H25" s="16"/>
      <c r="I25" s="16"/>
      <c r="J25" s="16">
        <f>C25*D25</f>
        <v>6531.399999999997</v>
      </c>
      <c r="K25" s="16">
        <f>C25*E25</f>
        <v>6147.199999999997</v>
      </c>
      <c r="L25" s="16"/>
      <c r="M25" s="16">
        <f>J25/9</f>
        <v>725.7111111111108</v>
      </c>
      <c r="N25" s="16"/>
      <c r="O25" s="17"/>
      <c r="P25" s="17"/>
      <c r="Q25" s="17">
        <f>(J25*(6/12))/27</f>
        <v>120.9518518518518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f>K25/9</f>
        <v>683.0222222222219</v>
      </c>
      <c r="AJ25" s="2">
        <v>4</v>
      </c>
      <c r="AK25" s="3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2" customFormat="1" ht="12.75" customHeight="1" thickBot="1">
      <c r="A26" s="59">
        <v>2166.6</v>
      </c>
      <c r="B26" s="59">
        <v>2173.22</v>
      </c>
      <c r="C26" s="58">
        <f t="shared" si="1"/>
        <v>6.619999999999891</v>
      </c>
      <c r="D26" s="57">
        <f>E26+2</f>
        <v>34.333</v>
      </c>
      <c r="E26" s="57">
        <v>32.333</v>
      </c>
      <c r="F26" s="16"/>
      <c r="G26" s="16"/>
      <c r="H26" s="16"/>
      <c r="I26" s="16"/>
      <c r="J26" s="57">
        <f>C26*D26</f>
        <v>227.28445999999624</v>
      </c>
      <c r="K26" s="57">
        <f>C26*E26</f>
        <v>214.04445999999646</v>
      </c>
      <c r="L26" s="16"/>
      <c r="M26" s="57">
        <f>J26/9</f>
        <v>25.25382888888847</v>
      </c>
      <c r="N26" s="16"/>
      <c r="O26" s="17"/>
      <c r="P26" s="17"/>
      <c r="Q26" s="5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54">
        <f>K26/9</f>
        <v>23.782717777777385</v>
      </c>
      <c r="AK26" s="3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2" customFormat="1" ht="12.75" customHeight="1" thickBot="1">
      <c r="A27" s="59">
        <v>2174.3</v>
      </c>
      <c r="B27" s="59">
        <v>2186.3</v>
      </c>
      <c r="C27" s="58">
        <f t="shared" si="1"/>
        <v>12</v>
      </c>
      <c r="D27" s="57">
        <f>E27+2</f>
        <v>37</v>
      </c>
      <c r="E27" s="57">
        <v>35</v>
      </c>
      <c r="F27" s="16"/>
      <c r="G27" s="16"/>
      <c r="H27" s="16"/>
      <c r="I27" s="16"/>
      <c r="J27" s="57"/>
      <c r="K27" s="57"/>
      <c r="L27" s="57">
        <v>415</v>
      </c>
      <c r="M27" s="57">
        <f>L27/9</f>
        <v>46.111111111111114</v>
      </c>
      <c r="N27" s="16"/>
      <c r="O27" s="17"/>
      <c r="P27" s="17"/>
      <c r="Q27" s="54"/>
      <c r="R27" s="54">
        <f>(L27*(8/12))/27</f>
        <v>10.246913580246913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54">
        <f>L27/9</f>
        <v>46.111111111111114</v>
      </c>
      <c r="AH27" s="54"/>
      <c r="AI27" s="54"/>
      <c r="AK27" s="3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2" customFormat="1" ht="12.75" customHeight="1" thickBot="1">
      <c r="A28" s="59">
        <v>2186.3</v>
      </c>
      <c r="B28" s="59">
        <v>2272.79</v>
      </c>
      <c r="C28" s="58">
        <f t="shared" si="1"/>
        <v>86.48999999999978</v>
      </c>
      <c r="D28" s="16"/>
      <c r="E28" s="16"/>
      <c r="F28" s="16"/>
      <c r="G28" s="16"/>
      <c r="H28" s="16"/>
      <c r="I28" s="16"/>
      <c r="J28" s="16"/>
      <c r="K28" s="16"/>
      <c r="L28" s="57">
        <v>3328.13</v>
      </c>
      <c r="M28" s="57">
        <f>L28/9</f>
        <v>369.7922222222222</v>
      </c>
      <c r="N28" s="16"/>
      <c r="O28" s="17"/>
      <c r="P28" s="17"/>
      <c r="Q28" s="54">
        <f>(L28*(6/12))/27</f>
        <v>61.63203703703704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54">
        <f>L28/9</f>
        <v>369.7922222222222</v>
      </c>
      <c r="AJ28" s="2">
        <v>4</v>
      </c>
      <c r="AK28" s="3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2" customFormat="1" ht="12.75" customHeight="1" thickBot="1">
      <c r="A29" s="59">
        <v>2273.54</v>
      </c>
      <c r="B29" s="59">
        <v>2285.54</v>
      </c>
      <c r="C29" s="58">
        <f t="shared" si="1"/>
        <v>12</v>
      </c>
      <c r="D29" s="16"/>
      <c r="E29" s="16"/>
      <c r="F29" s="16"/>
      <c r="G29" s="16"/>
      <c r="H29" s="16"/>
      <c r="I29" s="16"/>
      <c r="J29" s="16"/>
      <c r="K29" s="16"/>
      <c r="L29" s="57">
        <v>433.6</v>
      </c>
      <c r="M29" s="57">
        <f>L29/9</f>
        <v>48.17777777777778</v>
      </c>
      <c r="N29" s="16"/>
      <c r="O29" s="17"/>
      <c r="P29" s="17"/>
      <c r="Q29" s="54"/>
      <c r="R29" s="54">
        <f>L29*(8/12)/27</f>
        <v>10.706172839506173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54">
        <f>L29/9</f>
        <v>48.17777777777778</v>
      </c>
      <c r="AH29" s="54"/>
      <c r="AI29" s="54"/>
      <c r="AK29" s="3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2" customFormat="1" ht="12.75" customHeight="1" thickBot="1">
      <c r="A30" s="59">
        <v>2286.29</v>
      </c>
      <c r="B30" s="59">
        <v>2320.76</v>
      </c>
      <c r="C30" s="58">
        <f t="shared" si="1"/>
        <v>34.470000000000255</v>
      </c>
      <c r="D30" s="16"/>
      <c r="E30" s="16"/>
      <c r="F30" s="16"/>
      <c r="G30" s="16"/>
      <c r="H30" s="16"/>
      <c r="I30" s="16"/>
      <c r="J30" s="16"/>
      <c r="K30" s="16"/>
      <c r="L30" s="57">
        <v>1162.4</v>
      </c>
      <c r="M30" s="57"/>
      <c r="N30" s="16"/>
      <c r="O30" s="17"/>
      <c r="P30" s="17"/>
      <c r="Q30" s="54"/>
      <c r="R30" s="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54"/>
      <c r="AH30" s="54"/>
      <c r="AI30" s="54"/>
      <c r="AK30" s="3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2" customFormat="1" ht="12.75" customHeight="1" thickBot="1">
      <c r="A31" s="38">
        <v>2320.76</v>
      </c>
      <c r="B31" s="59">
        <v>2432.52</v>
      </c>
      <c r="C31" s="58">
        <f t="shared" si="1"/>
        <v>111.75999999999976</v>
      </c>
      <c r="D31" s="57">
        <f>E31+2</f>
        <v>34</v>
      </c>
      <c r="E31" s="57">
        <v>32</v>
      </c>
      <c r="F31" s="16"/>
      <c r="G31" s="16"/>
      <c r="H31" s="16"/>
      <c r="I31" s="16"/>
      <c r="J31" s="57">
        <f>C31*D31</f>
        <v>3799.839999999992</v>
      </c>
      <c r="K31" s="57">
        <f>C31*E31</f>
        <v>3576.3199999999924</v>
      </c>
      <c r="L31" s="16"/>
      <c r="M31" s="57">
        <f>J31/9</f>
        <v>422.20444444444354</v>
      </c>
      <c r="N31" s="16"/>
      <c r="O31" s="17"/>
      <c r="P31" s="17"/>
      <c r="Q31" s="54">
        <f>(J31*(6/12))/27</f>
        <v>70.36740740740726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54">
        <f>K31/9</f>
        <v>397.368888888888</v>
      </c>
      <c r="AJ31" s="2">
        <v>4</v>
      </c>
      <c r="AK31" s="3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2" customFormat="1" ht="12.75" customHeight="1" thickBot="1">
      <c r="A32" s="59">
        <v>2433.34</v>
      </c>
      <c r="B32" s="59">
        <v>2473.33</v>
      </c>
      <c r="C32" s="58">
        <f t="shared" si="1"/>
        <v>39.98999999999978</v>
      </c>
      <c r="D32" s="57"/>
      <c r="E32" s="57"/>
      <c r="F32" s="16"/>
      <c r="G32" s="16"/>
      <c r="H32" s="16"/>
      <c r="I32" s="16"/>
      <c r="J32" s="57"/>
      <c r="K32" s="57"/>
      <c r="L32" s="57">
        <v>1279.2</v>
      </c>
      <c r="M32" s="57">
        <f>L32/9</f>
        <v>142.13333333333333</v>
      </c>
      <c r="N32" s="16"/>
      <c r="O32" s="17"/>
      <c r="P32" s="17"/>
      <c r="Q32" s="54"/>
      <c r="R32" s="54">
        <f>L32*(8/12)/27</f>
        <v>31.585185185185182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54">
        <f>L32/9</f>
        <v>142.13333333333333</v>
      </c>
      <c r="AH32" s="54"/>
      <c r="AI32" s="54"/>
      <c r="AK32" s="3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2" customFormat="1" ht="12.75" customHeight="1" thickBot="1">
      <c r="A33" s="59">
        <v>2474.15</v>
      </c>
      <c r="B33" s="59">
        <v>2675.87</v>
      </c>
      <c r="C33" s="58">
        <f t="shared" si="1"/>
        <v>201.7199999999998</v>
      </c>
      <c r="D33" s="57">
        <v>34</v>
      </c>
      <c r="E33" s="57">
        <v>32</v>
      </c>
      <c r="F33" s="16"/>
      <c r="G33" s="16"/>
      <c r="H33" s="16"/>
      <c r="I33" s="16"/>
      <c r="J33" s="57">
        <f>C33*D33</f>
        <v>6858.479999999993</v>
      </c>
      <c r="K33" s="57">
        <f>C33*E33</f>
        <v>6455.039999999994</v>
      </c>
      <c r="L33" s="57"/>
      <c r="M33" s="57">
        <f>J33/9</f>
        <v>762.0533333333326</v>
      </c>
      <c r="N33" s="16"/>
      <c r="O33" s="17"/>
      <c r="P33" s="17"/>
      <c r="Q33" s="54">
        <f>(J33*(6/12))/27</f>
        <v>127.00888888888876</v>
      </c>
      <c r="R33" s="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54"/>
      <c r="AH33" s="54"/>
      <c r="AI33" s="54">
        <f>K33/9</f>
        <v>717.226666666666</v>
      </c>
      <c r="AK33" s="3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2" customFormat="1" ht="12.75" customHeight="1" thickBot="1">
      <c r="A34" s="38">
        <v>2675.87</v>
      </c>
      <c r="B34" s="59">
        <v>2799</v>
      </c>
      <c r="C34" s="58">
        <f t="shared" si="1"/>
        <v>123.13000000000011</v>
      </c>
      <c r="D34" s="16"/>
      <c r="E34" s="16"/>
      <c r="F34" s="16"/>
      <c r="G34" s="16"/>
      <c r="H34" s="16"/>
      <c r="I34" s="16"/>
      <c r="J34" s="16"/>
      <c r="K34" s="16"/>
      <c r="L34" s="57">
        <v>7766.48</v>
      </c>
      <c r="M34" s="57">
        <f>L34/9</f>
        <v>862.9422222222222</v>
      </c>
      <c r="N34" s="16"/>
      <c r="O34" s="17"/>
      <c r="P34" s="17"/>
      <c r="Q34" s="54">
        <f>(L34*(6/12))/27</f>
        <v>143.8237037037037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54">
        <f>L34/9</f>
        <v>862.9422222222222</v>
      </c>
      <c r="AJ34" s="2">
        <v>4</v>
      </c>
      <c r="AK34" s="3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2" customFormat="1" ht="12.75" customHeight="1" thickBot="1">
      <c r="A35" s="59">
        <v>2799.75</v>
      </c>
      <c r="B35" s="59">
        <v>2811.75</v>
      </c>
      <c r="C35" s="58">
        <f t="shared" si="1"/>
        <v>12</v>
      </c>
      <c r="D35" s="16"/>
      <c r="E35" s="16"/>
      <c r="F35" s="16"/>
      <c r="G35" s="16"/>
      <c r="H35" s="16"/>
      <c r="I35" s="16"/>
      <c r="J35" s="16"/>
      <c r="K35" s="16"/>
      <c r="L35" s="57">
        <v>451.1</v>
      </c>
      <c r="M35" s="57">
        <f>L35/9</f>
        <v>50.12222222222223</v>
      </c>
      <c r="N35" s="16"/>
      <c r="O35" s="17"/>
      <c r="P35" s="17"/>
      <c r="Q35" s="54"/>
      <c r="R35" s="54">
        <f>L35*(8/12)/27</f>
        <v>11.138271604938272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54">
        <f>L35/9</f>
        <v>50.12222222222223</v>
      </c>
      <c r="AH35" s="54"/>
      <c r="AI35" s="54"/>
      <c r="AK35" s="3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2" customFormat="1" ht="12.75" customHeight="1" thickBot="1">
      <c r="A36" s="59">
        <v>2812.5</v>
      </c>
      <c r="B36" s="59">
        <v>2859.66</v>
      </c>
      <c r="C36" s="58">
        <f t="shared" si="1"/>
        <v>47.159999999999854</v>
      </c>
      <c r="D36" s="16"/>
      <c r="E36" s="16"/>
      <c r="F36" s="16"/>
      <c r="G36" s="16"/>
      <c r="H36" s="16"/>
      <c r="I36" s="16"/>
      <c r="J36" s="16"/>
      <c r="K36" s="16"/>
      <c r="L36" s="57">
        <v>1233.51</v>
      </c>
      <c r="M36" s="57">
        <f>L36/9</f>
        <v>137.05666666666667</v>
      </c>
      <c r="N36" s="16"/>
      <c r="O36" s="17"/>
      <c r="P36" s="17"/>
      <c r="Q36" s="54"/>
      <c r="R36" s="54">
        <f>L36*(8/12)/27</f>
        <v>30.457037037037033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54">
        <f>L36/9</f>
        <v>137.05666666666667</v>
      </c>
      <c r="AH36" s="54"/>
      <c r="AI36" s="54"/>
      <c r="AK36" s="3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2" customFormat="1" ht="12.75" customHeight="1" thickBot="1">
      <c r="A37" s="59">
        <v>2824.45</v>
      </c>
      <c r="B37" s="59">
        <v>3074.76</v>
      </c>
      <c r="C37" s="58">
        <f t="shared" si="1"/>
        <v>250.3100000000004</v>
      </c>
      <c r="D37" s="16"/>
      <c r="E37" s="16"/>
      <c r="F37" s="16"/>
      <c r="G37" s="16"/>
      <c r="H37" s="16"/>
      <c r="I37" s="16"/>
      <c r="J37" s="16"/>
      <c r="K37" s="16"/>
      <c r="L37" s="57">
        <v>10779.4</v>
      </c>
      <c r="M37" s="57"/>
      <c r="N37" s="57">
        <f>L37/9</f>
        <v>1197.711111111111</v>
      </c>
      <c r="O37" s="54"/>
      <c r="P37" s="54"/>
      <c r="Q37" s="54"/>
      <c r="R37" s="54"/>
      <c r="S37" s="54"/>
      <c r="T37" s="54">
        <f>0.075*(L37/9)</f>
        <v>89.82833333333332</v>
      </c>
      <c r="U37" s="54">
        <f>0.045*(L37/9)</f>
        <v>53.89699999999999</v>
      </c>
      <c r="V37" s="54"/>
      <c r="W37" s="54"/>
      <c r="X37" s="54"/>
      <c r="Y37" s="17"/>
      <c r="Z37" s="54">
        <f>(L37*(1.25/12))/27</f>
        <v>41.5871913580247</v>
      </c>
      <c r="AA37" s="17"/>
      <c r="AB37" s="17"/>
      <c r="AC37" s="17"/>
      <c r="AD37" s="54">
        <f>(L37*(1.75/12))/27</f>
        <v>58.22206790123457</v>
      </c>
      <c r="AE37" s="17"/>
      <c r="AF37" s="17"/>
      <c r="AG37" s="17"/>
      <c r="AH37" s="17"/>
      <c r="AI37" s="17"/>
      <c r="AJ37" s="2">
        <v>5</v>
      </c>
      <c r="AK37" s="3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2" customFormat="1" ht="12.75" customHeight="1" thickBot="1">
      <c r="A38" s="70" t="s">
        <v>38</v>
      </c>
      <c r="B38" s="71"/>
      <c r="C38" s="21"/>
      <c r="D38" s="19"/>
      <c r="E38" s="19"/>
      <c r="F38" s="25"/>
      <c r="G38" s="25"/>
      <c r="H38" s="25"/>
      <c r="I38" s="19"/>
      <c r="J38" s="19"/>
      <c r="K38" s="19"/>
      <c r="L38" s="19"/>
      <c r="M38" s="20">
        <f>SUM(M15:M37)</f>
        <v>3635.042717777775</v>
      </c>
      <c r="N38" s="20">
        <f>SUM(N15:N37)</f>
        <v>6108.246088888883</v>
      </c>
      <c r="O38" s="20"/>
      <c r="P38" s="20"/>
      <c r="Q38" s="20">
        <f>SUM(Q15:Q37)</f>
        <v>531.031296296296</v>
      </c>
      <c r="R38" s="20">
        <f>SUM(R15:R37)</f>
        <v>94.13358024691357</v>
      </c>
      <c r="S38" s="20">
        <f>SUM(S15:S37)</f>
        <v>43.48444444444444</v>
      </c>
      <c r="T38" s="20">
        <f>SUM(T15:T37)</f>
        <v>461.3797899999995</v>
      </c>
      <c r="U38" s="20">
        <f>SUM(U15:U37)</f>
        <v>276.8278739999997</v>
      </c>
      <c r="V38" s="20"/>
      <c r="W38" s="20"/>
      <c r="X38" s="20">
        <f>SUM(X15:X37)</f>
        <v>172.01456327160471</v>
      </c>
      <c r="Y38" s="20"/>
      <c r="Z38" s="20">
        <f>SUM(Z15:Z37)</f>
        <v>41.5871913580247</v>
      </c>
      <c r="AA38" s="20"/>
      <c r="AB38" s="20"/>
      <c r="AC38" s="20">
        <f>SUM(AC15:AC37)</f>
        <v>240.82038858024663</v>
      </c>
      <c r="AD38" s="20">
        <f>SUM(AD15:AD37)</f>
        <v>58.22206790123457</v>
      </c>
      <c r="AE38" s="20"/>
      <c r="AF38" s="20"/>
      <c r="AG38" s="20">
        <f>SUM(AG15:AG37)</f>
        <v>423.6011111111111</v>
      </c>
      <c r="AH38" s="20"/>
      <c r="AI38" s="20">
        <f>SUM(AI15:AI37)</f>
        <v>3054.134939999997</v>
      </c>
      <c r="AK38" s="3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2" customFormat="1" ht="12.75" customHeight="1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9"/>
      <c r="AK39" s="3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2" customFormat="1" ht="12.75" customHeight="1" thickBot="1">
      <c r="A40" s="15" t="s">
        <v>58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3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2" customFormat="1" ht="12.75" customHeight="1" thickBot="1">
      <c r="A41" s="38">
        <v>10000</v>
      </c>
      <c r="B41" s="38">
        <v>10084.07</v>
      </c>
      <c r="C41" s="16">
        <f aca="true" t="shared" si="2" ref="C41:C46">B41-A41</f>
        <v>84.06999999999971</v>
      </c>
      <c r="D41" s="38"/>
      <c r="E41" s="38"/>
      <c r="F41" s="38"/>
      <c r="G41" s="38"/>
      <c r="H41" s="38"/>
      <c r="I41" s="38"/>
      <c r="J41" s="38"/>
      <c r="K41" s="38"/>
      <c r="L41" s="16">
        <v>6442.14</v>
      </c>
      <c r="M41" s="16">
        <f>L41/9</f>
        <v>715.7933333333334</v>
      </c>
      <c r="N41" s="38"/>
      <c r="O41" s="38"/>
      <c r="P41" s="38"/>
      <c r="Q41" s="16">
        <f>(L41*(6/12))/27</f>
        <v>119.2988888888889</v>
      </c>
      <c r="R41" s="16"/>
      <c r="S41" s="17">
        <f>L41/9</f>
        <v>715.7933333333334</v>
      </c>
      <c r="T41" s="17">
        <f>0.075*(L41/9)</f>
        <v>53.68450000000001</v>
      </c>
      <c r="U41" s="17">
        <f>0.045*(L41/9)</f>
        <v>32.2107</v>
      </c>
      <c r="V41" s="17">
        <f>(L41*(1.75/12))/27</f>
        <v>34.79550925925926</v>
      </c>
      <c r="W41" s="17"/>
      <c r="X41" s="17">
        <f>(L41*(1.25/12))/27</f>
        <v>24.85393518518519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3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2" customFormat="1" ht="12.75" customHeight="1" thickBot="1">
      <c r="A42" s="38">
        <v>10084.07</v>
      </c>
      <c r="B42" s="38">
        <v>10165.33</v>
      </c>
      <c r="C42" s="16">
        <f t="shared" si="2"/>
        <v>81.26000000000022</v>
      </c>
      <c r="D42" s="16"/>
      <c r="E42" s="16"/>
      <c r="F42" s="16"/>
      <c r="G42" s="16"/>
      <c r="H42" s="16"/>
      <c r="I42" s="16"/>
      <c r="J42" s="16"/>
      <c r="K42" s="16"/>
      <c r="L42" s="16">
        <v>2543.71</v>
      </c>
      <c r="M42" s="16">
        <f>L42/9</f>
        <v>282.63444444444445</v>
      </c>
      <c r="N42" s="16"/>
      <c r="O42" s="16"/>
      <c r="P42" s="16"/>
      <c r="Q42" s="16">
        <f>(L42*(6/12))/27</f>
        <v>47.10574074074074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f>L42/9</f>
        <v>282.63444444444445</v>
      </c>
      <c r="AJ42" s="39">
        <v>3</v>
      </c>
      <c r="AK42" s="42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2" customFormat="1" ht="12.75" customHeight="1" thickBot="1">
      <c r="A43" s="38">
        <v>10165.33</v>
      </c>
      <c r="B43" s="38">
        <v>10420.53</v>
      </c>
      <c r="C43" s="51">
        <f t="shared" si="2"/>
        <v>255.20000000000073</v>
      </c>
      <c r="D43" s="16">
        <v>26</v>
      </c>
      <c r="E43" s="16">
        <v>24</v>
      </c>
      <c r="F43" s="16"/>
      <c r="G43" s="16"/>
      <c r="H43" s="16"/>
      <c r="I43" s="16"/>
      <c r="J43" s="16">
        <f>C43*D43</f>
        <v>6635.200000000019</v>
      </c>
      <c r="K43" s="16">
        <f>C43*E43</f>
        <v>6124.8000000000175</v>
      </c>
      <c r="L43" s="16"/>
      <c r="M43" s="16">
        <f>J43/9</f>
        <v>737.2444444444466</v>
      </c>
      <c r="N43" s="16"/>
      <c r="O43" s="16"/>
      <c r="P43" s="16"/>
      <c r="Q43" s="16">
        <f>(J43*(6/12))/27</f>
        <v>122.87407407407443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f>K43/9</f>
        <v>680.5333333333352</v>
      </c>
      <c r="AJ43" s="39"/>
      <c r="AK43" s="42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2" customFormat="1" ht="12.75" customHeight="1" thickBot="1">
      <c r="A44" s="38">
        <v>10420.53</v>
      </c>
      <c r="B44" s="38">
        <v>10685.51</v>
      </c>
      <c r="C44" s="16">
        <f t="shared" si="2"/>
        <v>264.97999999999956</v>
      </c>
      <c r="D44" s="16"/>
      <c r="E44" s="16"/>
      <c r="F44" s="16"/>
      <c r="G44" s="16"/>
      <c r="H44" s="16"/>
      <c r="I44" s="16"/>
      <c r="J44" s="16"/>
      <c r="K44" s="16"/>
      <c r="L44" s="16">
        <v>7703.95</v>
      </c>
      <c r="M44" s="16">
        <f>L44/9</f>
        <v>855.9944444444444</v>
      </c>
      <c r="N44" s="16"/>
      <c r="O44" s="16"/>
      <c r="P44" s="16"/>
      <c r="Q44" s="16">
        <f>(L44*(6/12))/27</f>
        <v>142.66574074074074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f>L44/9</f>
        <v>855.9944444444444</v>
      </c>
      <c r="AJ44" s="39">
        <v>3</v>
      </c>
      <c r="AK44" s="42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2" customFormat="1" ht="12.75" customHeight="1" thickBot="1">
      <c r="A45" s="38">
        <v>10685.51</v>
      </c>
      <c r="B45" s="38">
        <v>10781.1</v>
      </c>
      <c r="C45" s="16">
        <f t="shared" si="2"/>
        <v>95.59000000000015</v>
      </c>
      <c r="D45" s="16">
        <f>E45+2</f>
        <v>32.25</v>
      </c>
      <c r="E45" s="16">
        <v>30.25</v>
      </c>
      <c r="F45" s="16"/>
      <c r="G45" s="16"/>
      <c r="H45" s="16"/>
      <c r="I45" s="16"/>
      <c r="J45" s="16">
        <f>C45*D45</f>
        <v>3082.7775000000047</v>
      </c>
      <c r="K45" s="16">
        <f>C45*E45</f>
        <v>2891.5975000000044</v>
      </c>
      <c r="L45" s="16"/>
      <c r="M45" s="16">
        <f>J45/9</f>
        <v>342.5308333333339</v>
      </c>
      <c r="N45" s="16"/>
      <c r="O45" s="16"/>
      <c r="P45" s="16"/>
      <c r="Q45" s="16">
        <f>(J45*(6/12))/27</f>
        <v>57.08847222222231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f>K45/9</f>
        <v>321.2886111111116</v>
      </c>
      <c r="AJ45" s="39">
        <v>3</v>
      </c>
      <c r="AK45" s="42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2" customFormat="1" ht="12.75" customHeight="1" thickBot="1">
      <c r="A46" s="38">
        <v>10781.1</v>
      </c>
      <c r="B46" s="38">
        <v>10841.39</v>
      </c>
      <c r="C46" s="16">
        <f t="shared" si="2"/>
        <v>60.289999999999054</v>
      </c>
      <c r="D46" s="16"/>
      <c r="E46" s="16"/>
      <c r="F46" s="16"/>
      <c r="G46" s="16"/>
      <c r="H46" s="16"/>
      <c r="I46" s="16"/>
      <c r="J46" s="16"/>
      <c r="K46" s="16"/>
      <c r="L46" s="16">
        <v>2065.89</v>
      </c>
      <c r="M46" s="16">
        <f>L46/9</f>
        <v>229.54333333333332</v>
      </c>
      <c r="N46" s="16"/>
      <c r="O46" s="16"/>
      <c r="P46" s="16"/>
      <c r="Q46" s="16">
        <f>(L46*(6/12))/27</f>
        <v>38.25722222222222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f>L46/9</f>
        <v>229.54333333333332</v>
      </c>
      <c r="AJ46" s="39">
        <v>3</v>
      </c>
      <c r="AK46" s="42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2" customFormat="1" ht="12.75" customHeight="1" thickBot="1">
      <c r="A47" s="70" t="s">
        <v>38</v>
      </c>
      <c r="B47" s="71"/>
      <c r="C47" s="21"/>
      <c r="D47" s="19"/>
      <c r="E47" s="19"/>
      <c r="F47" s="25"/>
      <c r="G47" s="25"/>
      <c r="H47" s="25"/>
      <c r="I47" s="19"/>
      <c r="J47" s="19"/>
      <c r="K47" s="19"/>
      <c r="L47" s="19"/>
      <c r="M47" s="20">
        <f>SUM(M41:M46)</f>
        <v>3163.740833333336</v>
      </c>
      <c r="N47" s="20"/>
      <c r="O47" s="20"/>
      <c r="P47" s="20"/>
      <c r="Q47" s="20">
        <f>SUM(Q41:Q46)</f>
        <v>527.2901388888894</v>
      </c>
      <c r="R47" s="20"/>
      <c r="S47" s="20">
        <f>SUM(S41:S46)</f>
        <v>715.7933333333334</v>
      </c>
      <c r="T47" s="20">
        <f>SUM(T41:T46)</f>
        <v>53.68450000000001</v>
      </c>
      <c r="U47" s="20">
        <f>SUM(U41:U46)</f>
        <v>32.2107</v>
      </c>
      <c r="V47" s="20">
        <f>SUM(V41:V46)</f>
        <v>34.79550925925926</v>
      </c>
      <c r="W47" s="20"/>
      <c r="X47" s="20">
        <f>SUM(X41:X46)</f>
        <v>24.85393518518519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>
        <f>SUM(AI41:AI46)</f>
        <v>2369.994166666669</v>
      </c>
      <c r="AK47" s="3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2" customFormat="1" ht="12.75" customHeight="1" thickBot="1">
      <c r="A48" s="38"/>
      <c r="B48" s="38"/>
      <c r="C48" s="16"/>
      <c r="D48" s="16"/>
      <c r="E48" s="16"/>
      <c r="F48" s="26"/>
      <c r="G48" s="26"/>
      <c r="H48" s="2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9"/>
      <c r="AK48" s="3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2" customFormat="1" ht="12.75" customHeight="1" thickBot="1">
      <c r="A49" s="15" t="s">
        <v>61</v>
      </c>
      <c r="B49" s="38"/>
      <c r="C49" s="16"/>
      <c r="D49" s="16"/>
      <c r="E49" s="16"/>
      <c r="F49" s="26"/>
      <c r="G49" s="26"/>
      <c r="H49" s="2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9"/>
      <c r="AK49" s="3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2" customFormat="1" ht="12.75" customHeight="1" thickBot="1">
      <c r="A50" s="38">
        <v>1245</v>
      </c>
      <c r="B50" s="38">
        <v>1495</v>
      </c>
      <c r="C50" s="16">
        <f>B50-A50</f>
        <v>250</v>
      </c>
      <c r="D50" s="16">
        <f>E50+2</f>
        <v>46</v>
      </c>
      <c r="E50" s="16">
        <v>44</v>
      </c>
      <c r="F50" s="16"/>
      <c r="G50" s="16"/>
      <c r="H50" s="16"/>
      <c r="I50" s="16"/>
      <c r="J50" s="16">
        <f>C50*D50-150</f>
        <v>11350</v>
      </c>
      <c r="K50" s="16">
        <f>C50*E50-150</f>
        <v>10850</v>
      </c>
      <c r="L50" s="16"/>
      <c r="M50" s="16"/>
      <c r="N50" s="16">
        <f>K50/9</f>
        <v>1205.5555555555557</v>
      </c>
      <c r="O50" s="17"/>
      <c r="P50" s="17"/>
      <c r="Q50" s="17"/>
      <c r="R50" s="17"/>
      <c r="S50" s="17"/>
      <c r="T50" s="17">
        <f>0.075*(K50/9)</f>
        <v>90.41666666666667</v>
      </c>
      <c r="U50" s="17">
        <f>0.045*(K50/9)</f>
        <v>54.25</v>
      </c>
      <c r="V50" s="17"/>
      <c r="W50" s="17"/>
      <c r="X50" s="17">
        <f>(K50*(1.25/12))/27</f>
        <v>41.85956790123458</v>
      </c>
      <c r="Y50" s="17"/>
      <c r="Z50" s="17"/>
      <c r="AA50" s="17"/>
      <c r="AB50" s="17"/>
      <c r="AC50" s="54">
        <f>(K50*(1.75/12))/27</f>
        <v>58.6033950617284</v>
      </c>
      <c r="AD50" s="17"/>
      <c r="AE50" s="17"/>
      <c r="AF50" s="17"/>
      <c r="AG50" s="17"/>
      <c r="AH50" s="17"/>
      <c r="AI50" s="17"/>
      <c r="AJ50" s="39">
        <v>5</v>
      </c>
      <c r="AK50" s="42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2" customFormat="1" ht="12.75" customHeight="1" thickBot="1">
      <c r="A51" s="70" t="s">
        <v>38</v>
      </c>
      <c r="B51" s="71"/>
      <c r="C51" s="21"/>
      <c r="D51" s="19"/>
      <c r="E51" s="19"/>
      <c r="F51" s="25"/>
      <c r="G51" s="25"/>
      <c r="H51" s="25"/>
      <c r="I51" s="19"/>
      <c r="J51" s="19"/>
      <c r="K51" s="19"/>
      <c r="L51" s="19"/>
      <c r="M51" s="20"/>
      <c r="N51" s="20">
        <f>SUM(N50:N50)</f>
        <v>1205.5555555555557</v>
      </c>
      <c r="O51" s="20"/>
      <c r="P51" s="20"/>
      <c r="Q51" s="20"/>
      <c r="R51" s="20"/>
      <c r="S51" s="20"/>
      <c r="T51" s="20">
        <f>SUM(T50:T50)</f>
        <v>90.41666666666667</v>
      </c>
      <c r="U51" s="20">
        <f>SUM(U50:U50)</f>
        <v>54.25</v>
      </c>
      <c r="V51" s="20"/>
      <c r="W51" s="20"/>
      <c r="X51" s="20">
        <f>SUM(X50:X50)</f>
        <v>41.85956790123458</v>
      </c>
      <c r="Y51" s="20"/>
      <c r="Z51" s="20"/>
      <c r="AA51" s="20"/>
      <c r="AB51" s="20"/>
      <c r="AC51" s="20">
        <f>SUM(AC50:AC50)</f>
        <v>58.6033950617284</v>
      </c>
      <c r="AD51" s="20"/>
      <c r="AE51" s="20"/>
      <c r="AF51" s="20"/>
      <c r="AG51" s="20"/>
      <c r="AH51" s="20"/>
      <c r="AI51" s="20"/>
      <c r="AK51" s="3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2" customFormat="1" ht="12.75" customHeight="1" thickBot="1">
      <c r="A52" s="15"/>
      <c r="B52" s="38"/>
      <c r="C52" s="16"/>
      <c r="D52" s="16"/>
      <c r="E52" s="16"/>
      <c r="F52" s="26"/>
      <c r="G52" s="26"/>
      <c r="H52" s="26"/>
      <c r="I52" s="16"/>
      <c r="J52" s="16"/>
      <c r="K52" s="16"/>
      <c r="L52" s="16"/>
      <c r="M52" s="16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9"/>
      <c r="AK52" s="3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2" customFormat="1" ht="12.75" customHeight="1" thickBot="1">
      <c r="A53" s="15" t="s">
        <v>59</v>
      </c>
      <c r="B53" s="38"/>
      <c r="C53" s="16"/>
      <c r="D53" s="16"/>
      <c r="E53" s="16"/>
      <c r="F53" s="26"/>
      <c r="G53" s="26"/>
      <c r="H53" s="26"/>
      <c r="I53" s="16"/>
      <c r="J53" s="16"/>
      <c r="K53" s="16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9"/>
      <c r="AK53" s="3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2" customFormat="1" ht="12.75" customHeight="1" thickBot="1">
      <c r="A54" s="15"/>
      <c r="B54" s="38"/>
      <c r="C54" s="16"/>
      <c r="D54" s="16"/>
      <c r="E54" s="16"/>
      <c r="F54" s="16"/>
      <c r="G54" s="16"/>
      <c r="H54" s="16"/>
      <c r="I54" s="16"/>
      <c r="J54" s="16"/>
      <c r="K54" s="16"/>
      <c r="L54" s="16">
        <v>184.62</v>
      </c>
      <c r="M54" s="16">
        <f>L54/9</f>
        <v>20.513333333333335</v>
      </c>
      <c r="N54" s="16"/>
      <c r="O54" s="17"/>
      <c r="P54" s="17"/>
      <c r="Q54" s="17">
        <f>(L54*(6/12))/27</f>
        <v>3.418888888888889</v>
      </c>
      <c r="R54" s="17"/>
      <c r="S54" s="17">
        <f>L54/9</f>
        <v>20.513333333333335</v>
      </c>
      <c r="T54" s="17">
        <f>0.075*(L54/9)</f>
        <v>1.5385000000000002</v>
      </c>
      <c r="U54" s="17">
        <f>0.045*(L54/9)</f>
        <v>0.9231</v>
      </c>
      <c r="V54" s="17"/>
      <c r="W54" s="17"/>
      <c r="X54" s="17">
        <f>(L54*(1.25/12))/27</f>
        <v>0.7122685185185186</v>
      </c>
      <c r="Y54" s="17"/>
      <c r="Z54" s="17"/>
      <c r="AA54" s="17"/>
      <c r="AB54" s="17"/>
      <c r="AC54" s="54">
        <f>(L54*(1.75/12))/27</f>
        <v>0.997175925925926</v>
      </c>
      <c r="AD54" s="17"/>
      <c r="AE54" s="17"/>
      <c r="AF54" s="17"/>
      <c r="AG54" s="17"/>
      <c r="AH54" s="17"/>
      <c r="AI54" s="17"/>
      <c r="AJ54" s="39">
        <v>4</v>
      </c>
      <c r="AK54" s="42"/>
      <c r="AL54" s="4"/>
      <c r="AM54" s="4"/>
      <c r="AN54" s="4"/>
      <c r="AO54" s="4"/>
      <c r="AP54" s="4"/>
      <c r="AQ54" s="4"/>
      <c r="AR54" s="4"/>
      <c r="AS54" s="4"/>
      <c r="AT54" s="4"/>
    </row>
    <row r="55" spans="1:46" s="2" customFormat="1" ht="12.75" customHeight="1" thickBot="1">
      <c r="A55" s="70" t="s">
        <v>38</v>
      </c>
      <c r="B55" s="71"/>
      <c r="C55" s="21"/>
      <c r="D55" s="19"/>
      <c r="E55" s="19"/>
      <c r="F55" s="25"/>
      <c r="G55" s="25"/>
      <c r="H55" s="25"/>
      <c r="I55" s="19"/>
      <c r="J55" s="19"/>
      <c r="K55" s="19"/>
      <c r="L55" s="19"/>
      <c r="M55" s="20">
        <f>SUM(M54)</f>
        <v>20.513333333333335</v>
      </c>
      <c r="N55" s="20"/>
      <c r="O55" s="20"/>
      <c r="P55" s="20"/>
      <c r="Q55" s="20">
        <f aca="true" t="shared" si="3" ref="Q55:X55">SUM(Q54)</f>
        <v>3.418888888888889</v>
      </c>
      <c r="R55" s="20"/>
      <c r="S55" s="20">
        <f t="shared" si="3"/>
        <v>20.513333333333335</v>
      </c>
      <c r="T55" s="20">
        <f t="shared" si="3"/>
        <v>1.5385000000000002</v>
      </c>
      <c r="U55" s="20">
        <f t="shared" si="3"/>
        <v>0.9231</v>
      </c>
      <c r="V55" s="20"/>
      <c r="W55" s="20"/>
      <c r="X55" s="20">
        <f t="shared" si="3"/>
        <v>0.7122685185185186</v>
      </c>
      <c r="Y55" s="20"/>
      <c r="Z55" s="20"/>
      <c r="AA55" s="20"/>
      <c r="AB55" s="20"/>
      <c r="AC55" s="20">
        <f>SUM(AC54)</f>
        <v>0.997175925925926</v>
      </c>
      <c r="AD55" s="20"/>
      <c r="AE55" s="20"/>
      <c r="AF55" s="20"/>
      <c r="AG55" s="20"/>
      <c r="AH55" s="20"/>
      <c r="AI55" s="20"/>
      <c r="AK55" s="3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2" customFormat="1" ht="12.75" customHeight="1" thickBot="1">
      <c r="A56" s="15"/>
      <c r="B56" s="38"/>
      <c r="C56" s="16"/>
      <c r="D56" s="16"/>
      <c r="E56" s="16"/>
      <c r="F56" s="26"/>
      <c r="G56" s="26"/>
      <c r="H56" s="26"/>
      <c r="I56" s="16"/>
      <c r="J56" s="16"/>
      <c r="K56" s="16"/>
      <c r="L56" s="16"/>
      <c r="M56" s="16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9"/>
      <c r="AK56" s="3"/>
      <c r="AL56" s="4"/>
      <c r="AM56" s="4"/>
      <c r="AN56" s="4"/>
      <c r="AO56" s="4"/>
      <c r="AP56" s="4"/>
      <c r="AQ56" s="4"/>
      <c r="AR56" s="4"/>
      <c r="AS56" s="4"/>
      <c r="AT56" s="4"/>
    </row>
    <row r="57" spans="1:46" s="2" customFormat="1" ht="12.75" customHeight="1" thickBot="1">
      <c r="A57" s="15" t="s">
        <v>62</v>
      </c>
      <c r="B57" s="38"/>
      <c r="C57" s="16"/>
      <c r="D57" s="16"/>
      <c r="E57" s="16"/>
      <c r="F57" s="26"/>
      <c r="G57" s="26"/>
      <c r="H57" s="26"/>
      <c r="I57" s="16"/>
      <c r="J57" s="16"/>
      <c r="K57" s="16"/>
      <c r="L57" s="16"/>
      <c r="M57" s="16"/>
      <c r="N57" s="16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9"/>
      <c r="AK57" s="3"/>
      <c r="AL57" s="4"/>
      <c r="AM57" s="4"/>
      <c r="AN57" s="4"/>
      <c r="AO57" s="4"/>
      <c r="AP57" s="4"/>
      <c r="AQ57" s="4"/>
      <c r="AR57" s="4"/>
      <c r="AS57" s="4"/>
      <c r="AT57" s="4"/>
    </row>
    <row r="58" spans="1:46" s="2" customFormat="1" ht="12.75" customHeight="1" thickBot="1">
      <c r="A58" s="38">
        <v>1270</v>
      </c>
      <c r="B58" s="38">
        <v>1545</v>
      </c>
      <c r="C58" s="16">
        <f>B58-A58</f>
        <v>275</v>
      </c>
      <c r="D58" s="16">
        <f>E58+2</f>
        <v>42</v>
      </c>
      <c r="E58" s="16">
        <v>40</v>
      </c>
      <c r="F58" s="16"/>
      <c r="G58" s="16"/>
      <c r="H58" s="16"/>
      <c r="I58" s="16"/>
      <c r="J58" s="16">
        <f>C58*D58</f>
        <v>11550</v>
      </c>
      <c r="K58" s="16">
        <f>C58*E58</f>
        <v>11000</v>
      </c>
      <c r="L58" s="16"/>
      <c r="M58" s="16"/>
      <c r="N58" s="16">
        <f>K58/9</f>
        <v>1222.2222222222222</v>
      </c>
      <c r="O58" s="17"/>
      <c r="P58" s="17"/>
      <c r="Q58" s="17"/>
      <c r="R58" s="17"/>
      <c r="S58" s="17"/>
      <c r="T58" s="17">
        <f>0.075*(K58/9)</f>
        <v>91.66666666666666</v>
      </c>
      <c r="U58" s="17">
        <f>0.045*(K58/9)</f>
        <v>54.99999999999999</v>
      </c>
      <c r="V58" s="17"/>
      <c r="W58" s="17"/>
      <c r="X58" s="17">
        <f>(K58*(1.25/12))/27</f>
        <v>42.43827160493828</v>
      </c>
      <c r="Y58" s="17"/>
      <c r="Z58" s="17"/>
      <c r="AA58" s="17"/>
      <c r="AB58" s="17"/>
      <c r="AC58" s="54">
        <f>(K58*(1.75/12))/27</f>
        <v>59.41358024691358</v>
      </c>
      <c r="AD58" s="17"/>
      <c r="AE58" s="17"/>
      <c r="AF58" s="17"/>
      <c r="AG58" s="17"/>
      <c r="AH58" s="17"/>
      <c r="AI58" s="17"/>
      <c r="AJ58" s="39">
        <v>5</v>
      </c>
      <c r="AK58" s="42"/>
      <c r="AL58" s="4"/>
      <c r="AM58" s="4"/>
      <c r="AN58" s="4"/>
      <c r="AO58" s="4"/>
      <c r="AP58" s="4"/>
      <c r="AQ58" s="4"/>
      <c r="AR58" s="4"/>
      <c r="AS58" s="4"/>
      <c r="AT58" s="4"/>
    </row>
    <row r="59" spans="1:46" s="2" customFormat="1" ht="12.75" customHeight="1" thickBot="1">
      <c r="A59" s="70" t="s">
        <v>38</v>
      </c>
      <c r="B59" s="71"/>
      <c r="C59" s="21"/>
      <c r="D59" s="19"/>
      <c r="E59" s="19"/>
      <c r="F59" s="25"/>
      <c r="G59" s="25"/>
      <c r="H59" s="25"/>
      <c r="I59" s="19"/>
      <c r="J59" s="19"/>
      <c r="K59" s="19"/>
      <c r="L59" s="19"/>
      <c r="M59" s="20"/>
      <c r="N59" s="20">
        <f>SUM(N58)</f>
        <v>1222.2222222222222</v>
      </c>
      <c r="O59" s="20"/>
      <c r="P59" s="20"/>
      <c r="Q59" s="20"/>
      <c r="R59" s="20"/>
      <c r="S59" s="20"/>
      <c r="T59" s="20">
        <f>SUM(T58)</f>
        <v>91.66666666666666</v>
      </c>
      <c r="U59" s="20">
        <f>SUM(U58)</f>
        <v>54.99999999999999</v>
      </c>
      <c r="V59" s="20"/>
      <c r="W59" s="20"/>
      <c r="X59" s="20">
        <f>SUM(X58)</f>
        <v>42.43827160493828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K59" s="3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2" customFormat="1" ht="12.75" customHeight="1" thickBot="1">
      <c r="A60" s="15"/>
      <c r="B60" s="38"/>
      <c r="C60" s="16"/>
      <c r="D60" s="16"/>
      <c r="E60" s="16"/>
      <c r="F60" s="26"/>
      <c r="G60" s="26"/>
      <c r="H60" s="26"/>
      <c r="I60" s="16"/>
      <c r="J60" s="16"/>
      <c r="K60" s="16"/>
      <c r="L60" s="16"/>
      <c r="M60" s="16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9"/>
      <c r="AK60" s="3"/>
      <c r="AL60" s="4"/>
      <c r="AM60" s="4"/>
      <c r="AN60" s="4"/>
      <c r="AO60" s="4"/>
      <c r="AP60" s="4"/>
      <c r="AQ60" s="4"/>
      <c r="AR60" s="4"/>
      <c r="AS60" s="4"/>
      <c r="AT60" s="4"/>
    </row>
    <row r="61" spans="1:46" s="2" customFormat="1" ht="12.75" customHeight="1" thickBot="1">
      <c r="A61" s="15" t="s">
        <v>63</v>
      </c>
      <c r="B61" s="38"/>
      <c r="C61" s="16"/>
      <c r="D61" s="16"/>
      <c r="E61" s="16"/>
      <c r="F61" s="26"/>
      <c r="G61" s="26"/>
      <c r="H61" s="26"/>
      <c r="I61" s="16"/>
      <c r="J61" s="16"/>
      <c r="K61" s="16"/>
      <c r="L61" s="16"/>
      <c r="M61" s="16"/>
      <c r="N61" s="1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9"/>
      <c r="AK61" s="3"/>
      <c r="AL61" s="4"/>
      <c r="AM61" s="4"/>
      <c r="AN61" s="4"/>
      <c r="AO61" s="4"/>
      <c r="AP61" s="4"/>
      <c r="AQ61" s="4"/>
      <c r="AR61" s="4"/>
      <c r="AS61" s="4"/>
      <c r="AT61" s="4"/>
    </row>
    <row r="62" spans="1:46" s="2" customFormat="1" ht="12.75" customHeight="1" thickBot="1">
      <c r="A62" s="38">
        <v>1103.23</v>
      </c>
      <c r="B62" s="38">
        <v>1790.34</v>
      </c>
      <c r="C62" s="16">
        <f>B62-A62</f>
        <v>687.1099999999999</v>
      </c>
      <c r="D62" s="16"/>
      <c r="E62" s="16"/>
      <c r="F62" s="16"/>
      <c r="G62" s="16"/>
      <c r="H62" s="16"/>
      <c r="I62" s="16"/>
      <c r="J62" s="16"/>
      <c r="K62" s="16"/>
      <c r="L62" s="16">
        <v>1523.46</v>
      </c>
      <c r="M62" s="16">
        <f>L62/9</f>
        <v>169.27333333333334</v>
      </c>
      <c r="N62" s="16"/>
      <c r="O62" s="17"/>
      <c r="P62" s="17"/>
      <c r="Q62" s="17"/>
      <c r="R62" s="17"/>
      <c r="S62" s="17">
        <f>L62/9</f>
        <v>169.27333333333334</v>
      </c>
      <c r="T62" s="17">
        <f>0.075*(L62/9)</f>
        <v>12.695500000000001</v>
      </c>
      <c r="U62" s="17">
        <f>0.045*(L62/9)</f>
        <v>7.6173</v>
      </c>
      <c r="V62" s="17"/>
      <c r="W62" s="17"/>
      <c r="X62" s="17">
        <f>(L62*(1.25/12))/27</f>
        <v>5.877546296296297</v>
      </c>
      <c r="Y62" s="17"/>
      <c r="Z62" s="17"/>
      <c r="AA62" s="17"/>
      <c r="AB62" s="17"/>
      <c r="AC62" s="54">
        <f>(L62*(1.75/12))/27</f>
        <v>8.228564814814815</v>
      </c>
      <c r="AD62" s="17"/>
      <c r="AE62" s="17"/>
      <c r="AF62" s="17"/>
      <c r="AG62" s="17"/>
      <c r="AH62" s="17"/>
      <c r="AI62" s="17"/>
      <c r="AJ62" s="39">
        <v>4</v>
      </c>
      <c r="AK62" s="3"/>
      <c r="AL62" s="4"/>
      <c r="AM62" s="4"/>
      <c r="AN62" s="4"/>
      <c r="AO62" s="4"/>
      <c r="AP62" s="4"/>
      <c r="AQ62" s="4"/>
      <c r="AR62" s="4"/>
      <c r="AS62" s="4"/>
      <c r="AT62" s="4"/>
    </row>
    <row r="63" spans="1:46" s="2" customFormat="1" ht="12.75" customHeight="1" thickBot="1">
      <c r="A63" s="38">
        <v>1465.31</v>
      </c>
      <c r="B63" s="38">
        <v>1685.03</v>
      </c>
      <c r="C63" s="16">
        <f>B63-A63</f>
        <v>219.72000000000003</v>
      </c>
      <c r="D63" s="16"/>
      <c r="E63" s="16"/>
      <c r="F63" s="16"/>
      <c r="G63" s="16"/>
      <c r="H63" s="16"/>
      <c r="I63" s="16"/>
      <c r="J63" s="16"/>
      <c r="K63" s="16"/>
      <c r="L63" s="16">
        <v>4817.78</v>
      </c>
      <c r="M63" s="16"/>
      <c r="N63" s="16">
        <f>L63/9</f>
        <v>535.3088888888889</v>
      </c>
      <c r="O63" s="17"/>
      <c r="P63" s="17"/>
      <c r="Q63" s="17"/>
      <c r="R63" s="17"/>
      <c r="S63" s="17"/>
      <c r="T63" s="17">
        <f>0.075*(L63/9)</f>
        <v>40.14816666666666</v>
      </c>
      <c r="U63" s="17">
        <f>0.045*(L63/9)</f>
        <v>24.0889</v>
      </c>
      <c r="V63" s="17"/>
      <c r="W63" s="17"/>
      <c r="X63" s="17">
        <f>(L63*(1.25/12))/27</f>
        <v>18.587114197530862</v>
      </c>
      <c r="Y63" s="17"/>
      <c r="Z63" s="17"/>
      <c r="AA63" s="17"/>
      <c r="AB63" s="17"/>
      <c r="AC63" s="54">
        <f>(L63*(1.75/12))/27</f>
        <v>26.02195987654321</v>
      </c>
      <c r="AD63" s="17"/>
      <c r="AE63" s="17"/>
      <c r="AF63" s="17"/>
      <c r="AG63" s="17"/>
      <c r="AH63" s="17"/>
      <c r="AI63" s="17"/>
      <c r="AJ63" s="39">
        <v>5</v>
      </c>
      <c r="AK63" s="3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2" customFormat="1" ht="12.75" customHeight="1" thickBot="1">
      <c r="A64" s="38">
        <v>1465.31</v>
      </c>
      <c r="B64" s="38">
        <v>1685.03</v>
      </c>
      <c r="C64" s="16">
        <f>B64-A64</f>
        <v>219.72000000000003</v>
      </c>
      <c r="D64" s="16"/>
      <c r="E64" s="16"/>
      <c r="F64" s="16"/>
      <c r="G64" s="16"/>
      <c r="H64" s="16"/>
      <c r="I64" s="16"/>
      <c r="J64" s="16"/>
      <c r="K64" s="16"/>
      <c r="L64" s="16">
        <v>1074.99</v>
      </c>
      <c r="M64" s="16">
        <f>L64/9</f>
        <v>119.44333333333333</v>
      </c>
      <c r="N64" s="16"/>
      <c r="O64" s="17"/>
      <c r="P64" s="17"/>
      <c r="Q64" s="17"/>
      <c r="R64" s="17"/>
      <c r="S64" s="17">
        <f>L64/9</f>
        <v>119.44333333333333</v>
      </c>
      <c r="T64" s="17">
        <f>0.075*(L64/9)</f>
        <v>8.95825</v>
      </c>
      <c r="U64" s="17">
        <f>0.045*(L64/9)</f>
        <v>5.374949999999999</v>
      </c>
      <c r="V64" s="17"/>
      <c r="W64" s="17"/>
      <c r="X64" s="17">
        <f>(L64*(1.25/12))/27</f>
        <v>4.147337962962963</v>
      </c>
      <c r="Y64" s="17"/>
      <c r="Z64" s="17"/>
      <c r="AA64" s="17"/>
      <c r="AB64" s="17"/>
      <c r="AC64" s="54">
        <f>(L64*(1.75/12))/27</f>
        <v>5.806273148148149</v>
      </c>
      <c r="AD64" s="17"/>
      <c r="AE64" s="17"/>
      <c r="AF64" s="17"/>
      <c r="AG64" s="17"/>
      <c r="AH64" s="17"/>
      <c r="AI64" s="17"/>
      <c r="AJ64" s="39">
        <v>4</v>
      </c>
      <c r="AK64" s="3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2" customFormat="1" ht="12.75" customHeight="1" thickBot="1">
      <c r="A65" s="38">
        <v>1685.03</v>
      </c>
      <c r="B65" s="38">
        <v>1850</v>
      </c>
      <c r="C65" s="16">
        <f>B65-A65</f>
        <v>164.97000000000003</v>
      </c>
      <c r="D65" s="16">
        <f>E65+2</f>
        <v>30.13</v>
      </c>
      <c r="E65" s="16">
        <v>28.13</v>
      </c>
      <c r="F65" s="16"/>
      <c r="G65" s="16"/>
      <c r="H65" s="16"/>
      <c r="I65" s="16"/>
      <c r="J65" s="16">
        <f>C65*D65</f>
        <v>4970.5461000000005</v>
      </c>
      <c r="K65" s="16">
        <f>C65*E65</f>
        <v>4640.606100000001</v>
      </c>
      <c r="L65" s="16"/>
      <c r="M65" s="16"/>
      <c r="N65" s="16">
        <f>K65/9</f>
        <v>515.6229000000001</v>
      </c>
      <c r="O65" s="17"/>
      <c r="P65" s="17"/>
      <c r="Q65" s="17"/>
      <c r="R65" s="17"/>
      <c r="S65" s="17"/>
      <c r="T65" s="17">
        <f>0.075*(K65/9)</f>
        <v>38.67171750000001</v>
      </c>
      <c r="U65" s="17">
        <f>0.045*(K65/9)</f>
        <v>23.203030500000004</v>
      </c>
      <c r="V65" s="17"/>
      <c r="W65" s="17"/>
      <c r="X65" s="17">
        <f>(K65*(1.25/12))/27</f>
        <v>17.903572916666672</v>
      </c>
      <c r="Y65" s="17"/>
      <c r="Z65" s="17"/>
      <c r="AA65" s="17"/>
      <c r="AB65" s="17"/>
      <c r="AC65" s="54">
        <f>(K65*(1.75/12))/27</f>
        <v>25.06500208333334</v>
      </c>
      <c r="AD65" s="17"/>
      <c r="AE65" s="17"/>
      <c r="AF65" s="17"/>
      <c r="AG65" s="17"/>
      <c r="AH65" s="17"/>
      <c r="AI65" s="17"/>
      <c r="AJ65" s="39">
        <v>5</v>
      </c>
      <c r="AK65" s="3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2" customFormat="1" ht="12.75" customHeight="1" thickBot="1">
      <c r="A66" s="59"/>
      <c r="B66" s="59"/>
      <c r="C66" s="57"/>
      <c r="D66" s="57"/>
      <c r="E66" s="57"/>
      <c r="F66" s="65"/>
      <c r="G66" s="65"/>
      <c r="H66" s="65"/>
      <c r="I66" s="57"/>
      <c r="J66" s="57"/>
      <c r="K66" s="57"/>
      <c r="L66" s="57"/>
      <c r="M66" s="57"/>
      <c r="N66" s="57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39"/>
      <c r="AK66" s="3"/>
      <c r="AL66" s="4"/>
      <c r="AM66" s="4"/>
      <c r="AN66" s="4"/>
      <c r="AO66" s="4"/>
      <c r="AP66" s="4"/>
      <c r="AQ66" s="4"/>
      <c r="AR66" s="4"/>
      <c r="AS66" s="4"/>
      <c r="AT66" s="4"/>
    </row>
    <row r="67" spans="1:46" s="2" customFormat="1" ht="12.75" customHeight="1" thickBot="1">
      <c r="A67" s="70" t="s">
        <v>38</v>
      </c>
      <c r="B67" s="71"/>
      <c r="C67" s="21"/>
      <c r="D67" s="19"/>
      <c r="E67" s="19"/>
      <c r="F67" s="25"/>
      <c r="G67" s="25"/>
      <c r="H67" s="25"/>
      <c r="I67" s="19"/>
      <c r="J67" s="19"/>
      <c r="K67" s="19"/>
      <c r="L67" s="19"/>
      <c r="M67" s="20">
        <f>SUM(M62:M66)</f>
        <v>288.7166666666667</v>
      </c>
      <c r="N67" s="20">
        <f aca="true" t="shared" si="4" ref="N67:X67">SUM(N62:N66)</f>
        <v>1050.931788888889</v>
      </c>
      <c r="O67" s="20"/>
      <c r="P67" s="20"/>
      <c r="Q67" s="20"/>
      <c r="R67" s="20"/>
      <c r="S67" s="20">
        <f t="shared" si="4"/>
        <v>288.7166666666667</v>
      </c>
      <c r="T67" s="20">
        <f t="shared" si="4"/>
        <v>100.47363416666667</v>
      </c>
      <c r="U67" s="20">
        <f t="shared" si="4"/>
        <v>60.284180500000005</v>
      </c>
      <c r="V67" s="20"/>
      <c r="W67" s="20"/>
      <c r="X67" s="20">
        <f t="shared" si="4"/>
        <v>46.515571373456794</v>
      </c>
      <c r="Y67" s="20"/>
      <c r="Z67" s="20"/>
      <c r="AA67" s="20"/>
      <c r="AB67" s="20"/>
      <c r="AC67" s="20">
        <f>SUM(AC62:AC66)</f>
        <v>65.12179992283951</v>
      </c>
      <c r="AD67" s="20"/>
      <c r="AE67" s="20"/>
      <c r="AF67" s="20"/>
      <c r="AG67" s="20"/>
      <c r="AH67" s="20"/>
      <c r="AI67" s="20"/>
      <c r="AK67" s="3"/>
      <c r="AL67" s="4"/>
      <c r="AM67" s="4"/>
      <c r="AN67" s="4"/>
      <c r="AO67" s="4"/>
      <c r="AP67" s="4"/>
      <c r="AQ67" s="4"/>
      <c r="AR67" s="4"/>
      <c r="AS67" s="4"/>
      <c r="AT67" s="4"/>
    </row>
    <row r="68" spans="1:46" s="2" customFormat="1" ht="12.75" customHeight="1" thickBot="1">
      <c r="A68" s="48"/>
      <c r="B68" s="47"/>
      <c r="C68" s="4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39"/>
      <c r="AK68" s="3"/>
      <c r="AL68" s="4"/>
      <c r="AM68" s="4"/>
      <c r="AN68" s="4"/>
      <c r="AO68" s="4"/>
      <c r="AP68" s="4"/>
      <c r="AQ68" s="4"/>
      <c r="AR68" s="4"/>
      <c r="AS68" s="4"/>
      <c r="AT68" s="4"/>
    </row>
    <row r="69" spans="1:46" s="2" customFormat="1" ht="12.75" customHeight="1" thickBot="1">
      <c r="A69" s="15" t="s">
        <v>64</v>
      </c>
      <c r="B69" s="38"/>
      <c r="C69" s="16"/>
      <c r="D69" s="16"/>
      <c r="E69" s="16"/>
      <c r="F69" s="26"/>
      <c r="G69" s="26"/>
      <c r="H69" s="26"/>
      <c r="I69" s="16"/>
      <c r="J69" s="16"/>
      <c r="K69" s="16"/>
      <c r="L69" s="16"/>
      <c r="M69" s="16"/>
      <c r="N69" s="16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9"/>
      <c r="AK69" s="3"/>
      <c r="AL69" s="4"/>
      <c r="AM69" s="4"/>
      <c r="AN69" s="4"/>
      <c r="AO69" s="4"/>
      <c r="AP69" s="4"/>
      <c r="AQ69" s="4"/>
      <c r="AR69" s="4"/>
      <c r="AS69" s="4"/>
      <c r="AT69" s="4"/>
    </row>
    <row r="70" spans="1:46" s="2" customFormat="1" ht="12.75" customHeight="1" thickBot="1">
      <c r="A70" s="59">
        <v>1045.5</v>
      </c>
      <c r="B70" s="59">
        <v>1120.13</v>
      </c>
      <c r="C70" s="57">
        <f>B70-A70</f>
        <v>74.63000000000011</v>
      </c>
      <c r="D70" s="57">
        <v>22</v>
      </c>
      <c r="E70" s="57">
        <v>20</v>
      </c>
      <c r="F70" s="65"/>
      <c r="G70" s="65"/>
      <c r="H70" s="65"/>
      <c r="I70" s="57"/>
      <c r="J70" s="57">
        <f>D70*C70</f>
        <v>1641.8600000000024</v>
      </c>
      <c r="K70" s="57">
        <f>E70*C70</f>
        <v>1492.6000000000022</v>
      </c>
      <c r="L70" s="57"/>
      <c r="M70" s="57">
        <f>J70/9</f>
        <v>182.42888888888916</v>
      </c>
      <c r="N70" s="57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f>(K70*(9/12))/9</f>
        <v>124.38333333333351</v>
      </c>
      <c r="AI70" s="54"/>
      <c r="AJ70" s="39"/>
      <c r="AK70" s="3"/>
      <c r="AL70" s="4"/>
      <c r="AM70" s="4"/>
      <c r="AN70" s="4"/>
      <c r="AO70" s="4"/>
      <c r="AP70" s="4"/>
      <c r="AQ70" s="4"/>
      <c r="AR70" s="4"/>
      <c r="AS70" s="4"/>
      <c r="AT70" s="4"/>
    </row>
    <row r="71" spans="1:46" s="2" customFormat="1" ht="12.75" customHeight="1" thickBot="1">
      <c r="A71" s="59">
        <v>1121.25</v>
      </c>
      <c r="B71" s="59">
        <v>1226.55</v>
      </c>
      <c r="C71" s="57">
        <f>B71-A71</f>
        <v>105.29999999999995</v>
      </c>
      <c r="D71" s="57"/>
      <c r="E71" s="57"/>
      <c r="F71" s="57"/>
      <c r="G71" s="57"/>
      <c r="H71" s="57"/>
      <c r="I71" s="57"/>
      <c r="J71" s="57"/>
      <c r="K71" s="57"/>
      <c r="L71" s="57">
        <v>2706.7</v>
      </c>
      <c r="M71" s="57">
        <f>L71/9</f>
        <v>300.7444444444444</v>
      </c>
      <c r="N71" s="57"/>
      <c r="O71" s="54"/>
      <c r="P71" s="54"/>
      <c r="Q71" s="54">
        <f>(L71*(6/12))/27</f>
        <v>50.12407407407407</v>
      </c>
      <c r="R71" s="54"/>
      <c r="S71" s="54">
        <f>L71/9</f>
        <v>300.7444444444444</v>
      </c>
      <c r="T71" s="54">
        <f>0.075*(L71/9)</f>
        <v>22.55583333333333</v>
      </c>
      <c r="U71" s="54">
        <f>0.045*(L71/9)</f>
        <v>13.533499999999998</v>
      </c>
      <c r="V71" s="54"/>
      <c r="W71" s="54"/>
      <c r="X71" s="54">
        <f>(L71*(1.25/12))/27</f>
        <v>10.442515432098766</v>
      </c>
      <c r="Y71" s="54"/>
      <c r="Z71" s="54"/>
      <c r="AA71" s="54"/>
      <c r="AB71" s="54"/>
      <c r="AC71" s="54">
        <f>L71*(1.75/12)/27</f>
        <v>14.61952160493827</v>
      </c>
      <c r="AD71" s="54"/>
      <c r="AE71" s="54"/>
      <c r="AF71" s="54"/>
      <c r="AG71" s="54"/>
      <c r="AH71" s="54"/>
      <c r="AI71" s="54"/>
      <c r="AJ71" s="39">
        <v>4</v>
      </c>
      <c r="AK71" s="42"/>
      <c r="AL71" s="4"/>
      <c r="AM71" s="4"/>
      <c r="AN71" s="4"/>
      <c r="AO71" s="4"/>
      <c r="AP71" s="4"/>
      <c r="AQ71" s="4"/>
      <c r="AR71" s="4"/>
      <c r="AS71" s="4"/>
      <c r="AT71" s="4"/>
    </row>
    <row r="72" spans="1:46" s="2" customFormat="1" ht="12.75" customHeight="1" thickBot="1">
      <c r="A72" s="59">
        <v>1200.8</v>
      </c>
      <c r="B72" s="61">
        <v>1244</v>
      </c>
      <c r="C72" s="62" t="s">
        <v>82</v>
      </c>
      <c r="D72" s="57"/>
      <c r="E72" s="57"/>
      <c r="F72" s="57"/>
      <c r="G72" s="57"/>
      <c r="H72" s="57"/>
      <c r="I72" s="57"/>
      <c r="J72" s="57"/>
      <c r="K72" s="57"/>
      <c r="L72" s="57">
        <v>2510.4</v>
      </c>
      <c r="M72" s="57">
        <f>L72/9</f>
        <v>278.93333333333334</v>
      </c>
      <c r="N72" s="57"/>
      <c r="O72" s="54"/>
      <c r="P72" s="54"/>
      <c r="Q72" s="54">
        <f>(L72*(6/12))/27</f>
        <v>46.48888888888889</v>
      </c>
      <c r="R72" s="54"/>
      <c r="S72" s="54">
        <f>L72/9</f>
        <v>278.93333333333334</v>
      </c>
      <c r="T72" s="54">
        <f>0.075*(L72/9)</f>
        <v>20.919999999999998</v>
      </c>
      <c r="U72" s="54">
        <f>0.045*(L72/9)</f>
        <v>12.552</v>
      </c>
      <c r="V72" s="54"/>
      <c r="W72" s="54"/>
      <c r="X72" s="54">
        <f>(L72*(1.25/12))/27</f>
        <v>9.685185185185185</v>
      </c>
      <c r="Y72" s="54"/>
      <c r="Z72" s="54"/>
      <c r="AA72" s="54"/>
      <c r="AB72" s="54"/>
      <c r="AC72" s="54">
        <f>L72*(1.75/12)/27</f>
        <v>13.55925925925926</v>
      </c>
      <c r="AD72" s="54"/>
      <c r="AE72" s="54"/>
      <c r="AF72" s="54"/>
      <c r="AG72" s="54"/>
      <c r="AH72" s="54"/>
      <c r="AI72" s="54"/>
      <c r="AJ72" s="39"/>
      <c r="AK72" s="42"/>
      <c r="AL72" s="4"/>
      <c r="AM72" s="4"/>
      <c r="AN72" s="4"/>
      <c r="AO72" s="4"/>
      <c r="AP72" s="4"/>
      <c r="AQ72" s="4"/>
      <c r="AR72" s="4"/>
      <c r="AS72" s="4"/>
      <c r="AT72" s="4"/>
    </row>
    <row r="73" spans="1:46" s="2" customFormat="1" ht="12.75" customHeight="1" thickBot="1">
      <c r="A73" s="70" t="s">
        <v>38</v>
      </c>
      <c r="B73" s="71"/>
      <c r="C73" s="21"/>
      <c r="D73" s="19"/>
      <c r="E73" s="19"/>
      <c r="F73" s="25"/>
      <c r="G73" s="25"/>
      <c r="H73" s="25"/>
      <c r="I73" s="19"/>
      <c r="J73" s="19"/>
      <c r="K73" s="19"/>
      <c r="L73" s="19"/>
      <c r="M73" s="20">
        <f>SUM(M70:M72)</f>
        <v>762.1066666666669</v>
      </c>
      <c r="N73" s="20"/>
      <c r="O73" s="20"/>
      <c r="P73" s="20"/>
      <c r="Q73" s="20">
        <f>SUM(Q70:Q72)</f>
        <v>96.61296296296297</v>
      </c>
      <c r="R73" s="20"/>
      <c r="S73" s="20">
        <f>SUM(S70:S72)</f>
        <v>579.6777777777777</v>
      </c>
      <c r="T73" s="20">
        <f>SUM(T70:T72)</f>
        <v>43.47583333333333</v>
      </c>
      <c r="U73" s="20">
        <f>SUM(U70:U72)</f>
        <v>26.085499999999996</v>
      </c>
      <c r="V73" s="20"/>
      <c r="W73" s="20"/>
      <c r="X73" s="20">
        <f>SUM(X70:X72)</f>
        <v>20.12770061728395</v>
      </c>
      <c r="Y73" s="20"/>
      <c r="Z73" s="20"/>
      <c r="AA73" s="20"/>
      <c r="AB73" s="20"/>
      <c r="AC73" s="20">
        <f>SUM(AC70:AC72)</f>
        <v>28.17878086419753</v>
      </c>
      <c r="AD73" s="20"/>
      <c r="AE73" s="20"/>
      <c r="AF73" s="20"/>
      <c r="AG73" s="20"/>
      <c r="AH73" s="20">
        <f>SUM(AH70:AH72)</f>
        <v>124.38333333333351</v>
      </c>
      <c r="AI73" s="20"/>
      <c r="AK73" s="3"/>
      <c r="AL73" s="4"/>
      <c r="AM73" s="4"/>
      <c r="AN73" s="4"/>
      <c r="AO73" s="4"/>
      <c r="AP73" s="4"/>
      <c r="AQ73" s="4"/>
      <c r="AR73" s="4"/>
      <c r="AS73" s="4"/>
      <c r="AT73" s="4"/>
    </row>
    <row r="74" spans="1:46" s="2" customFormat="1" ht="12.75" customHeight="1" thickBot="1">
      <c r="A74" s="38"/>
      <c r="B74" s="38"/>
      <c r="C74" s="16"/>
      <c r="D74" s="16"/>
      <c r="E74" s="16"/>
      <c r="F74" s="26"/>
      <c r="G74" s="26"/>
      <c r="H74" s="26"/>
      <c r="I74" s="16"/>
      <c r="J74" s="16"/>
      <c r="K74" s="16"/>
      <c r="L74" s="16"/>
      <c r="M74" s="16"/>
      <c r="N74" s="16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9"/>
      <c r="AK74" s="3"/>
      <c r="AL74" s="4"/>
      <c r="AM74" s="4"/>
      <c r="AN74" s="4"/>
      <c r="AO74" s="4"/>
      <c r="AP74" s="4"/>
      <c r="AQ74" s="4"/>
      <c r="AR74" s="4"/>
      <c r="AS74" s="4"/>
      <c r="AT74" s="4"/>
    </row>
    <row r="75" spans="1:46" s="2" customFormat="1" ht="12.75" customHeight="1" thickBot="1">
      <c r="A75" s="15" t="s">
        <v>65</v>
      </c>
      <c r="B75" s="38"/>
      <c r="C75" s="16"/>
      <c r="D75" s="16"/>
      <c r="E75" s="16"/>
      <c r="F75" s="26"/>
      <c r="G75" s="26"/>
      <c r="H75" s="26"/>
      <c r="I75" s="16"/>
      <c r="J75" s="16"/>
      <c r="K75" s="16"/>
      <c r="L75" s="16"/>
      <c r="M75" s="16"/>
      <c r="N75" s="16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9"/>
      <c r="AK75" s="3"/>
      <c r="AL75" s="4"/>
      <c r="AM75" s="4"/>
      <c r="AN75" s="4"/>
      <c r="AO75" s="4"/>
      <c r="AP75" s="4"/>
      <c r="AQ75" s="4"/>
      <c r="AR75" s="4"/>
      <c r="AS75" s="4"/>
      <c r="AT75" s="4"/>
    </row>
    <row r="76" spans="1:46" s="2" customFormat="1" ht="12.75" customHeight="1" thickBot="1">
      <c r="A76" s="38">
        <v>300</v>
      </c>
      <c r="B76" s="38">
        <v>350</v>
      </c>
      <c r="C76" s="16">
        <f>B76-A76</f>
        <v>50</v>
      </c>
      <c r="D76" s="16">
        <f>E76+2</f>
        <v>42</v>
      </c>
      <c r="E76" s="16">
        <v>40</v>
      </c>
      <c r="F76" s="16"/>
      <c r="G76" s="16"/>
      <c r="H76" s="16"/>
      <c r="I76" s="16"/>
      <c r="J76" s="16">
        <f>C76*D76</f>
        <v>2100</v>
      </c>
      <c r="K76" s="16">
        <f>C76*E76</f>
        <v>2000</v>
      </c>
      <c r="L76" s="16"/>
      <c r="M76" s="16"/>
      <c r="N76" s="16">
        <f>K76/9</f>
        <v>222.22222222222223</v>
      </c>
      <c r="O76" s="17"/>
      <c r="P76" s="17"/>
      <c r="Q76" s="17"/>
      <c r="R76" s="17"/>
      <c r="S76" s="17"/>
      <c r="T76" s="17">
        <f>0.075*(K76/9)</f>
        <v>16.666666666666668</v>
      </c>
      <c r="U76" s="17">
        <f>0.045*(K76/9)</f>
        <v>10</v>
      </c>
      <c r="V76" s="17"/>
      <c r="W76" s="17"/>
      <c r="X76" s="17">
        <f>(K76*(1.25/12))/27</f>
        <v>7.71604938271605</v>
      </c>
      <c r="Y76" s="17"/>
      <c r="Z76" s="17"/>
      <c r="AA76" s="17"/>
      <c r="AB76" s="17"/>
      <c r="AC76" s="54">
        <f>(K76*(1.75/12))/27</f>
        <v>10.80246913580247</v>
      </c>
      <c r="AD76" s="17"/>
      <c r="AE76" s="17"/>
      <c r="AF76" s="17"/>
      <c r="AG76" s="17"/>
      <c r="AH76" s="17"/>
      <c r="AI76" s="17"/>
      <c r="AJ76" s="39">
        <v>5</v>
      </c>
      <c r="AK76" s="42"/>
      <c r="AL76" s="4"/>
      <c r="AM76" s="4"/>
      <c r="AN76" s="4"/>
      <c r="AO76" s="4"/>
      <c r="AP76" s="4"/>
      <c r="AQ76" s="4"/>
      <c r="AR76" s="4"/>
      <c r="AS76" s="4"/>
      <c r="AT76" s="4"/>
    </row>
    <row r="77" spans="1:46" s="2" customFormat="1" ht="12.75" customHeight="1" thickBot="1">
      <c r="A77" s="38">
        <v>350</v>
      </c>
      <c r="B77" s="38">
        <v>424.75</v>
      </c>
      <c r="C77" s="16">
        <f>B77-A77</f>
        <v>74.75</v>
      </c>
      <c r="D77" s="16"/>
      <c r="E77" s="16"/>
      <c r="F77" s="16"/>
      <c r="G77" s="16"/>
      <c r="H77" s="16"/>
      <c r="I77" s="16"/>
      <c r="J77" s="16"/>
      <c r="K77" s="16"/>
      <c r="L77" s="16">
        <v>3654.82</v>
      </c>
      <c r="M77" s="16">
        <f>L77/9</f>
        <v>406.0911111111111</v>
      </c>
      <c r="N77" s="16"/>
      <c r="O77" s="17"/>
      <c r="P77" s="17"/>
      <c r="Q77" s="17">
        <f>(L77*(6/12))/27</f>
        <v>67.68185185185186</v>
      </c>
      <c r="R77" s="17"/>
      <c r="S77" s="17">
        <f>L77/9</f>
        <v>406.0911111111111</v>
      </c>
      <c r="T77" s="17">
        <f>0.075*(L77/9)</f>
        <v>30.456833333333332</v>
      </c>
      <c r="U77" s="17">
        <f>0.045*(L77/9)</f>
        <v>18.2741</v>
      </c>
      <c r="V77" s="17"/>
      <c r="W77" s="17"/>
      <c r="X77" s="17">
        <f>(L77*(1.25/12))/27</f>
        <v>14.100385802469136</v>
      </c>
      <c r="Y77" s="17"/>
      <c r="Z77" s="17"/>
      <c r="AA77" s="17"/>
      <c r="AB77" s="17"/>
      <c r="AC77" s="54">
        <f>(L77*(1.75/12))/27</f>
        <v>19.740540123456793</v>
      </c>
      <c r="AD77" s="17"/>
      <c r="AE77" s="17"/>
      <c r="AF77" s="17"/>
      <c r="AG77" s="17"/>
      <c r="AH77" s="17"/>
      <c r="AI77" s="17"/>
      <c r="AJ77" s="39">
        <v>4</v>
      </c>
      <c r="AK77" s="42"/>
      <c r="AL77" s="4"/>
      <c r="AM77" s="4"/>
      <c r="AN77" s="4"/>
      <c r="AO77" s="4"/>
      <c r="AP77" s="4"/>
      <c r="AQ77" s="4"/>
      <c r="AR77" s="4"/>
      <c r="AS77" s="4"/>
      <c r="AT77" s="4"/>
    </row>
    <row r="78" spans="1:46" s="2" customFormat="1" ht="12.75" customHeight="1" thickBot="1">
      <c r="A78" s="70" t="s">
        <v>38</v>
      </c>
      <c r="B78" s="71"/>
      <c r="C78" s="21"/>
      <c r="D78" s="19"/>
      <c r="E78" s="19"/>
      <c r="F78" s="25"/>
      <c r="G78" s="25"/>
      <c r="H78" s="25"/>
      <c r="I78" s="19"/>
      <c r="J78" s="19"/>
      <c r="K78" s="19"/>
      <c r="L78" s="19"/>
      <c r="M78" s="20">
        <f>SUM(M76:M77)</f>
        <v>406.0911111111111</v>
      </c>
      <c r="N78" s="20">
        <f>SUM(N76:N77)</f>
        <v>222.22222222222223</v>
      </c>
      <c r="O78" s="20"/>
      <c r="P78" s="20"/>
      <c r="Q78" s="20">
        <f aca="true" t="shared" si="5" ref="Q78:X78">SUM(Q76:Q77)</f>
        <v>67.68185185185186</v>
      </c>
      <c r="R78" s="20"/>
      <c r="S78" s="20">
        <f t="shared" si="5"/>
        <v>406.0911111111111</v>
      </c>
      <c r="T78" s="20">
        <f t="shared" si="5"/>
        <v>47.1235</v>
      </c>
      <c r="U78" s="20">
        <f t="shared" si="5"/>
        <v>28.2741</v>
      </c>
      <c r="V78" s="20"/>
      <c r="W78" s="20"/>
      <c r="X78" s="20">
        <f t="shared" si="5"/>
        <v>21.816435185185185</v>
      </c>
      <c r="Y78" s="20"/>
      <c r="Z78" s="20"/>
      <c r="AA78" s="20"/>
      <c r="AB78" s="20"/>
      <c r="AC78" s="20">
        <f>SUM(AC76:AC77)</f>
        <v>30.543009259259264</v>
      </c>
      <c r="AD78" s="20"/>
      <c r="AE78" s="20"/>
      <c r="AF78" s="20"/>
      <c r="AG78" s="20"/>
      <c r="AH78" s="20"/>
      <c r="AI78" s="20"/>
      <c r="AK78" s="3"/>
      <c r="AL78" s="4"/>
      <c r="AM78" s="4"/>
      <c r="AN78" s="4"/>
      <c r="AO78" s="4"/>
      <c r="AP78" s="4"/>
      <c r="AQ78" s="4"/>
      <c r="AR78" s="4"/>
      <c r="AS78" s="4"/>
      <c r="AT78" s="4"/>
    </row>
    <row r="79" spans="1:46" s="2" customFormat="1" ht="12.75" customHeight="1" thickBot="1">
      <c r="A79" s="38"/>
      <c r="B79" s="38"/>
      <c r="C79" s="16"/>
      <c r="D79" s="16"/>
      <c r="E79" s="16"/>
      <c r="F79" s="26"/>
      <c r="G79" s="26"/>
      <c r="H79" s="26"/>
      <c r="I79" s="16"/>
      <c r="J79" s="16"/>
      <c r="K79" s="16"/>
      <c r="L79" s="16"/>
      <c r="M79" s="16"/>
      <c r="N79" s="16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9"/>
      <c r="AK79" s="3"/>
      <c r="AL79" s="4"/>
      <c r="AM79" s="4"/>
      <c r="AN79" s="4"/>
      <c r="AO79" s="4"/>
      <c r="AP79" s="4"/>
      <c r="AQ79" s="4"/>
      <c r="AR79" s="4"/>
      <c r="AS79" s="4"/>
      <c r="AT79" s="4"/>
    </row>
    <row r="80" spans="1:46" s="2" customFormat="1" ht="12.75" customHeight="1" thickBot="1">
      <c r="A80" s="41" t="s">
        <v>66</v>
      </c>
      <c r="B80" s="38"/>
      <c r="C80" s="16"/>
      <c r="D80" s="16"/>
      <c r="E80" s="16"/>
      <c r="F80" s="26"/>
      <c r="G80" s="26"/>
      <c r="H80" s="26"/>
      <c r="I80" s="16"/>
      <c r="J80" s="16"/>
      <c r="K80" s="16"/>
      <c r="L80" s="16"/>
      <c r="M80" s="16"/>
      <c r="N80" s="16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9"/>
      <c r="AK80" s="3"/>
      <c r="AL80" s="4"/>
      <c r="AM80" s="4"/>
      <c r="AN80" s="4"/>
      <c r="AO80" s="4"/>
      <c r="AP80" s="4"/>
      <c r="AQ80" s="4"/>
      <c r="AR80" s="4"/>
      <c r="AS80" s="4"/>
      <c r="AT80" s="4"/>
    </row>
    <row r="81" spans="1:46" s="2" customFormat="1" ht="12.75" customHeight="1" thickBot="1">
      <c r="A81" s="38">
        <v>80782.92</v>
      </c>
      <c r="B81" s="38">
        <v>81573.28</v>
      </c>
      <c r="C81" s="16">
        <f>B81-A81</f>
        <v>790.3600000000006</v>
      </c>
      <c r="D81" s="16">
        <f>E81+2</f>
        <v>38.1</v>
      </c>
      <c r="E81" s="16">
        <v>36.1</v>
      </c>
      <c r="F81" s="16"/>
      <c r="G81" s="16"/>
      <c r="H81" s="16"/>
      <c r="I81" s="16"/>
      <c r="J81" s="16">
        <f>C81*D81</f>
        <v>30112.716000000022</v>
      </c>
      <c r="K81" s="16">
        <f>C81*E81</f>
        <v>28531.99600000002</v>
      </c>
      <c r="L81" s="16"/>
      <c r="M81" s="16">
        <f>K81/9</f>
        <v>3170.22177777778</v>
      </c>
      <c r="N81" s="16"/>
      <c r="O81" s="17"/>
      <c r="P81" s="17"/>
      <c r="Q81" s="17">
        <f>(K81*(6/12))/27</f>
        <v>528.3702962962967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>
        <f>K81/12</f>
        <v>2377.666333333335</v>
      </c>
      <c r="AG81" s="17"/>
      <c r="AH81" s="17"/>
      <c r="AI81" s="17"/>
      <c r="AJ81" s="39">
        <v>2</v>
      </c>
      <c r="AK81" s="3"/>
      <c r="AL81" s="4"/>
      <c r="AM81" s="4"/>
      <c r="AN81" s="4"/>
      <c r="AO81" s="4"/>
      <c r="AP81" s="4"/>
      <c r="AQ81" s="4"/>
      <c r="AR81" s="4"/>
      <c r="AS81" s="4"/>
      <c r="AT81" s="4"/>
    </row>
    <row r="82" spans="1:46" s="2" customFormat="1" ht="12.75" customHeight="1" thickBot="1">
      <c r="A82" s="38">
        <v>81573.28</v>
      </c>
      <c r="B82" s="38">
        <v>81618.28</v>
      </c>
      <c r="C82" s="16">
        <f>B82-A82</f>
        <v>45</v>
      </c>
      <c r="D82" s="16"/>
      <c r="E82" s="16"/>
      <c r="F82" s="16"/>
      <c r="G82" s="16"/>
      <c r="H82" s="16"/>
      <c r="I82" s="16"/>
      <c r="J82" s="16"/>
      <c r="K82" s="16"/>
      <c r="L82" s="16">
        <v>2624.79</v>
      </c>
      <c r="M82" s="16">
        <f>L82/9</f>
        <v>291.6433333333333</v>
      </c>
      <c r="N82" s="16"/>
      <c r="O82" s="17"/>
      <c r="P82" s="17"/>
      <c r="Q82" s="17">
        <f>(L82*(6/12))/27</f>
        <v>48.60722222222222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>
        <f>L82/12</f>
        <v>218.7325</v>
      </c>
      <c r="AG82" s="17"/>
      <c r="AH82" s="17"/>
      <c r="AI82" s="17"/>
      <c r="AJ82" s="40">
        <v>2</v>
      </c>
      <c r="AK82" s="42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2" customFormat="1" ht="12.75" customHeight="1" thickBot="1">
      <c r="A83" s="70" t="s">
        <v>38</v>
      </c>
      <c r="B83" s="71"/>
      <c r="C83" s="21"/>
      <c r="D83" s="19"/>
      <c r="E83" s="19"/>
      <c r="F83" s="25"/>
      <c r="G83" s="25"/>
      <c r="H83" s="25"/>
      <c r="I83" s="19"/>
      <c r="J83" s="19"/>
      <c r="K83" s="19"/>
      <c r="L83" s="19"/>
      <c r="M83" s="20">
        <f>SUM(M81:M82)</f>
        <v>3461.8651111111135</v>
      </c>
      <c r="N83" s="20"/>
      <c r="O83" s="20"/>
      <c r="P83" s="20"/>
      <c r="Q83" s="20">
        <f>SUM(Q81:Q82)</f>
        <v>576.977518518519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>
        <f>SUM(AF81:AF82)</f>
        <v>2596.398833333335</v>
      </c>
      <c r="AG83" s="20"/>
      <c r="AH83" s="20"/>
      <c r="AI83" s="20"/>
      <c r="AK83" s="3"/>
      <c r="AL83" s="4"/>
      <c r="AM83" s="4"/>
      <c r="AN83" s="4"/>
      <c r="AO83" s="4"/>
      <c r="AP83" s="4"/>
      <c r="AQ83" s="4"/>
      <c r="AR83" s="4"/>
      <c r="AS83" s="4"/>
      <c r="AT83" s="4"/>
    </row>
    <row r="84" spans="1:46" s="2" customFormat="1" ht="12.75" customHeight="1" thickBot="1">
      <c r="A84" s="38"/>
      <c r="B84" s="38"/>
      <c r="C84" s="16"/>
      <c r="D84" s="16"/>
      <c r="E84" s="16"/>
      <c r="F84" s="26"/>
      <c r="G84" s="26"/>
      <c r="H84" s="26"/>
      <c r="I84" s="16"/>
      <c r="J84" s="16"/>
      <c r="K84" s="16"/>
      <c r="L84" s="16"/>
      <c r="M84" s="16"/>
      <c r="N84" s="16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9"/>
      <c r="AK84" s="3"/>
      <c r="AL84" s="4"/>
      <c r="AM84" s="4"/>
      <c r="AN84" s="4"/>
      <c r="AO84" s="4"/>
      <c r="AP84" s="4"/>
      <c r="AQ84" s="4"/>
      <c r="AR84" s="4"/>
      <c r="AS84" s="4"/>
      <c r="AT84" s="4"/>
    </row>
    <row r="85" spans="1:46" s="2" customFormat="1" ht="12.75" customHeight="1" thickBot="1">
      <c r="A85" s="41" t="s">
        <v>69</v>
      </c>
      <c r="B85" s="38"/>
      <c r="C85" s="16"/>
      <c r="D85" s="16"/>
      <c r="E85" s="16"/>
      <c r="F85" s="26"/>
      <c r="G85" s="26"/>
      <c r="H85" s="26"/>
      <c r="I85" s="16"/>
      <c r="J85" s="16"/>
      <c r="K85" s="16"/>
      <c r="L85" s="16"/>
      <c r="M85" s="16"/>
      <c r="N85" s="16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9"/>
      <c r="AK85" s="3"/>
      <c r="AL85" s="4"/>
      <c r="AM85" s="4"/>
      <c r="AN85" s="4"/>
      <c r="AO85" s="4"/>
      <c r="AP85" s="4"/>
      <c r="AQ85" s="4"/>
      <c r="AR85" s="4"/>
      <c r="AS85" s="4"/>
      <c r="AT85" s="4"/>
    </row>
    <row r="86" spans="1:46" s="2" customFormat="1" ht="12.75" customHeight="1" thickBot="1">
      <c r="A86" s="38">
        <v>100000</v>
      </c>
      <c r="B86" s="38">
        <v>100354.27</v>
      </c>
      <c r="C86" s="16">
        <f aca="true" t="shared" si="6" ref="C86:C93">B86-A86</f>
        <v>354.2700000000041</v>
      </c>
      <c r="D86" s="16">
        <f>E86+1</f>
        <v>37</v>
      </c>
      <c r="E86" s="16">
        <v>36</v>
      </c>
      <c r="F86" s="16"/>
      <c r="G86" s="16"/>
      <c r="H86" s="16"/>
      <c r="I86" s="16"/>
      <c r="J86" s="16">
        <f aca="true" t="shared" si="7" ref="J86:J91">C86*D86</f>
        <v>13107.99000000015</v>
      </c>
      <c r="K86" s="16">
        <f aca="true" t="shared" si="8" ref="K86:K91">C86*E86</f>
        <v>12753.720000000147</v>
      </c>
      <c r="L86" s="16"/>
      <c r="M86" s="16">
        <f aca="true" t="shared" si="9" ref="M86:M93">J86/9</f>
        <v>1456.44333333335</v>
      </c>
      <c r="N86" s="16"/>
      <c r="O86" s="17">
        <f aca="true" t="shared" si="10" ref="O86:O91">(K86*(8/12))/27</f>
        <v>314.9066666666703</v>
      </c>
      <c r="P86" s="17"/>
      <c r="Q86" s="17">
        <f aca="true" t="shared" si="11" ref="Q86:Q91">(J86*(6/12))/27</f>
        <v>242.74055555555836</v>
      </c>
      <c r="R86" s="17"/>
      <c r="S86" s="17"/>
      <c r="T86" s="17">
        <f aca="true" t="shared" si="12" ref="T86:T91">0.075*(K86/9)</f>
        <v>106.28100000000121</v>
      </c>
      <c r="U86" s="17">
        <f aca="true" t="shared" si="13" ref="U86:U91">0.045*(K86/9)</f>
        <v>63.76860000000073</v>
      </c>
      <c r="V86" s="17">
        <f aca="true" t="shared" si="14" ref="V86:V91">(K86*(1.75/12))/27</f>
        <v>68.88583333333413</v>
      </c>
      <c r="W86" s="17">
        <f aca="true" t="shared" si="15" ref="W86:W91">(K86*(1.5/12))/27</f>
        <v>59.04500000000068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9">
        <v>1</v>
      </c>
      <c r="AK86" s="42"/>
      <c r="AL86" s="4"/>
      <c r="AM86" s="4"/>
      <c r="AN86" s="4"/>
      <c r="AO86" s="4"/>
      <c r="AP86" s="4"/>
      <c r="AQ86" s="4"/>
      <c r="AR86" s="4"/>
      <c r="AS86" s="4"/>
      <c r="AT86" s="4"/>
    </row>
    <row r="87" spans="1:46" s="2" customFormat="1" ht="12.75" customHeight="1" thickBot="1">
      <c r="A87" s="38">
        <v>100354.27</v>
      </c>
      <c r="B87" s="38">
        <v>100385.12</v>
      </c>
      <c r="C87" s="16">
        <f t="shared" si="6"/>
        <v>30.84999999999127</v>
      </c>
      <c r="D87" s="16">
        <f>E87+1</f>
        <v>38</v>
      </c>
      <c r="E87" s="16">
        <v>37</v>
      </c>
      <c r="F87" s="16"/>
      <c r="G87" s="16"/>
      <c r="H87" s="16"/>
      <c r="I87" s="16"/>
      <c r="J87" s="16">
        <f t="shared" si="7"/>
        <v>1172.2999999996682</v>
      </c>
      <c r="K87" s="16">
        <f t="shared" si="8"/>
        <v>1141.449999999677</v>
      </c>
      <c r="L87" s="16"/>
      <c r="M87" s="16">
        <f t="shared" si="9"/>
        <v>130.2555555555187</v>
      </c>
      <c r="N87" s="16"/>
      <c r="O87" s="17">
        <f t="shared" si="10"/>
        <v>28.183950617275972</v>
      </c>
      <c r="P87" s="17"/>
      <c r="Q87" s="17">
        <f t="shared" si="11"/>
        <v>21.709259259253116</v>
      </c>
      <c r="R87" s="17"/>
      <c r="S87" s="17"/>
      <c r="T87" s="17">
        <f t="shared" si="12"/>
        <v>9.512083333330642</v>
      </c>
      <c r="U87" s="17">
        <f t="shared" si="13"/>
        <v>5.707249999998385</v>
      </c>
      <c r="V87" s="17">
        <f t="shared" si="14"/>
        <v>6.16523919752912</v>
      </c>
      <c r="W87" s="17">
        <f t="shared" si="15"/>
        <v>5.284490740739245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9"/>
      <c r="AK87" s="42"/>
      <c r="AL87" s="4"/>
      <c r="AM87" s="4"/>
      <c r="AN87" s="4"/>
      <c r="AO87" s="4"/>
      <c r="AP87" s="4"/>
      <c r="AQ87" s="4"/>
      <c r="AR87" s="4"/>
      <c r="AS87" s="4"/>
      <c r="AT87" s="4"/>
    </row>
    <row r="88" spans="1:46" s="2" customFormat="1" ht="12.75" customHeight="1" thickBot="1">
      <c r="A88" s="38">
        <v>100602.79</v>
      </c>
      <c r="B88" s="38">
        <v>101194.37</v>
      </c>
      <c r="C88" s="16">
        <f t="shared" si="6"/>
        <v>591.5800000000017</v>
      </c>
      <c r="D88" s="16">
        <f>E88+1</f>
        <v>37</v>
      </c>
      <c r="E88" s="16">
        <v>36</v>
      </c>
      <c r="F88" s="16"/>
      <c r="G88" s="16"/>
      <c r="H88" s="16"/>
      <c r="I88" s="16"/>
      <c r="J88" s="16">
        <f t="shared" si="7"/>
        <v>21888.460000000065</v>
      </c>
      <c r="K88" s="16">
        <f t="shared" si="8"/>
        <v>21296.880000000063</v>
      </c>
      <c r="L88" s="16"/>
      <c r="M88" s="16">
        <f t="shared" si="9"/>
        <v>2432.051111111118</v>
      </c>
      <c r="N88" s="16"/>
      <c r="O88" s="17">
        <f t="shared" si="10"/>
        <v>525.8488888888904</v>
      </c>
      <c r="P88" s="17"/>
      <c r="Q88" s="17">
        <f t="shared" si="11"/>
        <v>405.34185185185305</v>
      </c>
      <c r="R88" s="17"/>
      <c r="S88" s="17"/>
      <c r="T88" s="17">
        <f t="shared" si="12"/>
        <v>177.47400000000053</v>
      </c>
      <c r="U88" s="17">
        <f t="shared" si="13"/>
        <v>106.4844000000003</v>
      </c>
      <c r="V88" s="17">
        <f t="shared" si="14"/>
        <v>115.02944444444478</v>
      </c>
      <c r="W88" s="17">
        <f t="shared" si="15"/>
        <v>98.59666666666696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9">
        <v>1</v>
      </c>
      <c r="AK88" s="42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2" customFormat="1" ht="12.75" customHeight="1" thickBot="1">
      <c r="A89" s="38">
        <v>101194.37</v>
      </c>
      <c r="B89" s="38">
        <v>101218.05</v>
      </c>
      <c r="C89" s="16">
        <f t="shared" si="6"/>
        <v>23.680000000007567</v>
      </c>
      <c r="D89" s="16">
        <f>E89+2</f>
        <v>44</v>
      </c>
      <c r="E89" s="16">
        <v>42</v>
      </c>
      <c r="F89" s="16"/>
      <c r="G89" s="16"/>
      <c r="H89" s="16"/>
      <c r="I89" s="16"/>
      <c r="J89" s="16">
        <f t="shared" si="7"/>
        <v>1041.920000000333</v>
      </c>
      <c r="K89" s="16">
        <f t="shared" si="8"/>
        <v>994.5600000003178</v>
      </c>
      <c r="L89" s="16"/>
      <c r="M89" s="16">
        <f t="shared" si="9"/>
        <v>115.76888888892589</v>
      </c>
      <c r="N89" s="16"/>
      <c r="O89" s="17">
        <f t="shared" si="10"/>
        <v>24.557037037044886</v>
      </c>
      <c r="P89" s="17"/>
      <c r="Q89" s="17">
        <f t="shared" si="11"/>
        <v>19.29481481482098</v>
      </c>
      <c r="R89" s="17"/>
      <c r="S89" s="17"/>
      <c r="T89" s="17">
        <f t="shared" si="12"/>
        <v>8.288000000002647</v>
      </c>
      <c r="U89" s="17">
        <f t="shared" si="13"/>
        <v>4.972800000001588</v>
      </c>
      <c r="V89" s="17">
        <f t="shared" si="14"/>
        <v>5.3718518518535685</v>
      </c>
      <c r="W89" s="17">
        <f t="shared" si="15"/>
        <v>4.604444444445916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9">
        <v>1</v>
      </c>
      <c r="AK89" s="42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2" customFormat="1" ht="12.75" customHeight="1" thickBot="1">
      <c r="A90" s="38">
        <v>101434.15</v>
      </c>
      <c r="B90" s="38">
        <v>101476.73</v>
      </c>
      <c r="C90" s="16">
        <f t="shared" si="6"/>
        <v>42.580000000001746</v>
      </c>
      <c r="D90" s="16">
        <f>E90+2</f>
        <v>44</v>
      </c>
      <c r="E90" s="16">
        <v>42</v>
      </c>
      <c r="F90" s="16"/>
      <c r="G90" s="16"/>
      <c r="H90" s="16"/>
      <c r="I90" s="16"/>
      <c r="J90" s="16">
        <f t="shared" si="7"/>
        <v>1873.5200000000768</v>
      </c>
      <c r="K90" s="16">
        <f t="shared" si="8"/>
        <v>1788.3600000000733</v>
      </c>
      <c r="L90" s="16"/>
      <c r="M90" s="16">
        <f t="shared" si="9"/>
        <v>208.1688888888974</v>
      </c>
      <c r="N90" s="16"/>
      <c r="O90" s="17">
        <f t="shared" si="10"/>
        <v>44.15703703703885</v>
      </c>
      <c r="P90" s="17"/>
      <c r="Q90" s="17">
        <f t="shared" si="11"/>
        <v>34.69481481481624</v>
      </c>
      <c r="R90" s="17"/>
      <c r="S90" s="17"/>
      <c r="T90" s="17">
        <f t="shared" si="12"/>
        <v>14.90300000000061</v>
      </c>
      <c r="U90" s="17">
        <f t="shared" si="13"/>
        <v>8.941800000000367</v>
      </c>
      <c r="V90" s="17">
        <f t="shared" si="14"/>
        <v>9.659351851852248</v>
      </c>
      <c r="W90" s="17">
        <f t="shared" si="15"/>
        <v>8.279444444444785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9">
        <v>1</v>
      </c>
      <c r="AK90" s="42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2" customFormat="1" ht="12.75" customHeight="1" thickBot="1">
      <c r="A91" s="38">
        <v>101476.73</v>
      </c>
      <c r="B91" s="38">
        <v>101501</v>
      </c>
      <c r="C91" s="16">
        <f t="shared" si="6"/>
        <v>24.270000000004075</v>
      </c>
      <c r="D91" s="16">
        <f>E91+1</f>
        <v>5.1285</v>
      </c>
      <c r="E91" s="16">
        <f>(4.535+3.722)/2</f>
        <v>4.1285</v>
      </c>
      <c r="F91" s="16"/>
      <c r="G91" s="16"/>
      <c r="H91" s="16"/>
      <c r="I91" s="16"/>
      <c r="J91" s="16">
        <f t="shared" si="7"/>
        <v>124.46869500002089</v>
      </c>
      <c r="K91" s="16">
        <f t="shared" si="8"/>
        <v>100.19869500001681</v>
      </c>
      <c r="L91" s="16"/>
      <c r="M91" s="16">
        <f t="shared" si="9"/>
        <v>13.82985500000232</v>
      </c>
      <c r="N91" s="16"/>
      <c r="O91" s="17">
        <f t="shared" si="10"/>
        <v>2.4740418518522667</v>
      </c>
      <c r="P91" s="17"/>
      <c r="Q91" s="17">
        <f t="shared" si="11"/>
        <v>2.30497583333372</v>
      </c>
      <c r="R91" s="17"/>
      <c r="S91" s="17"/>
      <c r="T91" s="17">
        <f t="shared" si="12"/>
        <v>0.8349891250001401</v>
      </c>
      <c r="U91" s="17">
        <f t="shared" si="13"/>
        <v>0.5009934750000841</v>
      </c>
      <c r="V91" s="17">
        <f t="shared" si="14"/>
        <v>0.5411966550926834</v>
      </c>
      <c r="W91" s="17">
        <f t="shared" si="15"/>
        <v>0.46388284722230005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9">
        <v>1</v>
      </c>
      <c r="AK91" s="42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2" customFormat="1" ht="12.75" customHeight="1" thickBot="1">
      <c r="A92" s="60">
        <v>100605.67</v>
      </c>
      <c r="B92" s="61">
        <v>101199.77</v>
      </c>
      <c r="C92" s="57">
        <f t="shared" si="6"/>
        <v>594.1000000000058</v>
      </c>
      <c r="D92" s="57">
        <v>4.25</v>
      </c>
      <c r="E92" s="57"/>
      <c r="F92" s="57"/>
      <c r="G92" s="57"/>
      <c r="H92" s="57"/>
      <c r="I92" s="57"/>
      <c r="J92" s="57">
        <f>D92*C92</f>
        <v>2524.9250000000247</v>
      </c>
      <c r="K92" s="57"/>
      <c r="L92" s="57"/>
      <c r="M92" s="57">
        <f t="shared" si="9"/>
        <v>280.54722222222495</v>
      </c>
      <c r="N92" s="57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>
        <f>(3/12)*J92/27</f>
        <v>23.378935185185416</v>
      </c>
      <c r="AF92" s="54"/>
      <c r="AG92" s="54"/>
      <c r="AH92" s="54"/>
      <c r="AI92" s="54"/>
      <c r="AJ92" s="39"/>
      <c r="AK92" s="42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2" customFormat="1" ht="12.75" customHeight="1" thickBot="1">
      <c r="A93" s="60">
        <v>101456.36</v>
      </c>
      <c r="B93" s="61">
        <v>101476.73</v>
      </c>
      <c r="C93" s="57">
        <f t="shared" si="6"/>
        <v>20.369999999995343</v>
      </c>
      <c r="D93" s="57">
        <v>4.25</v>
      </c>
      <c r="E93" s="57"/>
      <c r="F93" s="57"/>
      <c r="G93" s="57"/>
      <c r="H93" s="57"/>
      <c r="I93" s="57"/>
      <c r="J93" s="57">
        <f>D93*C93</f>
        <v>86.57249999998021</v>
      </c>
      <c r="K93" s="57"/>
      <c r="L93" s="57"/>
      <c r="M93" s="57">
        <f t="shared" si="9"/>
        <v>9.619166666664468</v>
      </c>
      <c r="N93" s="57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>
        <f>(3/12)*J93/27</f>
        <v>0.801597222222039</v>
      </c>
      <c r="AF93" s="54"/>
      <c r="AG93" s="54"/>
      <c r="AH93" s="54"/>
      <c r="AI93" s="54"/>
      <c r="AJ93" s="39"/>
      <c r="AK93" s="42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2" customFormat="1" ht="12.75" customHeight="1" thickBot="1">
      <c r="A94" s="70" t="s">
        <v>38</v>
      </c>
      <c r="B94" s="71"/>
      <c r="C94" s="21"/>
      <c r="D94" s="19"/>
      <c r="E94" s="19"/>
      <c r="F94" s="25"/>
      <c r="G94" s="25"/>
      <c r="H94" s="25"/>
      <c r="I94" s="19"/>
      <c r="J94" s="19"/>
      <c r="K94" s="19"/>
      <c r="L94" s="19"/>
      <c r="M94" s="20">
        <f>SUM(M86:M93)</f>
        <v>4646.684021666702</v>
      </c>
      <c r="N94" s="20"/>
      <c r="O94" s="20">
        <f aca="true" t="shared" si="16" ref="O94:V94">SUM(O86:O93)</f>
        <v>940.1276220987727</v>
      </c>
      <c r="P94" s="20"/>
      <c r="Q94" s="20">
        <f t="shared" si="16"/>
        <v>726.0862721296354</v>
      </c>
      <c r="R94" s="20"/>
      <c r="S94" s="20"/>
      <c r="T94" s="20">
        <f t="shared" si="16"/>
        <v>317.29307245833576</v>
      </c>
      <c r="U94" s="20">
        <f t="shared" si="16"/>
        <v>190.37584347500146</v>
      </c>
      <c r="V94" s="20">
        <f t="shared" si="16"/>
        <v>205.65291733410652</v>
      </c>
      <c r="W94" s="20">
        <f>SUM(W86:W93)</f>
        <v>176.27392914351987</v>
      </c>
      <c r="X94" s="20"/>
      <c r="Y94" s="20"/>
      <c r="Z94" s="20"/>
      <c r="AA94" s="20"/>
      <c r="AB94" s="20"/>
      <c r="AC94" s="20"/>
      <c r="AD94" s="20"/>
      <c r="AE94" s="20">
        <f>SUM(AE86:AE93)</f>
        <v>24.180532407407455</v>
      </c>
      <c r="AF94" s="20"/>
      <c r="AG94" s="20"/>
      <c r="AH94" s="20"/>
      <c r="AI94" s="20"/>
      <c r="AK94" s="3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2" customFormat="1" ht="12.75" customHeight="1" thickBot="1">
      <c r="A95" s="38"/>
      <c r="B95" s="38"/>
      <c r="C95" s="16"/>
      <c r="D95" s="16"/>
      <c r="E95" s="16"/>
      <c r="F95" s="26"/>
      <c r="G95" s="26"/>
      <c r="H95" s="26"/>
      <c r="I95" s="16"/>
      <c r="J95" s="16"/>
      <c r="K95" s="16"/>
      <c r="L95" s="16"/>
      <c r="M95" s="16"/>
      <c r="N95" s="16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39"/>
      <c r="AK95" s="3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2" customFormat="1" ht="12.75" customHeight="1" thickBot="1">
      <c r="A96" s="15" t="s">
        <v>68</v>
      </c>
      <c r="B96" s="38"/>
      <c r="C96" s="16"/>
      <c r="D96" s="16"/>
      <c r="E96" s="16"/>
      <c r="F96" s="26"/>
      <c r="G96" s="26"/>
      <c r="H96" s="26"/>
      <c r="I96" s="16"/>
      <c r="J96" s="16"/>
      <c r="K96" s="16"/>
      <c r="L96" s="16"/>
      <c r="M96" s="16"/>
      <c r="N96" s="16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39"/>
      <c r="AK96" s="3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2" customFormat="1" ht="12.75" customHeight="1" thickBot="1">
      <c r="A97" s="38">
        <v>9835</v>
      </c>
      <c r="B97" s="38">
        <v>10000</v>
      </c>
      <c r="C97" s="16">
        <f aca="true" t="shared" si="17" ref="C97:C106">B97-A97</f>
        <v>165</v>
      </c>
      <c r="D97" s="16">
        <f>E97+1</f>
        <v>6.042333333333333</v>
      </c>
      <c r="E97" s="16">
        <f>(3+5.627+6.5)/3</f>
        <v>5.042333333333333</v>
      </c>
      <c r="F97" s="16"/>
      <c r="G97" s="16"/>
      <c r="H97" s="16"/>
      <c r="I97" s="16"/>
      <c r="J97" s="16">
        <f aca="true" t="shared" si="18" ref="J97:J106">C97*D97</f>
        <v>996.9849999999999</v>
      </c>
      <c r="K97" s="16">
        <f aca="true" t="shared" si="19" ref="K97:K104">C97*E97</f>
        <v>831.9849999999999</v>
      </c>
      <c r="L97" s="16"/>
      <c r="M97" s="16">
        <f aca="true" t="shared" si="20" ref="M97:M106">J97/9</f>
        <v>110.7761111111111</v>
      </c>
      <c r="N97" s="16"/>
      <c r="O97" s="17"/>
      <c r="P97" s="17"/>
      <c r="Q97" s="17">
        <f aca="true" t="shared" si="21" ref="Q97:Q104">(J97*(6/12))/27</f>
        <v>18.462685185185183</v>
      </c>
      <c r="R97" s="17"/>
      <c r="S97" s="54">
        <f>K97/9</f>
        <v>92.44277777777776</v>
      </c>
      <c r="T97" s="17">
        <f aca="true" t="shared" si="22" ref="T97:T104">0.075*(K97/9)</f>
        <v>6.933208333333332</v>
      </c>
      <c r="U97" s="17">
        <f aca="true" t="shared" si="23" ref="U97:U104">0.045*(K97/9)</f>
        <v>4.159924999999999</v>
      </c>
      <c r="V97" s="17"/>
      <c r="W97" s="17"/>
      <c r="X97" s="17"/>
      <c r="Y97" s="17">
        <f>(K97*(1.25/12))/27</f>
        <v>3.209818672839506</v>
      </c>
      <c r="Z97" s="17"/>
      <c r="AA97" s="17"/>
      <c r="AB97" s="17">
        <f>(K97*(1.75/12))/27</f>
        <v>4.493746141975309</v>
      </c>
      <c r="AC97" s="17"/>
      <c r="AD97" s="17"/>
      <c r="AE97" s="54">
        <v>6.54</v>
      </c>
      <c r="AF97" s="17"/>
      <c r="AG97" s="17"/>
      <c r="AH97" s="17"/>
      <c r="AI97" s="17"/>
      <c r="AJ97" s="39" t="s">
        <v>71</v>
      </c>
      <c r="AK97" s="42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2" customFormat="1" ht="12.75" customHeight="1" thickBot="1">
      <c r="A98" s="59">
        <v>9900</v>
      </c>
      <c r="B98" s="59">
        <v>10000</v>
      </c>
      <c r="C98" s="57">
        <f t="shared" si="17"/>
        <v>100</v>
      </c>
      <c r="D98" s="16"/>
      <c r="E98" s="16"/>
      <c r="F98" s="16"/>
      <c r="G98" s="16"/>
      <c r="H98" s="16"/>
      <c r="I98" s="16"/>
      <c r="J98" s="16"/>
      <c r="K98" s="16"/>
      <c r="L98" s="57">
        <v>5150</v>
      </c>
      <c r="M98" s="57">
        <f>L98/9</f>
        <v>572.2222222222222</v>
      </c>
      <c r="N98" s="16"/>
      <c r="O98" s="17"/>
      <c r="P98" s="17"/>
      <c r="Q98" s="17"/>
      <c r="R98" s="17"/>
      <c r="S98" s="17"/>
      <c r="T98" s="54">
        <f>0.075*(L98/9)</f>
        <v>42.916666666666664</v>
      </c>
      <c r="U98" s="54">
        <f>0.045*(L98/9)</f>
        <v>25.749999999999996</v>
      </c>
      <c r="V98" s="17"/>
      <c r="W98" s="17"/>
      <c r="X98" s="54">
        <f>(L98*(1.25/12))/27</f>
        <v>19.86882716049383</v>
      </c>
      <c r="Y98" s="17"/>
      <c r="Z98" s="17"/>
      <c r="AA98" s="17"/>
      <c r="AB98" s="17"/>
      <c r="AC98" s="54">
        <f>(L98*(1.75/12))/27</f>
        <v>27.81635802469136</v>
      </c>
      <c r="AD98" s="54"/>
      <c r="AE98" s="54"/>
      <c r="AF98" s="17"/>
      <c r="AG98" s="17"/>
      <c r="AH98" s="17"/>
      <c r="AI98" s="17"/>
      <c r="AJ98" s="39"/>
      <c r="AK98" s="42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2" customFormat="1" ht="12.75" customHeight="1" thickBot="1">
      <c r="A99" s="38">
        <v>10000</v>
      </c>
      <c r="B99" s="38">
        <v>10049.2</v>
      </c>
      <c r="C99" s="16">
        <f t="shared" si="17"/>
        <v>49.20000000000073</v>
      </c>
      <c r="D99" s="16">
        <f aca="true" t="shared" si="24" ref="D99:D104">E99+2</f>
        <v>62.15</v>
      </c>
      <c r="E99" s="16">
        <v>60.15</v>
      </c>
      <c r="F99" s="16"/>
      <c r="G99" s="16"/>
      <c r="H99" s="16"/>
      <c r="I99" s="16"/>
      <c r="J99" s="16">
        <f t="shared" si="18"/>
        <v>3057.780000000045</v>
      </c>
      <c r="K99" s="16">
        <f t="shared" si="19"/>
        <v>2959.3800000000438</v>
      </c>
      <c r="L99" s="16"/>
      <c r="M99" s="16">
        <f t="shared" si="20"/>
        <v>339.75333333333833</v>
      </c>
      <c r="N99" s="16"/>
      <c r="O99" s="17">
        <f aca="true" t="shared" si="25" ref="O99:O104">(K99*(8/12))/27</f>
        <v>73.07111111111219</v>
      </c>
      <c r="P99" s="17"/>
      <c r="Q99" s="17">
        <f t="shared" si="21"/>
        <v>56.625555555556396</v>
      </c>
      <c r="R99" s="17"/>
      <c r="S99" s="17"/>
      <c r="T99" s="17">
        <f t="shared" si="22"/>
        <v>24.661500000000366</v>
      </c>
      <c r="U99" s="17">
        <f t="shared" si="23"/>
        <v>14.79690000000022</v>
      </c>
      <c r="V99" s="17">
        <f aca="true" t="shared" si="26" ref="V99:V104">(K99*(1.75/12))/27</f>
        <v>15.984305555555792</v>
      </c>
      <c r="W99" s="17">
        <f aca="true" t="shared" si="27" ref="W99:W104">(K99*(1.5/12))/27</f>
        <v>13.700833333333536</v>
      </c>
      <c r="X99" s="17"/>
      <c r="Y99" s="17"/>
      <c r="Z99" s="17"/>
      <c r="AA99" s="17"/>
      <c r="AB99" s="17"/>
      <c r="AC99" s="17"/>
      <c r="AD99" s="17"/>
      <c r="AE99" s="54">
        <v>1.66</v>
      </c>
      <c r="AF99" s="17"/>
      <c r="AG99" s="17"/>
      <c r="AH99" s="17"/>
      <c r="AI99" s="17"/>
      <c r="AJ99" s="39">
        <v>1</v>
      </c>
      <c r="AK99" s="42"/>
      <c r="AL99" s="4"/>
      <c r="AM99" s="4"/>
      <c r="AN99" s="4"/>
      <c r="AO99" s="4"/>
      <c r="AP99" s="4"/>
      <c r="AQ99" s="4"/>
      <c r="AR99" s="4"/>
      <c r="AS99" s="4"/>
      <c r="AT99" s="4"/>
    </row>
    <row r="100" spans="1:46" s="2" customFormat="1" ht="12.75" customHeight="1" thickBot="1">
      <c r="A100" s="38">
        <v>10264.8</v>
      </c>
      <c r="B100" s="38">
        <v>10285.36</v>
      </c>
      <c r="C100" s="16">
        <f t="shared" si="17"/>
        <v>20.56000000000131</v>
      </c>
      <c r="D100" s="16">
        <f t="shared" si="24"/>
        <v>63.5</v>
      </c>
      <c r="E100" s="16">
        <v>61.5</v>
      </c>
      <c r="F100" s="16"/>
      <c r="G100" s="16"/>
      <c r="H100" s="16"/>
      <c r="I100" s="16"/>
      <c r="J100" s="16">
        <f t="shared" si="18"/>
        <v>1305.5600000000832</v>
      </c>
      <c r="K100" s="16">
        <f t="shared" si="19"/>
        <v>1264.4400000000805</v>
      </c>
      <c r="L100" s="16"/>
      <c r="M100" s="16">
        <f t="shared" si="20"/>
        <v>145.06222222223147</v>
      </c>
      <c r="N100" s="16"/>
      <c r="O100" s="17">
        <f t="shared" si="25"/>
        <v>31.22074074074273</v>
      </c>
      <c r="P100" s="17"/>
      <c r="Q100" s="17">
        <f t="shared" si="21"/>
        <v>24.177037037038577</v>
      </c>
      <c r="R100" s="17"/>
      <c r="S100" s="17"/>
      <c r="T100" s="17">
        <f t="shared" si="22"/>
        <v>10.537000000000672</v>
      </c>
      <c r="U100" s="17">
        <f t="shared" si="23"/>
        <v>6.322200000000403</v>
      </c>
      <c r="V100" s="17">
        <f t="shared" si="26"/>
        <v>6.829537037037472</v>
      </c>
      <c r="W100" s="17">
        <f t="shared" si="27"/>
        <v>5.853888888889262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39">
        <v>1</v>
      </c>
      <c r="AK100" s="42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s="2" customFormat="1" ht="12.75" customHeight="1" thickBot="1">
      <c r="A101" s="38">
        <v>10285.36</v>
      </c>
      <c r="B101" s="38">
        <v>10878.56</v>
      </c>
      <c r="C101" s="16">
        <f t="shared" si="17"/>
        <v>593.1999999999989</v>
      </c>
      <c r="D101" s="16">
        <f t="shared" si="24"/>
        <v>38</v>
      </c>
      <c r="E101" s="16">
        <v>36</v>
      </c>
      <c r="F101" s="16"/>
      <c r="G101" s="16"/>
      <c r="H101" s="16"/>
      <c r="I101" s="16"/>
      <c r="J101" s="16">
        <f t="shared" si="18"/>
        <v>22541.59999999996</v>
      </c>
      <c r="K101" s="16">
        <f t="shared" si="19"/>
        <v>21355.19999999996</v>
      </c>
      <c r="L101" s="16"/>
      <c r="M101" s="16">
        <f t="shared" si="20"/>
        <v>2504.6222222222177</v>
      </c>
      <c r="N101" s="16"/>
      <c r="O101" s="17">
        <f t="shared" si="25"/>
        <v>527.2888888888879</v>
      </c>
      <c r="P101" s="17"/>
      <c r="Q101" s="17">
        <f t="shared" si="21"/>
        <v>417.43703703703625</v>
      </c>
      <c r="R101" s="17"/>
      <c r="S101" s="17"/>
      <c r="T101" s="17">
        <f t="shared" si="22"/>
        <v>177.95999999999967</v>
      </c>
      <c r="U101" s="17">
        <f t="shared" si="23"/>
        <v>106.7759999999998</v>
      </c>
      <c r="V101" s="17">
        <f t="shared" si="26"/>
        <v>115.34444444444424</v>
      </c>
      <c r="W101" s="17">
        <f t="shared" si="27"/>
        <v>98.86666666666649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39">
        <v>1</v>
      </c>
      <c r="AK101" s="42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s="2" customFormat="1" ht="12.75" customHeight="1" thickBot="1">
      <c r="A102" s="38">
        <v>11095.49</v>
      </c>
      <c r="B102" s="38">
        <v>11474.08</v>
      </c>
      <c r="C102" s="16">
        <f t="shared" si="17"/>
        <v>378.59000000000015</v>
      </c>
      <c r="D102" s="16">
        <f t="shared" si="24"/>
        <v>50</v>
      </c>
      <c r="E102" s="16">
        <v>48</v>
      </c>
      <c r="F102" s="16"/>
      <c r="G102" s="16"/>
      <c r="H102" s="16"/>
      <c r="I102" s="16"/>
      <c r="J102" s="16">
        <f t="shared" si="18"/>
        <v>18929.500000000007</v>
      </c>
      <c r="K102" s="16">
        <f t="shared" si="19"/>
        <v>18172.320000000007</v>
      </c>
      <c r="L102" s="16"/>
      <c r="M102" s="16">
        <f t="shared" si="20"/>
        <v>2103.2777777777787</v>
      </c>
      <c r="N102" s="16"/>
      <c r="O102" s="17">
        <f t="shared" si="25"/>
        <v>448.6992592592594</v>
      </c>
      <c r="P102" s="17"/>
      <c r="Q102" s="17">
        <f t="shared" si="21"/>
        <v>350.5462962962964</v>
      </c>
      <c r="R102" s="17"/>
      <c r="S102" s="17"/>
      <c r="T102" s="17">
        <f t="shared" si="22"/>
        <v>151.43600000000006</v>
      </c>
      <c r="U102" s="17">
        <f t="shared" si="23"/>
        <v>90.86160000000004</v>
      </c>
      <c r="V102" s="17">
        <f t="shared" si="26"/>
        <v>98.152962962963</v>
      </c>
      <c r="W102" s="17">
        <f t="shared" si="27"/>
        <v>84.13111111111114</v>
      </c>
      <c r="X102" s="17"/>
      <c r="Y102" s="17"/>
      <c r="Z102" s="17"/>
      <c r="AA102" s="17"/>
      <c r="AB102" s="17"/>
      <c r="AC102" s="17"/>
      <c r="AD102" s="17"/>
      <c r="AE102" s="54">
        <v>8</v>
      </c>
      <c r="AF102" s="17"/>
      <c r="AG102" s="17"/>
      <c r="AH102" s="17"/>
      <c r="AI102" s="17"/>
      <c r="AJ102" s="39">
        <v>1</v>
      </c>
      <c r="AK102" s="42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s="2" customFormat="1" ht="12.75" customHeight="1" thickBot="1">
      <c r="A103" s="38">
        <v>11474.08</v>
      </c>
      <c r="B103" s="38">
        <v>11899.71</v>
      </c>
      <c r="C103" s="17">
        <f t="shared" si="17"/>
        <v>425.6299999999992</v>
      </c>
      <c r="D103" s="17">
        <f t="shared" si="24"/>
        <v>86</v>
      </c>
      <c r="E103" s="17">
        <v>84</v>
      </c>
      <c r="F103" s="17"/>
      <c r="G103" s="17"/>
      <c r="H103" s="17"/>
      <c r="I103" s="17"/>
      <c r="J103" s="17">
        <f t="shared" si="18"/>
        <v>36604.179999999935</v>
      </c>
      <c r="K103" s="17">
        <f t="shared" si="19"/>
        <v>35752.91999999993</v>
      </c>
      <c r="L103" s="17"/>
      <c r="M103" s="17">
        <f t="shared" si="20"/>
        <v>4067.131111111104</v>
      </c>
      <c r="N103" s="17"/>
      <c r="O103" s="17">
        <f t="shared" si="25"/>
        <v>882.7881481481464</v>
      </c>
      <c r="P103" s="17"/>
      <c r="Q103" s="17">
        <f t="shared" si="21"/>
        <v>677.8551851851839</v>
      </c>
      <c r="R103" s="17"/>
      <c r="S103" s="17"/>
      <c r="T103" s="17">
        <f t="shared" si="22"/>
        <v>297.94099999999946</v>
      </c>
      <c r="U103" s="17">
        <f t="shared" si="23"/>
        <v>178.76459999999966</v>
      </c>
      <c r="V103" s="17">
        <f t="shared" si="26"/>
        <v>193.10990740740706</v>
      </c>
      <c r="W103" s="17">
        <f t="shared" si="27"/>
        <v>165.52277777777746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39">
        <v>1</v>
      </c>
      <c r="AK103" s="42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s="2" customFormat="1" ht="12.75" customHeight="1" thickBot="1">
      <c r="A104" s="38">
        <v>12037.72</v>
      </c>
      <c r="B104" s="38">
        <v>12241.48</v>
      </c>
      <c r="C104" s="16">
        <f t="shared" si="17"/>
        <v>203.76000000000022</v>
      </c>
      <c r="D104" s="16">
        <f t="shared" si="24"/>
        <v>86</v>
      </c>
      <c r="E104" s="16">
        <v>84</v>
      </c>
      <c r="F104" s="16"/>
      <c r="G104" s="16"/>
      <c r="H104" s="16"/>
      <c r="I104" s="16"/>
      <c r="J104" s="16">
        <f t="shared" si="18"/>
        <v>17523.36000000002</v>
      </c>
      <c r="K104" s="16">
        <f t="shared" si="19"/>
        <v>17115.84000000002</v>
      </c>
      <c r="L104" s="16"/>
      <c r="M104" s="16">
        <f t="shared" si="20"/>
        <v>1947.040000000002</v>
      </c>
      <c r="N104" s="16"/>
      <c r="O104" s="17">
        <f t="shared" si="25"/>
        <v>422.6133333333338</v>
      </c>
      <c r="P104" s="17"/>
      <c r="Q104" s="17">
        <f t="shared" si="21"/>
        <v>324.506666666667</v>
      </c>
      <c r="R104" s="17"/>
      <c r="S104" s="17"/>
      <c r="T104" s="17">
        <f t="shared" si="22"/>
        <v>142.63200000000015</v>
      </c>
      <c r="U104" s="17">
        <f t="shared" si="23"/>
        <v>85.57920000000009</v>
      </c>
      <c r="V104" s="17">
        <f t="shared" si="26"/>
        <v>92.44666666666677</v>
      </c>
      <c r="W104" s="17">
        <f t="shared" si="27"/>
        <v>79.24000000000008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39">
        <v>1</v>
      </c>
      <c r="AK104" s="42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s="2" customFormat="1" ht="12.75" customHeight="1" thickBot="1">
      <c r="A105" s="60">
        <v>11271.52</v>
      </c>
      <c r="B105" s="61">
        <v>11843</v>
      </c>
      <c r="C105" s="57">
        <f t="shared" si="17"/>
        <v>571.4799999999996</v>
      </c>
      <c r="D105" s="57">
        <v>4.25</v>
      </c>
      <c r="E105" s="57"/>
      <c r="F105" s="57"/>
      <c r="G105" s="57"/>
      <c r="H105" s="57"/>
      <c r="I105" s="57"/>
      <c r="J105" s="57">
        <f t="shared" si="18"/>
        <v>2428.789999999998</v>
      </c>
      <c r="K105" s="57"/>
      <c r="L105" s="57"/>
      <c r="M105" s="57">
        <f t="shared" si="20"/>
        <v>269.8655555555554</v>
      </c>
      <c r="N105" s="57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>
        <f>(3/12)*J105/27</f>
        <v>22.48879629629628</v>
      </c>
      <c r="AF105" s="54"/>
      <c r="AG105" s="54"/>
      <c r="AH105" s="54"/>
      <c r="AI105" s="54"/>
      <c r="AJ105" s="39"/>
      <c r="AK105" s="42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s="2" customFormat="1" ht="12.75" customHeight="1" thickBot="1">
      <c r="A106" s="60">
        <v>11552.9</v>
      </c>
      <c r="B106" s="61">
        <v>11727</v>
      </c>
      <c r="C106" s="57">
        <f t="shared" si="17"/>
        <v>174.10000000000036</v>
      </c>
      <c r="D106" s="57">
        <v>4.25</v>
      </c>
      <c r="E106" s="57"/>
      <c r="F106" s="57"/>
      <c r="G106" s="57"/>
      <c r="H106" s="57"/>
      <c r="I106" s="57"/>
      <c r="J106" s="57">
        <f t="shared" si="18"/>
        <v>739.9250000000015</v>
      </c>
      <c r="K106" s="57"/>
      <c r="L106" s="57"/>
      <c r="M106" s="57">
        <f t="shared" si="20"/>
        <v>82.21388888888906</v>
      </c>
      <c r="N106" s="57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>
        <f>(3/12)*J106/27</f>
        <v>6.851157407407421</v>
      </c>
      <c r="AF106" s="54"/>
      <c r="AG106" s="54"/>
      <c r="AH106" s="54"/>
      <c r="AI106" s="54"/>
      <c r="AJ106" s="39"/>
      <c r="AK106" s="42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s="2" customFormat="1" ht="12.75" customHeight="1" thickBot="1">
      <c r="A107" s="60">
        <v>12033.15</v>
      </c>
      <c r="B107" s="61">
        <v>12230.23</v>
      </c>
      <c r="C107" s="57">
        <f>B107-A107</f>
        <v>197.07999999999993</v>
      </c>
      <c r="D107" s="57">
        <v>4.25</v>
      </c>
      <c r="E107" s="57"/>
      <c r="F107" s="57"/>
      <c r="G107" s="57"/>
      <c r="H107" s="57"/>
      <c r="I107" s="57"/>
      <c r="J107" s="57">
        <f>C107*D107</f>
        <v>837.5899999999997</v>
      </c>
      <c r="K107" s="57"/>
      <c r="L107" s="57"/>
      <c r="M107" s="57">
        <f>J107/9</f>
        <v>93.06555555555552</v>
      </c>
      <c r="N107" s="57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>
        <f>(3/12)*J107/27</f>
        <v>7.75546296296296</v>
      </c>
      <c r="AF107" s="54"/>
      <c r="AG107" s="54"/>
      <c r="AH107" s="54"/>
      <c r="AI107" s="54"/>
      <c r="AJ107" s="39"/>
      <c r="AK107" s="42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s="2" customFormat="1" ht="12.75" customHeight="1" thickBot="1">
      <c r="A108" s="60">
        <v>12043.68</v>
      </c>
      <c r="B108" s="61">
        <v>12252.531</v>
      </c>
      <c r="C108" s="57">
        <f>B108-A108</f>
        <v>208.85100000000057</v>
      </c>
      <c r="D108" s="57">
        <v>4.25</v>
      </c>
      <c r="E108" s="57"/>
      <c r="F108" s="57"/>
      <c r="G108" s="57"/>
      <c r="H108" s="57"/>
      <c r="I108" s="57"/>
      <c r="J108" s="57">
        <f>C108*D108</f>
        <v>887.6167500000024</v>
      </c>
      <c r="K108" s="57"/>
      <c r="L108" s="57"/>
      <c r="M108" s="57">
        <f>J108/9</f>
        <v>98.6240833333336</v>
      </c>
      <c r="N108" s="57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>
        <f>(3/12)*J108/27</f>
        <v>8.218673611111134</v>
      </c>
      <c r="AF108" s="54"/>
      <c r="AG108" s="54"/>
      <c r="AH108" s="54"/>
      <c r="AI108" s="54"/>
      <c r="AJ108" s="39"/>
      <c r="AK108" s="42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s="2" customFormat="1" ht="12.75" customHeight="1" thickBot="1">
      <c r="A109" s="70" t="s">
        <v>38</v>
      </c>
      <c r="B109" s="71"/>
      <c r="C109" s="21"/>
      <c r="D109" s="19"/>
      <c r="E109" s="19"/>
      <c r="F109" s="25"/>
      <c r="G109" s="25"/>
      <c r="H109" s="25"/>
      <c r="I109" s="19"/>
      <c r="J109" s="19"/>
      <c r="K109" s="19"/>
      <c r="L109" s="19"/>
      <c r="M109" s="20">
        <f>SUM(M97:M108)</f>
        <v>12333.65408333334</v>
      </c>
      <c r="N109" s="20"/>
      <c r="O109" s="20">
        <f>SUM(O97:O108)</f>
        <v>2385.6814814814825</v>
      </c>
      <c r="P109" s="20"/>
      <c r="Q109" s="20">
        <f>SUM(Q97:Q108)</f>
        <v>1869.610462962964</v>
      </c>
      <c r="R109" s="20"/>
      <c r="S109" s="20">
        <f aca="true" t="shared" si="28" ref="S109:Y109">SUM(S97:S108)</f>
        <v>92.44277777777776</v>
      </c>
      <c r="T109" s="20">
        <f t="shared" si="28"/>
        <v>855.0173750000004</v>
      </c>
      <c r="U109" s="20">
        <f t="shared" si="28"/>
        <v>513.0104250000002</v>
      </c>
      <c r="V109" s="20">
        <f t="shared" si="28"/>
        <v>521.8678240740744</v>
      </c>
      <c r="W109" s="20">
        <f t="shared" si="28"/>
        <v>447.3152777777779</v>
      </c>
      <c r="X109" s="20">
        <f t="shared" si="28"/>
        <v>19.86882716049383</v>
      </c>
      <c r="Y109" s="20">
        <f t="shared" si="28"/>
        <v>3.209818672839506</v>
      </c>
      <c r="Z109" s="20"/>
      <c r="AA109" s="20"/>
      <c r="AB109" s="20">
        <f>SUM(AB97:AB108)</f>
        <v>4.493746141975309</v>
      </c>
      <c r="AC109" s="20">
        <f>SUM(AC97:AC108)</f>
        <v>27.81635802469136</v>
      </c>
      <c r="AD109" s="20"/>
      <c r="AE109" s="20">
        <f>SUM(AE97:AE108)</f>
        <v>61.51409027777779</v>
      </c>
      <c r="AF109" s="20"/>
      <c r="AG109" s="20"/>
      <c r="AH109" s="20"/>
      <c r="AI109" s="20"/>
      <c r="AK109" s="3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s="2" customFormat="1" ht="12.75" customHeight="1" thickBot="1">
      <c r="A110" s="45"/>
      <c r="B110" s="46"/>
      <c r="C110" s="21"/>
      <c r="D110" s="19"/>
      <c r="E110" s="19"/>
      <c r="F110" s="25"/>
      <c r="G110" s="25"/>
      <c r="H110" s="25"/>
      <c r="I110" s="19"/>
      <c r="J110" s="19"/>
      <c r="K110" s="19"/>
      <c r="L110" s="19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K110" s="3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s="2" customFormat="1" ht="12.75" customHeight="1" thickBot="1">
      <c r="A111" s="15" t="s">
        <v>75</v>
      </c>
      <c r="B111" s="38"/>
      <c r="C111" s="16"/>
      <c r="D111" s="16"/>
      <c r="E111" s="16"/>
      <c r="F111" s="26"/>
      <c r="G111" s="26"/>
      <c r="H111" s="26"/>
      <c r="I111" s="16"/>
      <c r="J111" s="16"/>
      <c r="K111" s="16"/>
      <c r="L111" s="16"/>
      <c r="M111" s="16"/>
      <c r="N111" s="16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K111" s="3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s="2" customFormat="1" ht="12.75" customHeight="1" thickBot="1">
      <c r="A112" s="38"/>
      <c r="B112" s="38"/>
      <c r="C112" s="16"/>
      <c r="D112" s="16"/>
      <c r="E112" s="16"/>
      <c r="F112" s="16"/>
      <c r="G112" s="16"/>
      <c r="H112" s="16"/>
      <c r="I112" s="16"/>
      <c r="J112" s="16"/>
      <c r="K112" s="16"/>
      <c r="L112" s="16">
        <v>22385.13</v>
      </c>
      <c r="M112" s="16">
        <f>L112/9</f>
        <v>2487.2366666666667</v>
      </c>
      <c r="N112" s="16"/>
      <c r="O112" s="17"/>
      <c r="P112" s="17">
        <f>(L112*(6/12))/27</f>
        <v>414.5394444444445</v>
      </c>
      <c r="Q112" s="17">
        <f>(L112*(6/12))/27</f>
        <v>414.5394444444445</v>
      </c>
      <c r="R112" s="17"/>
      <c r="S112" s="17"/>
      <c r="T112" s="17"/>
      <c r="U112" s="17">
        <f>0.045*(L112/9)</f>
        <v>111.92564999999999</v>
      </c>
      <c r="V112" s="17"/>
      <c r="W112" s="17"/>
      <c r="X112" s="17"/>
      <c r="Y112" s="17"/>
      <c r="Z112" s="17"/>
      <c r="AA112" s="17">
        <f>(L112*(1.5/12))/27</f>
        <v>103.63486111111112</v>
      </c>
      <c r="AB112" s="17"/>
      <c r="AC112" s="17"/>
      <c r="AD112" s="17"/>
      <c r="AE112" s="17"/>
      <c r="AF112" s="17"/>
      <c r="AG112" s="17"/>
      <c r="AH112" s="17"/>
      <c r="AI112" s="17"/>
      <c r="AK112" s="3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37" ht="13.5" thickBot="1">
      <c r="A113" s="70" t="s">
        <v>38</v>
      </c>
      <c r="B113" s="71"/>
      <c r="C113" s="21"/>
      <c r="D113" s="19"/>
      <c r="E113" s="19"/>
      <c r="F113" s="25"/>
      <c r="G113" s="25"/>
      <c r="H113" s="25"/>
      <c r="I113" s="19"/>
      <c r="J113" s="19"/>
      <c r="K113" s="19"/>
      <c r="L113" s="19"/>
      <c r="M113" s="20">
        <f>SUM(M112)</f>
        <v>2487.2366666666667</v>
      </c>
      <c r="N113" s="20"/>
      <c r="O113" s="20"/>
      <c r="P113" s="20">
        <f>SUM(P112)</f>
        <v>414.5394444444445</v>
      </c>
      <c r="Q113" s="20">
        <f>SUM(Q112)</f>
        <v>414.5394444444445</v>
      </c>
      <c r="R113" s="20"/>
      <c r="S113" s="20"/>
      <c r="T113" s="20"/>
      <c r="U113" s="20">
        <f>SUM(U112)</f>
        <v>111.92564999999999</v>
      </c>
      <c r="V113" s="20"/>
      <c r="W113" s="20"/>
      <c r="X113" s="20"/>
      <c r="Y113" s="20"/>
      <c r="Z113" s="20"/>
      <c r="AA113" s="20">
        <f>SUM(AA112)</f>
        <v>103.63486111111112</v>
      </c>
      <c r="AB113" s="20"/>
      <c r="AC113" s="20"/>
      <c r="AD113" s="20"/>
      <c r="AE113" s="20"/>
      <c r="AF113" s="20"/>
      <c r="AG113" s="20"/>
      <c r="AH113" s="20"/>
      <c r="AI113" s="20"/>
      <c r="AJ113" s="39"/>
      <c r="AK113" s="42"/>
    </row>
    <row r="114" spans="1:37" ht="13.5" thickBot="1">
      <c r="A114" s="15"/>
      <c r="B114" s="38"/>
      <c r="C114" s="16"/>
      <c r="D114" s="16"/>
      <c r="E114" s="16"/>
      <c r="F114" s="26"/>
      <c r="G114" s="26"/>
      <c r="H114" s="26"/>
      <c r="I114" s="16"/>
      <c r="J114" s="16"/>
      <c r="K114" s="16"/>
      <c r="L114" s="16"/>
      <c r="M114" s="16"/>
      <c r="N114" s="16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39"/>
      <c r="AK114" s="42"/>
    </row>
    <row r="115" spans="1:46" s="2" customFormat="1" ht="12.75" customHeight="1" thickBot="1">
      <c r="A115" s="15" t="s">
        <v>72</v>
      </c>
      <c r="B115" s="38"/>
      <c r="C115" s="16"/>
      <c r="D115" s="16"/>
      <c r="E115" s="16"/>
      <c r="F115" s="26"/>
      <c r="G115" s="26"/>
      <c r="H115" s="26"/>
      <c r="I115" s="16"/>
      <c r="J115" s="16"/>
      <c r="K115" s="16"/>
      <c r="L115" s="16"/>
      <c r="M115" s="16"/>
      <c r="N115" s="16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39"/>
      <c r="AK115" s="42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s="2" customFormat="1" ht="12.75" customHeight="1" thickBot="1">
      <c r="A116" s="38">
        <v>10285.36</v>
      </c>
      <c r="B116" s="38">
        <v>10878.56</v>
      </c>
      <c r="C116" s="16">
        <f>B116-A116</f>
        <v>593.1999999999989</v>
      </c>
      <c r="D116" s="16"/>
      <c r="E116" s="16"/>
      <c r="F116" s="16"/>
      <c r="G116" s="16"/>
      <c r="H116" s="16"/>
      <c r="I116" s="16"/>
      <c r="J116" s="16"/>
      <c r="K116" s="16"/>
      <c r="L116" s="16">
        <v>11304.58</v>
      </c>
      <c r="M116" s="16">
        <f>L116/9</f>
        <v>1256.0644444444445</v>
      </c>
      <c r="N116" s="16"/>
      <c r="O116" s="17">
        <f>(L116*(8/12))/27</f>
        <v>279.12543209876543</v>
      </c>
      <c r="P116" s="17"/>
      <c r="Q116" s="17">
        <f>(L116*(6/12))/27</f>
        <v>209.3440740740741</v>
      </c>
      <c r="R116" s="17"/>
      <c r="S116" s="17"/>
      <c r="T116" s="17">
        <f>0.075*(L116/9)</f>
        <v>94.20483333333333</v>
      </c>
      <c r="U116" s="17">
        <f>0.045*(L116/9)</f>
        <v>56.5229</v>
      </c>
      <c r="V116" s="17">
        <f>(L116*(1.75/12))/27</f>
        <v>61.05868827160494</v>
      </c>
      <c r="W116" s="17">
        <f>(L116*(1.5/12))/27</f>
        <v>52.33601851851852</v>
      </c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39">
        <v>1</v>
      </c>
      <c r="AK116" s="42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s="2" customFormat="1" ht="12.75" customHeight="1" thickBot="1">
      <c r="A117" s="38">
        <v>11095.49</v>
      </c>
      <c r="B117" s="38">
        <v>11474.08</v>
      </c>
      <c r="C117" s="16">
        <f>B117-A117</f>
        <v>378.59000000000015</v>
      </c>
      <c r="D117" s="16"/>
      <c r="E117" s="16"/>
      <c r="F117" s="16"/>
      <c r="G117" s="16"/>
      <c r="H117" s="16"/>
      <c r="I117" s="16"/>
      <c r="J117" s="16"/>
      <c r="K117" s="16"/>
      <c r="L117" s="16">
        <v>875.05</v>
      </c>
      <c r="M117" s="16">
        <f>L117/9</f>
        <v>97.22777777777777</v>
      </c>
      <c r="N117" s="16"/>
      <c r="O117" s="17">
        <f>(L117*(8/12))/27</f>
        <v>21.60617283950617</v>
      </c>
      <c r="P117" s="17"/>
      <c r="Q117" s="17">
        <f>(L117*(6/12))/27</f>
        <v>16.20462962962963</v>
      </c>
      <c r="R117" s="17"/>
      <c r="S117" s="17"/>
      <c r="T117" s="17">
        <f>0.075*(L117/9)</f>
        <v>7.292083333333332</v>
      </c>
      <c r="U117" s="17">
        <f>0.045*(L117/9)</f>
        <v>4.375249999999999</v>
      </c>
      <c r="V117" s="17">
        <f>(L117*(1.75/12))/27</f>
        <v>4.726350308641975</v>
      </c>
      <c r="W117" s="17">
        <f>(L117*(1.5/12))/27</f>
        <v>4.051157407407407</v>
      </c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39">
        <v>1</v>
      </c>
      <c r="AK117" s="42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s="2" customFormat="1" ht="12.75" customHeight="1" thickBot="1">
      <c r="A118" s="70" t="s">
        <v>38</v>
      </c>
      <c r="B118" s="71"/>
      <c r="C118" s="21"/>
      <c r="D118" s="19"/>
      <c r="E118" s="19"/>
      <c r="F118" s="25"/>
      <c r="G118" s="25"/>
      <c r="H118" s="25"/>
      <c r="I118" s="19"/>
      <c r="J118" s="19"/>
      <c r="K118" s="19"/>
      <c r="L118" s="19"/>
      <c r="M118" s="20">
        <f>SUM(M116:M117)</f>
        <v>1353.2922222222223</v>
      </c>
      <c r="N118" s="20"/>
      <c r="O118" s="20">
        <f aca="true" t="shared" si="29" ref="O118:V118">SUM(O116:O117)</f>
        <v>300.7316049382716</v>
      </c>
      <c r="P118" s="20"/>
      <c r="Q118" s="20">
        <f t="shared" si="29"/>
        <v>225.54870370370372</v>
      </c>
      <c r="R118" s="20"/>
      <c r="S118" s="20"/>
      <c r="T118" s="20">
        <f t="shared" si="29"/>
        <v>101.49691666666666</v>
      </c>
      <c r="U118" s="20">
        <f t="shared" si="29"/>
        <v>60.89815</v>
      </c>
      <c r="V118" s="20">
        <f t="shared" si="29"/>
        <v>65.78503858024692</v>
      </c>
      <c r="W118" s="20">
        <f>SUM(W116:W117)</f>
        <v>56.38717592592593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K118" s="3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3.5" thickBot="1">
      <c r="A119" s="43" t="s">
        <v>45</v>
      </c>
      <c r="B119" s="44"/>
      <c r="C119" s="21"/>
      <c r="D119" s="19"/>
      <c r="E119" s="19"/>
      <c r="F119" s="25"/>
      <c r="G119" s="25"/>
      <c r="H119" s="25"/>
      <c r="I119" s="19"/>
      <c r="J119" s="19"/>
      <c r="K119" s="19"/>
      <c r="L119" s="19"/>
      <c r="M119" s="20">
        <f>SUM(M38,M47,M51,M55,M59,M67,M73,M78,M83,M94,M109,M118,M113)</f>
        <v>32558.943433888933</v>
      </c>
      <c r="N119" s="20">
        <f>SUM(N38,N47,N51,N55,N59,N67,N73,N78,N83,N94,N109,N118,N113)</f>
        <v>9809.177877777773</v>
      </c>
      <c r="O119" s="20">
        <f>SUM(O38,O47,O51,O55,O59,O67,O73,O78,O83,O94,O109,O118,O113)</f>
        <v>3626.540708518527</v>
      </c>
      <c r="P119" s="20">
        <f>SUM(P38,P47,P51,P55,P59,P67,P73,P78,P83,P94,P109,P118,P113)</f>
        <v>414.5394444444445</v>
      </c>
      <c r="Q119" s="20">
        <f>SUM(Q38,Q47,Q51,Q55,Q59,Q67,Q73,Q78,Q83,Q94,Q109,Q118,Q113)-Q120</f>
        <v>4511.507401759266</v>
      </c>
      <c r="R119" s="20">
        <f aca="true" t="shared" si="30" ref="R119:AH119">SUM(R38,R47,R51,R55,R59,R67,R73,R78,R83,R94,R109,R118,R113)-R120</f>
        <v>94.13358024691357</v>
      </c>
      <c r="S119" s="20">
        <f t="shared" si="30"/>
        <v>1430.926111111111</v>
      </c>
      <c r="T119" s="20">
        <f t="shared" si="30"/>
        <v>2109.8819549583354</v>
      </c>
      <c r="U119" s="20">
        <f t="shared" si="30"/>
        <v>1377.854822975001</v>
      </c>
      <c r="V119" s="20">
        <f t="shared" si="30"/>
        <v>793.3057799884278</v>
      </c>
      <c r="W119" s="20">
        <f t="shared" si="30"/>
        <v>679.9763828472237</v>
      </c>
      <c r="X119" s="20">
        <f t="shared" si="30"/>
        <v>365.3532056327158</v>
      </c>
      <c r="Y119" s="20">
        <f t="shared" si="30"/>
        <v>3.209818672839506</v>
      </c>
      <c r="Z119" s="20">
        <f t="shared" si="30"/>
        <v>41.5871913580247</v>
      </c>
      <c r="AA119" s="20">
        <f t="shared" si="30"/>
        <v>103.63486111111112</v>
      </c>
      <c r="AB119" s="20">
        <f t="shared" si="30"/>
        <v>4.493746141975309</v>
      </c>
      <c r="AC119" s="20">
        <f t="shared" si="30"/>
        <v>452.08090763888856</v>
      </c>
      <c r="AD119" s="20">
        <f t="shared" si="30"/>
        <v>58.22206790123457</v>
      </c>
      <c r="AE119" s="20">
        <f t="shared" si="30"/>
        <v>85.69462268518524</v>
      </c>
      <c r="AF119" s="20">
        <f t="shared" si="30"/>
        <v>2596.398833333335</v>
      </c>
      <c r="AG119" s="20">
        <f t="shared" si="30"/>
        <v>423.6011111111111</v>
      </c>
      <c r="AH119" s="20">
        <f t="shared" si="30"/>
        <v>124.38333333333351</v>
      </c>
      <c r="AI119" s="20">
        <f>SUM(AI38,AI47,AI51,AI55,AI59,AI67,AI73,AI78,AI83,AI94,AI109,AI118,AI113)-AI120</f>
        <v>3054.134939999997</v>
      </c>
      <c r="AS119"/>
      <c r="AT119"/>
    </row>
    <row r="120" spans="1:46" s="69" customFormat="1" ht="12.75">
      <c r="A120" s="63"/>
      <c r="B120" s="63"/>
      <c r="C120" s="63"/>
      <c r="D120" s="63"/>
      <c r="E120" s="63"/>
      <c r="F120" s="66"/>
      <c r="G120" s="66"/>
      <c r="H120" s="66"/>
      <c r="I120" s="63"/>
      <c r="J120" s="63"/>
      <c r="K120" s="63"/>
      <c r="L120" s="63"/>
      <c r="M120" s="63"/>
      <c r="N120" s="63"/>
      <c r="O120" s="63"/>
      <c r="P120" s="63"/>
      <c r="Q120" s="67">
        <f>SUM(Q41:Q46)</f>
        <v>527.2901388888894</v>
      </c>
      <c r="R120" s="67"/>
      <c r="S120" s="67">
        <f>SUM(S41:S46)</f>
        <v>715.7933333333334</v>
      </c>
      <c r="T120" s="67">
        <f>SUM(T41:T46)</f>
        <v>53.68450000000001</v>
      </c>
      <c r="U120" s="67">
        <f>SUM(U41:U46)</f>
        <v>32.2107</v>
      </c>
      <c r="V120" s="67">
        <f>SUM(V41:V46)</f>
        <v>34.79550925925926</v>
      </c>
      <c r="W120" s="67"/>
      <c r="X120" s="67">
        <f>SUM(X41:X46)</f>
        <v>24.85393518518519</v>
      </c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>
        <f>SUM(AI41:AI46)</f>
        <v>2369.994166666669</v>
      </c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</row>
    <row r="123" spans="1:2" ht="12.75">
      <c r="A123" s="76"/>
      <c r="B123" s="78"/>
    </row>
    <row r="124" spans="1:2" ht="12.75">
      <c r="A124" s="76"/>
      <c r="B124" s="77"/>
    </row>
  </sheetData>
  <sheetProtection/>
  <mergeCells count="24">
    <mergeCell ref="A113:B113"/>
    <mergeCell ref="L7:L10"/>
    <mergeCell ref="A124:B124"/>
    <mergeCell ref="A123:B123"/>
    <mergeCell ref="I7:I10"/>
    <mergeCell ref="A38:B38"/>
    <mergeCell ref="A7:B10"/>
    <mergeCell ref="A47:B47"/>
    <mergeCell ref="D7:D10"/>
    <mergeCell ref="E7:E10"/>
    <mergeCell ref="A109:B109"/>
    <mergeCell ref="J7:J10"/>
    <mergeCell ref="A78:B78"/>
    <mergeCell ref="A83:B83"/>
    <mergeCell ref="A51:B51"/>
    <mergeCell ref="A55:B55"/>
    <mergeCell ref="A59:B59"/>
    <mergeCell ref="A73:B73"/>
    <mergeCell ref="A6:AI6"/>
    <mergeCell ref="A118:B118"/>
    <mergeCell ref="A94:B94"/>
    <mergeCell ref="K7:K10"/>
    <mergeCell ref="A67:B67"/>
    <mergeCell ref="C7:C10"/>
  </mergeCells>
  <hyperlinks>
    <hyperlink ref="A5" r:id="rId1" display="pw:\\HNTBW352:Design_Build\Documents\Walsh\49633 Central Viaduct Innerbelt WB Bridge\Design Post Award\Cadd\Base\Working\49633-B-RD-DS-CMS_quant.dgn"/>
  </hyperlinks>
  <printOptions/>
  <pageMargins left="0.75" right="0.75" top="0.75" bottom="0.75" header="0.5" footer="0.5"/>
  <pageSetup fitToHeight="0" fitToWidth="1" horizontalDpi="300" verticalDpi="300" orientation="landscape" paperSize="17" scale="70" r:id="rId2"/>
  <headerFooter alignWithMargins="0">
    <oddHeader>&amp;C&amp;F</oddHeader>
    <oddFooter xml:space="preserve">&amp;C&amp;A&amp;R&amp;P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HNTB-Ohio,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NAvellana</dc:creator>
  <cp:keywords/>
  <dc:description/>
  <cp:lastModifiedBy>Kevin Monroe</cp:lastModifiedBy>
  <cp:lastPrinted>2014-05-29T16:15:24Z</cp:lastPrinted>
  <dcterms:created xsi:type="dcterms:W3CDTF">1998-05-14T12:49:36Z</dcterms:created>
  <dcterms:modified xsi:type="dcterms:W3CDTF">2016-01-11T22:42:08Z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