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195" windowHeight="5955" activeTab="3"/>
  </bookViews>
  <sheets>
    <sheet name="BMP Summary Sheet" sheetId="1" r:id="rId1"/>
    <sheet name="VBF" sheetId="2" r:id="rId2"/>
    <sheet name="Sheet Flow and VFS" sheetId="3" r:id="rId3"/>
    <sheet name="Possible basins" sheetId="4" r:id="rId4"/>
    <sheet name="Basins for Dual Culverts" sheetId="6" r:id="rId5"/>
    <sheet name="ExT" sheetId="5" r:id="rId6"/>
  </sheets>
  <definedNames>
    <definedName name="_xlnm.Print_Area" localSheetId="4">'Basins for Dual Culverts'!$A$1:$R$45</definedName>
    <definedName name="_xlnm.Print_Area" localSheetId="0">'BMP Summary Sheet'!$A$1:$P$31</definedName>
    <definedName name="_xlnm.Print_Area" localSheetId="1">VBF!$A$2:$M$132</definedName>
  </definedNames>
  <calcPr calcId="145621"/>
</workbook>
</file>

<file path=xl/calcChain.xml><?xml version="1.0" encoding="utf-8"?>
<calcChain xmlns="http://schemas.openxmlformats.org/spreadsheetml/2006/main">
  <c r="S29" i="1" l="1"/>
  <c r="M1" i="6"/>
  <c r="O9" i="6"/>
  <c r="M8" i="6"/>
  <c r="O8" i="6" s="1"/>
  <c r="D1" i="6"/>
  <c r="I32" i="6"/>
  <c r="D44" i="6"/>
  <c r="C44" i="6"/>
  <c r="C8" i="6"/>
  <c r="E8" i="6" s="1"/>
  <c r="E9" i="6"/>
  <c r="N43" i="6"/>
  <c r="M43" i="6"/>
  <c r="D43" i="6"/>
  <c r="C43" i="6"/>
  <c r="N42" i="6"/>
  <c r="M42" i="6"/>
  <c r="D42" i="6"/>
  <c r="C42" i="6"/>
  <c r="N41" i="6"/>
  <c r="M41" i="6"/>
  <c r="D41" i="6"/>
  <c r="C41" i="6"/>
  <c r="N40" i="6"/>
  <c r="M40" i="6"/>
  <c r="D40" i="6"/>
  <c r="C40" i="6"/>
  <c r="N39" i="6"/>
  <c r="M39" i="6"/>
  <c r="K39" i="6"/>
  <c r="D39" i="6"/>
  <c r="C39" i="6"/>
  <c r="A39" i="6"/>
  <c r="A40" i="6" s="1"/>
  <c r="P38" i="6"/>
  <c r="M38" i="6"/>
  <c r="F38" i="6"/>
  <c r="C38" i="6"/>
  <c r="M19" i="6"/>
  <c r="C19" i="6"/>
  <c r="O7" i="6"/>
  <c r="E7" i="6"/>
  <c r="J49" i="5"/>
  <c r="K49" i="5" s="1"/>
  <c r="I49" i="5"/>
  <c r="G49" i="5"/>
  <c r="H49" i="5" s="1"/>
  <c r="E49" i="5"/>
  <c r="I48" i="5"/>
  <c r="G48" i="5"/>
  <c r="J48" i="5" s="1"/>
  <c r="K48" i="5" s="1"/>
  <c r="E48" i="5"/>
  <c r="G2" i="3"/>
  <c r="H2" i="3"/>
  <c r="F5" i="2"/>
  <c r="F7" i="2"/>
  <c r="F10" i="2"/>
  <c r="F12" i="2"/>
  <c r="F25" i="2"/>
  <c r="D1" i="4"/>
  <c r="N12" i="1"/>
  <c r="M1" i="4"/>
  <c r="F30" i="2"/>
  <c r="H30" i="2"/>
  <c r="F34" i="2"/>
  <c r="F35" i="2"/>
  <c r="F38" i="2"/>
  <c r="F41" i="2"/>
  <c r="F47" i="2"/>
  <c r="F57" i="2"/>
  <c r="F59" i="2"/>
  <c r="F61" i="2"/>
  <c r="F63" i="2"/>
  <c r="F67" i="2"/>
  <c r="F74" i="2"/>
  <c r="AF9" i="4"/>
  <c r="F82" i="2"/>
  <c r="F86" i="2"/>
  <c r="F88" i="2"/>
  <c r="H88" i="2"/>
  <c r="L106" i="2"/>
  <c r="K100" i="2"/>
  <c r="L105" i="2"/>
  <c r="F95" i="2"/>
  <c r="L107" i="2" l="1"/>
  <c r="H48" i="5"/>
  <c r="E39" i="6"/>
  <c r="F39" i="6" s="1"/>
  <c r="O39" i="6"/>
  <c r="P39" i="6" s="1"/>
  <c r="K40" i="6"/>
  <c r="K41" i="6" s="1"/>
  <c r="K42" i="6" s="1"/>
  <c r="O11" i="6"/>
  <c r="O12" i="6" s="1"/>
  <c r="M20" i="6" s="1"/>
  <c r="M21" i="6" s="1"/>
  <c r="M22" i="6" s="1"/>
  <c r="E11" i="6"/>
  <c r="E12" i="6" s="1"/>
  <c r="C20" i="6" s="1"/>
  <c r="C21" i="6" s="1"/>
  <c r="C22" i="6" s="1"/>
  <c r="A41" i="6"/>
  <c r="E40" i="6"/>
  <c r="F40" i="6" s="1"/>
  <c r="M107" i="2"/>
  <c r="L108" i="2"/>
  <c r="G93" i="2"/>
  <c r="H93" i="2" s="1"/>
  <c r="H98" i="2"/>
  <c r="H97" i="2"/>
  <c r="H96" i="2"/>
  <c r="AY9" i="4"/>
  <c r="AY11" i="4" s="1"/>
  <c r="I47" i="5"/>
  <c r="G47" i="5"/>
  <c r="E47" i="5"/>
  <c r="I46" i="5"/>
  <c r="G46" i="5"/>
  <c r="J46" i="5" s="1"/>
  <c r="K46" i="5" s="1"/>
  <c r="E46" i="5"/>
  <c r="E45" i="5"/>
  <c r="E44" i="5"/>
  <c r="H95" i="2"/>
  <c r="AZ43" i="4"/>
  <c r="AZ42" i="4"/>
  <c r="AY43" i="4"/>
  <c r="AY42" i="4"/>
  <c r="AW39" i="4"/>
  <c r="BA8" i="4"/>
  <c r="AZ41" i="4"/>
  <c r="AY41" i="4"/>
  <c r="AZ40" i="4"/>
  <c r="AY40" i="4"/>
  <c r="AZ39" i="4"/>
  <c r="AY39" i="4"/>
  <c r="BB38" i="4"/>
  <c r="AY38" i="4"/>
  <c r="BA7" i="4"/>
  <c r="AO8" i="4"/>
  <c r="AO9" i="4" s="1"/>
  <c r="AP41" i="4"/>
  <c r="AO41" i="4"/>
  <c r="AP40" i="4"/>
  <c r="AO40" i="4"/>
  <c r="AP39" i="4"/>
  <c r="AO39" i="4"/>
  <c r="AR38" i="4"/>
  <c r="AO38" i="4"/>
  <c r="AQ7" i="4"/>
  <c r="H91" i="2"/>
  <c r="F83" i="2"/>
  <c r="F78" i="2"/>
  <c r="F76" i="2"/>
  <c r="J57" i="5"/>
  <c r="K57" i="5" s="1"/>
  <c r="I57" i="5"/>
  <c r="G57" i="5"/>
  <c r="H57" i="5" s="1"/>
  <c r="I56" i="5"/>
  <c r="G56" i="5"/>
  <c r="J56" i="5" s="1"/>
  <c r="K56" i="5" s="1"/>
  <c r="J47" i="5" l="1"/>
  <c r="K47" i="5" s="1"/>
  <c r="H47" i="5"/>
  <c r="H56" i="5"/>
  <c r="O41" i="6"/>
  <c r="O40" i="6"/>
  <c r="P40" i="6" s="1"/>
  <c r="M23" i="6"/>
  <c r="N23" i="6" s="1"/>
  <c r="N24" i="6" s="1"/>
  <c r="M28" i="6"/>
  <c r="A42" i="6"/>
  <c r="E41" i="6"/>
  <c r="F41" i="6" s="1"/>
  <c r="O42" i="6"/>
  <c r="K43" i="6"/>
  <c r="C23" i="6"/>
  <c r="D23" i="6" s="1"/>
  <c r="D24" i="6" s="1"/>
  <c r="C28" i="6"/>
  <c r="H46" i="5"/>
  <c r="BA42" i="4"/>
  <c r="AY19" i="4"/>
  <c r="BA9" i="4"/>
  <c r="BA11" i="4" s="1"/>
  <c r="BA12" i="4" s="1"/>
  <c r="AY20" i="4" s="1"/>
  <c r="BA39" i="4"/>
  <c r="BB39" i="4" s="1"/>
  <c r="AW40" i="4"/>
  <c r="AW41" i="4" s="1"/>
  <c r="AW42" i="4" s="1"/>
  <c r="AW43" i="4" s="1"/>
  <c r="BA43" i="4" s="1"/>
  <c r="AO11" i="4"/>
  <c r="AO19" i="4" s="1"/>
  <c r="AQ8" i="4"/>
  <c r="AQ9" i="4"/>
  <c r="AQ40" i="4"/>
  <c r="AQ39" i="4"/>
  <c r="AR39" i="4" s="1"/>
  <c r="AF11" i="4"/>
  <c r="AH8" i="4"/>
  <c r="AG44" i="4"/>
  <c r="AF44" i="4"/>
  <c r="AG43" i="4"/>
  <c r="AF43" i="4"/>
  <c r="AG42" i="4"/>
  <c r="AF42" i="4"/>
  <c r="AG41" i="4"/>
  <c r="AF41" i="4"/>
  <c r="AG40" i="4"/>
  <c r="AF40" i="4"/>
  <c r="AG39" i="4"/>
  <c r="AF39" i="4"/>
  <c r="AD39" i="4"/>
  <c r="AD40" i="4" s="1"/>
  <c r="AI38" i="4"/>
  <c r="AF38" i="4"/>
  <c r="AH7" i="4"/>
  <c r="E54" i="5"/>
  <c r="G54" i="5"/>
  <c r="J54" i="5" s="1"/>
  <c r="K54" i="5" s="1"/>
  <c r="I55" i="5"/>
  <c r="I54" i="5"/>
  <c r="E53" i="5"/>
  <c r="E52" i="5"/>
  <c r="I53" i="5"/>
  <c r="J53" i="5" s="1"/>
  <c r="K53" i="5" s="1"/>
  <c r="G53" i="5"/>
  <c r="H53" i="5" s="1"/>
  <c r="I52" i="5"/>
  <c r="G52" i="5"/>
  <c r="I51" i="5"/>
  <c r="G51" i="5"/>
  <c r="H51" i="5" s="1"/>
  <c r="E51" i="5"/>
  <c r="I50" i="5"/>
  <c r="G50" i="5"/>
  <c r="H50" i="5" s="1"/>
  <c r="E50" i="5"/>
  <c r="F2" i="5"/>
  <c r="E43" i="5"/>
  <c r="E42" i="5"/>
  <c r="I45" i="5"/>
  <c r="G45" i="5"/>
  <c r="H45" i="5" s="1"/>
  <c r="I44" i="5"/>
  <c r="G44" i="5"/>
  <c r="J44" i="5" s="1"/>
  <c r="K44" i="5" s="1"/>
  <c r="I43" i="5"/>
  <c r="G43" i="5"/>
  <c r="J43" i="5" s="1"/>
  <c r="K43" i="5" s="1"/>
  <c r="I42" i="5"/>
  <c r="J42" i="5" s="1"/>
  <c r="K42" i="5" s="1"/>
  <c r="G42" i="5"/>
  <c r="H42" i="5" s="1"/>
  <c r="H73" i="2"/>
  <c r="F73" i="2"/>
  <c r="C70" i="2"/>
  <c r="F50" i="2"/>
  <c r="H49" i="2"/>
  <c r="H45" i="2"/>
  <c r="G46" i="2"/>
  <c r="H46" i="2" s="1"/>
  <c r="J46" i="2" s="1"/>
  <c r="J42" i="2"/>
  <c r="J39" i="2"/>
  <c r="H38" i="2"/>
  <c r="G36" i="2"/>
  <c r="H36" i="2" s="1"/>
  <c r="H35" i="2"/>
  <c r="F2" i="3"/>
  <c r="J50" i="5" l="1"/>
  <c r="K50" i="5" s="1"/>
  <c r="AF19" i="4"/>
  <c r="AE1" i="4"/>
  <c r="J52" i="5"/>
  <c r="K52" i="5" s="1"/>
  <c r="H52" i="5"/>
  <c r="P41" i="6"/>
  <c r="P42" i="6" s="1"/>
  <c r="C30" i="6"/>
  <c r="C29" i="6"/>
  <c r="H40" i="6"/>
  <c r="H42" i="6" s="1"/>
  <c r="G43" i="6" s="1"/>
  <c r="M31" i="6"/>
  <c r="M32" i="6" s="1"/>
  <c r="N32" i="6" s="1"/>
  <c r="R40" i="6"/>
  <c r="R42" i="6" s="1"/>
  <c r="M30" i="6"/>
  <c r="M29" i="6"/>
  <c r="O43" i="6"/>
  <c r="E42" i="6"/>
  <c r="F42" i="6" s="1"/>
  <c r="A43" i="6"/>
  <c r="E44" i="6" s="1"/>
  <c r="N23" i="1"/>
  <c r="H2" i="2"/>
  <c r="AY21" i="4"/>
  <c r="AY22" i="4" s="1"/>
  <c r="AY28" i="4" s="1"/>
  <c r="BA40" i="4"/>
  <c r="BB40" i="4" s="1"/>
  <c r="BA41" i="4"/>
  <c r="AQ11" i="4"/>
  <c r="AQ12" i="4" s="1"/>
  <c r="AO20" i="4" s="1"/>
  <c r="AO21" i="4" s="1"/>
  <c r="AO22" i="4" s="1"/>
  <c r="AO28" i="4" s="1"/>
  <c r="AR40" i="4"/>
  <c r="AQ41" i="4"/>
  <c r="AH9" i="4"/>
  <c r="AH11" i="4" s="1"/>
  <c r="AH12" i="4" s="1"/>
  <c r="AF20" i="4" s="1"/>
  <c r="AH40" i="4"/>
  <c r="AD41" i="4"/>
  <c r="AH39" i="4"/>
  <c r="AI39" i="4" s="1"/>
  <c r="H54" i="5"/>
  <c r="J51" i="5"/>
  <c r="K51" i="5" s="1"/>
  <c r="H44" i="5"/>
  <c r="J45" i="5"/>
  <c r="K45" i="5" s="1"/>
  <c r="H43" i="5"/>
  <c r="F8" i="2"/>
  <c r="F9" i="2"/>
  <c r="F6" i="2"/>
  <c r="G28" i="2"/>
  <c r="G65" i="2"/>
  <c r="H65" i="2" s="1"/>
  <c r="X26" i="1"/>
  <c r="W27" i="1"/>
  <c r="X27" i="1" s="1"/>
  <c r="W26" i="1"/>
  <c r="V28" i="1"/>
  <c r="U28" i="1"/>
  <c r="G10" i="1"/>
  <c r="H12" i="1" s="1"/>
  <c r="H29" i="1" s="1"/>
  <c r="H74" i="2"/>
  <c r="J72" i="2" s="1"/>
  <c r="H70" i="2"/>
  <c r="H68" i="2"/>
  <c r="H67" i="2"/>
  <c r="N21" i="1"/>
  <c r="AF21" i="4" l="1"/>
  <c r="AF22" i="4" s="1"/>
  <c r="AF28" i="4" s="1"/>
  <c r="Q43" i="6"/>
  <c r="P43" i="6"/>
  <c r="E43" i="6"/>
  <c r="F43" i="6" s="1"/>
  <c r="AY23" i="4"/>
  <c r="AZ23" i="4" s="1"/>
  <c r="AZ24" i="4" s="1"/>
  <c r="BB41" i="4"/>
  <c r="AY31" i="4"/>
  <c r="AY32" i="4" s="1"/>
  <c r="AZ32" i="4" s="1"/>
  <c r="BD40" i="4"/>
  <c r="AY29" i="4"/>
  <c r="AY30" i="4"/>
  <c r="AO29" i="4"/>
  <c r="AT40" i="4"/>
  <c r="AS41" i="4" s="1"/>
  <c r="AO23" i="4"/>
  <c r="AP23" i="4" s="1"/>
  <c r="AP24" i="4" s="1"/>
  <c r="AR41" i="4"/>
  <c r="AO30" i="4"/>
  <c r="AO31" i="4"/>
  <c r="AO32" i="4" s="1"/>
  <c r="AP32" i="4" s="1"/>
  <c r="AF23" i="4"/>
  <c r="AG23" i="4" s="1"/>
  <c r="AG24" i="4" s="1"/>
  <c r="AH41" i="4"/>
  <c r="AD42" i="4"/>
  <c r="AI40" i="4"/>
  <c r="N20" i="1"/>
  <c r="H63" i="2"/>
  <c r="J63" i="2" s="1"/>
  <c r="N16" i="1"/>
  <c r="H55" i="2"/>
  <c r="J55" i="2" s="1"/>
  <c r="H50" i="2"/>
  <c r="H47" i="2"/>
  <c r="H41" i="2"/>
  <c r="H40" i="2"/>
  <c r="G43" i="2"/>
  <c r="H43" i="2" s="1"/>
  <c r="I39" i="5"/>
  <c r="I40" i="5"/>
  <c r="G40" i="5"/>
  <c r="I38" i="5"/>
  <c r="G38" i="5"/>
  <c r="J38" i="5" s="1"/>
  <c r="K38" i="5" s="1"/>
  <c r="N18" i="1"/>
  <c r="N17" i="1"/>
  <c r="H32" i="2"/>
  <c r="X44" i="4"/>
  <c r="W44" i="4"/>
  <c r="X39" i="4"/>
  <c r="W11" i="4"/>
  <c r="W19" i="4" s="1"/>
  <c r="Y9" i="4"/>
  <c r="U39" i="4"/>
  <c r="U40" i="4" s="1"/>
  <c r="Z38" i="4"/>
  <c r="W38" i="4"/>
  <c r="Y8" i="4"/>
  <c r="Y7" i="4"/>
  <c r="H29" i="2"/>
  <c r="J29" i="2" s="1"/>
  <c r="H28" i="2"/>
  <c r="Q41" i="6" l="1"/>
  <c r="G41" i="6"/>
  <c r="F44" i="6"/>
  <c r="BB42" i="4"/>
  <c r="BB43" i="4" s="1"/>
  <c r="BC41" i="4"/>
  <c r="BD42" i="4"/>
  <c r="BC43" i="4" s="1"/>
  <c r="AT42" i="4"/>
  <c r="AS43" i="4" s="1"/>
  <c r="AF31" i="4"/>
  <c r="AF32" i="4" s="1"/>
  <c r="AG32" i="4" s="1"/>
  <c r="AK40" i="4"/>
  <c r="AF29" i="4"/>
  <c r="AF30" i="4"/>
  <c r="AI41" i="4"/>
  <c r="AH42" i="4"/>
  <c r="AD43" i="4"/>
  <c r="AD44" i="4" s="1"/>
  <c r="AH44" i="4" s="1"/>
  <c r="J40" i="5"/>
  <c r="K40" i="5" s="1"/>
  <c r="F2" i="2"/>
  <c r="H38" i="5"/>
  <c r="G39" i="5"/>
  <c r="J39" i="5" s="1"/>
  <c r="K39" i="5" s="1"/>
  <c r="H40" i="5"/>
  <c r="W40" i="4"/>
  <c r="W41" i="4"/>
  <c r="W39" i="4"/>
  <c r="X41" i="4"/>
  <c r="X40" i="4"/>
  <c r="Y40" i="4" s="1"/>
  <c r="Y39" i="4"/>
  <c r="Z39" i="4" s="1"/>
  <c r="Y11" i="4"/>
  <c r="Y12" i="4" s="1"/>
  <c r="W20" i="4" s="1"/>
  <c r="W21" i="4" s="1"/>
  <c r="W22" i="4" s="1"/>
  <c r="U41" i="4"/>
  <c r="H27" i="2"/>
  <c r="J27" i="2" s="1"/>
  <c r="F26" i="5"/>
  <c r="G26" i="5" s="1"/>
  <c r="H26" i="5" s="1"/>
  <c r="F25" i="5"/>
  <c r="G25" i="5" s="1"/>
  <c r="F24" i="5"/>
  <c r="F23" i="5"/>
  <c r="G23" i="5" s="1"/>
  <c r="F21" i="5"/>
  <c r="F22" i="5"/>
  <c r="G22" i="5" s="1"/>
  <c r="H22" i="5" s="1"/>
  <c r="G20" i="5"/>
  <c r="G19" i="5"/>
  <c r="G10" i="5"/>
  <c r="G9" i="5"/>
  <c r="G33" i="5"/>
  <c r="G34" i="5"/>
  <c r="I9" i="5"/>
  <c r="I36" i="5"/>
  <c r="G36" i="5"/>
  <c r="I35" i="5"/>
  <c r="G35" i="5"/>
  <c r="I34" i="5"/>
  <c r="I33" i="5"/>
  <c r="I32" i="5"/>
  <c r="G32" i="5"/>
  <c r="I30" i="5"/>
  <c r="G30" i="5"/>
  <c r="H30" i="5" s="1"/>
  <c r="I29" i="5"/>
  <c r="J29" i="5" s="1"/>
  <c r="K29" i="5" s="1"/>
  <c r="H29" i="5"/>
  <c r="G29" i="5"/>
  <c r="I28" i="5"/>
  <c r="G28" i="5"/>
  <c r="E28" i="5"/>
  <c r="I27" i="5"/>
  <c r="H27" i="5"/>
  <c r="G27" i="5"/>
  <c r="E27" i="5"/>
  <c r="I26" i="5"/>
  <c r="I25" i="5"/>
  <c r="I24" i="5"/>
  <c r="G24" i="5"/>
  <c r="I23" i="5"/>
  <c r="I22" i="5"/>
  <c r="I21" i="5"/>
  <c r="I20" i="5"/>
  <c r="I19" i="5"/>
  <c r="I18" i="5"/>
  <c r="G18" i="5"/>
  <c r="H18" i="5" s="1"/>
  <c r="I17" i="5"/>
  <c r="H17" i="5"/>
  <c r="G17" i="5"/>
  <c r="I16" i="5"/>
  <c r="G16" i="5"/>
  <c r="H16" i="5" s="1"/>
  <c r="I15" i="5"/>
  <c r="G15" i="5"/>
  <c r="H15" i="5" s="1"/>
  <c r="I14" i="5"/>
  <c r="G14" i="5"/>
  <c r="H14" i="5" s="1"/>
  <c r="I13" i="5"/>
  <c r="G13" i="5"/>
  <c r="J13" i="5" s="1"/>
  <c r="I12" i="5"/>
  <c r="I11" i="5"/>
  <c r="I10" i="5"/>
  <c r="O8" i="4"/>
  <c r="N43" i="4"/>
  <c r="M43" i="4"/>
  <c r="N42" i="4"/>
  <c r="M42" i="4"/>
  <c r="N41" i="4"/>
  <c r="M41" i="4"/>
  <c r="N40" i="4"/>
  <c r="M40" i="4"/>
  <c r="N39" i="4"/>
  <c r="M39" i="4"/>
  <c r="K39" i="4"/>
  <c r="P38" i="4"/>
  <c r="M38" i="4"/>
  <c r="M19" i="4"/>
  <c r="O7" i="4"/>
  <c r="E7" i="4"/>
  <c r="D43" i="4"/>
  <c r="C43" i="4"/>
  <c r="D42" i="4"/>
  <c r="C42" i="4"/>
  <c r="D41" i="4"/>
  <c r="C41" i="4"/>
  <c r="D40" i="4"/>
  <c r="C40" i="4"/>
  <c r="D39" i="4"/>
  <c r="C39" i="4"/>
  <c r="A39" i="4"/>
  <c r="F38" i="4"/>
  <c r="C38" i="4"/>
  <c r="H26" i="2"/>
  <c r="O11" i="4" l="1"/>
  <c r="J28" i="5"/>
  <c r="K28" i="5" s="1"/>
  <c r="H28" i="5"/>
  <c r="H39" i="5"/>
  <c r="H13" i="5"/>
  <c r="AK42" i="4"/>
  <c r="AJ43" i="4" s="1"/>
  <c r="AH43" i="4"/>
  <c r="AI42" i="4"/>
  <c r="J24" i="5"/>
  <c r="K24" i="5" s="1"/>
  <c r="J25" i="5"/>
  <c r="K25" i="5" s="1"/>
  <c r="J27" i="5"/>
  <c r="K27" i="5" s="1"/>
  <c r="J23" i="5"/>
  <c r="K23" i="5" s="1"/>
  <c r="H32" i="5"/>
  <c r="J32" i="5"/>
  <c r="K32" i="5" s="1"/>
  <c r="H20" i="5"/>
  <c r="J20" i="5"/>
  <c r="K20" i="5" s="1"/>
  <c r="G2" i="2"/>
  <c r="W42" i="4"/>
  <c r="X42" i="4"/>
  <c r="Z40" i="4"/>
  <c r="W28" i="4"/>
  <c r="W23" i="4"/>
  <c r="X23" i="4" s="1"/>
  <c r="X24" i="4" s="1"/>
  <c r="U42" i="4"/>
  <c r="Y41" i="4"/>
  <c r="H25" i="5"/>
  <c r="H24" i="5"/>
  <c r="H23" i="5"/>
  <c r="G21" i="5"/>
  <c r="J21" i="5" s="1"/>
  <c r="K21" i="5" s="1"/>
  <c r="H19" i="5"/>
  <c r="J17" i="5"/>
  <c r="K17" i="5" s="1"/>
  <c r="G11" i="5"/>
  <c r="J11" i="5" s="1"/>
  <c r="K11" i="5" s="1"/>
  <c r="J10" i="5"/>
  <c r="K10" i="5" s="1"/>
  <c r="H10" i="5"/>
  <c r="J9" i="5"/>
  <c r="K9" i="5" s="1"/>
  <c r="H9" i="5"/>
  <c r="J14" i="5"/>
  <c r="H36" i="5"/>
  <c r="J36" i="5"/>
  <c r="K36" i="5" s="1"/>
  <c r="J33" i="5"/>
  <c r="K33" i="5" s="1"/>
  <c r="J19" i="5"/>
  <c r="K19" i="5" s="1"/>
  <c r="J35" i="5"/>
  <c r="K35" i="5" s="1"/>
  <c r="H35" i="5"/>
  <c r="J16" i="5"/>
  <c r="J34" i="5"/>
  <c r="K34" i="5" s="1"/>
  <c r="J15" i="5"/>
  <c r="J18" i="5"/>
  <c r="K18" i="5" s="1"/>
  <c r="J22" i="5"/>
  <c r="K22" i="5" s="1"/>
  <c r="J26" i="5"/>
  <c r="K26" i="5" s="1"/>
  <c r="J30" i="5"/>
  <c r="K30" i="5" s="1"/>
  <c r="H33" i="5"/>
  <c r="O39" i="4"/>
  <c r="P39" i="4" s="1"/>
  <c r="K40" i="4"/>
  <c r="O40" i="4" s="1"/>
  <c r="O12" i="4"/>
  <c r="M20" i="4" s="1"/>
  <c r="M21" i="4" s="1"/>
  <c r="M22" i="4" s="1"/>
  <c r="M28" i="4" s="1"/>
  <c r="E39" i="4"/>
  <c r="F39" i="4" s="1"/>
  <c r="A40" i="4"/>
  <c r="E40" i="4" s="1"/>
  <c r="E11" i="4"/>
  <c r="G24" i="2"/>
  <c r="H24" i="2" s="1"/>
  <c r="G23" i="2"/>
  <c r="H23" i="2" s="1"/>
  <c r="G22" i="2"/>
  <c r="H22" i="2" s="1"/>
  <c r="H21" i="2"/>
  <c r="N10" i="1"/>
  <c r="G20" i="2"/>
  <c r="H20" i="2" s="1"/>
  <c r="G19" i="2"/>
  <c r="H19" i="2" s="1"/>
  <c r="H18" i="2"/>
  <c r="AI43" i="4" l="1"/>
  <c r="AI44" i="4" s="1"/>
  <c r="A41" i="4"/>
  <c r="M31" i="4"/>
  <c r="M32" i="4" s="1"/>
  <c r="N32" i="4" s="1"/>
  <c r="N15" i="1"/>
  <c r="W43" i="4"/>
  <c r="X43" i="4"/>
  <c r="Z41" i="4"/>
  <c r="W29" i="4"/>
  <c r="AB40" i="4"/>
  <c r="AB42" i="4" s="1"/>
  <c r="W30" i="4"/>
  <c r="W31" i="4"/>
  <c r="W32" i="4" s="1"/>
  <c r="X32" i="4" s="1"/>
  <c r="Y42" i="4"/>
  <c r="U43" i="4"/>
  <c r="Y44" i="4" s="1"/>
  <c r="H21" i="5"/>
  <c r="H11" i="5"/>
  <c r="H34" i="5"/>
  <c r="P40" i="4"/>
  <c r="K41" i="4"/>
  <c r="K42" i="4" s="1"/>
  <c r="M23" i="4"/>
  <c r="N23" i="4" s="1"/>
  <c r="N24" i="4" s="1"/>
  <c r="M29" i="4"/>
  <c r="M30" i="4"/>
  <c r="R40" i="4"/>
  <c r="R42" i="4" s="1"/>
  <c r="F40" i="4"/>
  <c r="C19" i="4"/>
  <c r="E12" i="4"/>
  <c r="C20" i="4" s="1"/>
  <c r="E41" i="4"/>
  <c r="A42" i="4"/>
  <c r="H17" i="2"/>
  <c r="G16" i="2"/>
  <c r="H16" i="2" s="1"/>
  <c r="G15" i="2"/>
  <c r="H15" i="2" s="1"/>
  <c r="G14" i="2"/>
  <c r="H14" i="2" s="1"/>
  <c r="H12" i="2"/>
  <c r="G13" i="2"/>
  <c r="H13" i="2" s="1"/>
  <c r="AJ41" i="4" l="1"/>
  <c r="AA43" i="4"/>
  <c r="Z42" i="4"/>
  <c r="Y43" i="4"/>
  <c r="O41" i="4"/>
  <c r="P41" i="4" s="1"/>
  <c r="Q43" i="4" s="1"/>
  <c r="K43" i="4"/>
  <c r="O42" i="4"/>
  <c r="F41" i="4"/>
  <c r="C21" i="4"/>
  <c r="C22" i="4" s="1"/>
  <c r="A43" i="4"/>
  <c r="E42" i="4"/>
  <c r="H11" i="2"/>
  <c r="H10" i="2"/>
  <c r="H9" i="2"/>
  <c r="H8" i="2"/>
  <c r="N9" i="1"/>
  <c r="H7" i="2"/>
  <c r="H6" i="2"/>
  <c r="H5" i="2"/>
  <c r="H89" i="2"/>
  <c r="H86" i="2"/>
  <c r="H83" i="2"/>
  <c r="H82" i="2"/>
  <c r="J82" i="2" s="1"/>
  <c r="H80" i="2"/>
  <c r="J80" i="2" s="1"/>
  <c r="H78" i="2"/>
  <c r="J78" i="2" s="1"/>
  <c r="H76" i="2"/>
  <c r="J76" i="2" s="1"/>
  <c r="J66" i="2"/>
  <c r="H61" i="2"/>
  <c r="H59" i="2"/>
  <c r="H57" i="2"/>
  <c r="J57" i="2" s="1"/>
  <c r="H53" i="2"/>
  <c r="J53" i="2" s="1"/>
  <c r="H37" i="2"/>
  <c r="J37" i="2" s="1"/>
  <c r="H34" i="2"/>
  <c r="J34" i="2" s="1"/>
  <c r="H31" i="2"/>
  <c r="H25" i="2"/>
  <c r="O3" i="1"/>
  <c r="C28" i="4" l="1"/>
  <c r="C29" i="4" s="1"/>
  <c r="C23" i="4"/>
  <c r="D23" i="4" s="1"/>
  <c r="D24" i="4" s="1"/>
  <c r="Z43" i="4"/>
  <c r="P42" i="4"/>
  <c r="O43" i="4"/>
  <c r="F42" i="4"/>
  <c r="E43" i="4"/>
  <c r="H40" i="4" l="1"/>
  <c r="H42" i="4" s="1"/>
  <c r="G43" i="4" s="1"/>
  <c r="C30" i="4"/>
  <c r="AA41" i="4"/>
  <c r="Z44" i="4"/>
  <c r="P43" i="4"/>
  <c r="Q41" i="4" s="1"/>
  <c r="F43" i="4"/>
  <c r="G12" i="5"/>
  <c r="J12" i="5" s="1"/>
  <c r="K12" i="5" s="1"/>
  <c r="E2" i="5"/>
  <c r="N11" i="1" s="1"/>
  <c r="G41" i="4" l="1"/>
  <c r="H12" i="5"/>
  <c r="G55" i="5" l="1"/>
  <c r="J55" i="5" s="1"/>
  <c r="K55" i="5" s="1"/>
  <c r="E55" i="5"/>
  <c r="G2" i="5"/>
  <c r="N22" i="1" s="1"/>
  <c r="O2" i="1" s="1"/>
  <c r="O4" i="1" s="1"/>
  <c r="H55" i="5" l="1"/>
</calcChain>
</file>

<file path=xl/sharedStrings.xml><?xml version="1.0" encoding="utf-8"?>
<sst xmlns="http://schemas.openxmlformats.org/spreadsheetml/2006/main" count="793" uniqueCount="202">
  <si>
    <t>Total area within ROW receiving treatment in a BMP</t>
  </si>
  <si>
    <t>acres</t>
  </si>
  <si>
    <t>Required Treatment based on treatment percent</t>
  </si>
  <si>
    <t>Treatement Requirements for New Construction Projects</t>
  </si>
  <si>
    <t>Location</t>
  </si>
  <si>
    <t>Contributing Drainage area</t>
  </si>
  <si>
    <t>Aix =</t>
  </si>
  <si>
    <t>Acres</t>
  </si>
  <si>
    <t>Ain =</t>
  </si>
  <si>
    <t>Aix + Ain =</t>
  </si>
  <si>
    <t>T =</t>
  </si>
  <si>
    <t>EDA - Earth Disturbed Area</t>
  </si>
  <si>
    <t xml:space="preserve">EDA = </t>
  </si>
  <si>
    <t>or</t>
  </si>
  <si>
    <t>Area requiring treatment</t>
  </si>
  <si>
    <t>EDA * T =</t>
  </si>
  <si>
    <t>STATION FROM</t>
  </si>
  <si>
    <t>STATION TO</t>
  </si>
  <si>
    <t>AREA (AC)</t>
  </si>
  <si>
    <t>EBW (FT)</t>
  </si>
  <si>
    <t>DITCH WIDTH PROVIDED (FT)</t>
  </si>
  <si>
    <t>Notes</t>
  </si>
  <si>
    <t>Segment A</t>
  </si>
  <si>
    <t>RT</t>
  </si>
  <si>
    <t>US52 A</t>
  </si>
  <si>
    <t>LT</t>
  </si>
  <si>
    <t>SR823</t>
  </si>
  <si>
    <t>SR140 A</t>
  </si>
  <si>
    <t>SR140 B</t>
  </si>
  <si>
    <t>Segment b</t>
  </si>
  <si>
    <t>V</t>
  </si>
  <si>
    <t>US52</t>
  </si>
  <si>
    <t>7+00</t>
  </si>
  <si>
    <t>11+00</t>
  </si>
  <si>
    <t>Total Treated</t>
  </si>
  <si>
    <t>2200 ramp 52B</t>
  </si>
  <si>
    <t>R52B</t>
  </si>
  <si>
    <t>R52B rt</t>
  </si>
  <si>
    <t>R503B lt</t>
  </si>
  <si>
    <t>Area not treated BMP</t>
  </si>
  <si>
    <t>US 52</t>
  </si>
  <si>
    <t>VBF</t>
  </si>
  <si>
    <t>ExT</t>
  </si>
  <si>
    <t>Basins</t>
  </si>
  <si>
    <t>US52 RB</t>
  </si>
  <si>
    <t>Phase III Location</t>
  </si>
  <si>
    <t>BMP Type</t>
  </si>
  <si>
    <t>Acres of ROW treated</t>
  </si>
  <si>
    <t>ac</t>
  </si>
  <si>
    <t>US 52A</t>
  </si>
  <si>
    <t>Area not treated BMP, not enough room for wide ditch</t>
  </si>
  <si>
    <t>Rock cut area, drains to VBF 503 St 22+50 RT</t>
  </si>
  <si>
    <t>Water Quality Control Preliminary Sizing</t>
  </si>
  <si>
    <t>Outfall Station:</t>
  </si>
  <si>
    <t>Pond drainage areas</t>
  </si>
  <si>
    <t>Discription</t>
  </si>
  <si>
    <t>A</t>
  </si>
  <si>
    <t>C</t>
  </si>
  <si>
    <t>CA</t>
  </si>
  <si>
    <t>Total</t>
  </si>
  <si>
    <t>C average</t>
  </si>
  <si>
    <t>Use C average as Cq</t>
  </si>
  <si>
    <r>
      <t>Water Quality Volume (WQ</t>
    </r>
    <r>
      <rPr>
        <vertAlign val="subscript"/>
        <sz val="10"/>
        <rFont val="Arial"/>
        <family val="2"/>
      </rPr>
      <t>V</t>
    </r>
    <r>
      <rPr>
        <sz val="11"/>
        <color theme="1"/>
        <rFont val="Calibri"/>
        <family val="2"/>
        <scheme val="minor"/>
      </rPr>
      <t>) Calculation</t>
    </r>
  </si>
  <si>
    <t>P</t>
  </si>
  <si>
    <t>Cq</t>
  </si>
  <si>
    <r>
      <t>WQ</t>
    </r>
    <r>
      <rPr>
        <vertAlign val="subscript"/>
        <sz val="10"/>
        <rFont val="Arial"/>
        <family val="2"/>
      </rPr>
      <t>V  =</t>
    </r>
  </si>
  <si>
    <t>ac ft</t>
  </si>
  <si>
    <t>cubic feet</t>
  </si>
  <si>
    <t xml:space="preserve">Extended Detention Treatment - 48 hour draw down minimum time </t>
  </si>
  <si>
    <t>Required Treatment</t>
  </si>
  <si>
    <t>x WQV</t>
  </si>
  <si>
    <t>Req'd Volume</t>
  </si>
  <si>
    <t>Volume</t>
  </si>
  <si>
    <t>Forebay Volume</t>
  </si>
  <si>
    <t>Countour</t>
  </si>
  <si>
    <t>Area</t>
  </si>
  <si>
    <t>Avg Area</t>
  </si>
  <si>
    <t>Delta V</t>
  </si>
  <si>
    <t>(sf)</t>
  </si>
  <si>
    <t>(ac ft)</t>
  </si>
  <si>
    <t>SF</t>
  </si>
  <si>
    <t>Cu Ft</t>
  </si>
  <si>
    <t>WQV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</si>
  <si>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>/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WQV</t>
    </r>
  </si>
  <si>
    <t>Possible Basin 140 ramp B</t>
  </si>
  <si>
    <t>Calculation to Determine Length of Exfiltration Trench - Lt for the equation Lt = T(A*Cq)/689 (where Cq = 0.858i^3-0.78i^2+0.774i+0.04</t>
  </si>
  <si>
    <t xml:space="preserve"> and i = impervious area divided by the total area)</t>
  </si>
  <si>
    <t>* Area values are from Phase 3 median inlet spacing calculations.</t>
  </si>
  <si>
    <t>Inlet Station</t>
  </si>
  <si>
    <t>Side</t>
  </si>
  <si>
    <t>T   Treatment Percent</t>
  </si>
  <si>
    <t>Impervious Area (acres)*</t>
  </si>
  <si>
    <t>Impervious Area (SF)*</t>
  </si>
  <si>
    <t>A           Total Area (SF)*</t>
  </si>
  <si>
    <t>i</t>
  </si>
  <si>
    <t>Lt</t>
  </si>
  <si>
    <t>Lt     Rounded</t>
  </si>
  <si>
    <t>56+00</t>
  </si>
  <si>
    <t>Left</t>
  </si>
  <si>
    <t>Right</t>
  </si>
  <si>
    <t>59+00</t>
  </si>
  <si>
    <t>59+95.45                      (low point)</t>
  </si>
  <si>
    <t>Sump inlet area less than 0.25 acres, no ExT needed</t>
  </si>
  <si>
    <t>61+00</t>
  </si>
  <si>
    <t>63+50</t>
  </si>
  <si>
    <t>66+00</t>
  </si>
  <si>
    <t>71+00</t>
  </si>
  <si>
    <t>76+00</t>
  </si>
  <si>
    <t>86+00</t>
  </si>
  <si>
    <t>SR823, 61+00</t>
  </si>
  <si>
    <t>6" curb w/o Gutter: Type C ExT, Not provided (ExT. extending into the bridge)</t>
  </si>
  <si>
    <t>SR140, 13+60</t>
  </si>
  <si>
    <t>Curb &amp; Gutter: Type A ExT</t>
  </si>
  <si>
    <t>US52 RAMP A, 29+61</t>
  </si>
  <si>
    <t>Barrier: Type B ExT. Ext. Not provided (Taper of shoulder)</t>
  </si>
  <si>
    <t>US52 RAMP A, 37+25</t>
  </si>
  <si>
    <t>US52 RAMP B, 29+25</t>
  </si>
  <si>
    <t>US52 RAMP B, 32+25</t>
  </si>
  <si>
    <t>CR503, 24+00</t>
  </si>
  <si>
    <t>CR503, 25+27</t>
  </si>
  <si>
    <t>Barrier: Type B ExT - On top of retaining all NO ExT</t>
  </si>
  <si>
    <t>Barrier: Type B ExT, enters sewer with untreated runoff</t>
  </si>
  <si>
    <t>median outlets to rock cut.  Untreated</t>
  </si>
  <si>
    <t>No ExT, Bridge abutment</t>
  </si>
  <si>
    <t>SR823/R140A</t>
  </si>
  <si>
    <t>69+00</t>
  </si>
  <si>
    <t>Estimated Construction limits not final</t>
  </si>
  <si>
    <t>Possible Basin CSXT bridge forward</t>
  </si>
  <si>
    <t>Rock cut drains to VBF</t>
  </si>
  <si>
    <t>Segment B</t>
  </si>
  <si>
    <t>B</t>
  </si>
  <si>
    <t>120+00</t>
  </si>
  <si>
    <t>Curb Right</t>
  </si>
  <si>
    <t xml:space="preserve">Pershing south </t>
  </si>
  <si>
    <t>Possible Basin 140 st 12+00 RT</t>
  </si>
  <si>
    <t>Pershing North</t>
  </si>
  <si>
    <t>SR 123</t>
  </si>
  <si>
    <t>Little Scioto Bridge</t>
  </si>
  <si>
    <t>Not treated</t>
  </si>
  <si>
    <t>Segment C</t>
  </si>
  <si>
    <t>EDA</t>
  </si>
  <si>
    <t>Area within ROW</t>
  </si>
  <si>
    <t>HUC 060</t>
  </si>
  <si>
    <t>HUC 050</t>
  </si>
  <si>
    <t>Aix</t>
  </si>
  <si>
    <t>Ain</t>
  </si>
  <si>
    <t>Sum</t>
  </si>
  <si>
    <t>T</t>
  </si>
  <si>
    <t>Treatment by HUC Code</t>
  </si>
  <si>
    <t>Segment A/HUC 060</t>
  </si>
  <si>
    <t>Segment B/HUC 050</t>
  </si>
  <si>
    <t>Segment C/HUC 050</t>
  </si>
  <si>
    <t>Treat 68% of the EDA for 100% of project</t>
  </si>
  <si>
    <t>Treat 100% of the EDA for 68% of project</t>
  </si>
  <si>
    <t xml:space="preserve">348 * 68% = </t>
  </si>
  <si>
    <t>VFS</t>
  </si>
  <si>
    <t>Required treament per HUC</t>
  </si>
  <si>
    <t>184+50</t>
  </si>
  <si>
    <t>Parcial in B and C</t>
  </si>
  <si>
    <t>Drains to possible basin</t>
  </si>
  <si>
    <t>78+00</t>
  </si>
  <si>
    <t>73+00</t>
  </si>
  <si>
    <t>39+50</t>
  </si>
  <si>
    <t>41+00</t>
  </si>
  <si>
    <t>CR 503</t>
  </si>
  <si>
    <t>Sheet Flow or VFS</t>
  </si>
  <si>
    <t>Rock cut area, drains to VBF 140 St 11+50 RT or possible basin</t>
  </si>
  <si>
    <t>Pershing South</t>
  </si>
  <si>
    <t>treated in VBF</t>
  </si>
  <si>
    <t>183+00</t>
  </si>
  <si>
    <t>185+00</t>
  </si>
  <si>
    <t>237+00</t>
  </si>
  <si>
    <t>238+00</t>
  </si>
  <si>
    <t>Sheet flow</t>
  </si>
  <si>
    <t>271+50</t>
  </si>
  <si>
    <t>273+00</t>
  </si>
  <si>
    <t>Sta 293+00</t>
  </si>
  <si>
    <t>woods</t>
  </si>
  <si>
    <t>Gras</t>
  </si>
  <si>
    <t>Imper</t>
  </si>
  <si>
    <t>Seg B</t>
  </si>
  <si>
    <t>Seg C</t>
  </si>
  <si>
    <t>ROW area</t>
  </si>
  <si>
    <t>Treats from sta 273+00 to 294+00</t>
  </si>
  <si>
    <t>312+50</t>
  </si>
  <si>
    <t>323+50</t>
  </si>
  <si>
    <t>322+00</t>
  </si>
  <si>
    <t>Sta 334+00</t>
  </si>
  <si>
    <t>Treats from sta 323+00 to 334+00</t>
  </si>
  <si>
    <t>Sta 346+00</t>
  </si>
  <si>
    <t>Treats from sta 340+00 to 355+00</t>
  </si>
  <si>
    <t>187+00</t>
  </si>
  <si>
    <t>345+50</t>
  </si>
  <si>
    <t>Basin not likely</t>
  </si>
  <si>
    <t>110+00</t>
  </si>
  <si>
    <t>Rock cut</t>
  </si>
  <si>
    <t>189+00</t>
  </si>
  <si>
    <t>303+00</t>
  </si>
  <si>
    <t>Woods</t>
  </si>
  <si>
    <t>Slopes</t>
  </si>
  <si>
    <t>Surplus</t>
  </si>
  <si>
    <t>basin not 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</si>
</sst>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"/>
    <numFmt numFmtId="165" formatCode="0.0"/>
    <numFmt numFmtId="166" formatCode="000\+00"/>
    <numFmt numFmtId="167" formatCode="0.000"/>
    <numFmt numFmtId="168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3" xfId="0" applyFont="1" applyBorder="1" applyAlignment="1">
      <alignment horizontal="left"/>
    </xf>
    <xf numFmtId="0" fontId="0" fillId="0" borderId="4" xfId="0" applyBorder="1"/>
    <xf numFmtId="165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164" fontId="2" fillId="3" borderId="0" xfId="0" applyNumberFormat="1" applyFont="1" applyFill="1" applyBorder="1" applyAlignment="1">
      <alignment horizontal="center"/>
    </xf>
    <xf numFmtId="9" fontId="3" fillId="0" borderId="0" xfId="1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2" fillId="2" borderId="2" xfId="0" applyFont="1" applyFill="1" applyBorder="1"/>
    <xf numFmtId="0" fontId="4" fillId="0" borderId="0" xfId="0" applyFont="1" applyFill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67" fontId="4" fillId="4" borderId="7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66" fontId="6" fillId="0" borderId="7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66" fontId="4" fillId="4" borderId="6" xfId="0" applyNumberFormat="1" applyFont="1" applyFill="1" applyBorder="1" applyAlignment="1">
      <alignment horizontal="center"/>
    </xf>
    <xf numFmtId="166" fontId="4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/>
    </xf>
    <xf numFmtId="166" fontId="4" fillId="4" borderId="9" xfId="0" applyNumberFormat="1" applyFont="1" applyFill="1" applyBorder="1" applyAlignment="1">
      <alignment horizontal="center"/>
    </xf>
    <xf numFmtId="166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167" fontId="4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5" fillId="0" borderId="15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left"/>
    </xf>
    <xf numFmtId="2" fontId="4" fillId="0" borderId="1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164" fontId="2" fillId="3" borderId="7" xfId="0" applyNumberFormat="1" applyFont="1" applyFill="1" applyBorder="1"/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/>
    <xf numFmtId="164" fontId="2" fillId="3" borderId="7" xfId="0" applyNumberFormat="1" applyFont="1" applyFill="1" applyBorder="1" applyAlignment="1">
      <alignment horizontal="center"/>
    </xf>
    <xf numFmtId="0" fontId="0" fillId="0" borderId="7" xfId="0" applyBorder="1"/>
    <xf numFmtId="2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/>
    <xf numFmtId="0" fontId="4" fillId="0" borderId="0" xfId="0" applyFont="1"/>
    <xf numFmtId="14" fontId="4" fillId="0" borderId="0" xfId="0" applyNumberFormat="1" applyFont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2" fontId="0" fillId="0" borderId="7" xfId="0" applyNumberFormat="1" applyBorder="1"/>
    <xf numFmtId="167" fontId="0" fillId="0" borderId="8" xfId="0" applyNumberFormat="1" applyBorder="1"/>
    <xf numFmtId="165" fontId="0" fillId="0" borderId="7" xfId="0" applyNumberFormat="1" applyBorder="1"/>
    <xf numFmtId="0" fontId="0" fillId="0" borderId="8" xfId="0" applyBorder="1"/>
    <xf numFmtId="0" fontId="8" fillId="0" borderId="9" xfId="0" applyFont="1" applyBorder="1"/>
    <xf numFmtId="0" fontId="0" fillId="0" borderId="10" xfId="0" applyBorder="1"/>
    <xf numFmtId="2" fontId="0" fillId="0" borderId="10" xfId="0" applyNumberFormat="1" applyBorder="1"/>
    <xf numFmtId="167" fontId="0" fillId="0" borderId="11" xfId="0" applyNumberFormat="1" applyBorder="1"/>
    <xf numFmtId="2" fontId="0" fillId="0" borderId="24" xfId="0" applyNumberFormat="1" applyFill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Border="1"/>
    <xf numFmtId="2" fontId="0" fillId="0" borderId="0" xfId="0" applyNumberFormat="1"/>
    <xf numFmtId="0" fontId="0" fillId="0" borderId="0" xfId="0" applyBorder="1" applyAlignment="1">
      <alignment horizontal="left"/>
    </xf>
    <xf numFmtId="2" fontId="0" fillId="0" borderId="0" xfId="0" applyNumberFormat="1" applyBorder="1"/>
    <xf numFmtId="0" fontId="0" fillId="0" borderId="1" xfId="0" applyBorder="1"/>
    <xf numFmtId="1" fontId="0" fillId="0" borderId="25" xfId="0" applyNumberFormat="1" applyBorder="1"/>
    <xf numFmtId="0" fontId="0" fillId="0" borderId="2" xfId="0" applyBorder="1"/>
    <xf numFmtId="0" fontId="0" fillId="5" borderId="0" xfId="0" applyFill="1"/>
    <xf numFmtId="1" fontId="0" fillId="5" borderId="26" xfId="0" applyNumberFormat="1" applyFill="1" applyBorder="1"/>
    <xf numFmtId="167" fontId="0" fillId="0" borderId="0" xfId="0" applyNumberFormat="1"/>
    <xf numFmtId="1" fontId="0" fillId="0" borderId="0" xfId="0" applyNumberFormat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0" fillId="3" borderId="0" xfId="0" applyNumberFormat="1" applyFill="1" applyBorder="1" applyAlignment="1"/>
    <xf numFmtId="0" fontId="0" fillId="3" borderId="0" xfId="0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3" borderId="5" xfId="0" applyNumberFormat="1" applyFill="1" applyBorder="1"/>
    <xf numFmtId="0" fontId="0" fillId="3" borderId="6" xfId="0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0" fillId="3" borderId="8" xfId="0" applyFill="1" applyBorder="1"/>
    <xf numFmtId="1" fontId="0" fillId="3" borderId="8" xfId="0" applyNumberFormat="1" applyFill="1" applyBorder="1"/>
    <xf numFmtId="2" fontId="7" fillId="2" borderId="9" xfId="0" applyNumberFormat="1" applyFont="1" applyFill="1" applyBorder="1" applyAlignment="1">
      <alignment horizontal="center"/>
    </xf>
    <xf numFmtId="0" fontId="0" fillId="3" borderId="11" xfId="0" applyFill="1" applyBorder="1"/>
    <xf numFmtId="2" fontId="0" fillId="3" borderId="0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4" fontId="0" fillId="0" borderId="0" xfId="0" applyNumberFormat="1"/>
    <xf numFmtId="165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167" fontId="0" fillId="0" borderId="7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68" fontId="0" fillId="0" borderId="7" xfId="0" applyNumberForma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8" fillId="0" borderId="7" xfId="0" applyFont="1" applyBorder="1" applyAlignment="1">
      <alignment horizontal="center"/>
    </xf>
    <xf numFmtId="167" fontId="0" fillId="3" borderId="7" xfId="0" applyNumberForma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Alignment="1">
      <alignment horizontal="center"/>
    </xf>
    <xf numFmtId="43" fontId="0" fillId="0" borderId="0" xfId="2" applyFont="1"/>
    <xf numFmtId="166" fontId="4" fillId="0" borderId="18" xfId="0" applyNumberFormat="1" applyFont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/>
    <xf numFmtId="166" fontId="4" fillId="0" borderId="27" xfId="0" applyNumberFormat="1" applyFont="1" applyFill="1" applyBorder="1" applyAlignment="1">
      <alignment horizontal="center"/>
    </xf>
    <xf numFmtId="166" fontId="4" fillId="0" borderId="28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1" fillId="6" borderId="0" xfId="0" applyFont="1" applyFill="1"/>
    <xf numFmtId="166" fontId="4" fillId="6" borderId="6" xfId="0" applyNumberFormat="1" applyFont="1" applyFill="1" applyBorder="1" applyAlignment="1">
      <alignment horizontal="center"/>
    </xf>
    <xf numFmtId="166" fontId="4" fillId="6" borderId="7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6" borderId="7" xfId="0" applyFont="1" applyFill="1" applyBorder="1" applyAlignment="1">
      <alignment horizontal="center"/>
    </xf>
    <xf numFmtId="2" fontId="4" fillId="6" borderId="7" xfId="0" applyNumberFormat="1" applyFont="1" applyFill="1" applyBorder="1" applyAlignment="1">
      <alignment horizontal="center"/>
    </xf>
    <xf numFmtId="167" fontId="4" fillId="6" borderId="7" xfId="0" applyNumberFormat="1" applyFont="1" applyFill="1" applyBorder="1" applyAlignment="1">
      <alignment horizontal="center"/>
    </xf>
    <xf numFmtId="0" fontId="0" fillId="6" borderId="0" xfId="0" applyFill="1"/>
    <xf numFmtId="166" fontId="4" fillId="3" borderId="6" xfId="0" applyNumberFormat="1" applyFont="1" applyFill="1" applyBorder="1" applyAlignment="1">
      <alignment horizontal="center"/>
    </xf>
    <xf numFmtId="166" fontId="4" fillId="3" borderId="7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4" fillId="6" borderId="0" xfId="0" applyFont="1" applyFill="1" applyBorder="1" applyAlignment="1">
      <alignment horizontal="center"/>
    </xf>
    <xf numFmtId="2" fontId="4" fillId="6" borderId="28" xfId="0" applyNumberFormat="1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6" fontId="4" fillId="6" borderId="27" xfId="0" applyNumberFormat="1" applyFont="1" applyFill="1" applyBorder="1" applyAlignment="1">
      <alignment horizontal="center"/>
    </xf>
    <xf numFmtId="166" fontId="4" fillId="6" borderId="28" xfId="0" applyNumberFormat="1" applyFont="1" applyFill="1" applyBorder="1" applyAlignment="1">
      <alignment horizontal="center"/>
    </xf>
    <xf numFmtId="165" fontId="4" fillId="6" borderId="0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166" fontId="6" fillId="6" borderId="7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165" fontId="4" fillId="6" borderId="7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6" fillId="7" borderId="8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6" fontId="4" fillId="7" borderId="6" xfId="0" applyNumberFormat="1" applyFont="1" applyFill="1" applyBorder="1" applyAlignment="1">
      <alignment horizontal="center"/>
    </xf>
    <xf numFmtId="166" fontId="4" fillId="7" borderId="7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4" fillId="7" borderId="7" xfId="0" applyFont="1" applyFill="1" applyBorder="1" applyAlignment="1">
      <alignment horizontal="center"/>
    </xf>
    <xf numFmtId="2" fontId="4" fillId="7" borderId="7" xfId="0" applyNumberFormat="1" applyFont="1" applyFill="1" applyBorder="1" applyAlignment="1">
      <alignment horizontal="center"/>
    </xf>
    <xf numFmtId="167" fontId="4" fillId="7" borderId="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0" fontId="0" fillId="0" borderId="0" xfId="0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165" fontId="4" fillId="8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44" fontId="0" fillId="0" borderId="0" xfId="3" applyFont="1"/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9" fontId="0" fillId="3" borderId="0" xfId="1" applyFont="1" applyFill="1" applyBorder="1"/>
    <xf numFmtId="1" fontId="2" fillId="2" borderId="1" xfId="0" applyNumberFormat="1" applyFont="1" applyFill="1" applyBorder="1"/>
    <xf numFmtId="165" fontId="2" fillId="3" borderId="7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0" xfId="0" applyFont="1" applyFill="1" applyBorder="1" applyAlignment="1">
      <alignment horizontal="center"/>
    </xf>
    <xf numFmtId="2" fontId="0" fillId="2" borderId="10" xfId="0" applyNumberFormat="1" applyFill="1" applyBorder="1"/>
    <xf numFmtId="0" fontId="0" fillId="0" borderId="0" xfId="0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  <xf numFmtId="0" fontId="6" fillId="3" borderId="7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65" fontId="4" fillId="6" borderId="28" xfId="0" applyNumberFormat="1" applyFont="1" applyFill="1" applyBorder="1" applyAlignment="1">
      <alignment horizontal="center"/>
    </xf>
    <xf numFmtId="165" fontId="4" fillId="7" borderId="7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166" fontId="4" fillId="3" borderId="23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165" fontId="5" fillId="3" borderId="15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2" fontId="4" fillId="3" borderId="17" xfId="0" applyNumberFormat="1" applyFont="1" applyFill="1" applyBorder="1" applyAlignment="1">
      <alignment horizontal="center"/>
    </xf>
    <xf numFmtId="0" fontId="3" fillId="0" borderId="10" xfId="0" applyFont="1" applyBorder="1"/>
    <xf numFmtId="2" fontId="0" fillId="2" borderId="0" xfId="0" applyNumberForma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right"/>
    </xf>
    <xf numFmtId="165" fontId="1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left" vertical="justify"/>
    </xf>
    <xf numFmtId="0" fontId="0" fillId="0" borderId="28" xfId="0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4" fontId="7" fillId="0" borderId="19" xfId="0" applyNumberFormat="1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0" fillId="0" borderId="28" xfId="0" applyBorder="1" applyAlignment="1"/>
    <xf numFmtId="0" fontId="0" fillId="0" borderId="15" xfId="0" applyBorder="1" applyAlignment="1"/>
    <xf numFmtId="0" fontId="0" fillId="0" borderId="28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167" fontId="7" fillId="0" borderId="19" xfId="0" applyNumberFormat="1" applyFont="1" applyBorder="1" applyAlignment="1">
      <alignment horizontal="center" wrapText="1"/>
    </xf>
    <xf numFmtId="167" fontId="7" fillId="0" borderId="28" xfId="0" applyNumberFormat="1" applyFont="1" applyBorder="1" applyAlignment="1">
      <alignment wrapText="1"/>
    </xf>
    <xf numFmtId="167" fontId="7" fillId="0" borderId="15" xfId="0" applyNumberFormat="1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tiff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26</xdr:row>
      <xdr:rowOff>76200</xdr:rowOff>
    </xdr:from>
    <xdr:to>
      <xdr:col>4</xdr:col>
      <xdr:colOff>17144</xdr:colOff>
      <xdr:row>26</xdr:row>
      <xdr:rowOff>133349</xdr:rowOff>
    </xdr:to>
    <xdr:sp macro="" textlink="">
      <xdr:nvSpPr>
        <xdr:cNvPr id="3" name="Oval 2"/>
        <xdr:cNvSpPr/>
      </xdr:nvSpPr>
      <xdr:spPr>
        <a:xfrm>
          <a:off x="2409825" y="8401050"/>
          <a:ext cx="45719" cy="5714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27</xdr:row>
      <xdr:rowOff>168647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24175" cy="557884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29</xdr:row>
      <xdr:rowOff>76200</xdr:rowOff>
    </xdr:from>
    <xdr:to>
      <xdr:col>4</xdr:col>
      <xdr:colOff>17144</xdr:colOff>
      <xdr:row>29</xdr:row>
      <xdr:rowOff>133349</xdr:rowOff>
    </xdr:to>
    <xdr:sp macro="" textlink="">
      <xdr:nvSpPr>
        <xdr:cNvPr id="2" name="Oval 1"/>
        <xdr:cNvSpPr/>
      </xdr:nvSpPr>
      <xdr:spPr>
        <a:xfrm>
          <a:off x="2552700" y="5505450"/>
          <a:ext cx="93344" cy="5714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114300</xdr:colOff>
      <xdr:row>14</xdr:row>
      <xdr:rowOff>152400</xdr:rowOff>
    </xdr:from>
    <xdr:to>
      <xdr:col>2</xdr:col>
      <xdr:colOff>0</xdr:colOff>
      <xdr:row>16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667000"/>
          <a:ext cx="12001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14</xdr:row>
      <xdr:rowOff>114300</xdr:rowOff>
    </xdr:from>
    <xdr:to>
      <xdr:col>4</xdr:col>
      <xdr:colOff>142875</xdr:colOff>
      <xdr:row>16</xdr:row>
      <xdr:rowOff>76200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" y="2628900"/>
          <a:ext cx="1247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581025</xdr:colOff>
      <xdr:row>29</xdr:row>
      <xdr:rowOff>76200</xdr:rowOff>
    </xdr:from>
    <xdr:to>
      <xdr:col>14</xdr:col>
      <xdr:colOff>17144</xdr:colOff>
      <xdr:row>29</xdr:row>
      <xdr:rowOff>133349</xdr:rowOff>
    </xdr:to>
    <xdr:sp macro="" textlink="">
      <xdr:nvSpPr>
        <xdr:cNvPr id="5" name="Oval 4"/>
        <xdr:cNvSpPr/>
      </xdr:nvSpPr>
      <xdr:spPr>
        <a:xfrm>
          <a:off x="2505075" y="5505450"/>
          <a:ext cx="45719" cy="5714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10</xdr:col>
      <xdr:colOff>114300</xdr:colOff>
      <xdr:row>14</xdr:row>
      <xdr:rowOff>152400</xdr:rowOff>
    </xdr:from>
    <xdr:to>
      <xdr:col>12</xdr:col>
      <xdr:colOff>0</xdr:colOff>
      <xdr:row>16</xdr:row>
      <xdr:rowOff>85725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667000"/>
          <a:ext cx="1104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304800</xdr:colOff>
      <xdr:row>14</xdr:row>
      <xdr:rowOff>114300</xdr:rowOff>
    </xdr:from>
    <xdr:to>
      <xdr:col>14</xdr:col>
      <xdr:colOff>142875</xdr:colOff>
      <xdr:row>16</xdr:row>
      <xdr:rowOff>76200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2628900"/>
          <a:ext cx="1152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581025</xdr:colOff>
      <xdr:row>29</xdr:row>
      <xdr:rowOff>76200</xdr:rowOff>
    </xdr:from>
    <xdr:to>
      <xdr:col>24</xdr:col>
      <xdr:colOff>17144</xdr:colOff>
      <xdr:row>29</xdr:row>
      <xdr:rowOff>133349</xdr:rowOff>
    </xdr:to>
    <xdr:sp macro="" textlink="">
      <xdr:nvSpPr>
        <xdr:cNvPr id="8" name="Oval 7"/>
        <xdr:cNvSpPr/>
      </xdr:nvSpPr>
      <xdr:spPr>
        <a:xfrm>
          <a:off x="8601075" y="5505450"/>
          <a:ext cx="45719" cy="5714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20</xdr:col>
      <xdr:colOff>114300</xdr:colOff>
      <xdr:row>14</xdr:row>
      <xdr:rowOff>152400</xdr:rowOff>
    </xdr:from>
    <xdr:to>
      <xdr:col>22</xdr:col>
      <xdr:colOff>0</xdr:colOff>
      <xdr:row>16</xdr:row>
      <xdr:rowOff>85725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2667000"/>
          <a:ext cx="1104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304800</xdr:colOff>
      <xdr:row>14</xdr:row>
      <xdr:rowOff>114300</xdr:rowOff>
    </xdr:from>
    <xdr:to>
      <xdr:col>24</xdr:col>
      <xdr:colOff>142875</xdr:colOff>
      <xdr:row>16</xdr:row>
      <xdr:rowOff>76200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0" y="2628900"/>
          <a:ext cx="1057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581025</xdr:colOff>
      <xdr:row>29</xdr:row>
      <xdr:rowOff>76200</xdr:rowOff>
    </xdr:from>
    <xdr:to>
      <xdr:col>33</xdr:col>
      <xdr:colOff>17144</xdr:colOff>
      <xdr:row>29</xdr:row>
      <xdr:rowOff>133349</xdr:rowOff>
    </xdr:to>
    <xdr:sp macro="" textlink="">
      <xdr:nvSpPr>
        <xdr:cNvPr id="11" name="Oval 10"/>
        <xdr:cNvSpPr/>
      </xdr:nvSpPr>
      <xdr:spPr>
        <a:xfrm>
          <a:off x="14697075" y="5505450"/>
          <a:ext cx="45719" cy="5714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29</xdr:col>
      <xdr:colOff>114300</xdr:colOff>
      <xdr:row>14</xdr:row>
      <xdr:rowOff>152400</xdr:rowOff>
    </xdr:from>
    <xdr:to>
      <xdr:col>31</xdr:col>
      <xdr:colOff>0</xdr:colOff>
      <xdr:row>16</xdr:row>
      <xdr:rowOff>85725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550" y="2667000"/>
          <a:ext cx="1104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304800</xdr:colOff>
      <xdr:row>14</xdr:row>
      <xdr:rowOff>114300</xdr:rowOff>
    </xdr:from>
    <xdr:to>
      <xdr:col>33</xdr:col>
      <xdr:colOff>142875</xdr:colOff>
      <xdr:row>16</xdr:row>
      <xdr:rowOff>76200</xdr:rowOff>
    </xdr:to>
    <xdr:pic>
      <xdr:nvPicPr>
        <xdr:cNvPr id="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2628900"/>
          <a:ext cx="1057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581025</xdr:colOff>
      <xdr:row>29</xdr:row>
      <xdr:rowOff>76200</xdr:rowOff>
    </xdr:from>
    <xdr:to>
      <xdr:col>42</xdr:col>
      <xdr:colOff>17144</xdr:colOff>
      <xdr:row>29</xdr:row>
      <xdr:rowOff>133349</xdr:rowOff>
    </xdr:to>
    <xdr:sp macro="" textlink="">
      <xdr:nvSpPr>
        <xdr:cNvPr id="14" name="Oval 13"/>
        <xdr:cNvSpPr/>
      </xdr:nvSpPr>
      <xdr:spPr>
        <a:xfrm>
          <a:off x="20278725" y="5695950"/>
          <a:ext cx="45719" cy="5714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38</xdr:col>
      <xdr:colOff>114300</xdr:colOff>
      <xdr:row>14</xdr:row>
      <xdr:rowOff>152400</xdr:rowOff>
    </xdr:from>
    <xdr:to>
      <xdr:col>40</xdr:col>
      <xdr:colOff>0</xdr:colOff>
      <xdr:row>16</xdr:row>
      <xdr:rowOff>85725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83200" y="2857500"/>
          <a:ext cx="1104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304800</xdr:colOff>
      <xdr:row>14</xdr:row>
      <xdr:rowOff>114300</xdr:rowOff>
    </xdr:from>
    <xdr:to>
      <xdr:col>42</xdr:col>
      <xdr:colOff>142875</xdr:colOff>
      <xdr:row>16</xdr:row>
      <xdr:rowOff>76200</xdr:rowOff>
    </xdr:to>
    <xdr:pic>
      <xdr:nvPicPr>
        <xdr:cNvPr id="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92900" y="2819400"/>
          <a:ext cx="1057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581025</xdr:colOff>
      <xdr:row>29</xdr:row>
      <xdr:rowOff>76200</xdr:rowOff>
    </xdr:from>
    <xdr:to>
      <xdr:col>52</xdr:col>
      <xdr:colOff>17144</xdr:colOff>
      <xdr:row>29</xdr:row>
      <xdr:rowOff>133349</xdr:rowOff>
    </xdr:to>
    <xdr:sp macro="" textlink="">
      <xdr:nvSpPr>
        <xdr:cNvPr id="17" name="Oval 16"/>
        <xdr:cNvSpPr/>
      </xdr:nvSpPr>
      <xdr:spPr>
        <a:xfrm>
          <a:off x="25765125" y="5695950"/>
          <a:ext cx="45719" cy="5714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48</xdr:col>
      <xdr:colOff>114300</xdr:colOff>
      <xdr:row>14</xdr:row>
      <xdr:rowOff>152400</xdr:rowOff>
    </xdr:from>
    <xdr:to>
      <xdr:col>50</xdr:col>
      <xdr:colOff>0</xdr:colOff>
      <xdr:row>16</xdr:row>
      <xdr:rowOff>85725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69600" y="2857500"/>
          <a:ext cx="1104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50</xdr:col>
      <xdr:colOff>304800</xdr:colOff>
      <xdr:row>14</xdr:row>
      <xdr:rowOff>114300</xdr:rowOff>
    </xdr:from>
    <xdr:to>
      <xdr:col>52</xdr:col>
      <xdr:colOff>142875</xdr:colOff>
      <xdr:row>16</xdr:row>
      <xdr:rowOff>76200</xdr:rowOff>
    </xdr:to>
    <xdr:pic>
      <xdr:nvPicPr>
        <xdr:cNvPr id="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79300" y="2819400"/>
          <a:ext cx="1057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29</xdr:row>
      <xdr:rowOff>76200</xdr:rowOff>
    </xdr:from>
    <xdr:to>
      <xdr:col>4</xdr:col>
      <xdr:colOff>17144</xdr:colOff>
      <xdr:row>29</xdr:row>
      <xdr:rowOff>133349</xdr:rowOff>
    </xdr:to>
    <xdr:sp macro="" textlink="">
      <xdr:nvSpPr>
        <xdr:cNvPr id="2" name="Oval 1"/>
        <xdr:cNvSpPr/>
      </xdr:nvSpPr>
      <xdr:spPr>
        <a:xfrm>
          <a:off x="2505075" y="5695950"/>
          <a:ext cx="45719" cy="5714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114300</xdr:colOff>
      <xdr:row>14</xdr:row>
      <xdr:rowOff>152400</xdr:rowOff>
    </xdr:from>
    <xdr:to>
      <xdr:col>2</xdr:col>
      <xdr:colOff>0</xdr:colOff>
      <xdr:row>16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500"/>
          <a:ext cx="1104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14</xdr:row>
      <xdr:rowOff>114300</xdr:rowOff>
    </xdr:from>
    <xdr:to>
      <xdr:col>4</xdr:col>
      <xdr:colOff>142875</xdr:colOff>
      <xdr:row>16</xdr:row>
      <xdr:rowOff>76200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2819400"/>
          <a:ext cx="1152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581025</xdr:colOff>
      <xdr:row>29</xdr:row>
      <xdr:rowOff>76200</xdr:rowOff>
    </xdr:from>
    <xdr:to>
      <xdr:col>14</xdr:col>
      <xdr:colOff>17144</xdr:colOff>
      <xdr:row>29</xdr:row>
      <xdr:rowOff>133349</xdr:rowOff>
    </xdr:to>
    <xdr:sp macro="" textlink="">
      <xdr:nvSpPr>
        <xdr:cNvPr id="5" name="Oval 4"/>
        <xdr:cNvSpPr/>
      </xdr:nvSpPr>
      <xdr:spPr>
        <a:xfrm>
          <a:off x="8601075" y="5695950"/>
          <a:ext cx="45719" cy="5714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10</xdr:col>
      <xdr:colOff>114300</xdr:colOff>
      <xdr:row>14</xdr:row>
      <xdr:rowOff>152400</xdr:rowOff>
    </xdr:from>
    <xdr:to>
      <xdr:col>12</xdr:col>
      <xdr:colOff>0</xdr:colOff>
      <xdr:row>16</xdr:row>
      <xdr:rowOff>85725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2857500"/>
          <a:ext cx="1104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304800</xdr:colOff>
      <xdr:row>14</xdr:row>
      <xdr:rowOff>114300</xdr:rowOff>
    </xdr:from>
    <xdr:to>
      <xdr:col>14</xdr:col>
      <xdr:colOff>142875</xdr:colOff>
      <xdr:row>16</xdr:row>
      <xdr:rowOff>76200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0" y="2819400"/>
          <a:ext cx="1057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view="pageLayout" zoomScaleNormal="100" workbookViewId="0">
      <selection activeCell="X32" sqref="X32"/>
    </sheetView>
  </sheetViews>
  <sheetFormatPr defaultRowHeight="15" x14ac:dyDescent="0.25"/>
  <cols>
    <col min="4" max="4" width="9.140625" customWidth="1"/>
    <col min="9" max="9" width="9.140625" customWidth="1"/>
    <col min="12" max="12" width="19.85546875" customWidth="1"/>
    <col min="13" max="13" width="20" customWidth="1"/>
    <col min="14" max="14" width="13.5703125" customWidth="1"/>
  </cols>
  <sheetData>
    <row r="1" spans="1:1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7" ht="15.75" x14ac:dyDescent="0.25">
      <c r="L2" s="4" t="s">
        <v>0</v>
      </c>
      <c r="M2" s="5"/>
      <c r="N2" s="6"/>
      <c r="O2" s="291">
        <f>+SUM(N9:N23)+SUM('BMP Summary Sheet'!AD15:AD123)</f>
        <v>240.9698490358127</v>
      </c>
      <c r="P2" s="7" t="s">
        <v>1</v>
      </c>
    </row>
    <row r="3" spans="1:17" ht="15.75" x14ac:dyDescent="0.25">
      <c r="J3" s="3"/>
      <c r="K3" s="3"/>
      <c r="L3" s="8" t="s">
        <v>2</v>
      </c>
      <c r="M3" s="9"/>
      <c r="N3" s="10"/>
      <c r="O3" s="292">
        <f>+H29</f>
        <v>209.67688524590164</v>
      </c>
      <c r="P3" s="11" t="s">
        <v>1</v>
      </c>
    </row>
    <row r="4" spans="1:17" ht="16.5" thickBot="1" x14ac:dyDescent="0.3">
      <c r="J4" s="3"/>
      <c r="K4" s="3"/>
      <c r="L4" s="12"/>
      <c r="M4" s="13"/>
      <c r="N4" s="323" t="s">
        <v>200</v>
      </c>
      <c r="O4" s="293">
        <f>+O2-O3</f>
        <v>31.292963789911056</v>
      </c>
      <c r="P4" s="14" t="s">
        <v>1</v>
      </c>
    </row>
    <row r="5" spans="1:17" ht="15.75" x14ac:dyDescent="0.25">
      <c r="J5" s="3"/>
      <c r="K5" s="3"/>
      <c r="L5" s="3"/>
      <c r="M5" s="2"/>
      <c r="N5" s="3"/>
      <c r="O5" s="3"/>
      <c r="P5" s="3"/>
    </row>
    <row r="6" spans="1:17" ht="15.75" x14ac:dyDescent="0.25">
      <c r="F6" s="330" t="s">
        <v>3</v>
      </c>
      <c r="G6" s="331"/>
      <c r="H6" s="331"/>
      <c r="J6" s="3"/>
      <c r="K6" s="3"/>
      <c r="L6" s="108"/>
      <c r="M6" s="109"/>
      <c r="N6" s="110"/>
      <c r="O6" s="110"/>
      <c r="P6" s="108"/>
    </row>
    <row r="7" spans="1:17" ht="15.75" x14ac:dyDescent="0.25">
      <c r="F7" s="16" t="s">
        <v>6</v>
      </c>
      <c r="G7" s="286">
        <v>49.59</v>
      </c>
      <c r="H7" s="3" t="s">
        <v>7</v>
      </c>
      <c r="I7" s="3"/>
      <c r="J7" s="3"/>
      <c r="K7" s="3"/>
      <c r="L7" s="111" t="s">
        <v>45</v>
      </c>
      <c r="M7" s="112" t="s">
        <v>46</v>
      </c>
      <c r="N7" s="113" t="s">
        <v>47</v>
      </c>
      <c r="O7" s="111"/>
      <c r="P7" s="114"/>
      <c r="Q7" s="19"/>
    </row>
    <row r="8" spans="1:17" ht="15.75" x14ac:dyDescent="0.25">
      <c r="F8" s="16" t="s">
        <v>8</v>
      </c>
      <c r="G8" s="286">
        <v>72.599999999999994</v>
      </c>
      <c r="H8" s="3" t="s">
        <v>7</v>
      </c>
      <c r="I8" s="3"/>
      <c r="J8" s="3"/>
      <c r="K8" s="3"/>
      <c r="L8" s="119" t="s">
        <v>149</v>
      </c>
      <c r="M8" s="115"/>
      <c r="N8" s="116"/>
      <c r="O8" s="111"/>
      <c r="P8" s="117"/>
      <c r="Q8" s="19"/>
    </row>
    <row r="9" spans="1:17" ht="15.75" x14ac:dyDescent="0.25">
      <c r="F9" s="16"/>
      <c r="G9" s="17"/>
      <c r="H9" s="3"/>
      <c r="I9" s="3"/>
      <c r="J9" s="3"/>
      <c r="K9" s="3"/>
      <c r="L9" s="111"/>
      <c r="M9" s="118" t="s">
        <v>41</v>
      </c>
      <c r="N9" s="289">
        <f>+VBF!F2</f>
        <v>21.823600000000003</v>
      </c>
      <c r="O9" s="111" t="s">
        <v>48</v>
      </c>
      <c r="P9" s="111"/>
      <c r="Q9" s="19"/>
    </row>
    <row r="10" spans="1:17" ht="15.75" x14ac:dyDescent="0.25">
      <c r="F10" s="16" t="s">
        <v>9</v>
      </c>
      <c r="G10" s="286">
        <f>+ROUND(G8+G7,0)</f>
        <v>122</v>
      </c>
      <c r="H10" s="3" t="s">
        <v>7</v>
      </c>
      <c r="I10" s="3"/>
      <c r="J10" s="3"/>
      <c r="K10" s="3"/>
      <c r="L10" s="111"/>
      <c r="M10" s="118" t="s">
        <v>165</v>
      </c>
      <c r="N10" s="289">
        <f>+'Sheet Flow and VFS'!F2</f>
        <v>3.0670999999999999</v>
      </c>
      <c r="O10" s="117" t="s">
        <v>48</v>
      </c>
      <c r="P10" s="111"/>
      <c r="Q10" s="19"/>
    </row>
    <row r="11" spans="1:17" ht="15.75" x14ac:dyDescent="0.25">
      <c r="F11" s="17"/>
      <c r="G11" s="3"/>
      <c r="H11" s="3"/>
      <c r="I11" s="3"/>
      <c r="J11" s="3"/>
      <c r="K11" s="3"/>
      <c r="L11" s="111"/>
      <c r="M11" s="118" t="s">
        <v>42</v>
      </c>
      <c r="N11" s="289">
        <f>+ExT!E2</f>
        <v>1.0490817263544536</v>
      </c>
      <c r="O11" s="111" t="s">
        <v>48</v>
      </c>
      <c r="P11" s="111"/>
      <c r="Q11" s="19"/>
    </row>
    <row r="12" spans="1:17" ht="15.75" x14ac:dyDescent="0.25">
      <c r="F12" s="3"/>
      <c r="G12" s="16" t="s">
        <v>10</v>
      </c>
      <c r="H12" s="21">
        <f>(+G7*0.2+G8*1)/G10</f>
        <v>0.67637704918032793</v>
      </c>
      <c r="I12" s="3"/>
      <c r="J12" s="3"/>
      <c r="K12" s="3"/>
      <c r="L12" s="111"/>
      <c r="M12" s="118" t="s">
        <v>43</v>
      </c>
      <c r="N12" s="289">
        <f>+'Possible basins'!C11+'Possible basins'!M1</f>
        <v>13.411100000000001</v>
      </c>
      <c r="O12" s="111" t="s">
        <v>48</v>
      </c>
      <c r="P12" s="111"/>
      <c r="Q12" s="19"/>
    </row>
    <row r="13" spans="1:17" ht="15.75" x14ac:dyDescent="0.25">
      <c r="F13" s="3"/>
      <c r="G13" s="3"/>
      <c r="H13" s="3"/>
      <c r="I13" s="3"/>
      <c r="J13" s="3"/>
      <c r="K13" s="3"/>
      <c r="Q13" s="19"/>
    </row>
    <row r="14" spans="1:17" ht="15.75" x14ac:dyDescent="0.25">
      <c r="I14" s="3"/>
      <c r="J14" s="3"/>
      <c r="K14" s="3"/>
      <c r="L14" s="119" t="s">
        <v>150</v>
      </c>
      <c r="M14" s="20"/>
      <c r="N14" s="290"/>
      <c r="O14" s="18"/>
      <c r="P14" s="18"/>
      <c r="Q14" s="19"/>
    </row>
    <row r="15" spans="1:17" ht="15.75" x14ac:dyDescent="0.25">
      <c r="I15" s="3"/>
      <c r="J15" s="3"/>
      <c r="K15" s="3"/>
      <c r="L15" s="18"/>
      <c r="M15" s="118" t="s">
        <v>41</v>
      </c>
      <c r="N15" s="289">
        <f>+VBF!G2</f>
        <v>43.454400000000007</v>
      </c>
      <c r="O15" s="111" t="s">
        <v>48</v>
      </c>
      <c r="P15" s="18"/>
      <c r="Q15" s="19"/>
    </row>
    <row r="16" spans="1:17" ht="15.75" x14ac:dyDescent="0.25">
      <c r="I16" s="3"/>
      <c r="J16" s="3"/>
      <c r="K16" s="3"/>
      <c r="L16" s="18"/>
      <c r="M16" s="118" t="s">
        <v>165</v>
      </c>
      <c r="N16" s="289">
        <f>+'Sheet Flow and VFS'!G2</f>
        <v>14.935600000000001</v>
      </c>
      <c r="O16" s="117" t="s">
        <v>48</v>
      </c>
      <c r="P16" s="18"/>
      <c r="Q16" s="19"/>
    </row>
    <row r="17" spans="6:24" ht="15.75" x14ac:dyDescent="0.25">
      <c r="I17" s="3"/>
      <c r="J17" s="3"/>
      <c r="K17" s="3"/>
      <c r="L17" s="18"/>
      <c r="M17" s="118" t="s">
        <v>42</v>
      </c>
      <c r="N17" s="289">
        <f>+ExT!E7</f>
        <v>0</v>
      </c>
      <c r="O17" s="111" t="s">
        <v>48</v>
      </c>
      <c r="P17" s="18"/>
      <c r="Q17" s="19"/>
    </row>
    <row r="18" spans="6:24" ht="15.75" x14ac:dyDescent="0.25">
      <c r="J18" s="3"/>
      <c r="K18" s="3"/>
      <c r="L18" s="18"/>
      <c r="M18" s="118" t="s">
        <v>43</v>
      </c>
      <c r="N18" s="289">
        <f>+'Possible basins'!C16+'Possible basins'!M16</f>
        <v>0</v>
      </c>
      <c r="O18" s="111" t="s">
        <v>48</v>
      </c>
      <c r="P18" s="18"/>
      <c r="Q18" s="19"/>
    </row>
    <row r="19" spans="6:24" ht="15.75" x14ac:dyDescent="0.25">
      <c r="F19" s="3" t="s">
        <v>11</v>
      </c>
      <c r="J19" s="3"/>
      <c r="K19" s="3"/>
      <c r="L19" s="119" t="s">
        <v>151</v>
      </c>
      <c r="M19" s="20"/>
      <c r="N19" s="290"/>
      <c r="O19" s="18"/>
      <c r="P19" s="18"/>
      <c r="Q19" s="19"/>
    </row>
    <row r="20" spans="6:24" ht="15.75" x14ac:dyDescent="0.25">
      <c r="F20" s="16" t="s">
        <v>12</v>
      </c>
      <c r="G20" s="276">
        <v>310</v>
      </c>
      <c r="H20" s="3" t="s">
        <v>7</v>
      </c>
      <c r="I20" t="s">
        <v>126</v>
      </c>
      <c r="J20" s="3"/>
      <c r="K20" s="3"/>
      <c r="L20" s="18"/>
      <c r="M20" s="118" t="s">
        <v>41</v>
      </c>
      <c r="N20" s="289">
        <f>+VBF!H2</f>
        <v>61.045500000000018</v>
      </c>
      <c r="O20" s="111" t="s">
        <v>48</v>
      </c>
      <c r="P20" s="18"/>
      <c r="Q20" s="19"/>
    </row>
    <row r="21" spans="6:24" ht="15.75" x14ac:dyDescent="0.25">
      <c r="J21" s="3"/>
      <c r="K21" s="3"/>
      <c r="L21" s="18"/>
      <c r="M21" s="118" t="s">
        <v>165</v>
      </c>
      <c r="N21" s="289">
        <f>+'Sheet Flow and VFS'!H2</f>
        <v>58.504999999999988</v>
      </c>
      <c r="O21" s="117" t="s">
        <v>48</v>
      </c>
      <c r="P21" s="18"/>
      <c r="Q21" s="19"/>
    </row>
    <row r="22" spans="6:24" ht="15.75" x14ac:dyDescent="0.25">
      <c r="F22" s="3"/>
      <c r="G22" s="3"/>
      <c r="H22" s="3"/>
      <c r="J22" s="3"/>
      <c r="K22" s="3"/>
      <c r="L22" s="18"/>
      <c r="M22" s="118" t="s">
        <v>42</v>
      </c>
      <c r="N22" s="289">
        <f>+ExT!G2</f>
        <v>3.8528673094582184</v>
      </c>
      <c r="O22" s="111" t="s">
        <v>48</v>
      </c>
      <c r="P22" s="18"/>
      <c r="Q22" s="19"/>
      <c r="S22" s="274"/>
      <c r="T22" s="18"/>
      <c r="U22" s="18"/>
      <c r="V22" s="18"/>
    </row>
    <row r="23" spans="6:24" ht="15.75" x14ac:dyDescent="0.25">
      <c r="F23" s="3" t="s">
        <v>152</v>
      </c>
      <c r="J23" s="3"/>
      <c r="K23" s="3"/>
      <c r="L23" s="18"/>
      <c r="M23" s="118" t="s">
        <v>43</v>
      </c>
      <c r="N23" s="289">
        <f>+'Possible basins'!AE1+'Possible basins'!AX1+'Possible basins'!AN1</f>
        <v>19.825599999999998</v>
      </c>
      <c r="O23" s="111" t="s">
        <v>48</v>
      </c>
      <c r="P23" s="18"/>
      <c r="Q23" s="19"/>
      <c r="S23" t="s">
        <v>148</v>
      </c>
    </row>
    <row r="24" spans="6:24" ht="15.75" x14ac:dyDescent="0.25">
      <c r="F24" s="3" t="s">
        <v>13</v>
      </c>
      <c r="J24" s="3"/>
      <c r="K24" s="3"/>
      <c r="L24" s="18"/>
      <c r="N24" s="140"/>
      <c r="O24" s="18"/>
      <c r="P24" s="18"/>
      <c r="Q24" s="19"/>
    </row>
    <row r="25" spans="6:24" ht="15.75" x14ac:dyDescent="0.25">
      <c r="F25" s="3" t="s">
        <v>153</v>
      </c>
      <c r="J25" s="3"/>
      <c r="K25" s="3"/>
      <c r="L25" s="18"/>
      <c r="S25" s="20" t="s">
        <v>140</v>
      </c>
      <c r="T25" s="18"/>
      <c r="U25" s="18" t="s">
        <v>144</v>
      </c>
      <c r="V25" s="18" t="s">
        <v>145</v>
      </c>
      <c r="W25" s="18" t="s">
        <v>147</v>
      </c>
      <c r="X25" s="18" t="s">
        <v>156</v>
      </c>
    </row>
    <row r="26" spans="6:24" ht="15.75" x14ac:dyDescent="0.25">
      <c r="F26" s="3"/>
      <c r="J26" s="3"/>
      <c r="K26" s="3"/>
      <c r="L26" s="18"/>
      <c r="S26" s="274">
        <v>62</v>
      </c>
      <c r="T26" s="18" t="s">
        <v>143</v>
      </c>
      <c r="U26" s="290">
        <v>43.9</v>
      </c>
      <c r="V26" s="18">
        <v>10.5</v>
      </c>
      <c r="W26" s="287">
        <f>(U26*0.2+V26)/(U26+V26)</f>
        <v>0.35441176470588237</v>
      </c>
      <c r="X26" s="149">
        <f>+W26*S26</f>
        <v>21.973529411764709</v>
      </c>
    </row>
    <row r="27" spans="6:24" ht="15.75" x14ac:dyDescent="0.25">
      <c r="G27" s="3" t="s">
        <v>14</v>
      </c>
      <c r="H27" s="3"/>
      <c r="I27" s="3"/>
      <c r="J27" s="3"/>
      <c r="K27" s="3"/>
      <c r="L27" s="18"/>
      <c r="S27" s="274">
        <v>248</v>
      </c>
      <c r="T27" s="18" t="s">
        <v>142</v>
      </c>
      <c r="U27" s="290">
        <v>5.67</v>
      </c>
      <c r="V27" s="18">
        <v>62.1</v>
      </c>
      <c r="W27" s="287">
        <f>(U27*0.2+V27)/(U27+V27)</f>
        <v>0.93306772908366542</v>
      </c>
      <c r="X27" s="149">
        <f>+W27*S27</f>
        <v>231.40079681274904</v>
      </c>
    </row>
    <row r="28" spans="6:24" ht="16.5" thickBot="1" x14ac:dyDescent="0.3">
      <c r="G28" s="16" t="s">
        <v>15</v>
      </c>
      <c r="L28" s="18"/>
      <c r="S28" s="274"/>
      <c r="T28" s="18" t="s">
        <v>146</v>
      </c>
      <c r="U28" s="290">
        <f>+U27+U26</f>
        <v>49.57</v>
      </c>
      <c r="V28" s="18">
        <f>+V27+V26</f>
        <v>72.599999999999994</v>
      </c>
      <c r="W28" s="19"/>
    </row>
    <row r="29" spans="6:24" ht="16.5" thickBot="1" x14ac:dyDescent="0.3">
      <c r="G29" s="23" t="s">
        <v>154</v>
      </c>
      <c r="H29" s="288">
        <f>+G20*H12</f>
        <v>209.67688524590164</v>
      </c>
      <c r="I29" s="24" t="s">
        <v>7</v>
      </c>
      <c r="L29" s="18"/>
      <c r="S29" s="275">
        <f>+S28+S27+S26</f>
        <v>310</v>
      </c>
      <c r="U29" s="290">
        <v>43.9</v>
      </c>
      <c r="V29" s="18">
        <v>10.5</v>
      </c>
      <c r="W29" s="19"/>
    </row>
    <row r="30" spans="6:24" ht="15.75" x14ac:dyDescent="0.25">
      <c r="L30" s="18"/>
      <c r="M30" s="20"/>
      <c r="N30" s="18"/>
      <c r="O30" s="18"/>
      <c r="P30" s="18"/>
      <c r="Q30" s="19"/>
    </row>
    <row r="31" spans="6:24" ht="15.75" x14ac:dyDescent="0.25">
      <c r="L31" s="18"/>
      <c r="M31" s="20"/>
      <c r="N31" s="18"/>
      <c r="O31" s="18"/>
      <c r="P31" s="18"/>
      <c r="Q31" s="19"/>
    </row>
    <row r="32" spans="6:24" ht="15.75" x14ac:dyDescent="0.25">
      <c r="L32" s="18"/>
      <c r="M32" s="20"/>
      <c r="N32" s="18"/>
      <c r="O32" s="18"/>
      <c r="P32" s="18"/>
      <c r="Q32" s="19"/>
    </row>
    <row r="33" spans="12:17" ht="15.75" x14ac:dyDescent="0.25">
      <c r="L33" s="18"/>
      <c r="M33" s="20"/>
      <c r="N33" s="18"/>
      <c r="O33" s="18"/>
      <c r="P33" s="18"/>
      <c r="Q33" s="19"/>
    </row>
    <row r="34" spans="12:17" ht="15.75" x14ac:dyDescent="0.25">
      <c r="L34" s="18"/>
      <c r="M34" s="20"/>
      <c r="N34" s="18"/>
      <c r="O34" s="18"/>
      <c r="P34" s="18"/>
      <c r="Q34" s="19"/>
    </row>
    <row r="35" spans="12:17" ht="15.75" x14ac:dyDescent="0.25">
      <c r="L35" s="18"/>
      <c r="M35" s="20"/>
      <c r="N35" s="18"/>
      <c r="O35" s="18"/>
      <c r="P35" s="18"/>
      <c r="Q35" s="19"/>
    </row>
    <row r="36" spans="12:17" ht="15.75" x14ac:dyDescent="0.25">
      <c r="L36" s="18"/>
      <c r="M36" s="20"/>
      <c r="N36" s="18"/>
      <c r="O36" s="22"/>
      <c r="P36" s="18"/>
      <c r="Q36" s="19"/>
    </row>
    <row r="37" spans="12:17" ht="15.75" x14ac:dyDescent="0.25">
      <c r="L37" s="18"/>
      <c r="M37" s="20"/>
      <c r="N37" s="18"/>
      <c r="O37" s="18"/>
      <c r="P37" s="18"/>
      <c r="Q37" s="19"/>
    </row>
    <row r="38" spans="12:17" ht="15.75" x14ac:dyDescent="0.25">
      <c r="L38" s="18"/>
      <c r="M38" s="20"/>
      <c r="N38" s="18"/>
      <c r="O38" s="18"/>
      <c r="P38" s="18"/>
      <c r="Q38" s="19"/>
    </row>
    <row r="39" spans="12:17" ht="15.75" x14ac:dyDescent="0.25">
      <c r="L39" s="18"/>
      <c r="M39" s="20"/>
      <c r="N39" s="18"/>
      <c r="O39" s="22"/>
      <c r="P39" s="18"/>
      <c r="Q39" s="19"/>
    </row>
    <row r="40" spans="12:17" ht="15.75" x14ac:dyDescent="0.25">
      <c r="L40" s="18"/>
      <c r="M40" s="20"/>
      <c r="N40" s="18"/>
      <c r="O40" s="18"/>
      <c r="P40" s="18"/>
      <c r="Q40" s="19"/>
    </row>
    <row r="41" spans="12:17" ht="15.75" x14ac:dyDescent="0.25">
      <c r="L41" s="18"/>
      <c r="M41" s="20"/>
      <c r="N41" s="18"/>
      <c r="O41" s="18"/>
      <c r="P41" s="18"/>
      <c r="Q41" s="19"/>
    </row>
    <row r="42" spans="12:17" ht="15.75" x14ac:dyDescent="0.25">
      <c r="L42" s="18"/>
      <c r="M42" s="20"/>
      <c r="N42" s="18"/>
      <c r="O42" s="18"/>
      <c r="P42" s="18"/>
      <c r="Q42" s="19"/>
    </row>
    <row r="43" spans="12:17" ht="15.75" x14ac:dyDescent="0.25">
      <c r="L43" s="18"/>
      <c r="M43" s="20"/>
      <c r="N43" s="18"/>
      <c r="O43" s="18"/>
      <c r="P43" s="18"/>
      <c r="Q43" s="19"/>
    </row>
    <row r="44" spans="12:17" ht="15.75" x14ac:dyDescent="0.25">
      <c r="L44" s="18"/>
      <c r="M44" s="20"/>
      <c r="N44" s="18"/>
      <c r="O44" s="18"/>
      <c r="P44" s="18"/>
      <c r="Q44" s="19"/>
    </row>
  </sheetData>
  <mergeCells count="1">
    <mergeCell ref="F6:H6"/>
  </mergeCells>
  <pageMargins left="0.75" right="0.5" top="1.2395833333333333" bottom="0.75" header="0.3" footer="0.3"/>
  <pageSetup orientation="portrait" r:id="rId1"/>
  <headerFooter>
    <oddHeader xml:space="preserve">&amp;LProject: SCI-823-PH3
Subject:BMP Summary
Task: 
Job #:71143 &amp;C&amp;G&amp;ROriginated:&amp;UKAG-9/21/12&amp;U &amp;U     &amp;U 
Checked: 
Changes Made: 
Corrections Verified: </oddHeader>
    <evenHeader>&amp;L&amp;G
Project: &amp;ULUC-75&amp;U
Subject: &amp;UDrainage&amp;U
Task: &amp;UBMP Calculation&amp;U
Job #: XXXXX&amp;R
Originated: &amp;UKAG -08/28/12 &amp;U
Checked: &amp;ULBD - 08/28/12&amp;U
Changes Made: &amp;UKAG -08/28/12&amp;U
Corrections Verified: &amp;ULBD - 08/28/12</even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workbookViewId="0">
      <selection activeCell="C3" sqref="C3"/>
    </sheetView>
  </sheetViews>
  <sheetFormatPr defaultRowHeight="15" x14ac:dyDescent="0.25"/>
  <cols>
    <col min="5" max="5" width="9.140625" style="15"/>
    <col min="10" max="10" width="9.140625" style="300"/>
    <col min="14" max="14" width="10.5703125" bestFit="1" customWidth="1"/>
    <col min="15" max="15" width="11.5703125" bestFit="1" customWidth="1"/>
    <col min="16" max="16" width="10.5703125" bestFit="1" customWidth="1"/>
    <col min="17" max="17" width="11.28515625" customWidth="1"/>
  </cols>
  <sheetData>
    <row r="1" spans="1:10" x14ac:dyDescent="0.25">
      <c r="D1" s="325"/>
      <c r="E1" s="326"/>
      <c r="F1" s="326" t="s">
        <v>56</v>
      </c>
      <c r="G1" s="326" t="s">
        <v>130</v>
      </c>
      <c r="H1" s="326" t="s">
        <v>57</v>
      </c>
    </row>
    <row r="2" spans="1:10" x14ac:dyDescent="0.25">
      <c r="D2" s="325" t="s">
        <v>34</v>
      </c>
      <c r="E2" s="326"/>
      <c r="F2" s="329">
        <f>SUM(F5:F32)</f>
        <v>21.823600000000003</v>
      </c>
      <c r="G2" s="329">
        <f>SUM(F34:F65)</f>
        <v>43.454400000000007</v>
      </c>
      <c r="H2" s="329">
        <f>+SUM(F67:F116)</f>
        <v>61.045500000000018</v>
      </c>
    </row>
    <row r="3" spans="1:10" ht="79.5" thickBot="1" x14ac:dyDescent="0.3">
      <c r="A3" s="25" t="s">
        <v>30</v>
      </c>
      <c r="B3" s="25"/>
      <c r="C3" s="26"/>
      <c r="D3" s="26"/>
      <c r="E3" s="27"/>
      <c r="F3" s="28" t="s">
        <v>141</v>
      </c>
      <c r="G3" s="28" t="s">
        <v>5</v>
      </c>
      <c r="H3" s="29"/>
      <c r="I3" s="29"/>
      <c r="J3" s="27"/>
    </row>
    <row r="4" spans="1:10" ht="16.5" thickBot="1" x14ac:dyDescent="0.3">
      <c r="A4" s="25"/>
      <c r="B4" s="31" t="s">
        <v>4</v>
      </c>
      <c r="C4" s="32" t="s">
        <v>16</v>
      </c>
      <c r="D4" s="33" t="s">
        <v>17</v>
      </c>
      <c r="F4" s="10" t="s">
        <v>7</v>
      </c>
      <c r="G4" s="34" t="s">
        <v>18</v>
      </c>
      <c r="H4" s="35" t="s">
        <v>19</v>
      </c>
      <c r="I4" s="36" t="s">
        <v>20</v>
      </c>
      <c r="J4" s="37" t="s">
        <v>21</v>
      </c>
    </row>
    <row r="5" spans="1:10" ht="15.75" thickBot="1" x14ac:dyDescent="0.3">
      <c r="A5" s="25" t="s">
        <v>22</v>
      </c>
      <c r="B5" s="80" t="s">
        <v>31</v>
      </c>
      <c r="C5" s="81" t="s">
        <v>32</v>
      </c>
      <c r="D5" s="82" t="s">
        <v>33</v>
      </c>
      <c r="E5" s="84" t="s">
        <v>25</v>
      </c>
      <c r="F5" s="320">
        <f t="shared" ref="F5:F10" si="0">+G5</f>
        <v>2.1718999999999999</v>
      </c>
      <c r="G5" s="79">
        <v>2.1718999999999999</v>
      </c>
      <c r="H5" s="77">
        <f t="shared" ref="H5:H6" si="1">5.4*(G5^0.356)</f>
        <v>7.1171929130965363</v>
      </c>
      <c r="I5" s="78">
        <v>7</v>
      </c>
      <c r="J5" s="83"/>
    </row>
    <row r="6" spans="1:10" x14ac:dyDescent="0.25">
      <c r="A6" s="60"/>
      <c r="B6" s="80" t="s">
        <v>31</v>
      </c>
      <c r="C6" s="81">
        <v>600</v>
      </c>
      <c r="D6" s="82">
        <v>1050</v>
      </c>
      <c r="E6" s="85" t="s">
        <v>23</v>
      </c>
      <c r="F6" s="282">
        <f t="shared" si="0"/>
        <v>1.2013</v>
      </c>
      <c r="G6" s="54">
        <v>1.2013</v>
      </c>
      <c r="H6" s="77">
        <f t="shared" si="1"/>
        <v>5.7643412825149705</v>
      </c>
      <c r="I6" s="53">
        <v>6</v>
      </c>
      <c r="J6" s="43"/>
    </row>
    <row r="7" spans="1:10" x14ac:dyDescent="0.25">
      <c r="A7" s="60"/>
      <c r="B7" s="60"/>
      <c r="C7" s="52">
        <v>1050</v>
      </c>
      <c r="D7" s="52">
        <v>1750</v>
      </c>
      <c r="E7" s="85" t="s">
        <v>23</v>
      </c>
      <c r="F7" s="282">
        <f t="shared" si="0"/>
        <v>2.9146999999999998</v>
      </c>
      <c r="G7" s="54">
        <v>2.9146999999999998</v>
      </c>
      <c r="H7" s="77">
        <f t="shared" ref="H7:H24" si="2">5.4*(G7^0.356)</f>
        <v>7.9029489091092664</v>
      </c>
      <c r="I7" s="53">
        <v>8</v>
      </c>
      <c r="J7" s="43"/>
    </row>
    <row r="8" spans="1:10" x14ac:dyDescent="0.25">
      <c r="A8" s="60"/>
      <c r="B8" s="60"/>
      <c r="C8" s="52">
        <v>1750</v>
      </c>
      <c r="D8" s="52">
        <v>2000</v>
      </c>
      <c r="E8" s="86" t="s">
        <v>23</v>
      </c>
      <c r="F8" s="282">
        <f t="shared" si="0"/>
        <v>0.97660000000000002</v>
      </c>
      <c r="G8" s="54">
        <v>0.97660000000000002</v>
      </c>
      <c r="H8" s="77">
        <f t="shared" si="2"/>
        <v>5.3546724785757061</v>
      </c>
      <c r="I8" s="53">
        <v>6</v>
      </c>
      <c r="J8" s="43"/>
    </row>
    <row r="9" spans="1:10" x14ac:dyDescent="0.25">
      <c r="A9" s="60"/>
      <c r="B9" s="60"/>
      <c r="C9" s="52">
        <v>1700</v>
      </c>
      <c r="D9" s="52">
        <v>2000</v>
      </c>
      <c r="E9" s="86" t="s">
        <v>25</v>
      </c>
      <c r="F9" s="282">
        <f t="shared" si="0"/>
        <v>0.95599999999999996</v>
      </c>
      <c r="G9" s="54">
        <v>0.95599999999999996</v>
      </c>
      <c r="H9" s="43">
        <f t="shared" si="2"/>
        <v>5.3141862268732067</v>
      </c>
      <c r="I9" s="53">
        <v>6</v>
      </c>
      <c r="J9" s="43"/>
    </row>
    <row r="10" spans="1:10" ht="15.75" thickBot="1" x14ac:dyDescent="0.3">
      <c r="A10" s="60"/>
      <c r="B10" s="74"/>
      <c r="C10" s="52">
        <v>2000</v>
      </c>
      <c r="D10" s="52">
        <v>2700</v>
      </c>
      <c r="E10" s="86" t="s">
        <v>23</v>
      </c>
      <c r="F10" s="282">
        <f t="shared" si="0"/>
        <v>2.0255999999999998</v>
      </c>
      <c r="G10" s="54">
        <v>2.0255999999999998</v>
      </c>
      <c r="H10" s="43">
        <f t="shared" si="2"/>
        <v>6.942675596289968</v>
      </c>
      <c r="I10" s="53">
        <v>7</v>
      </c>
      <c r="J10" s="75"/>
    </row>
    <row r="11" spans="1:10" x14ac:dyDescent="0.25">
      <c r="A11" s="87"/>
      <c r="B11" s="80" t="s">
        <v>31</v>
      </c>
      <c r="C11" s="89">
        <v>2050</v>
      </c>
      <c r="D11" s="90" t="s">
        <v>35</v>
      </c>
      <c r="E11" s="91"/>
      <c r="F11" s="317">
        <v>1.4</v>
      </c>
      <c r="G11" s="76">
        <v>1.4</v>
      </c>
      <c r="H11" s="77">
        <f t="shared" si="2"/>
        <v>6.0871687357779676</v>
      </c>
      <c r="I11" s="53">
        <v>6</v>
      </c>
      <c r="J11" s="93"/>
    </row>
    <row r="12" spans="1:10" x14ac:dyDescent="0.25">
      <c r="A12" s="87"/>
      <c r="B12" s="94" t="s">
        <v>36</v>
      </c>
      <c r="C12" s="89">
        <v>2200</v>
      </c>
      <c r="D12" s="90">
        <v>2900</v>
      </c>
      <c r="E12" s="95" t="s">
        <v>25</v>
      </c>
      <c r="F12" s="317">
        <f>+G12</f>
        <v>2.8195000000000001</v>
      </c>
      <c r="G12" s="76">
        <v>2.8195000000000001</v>
      </c>
      <c r="H12" s="77">
        <f t="shared" si="2"/>
        <v>7.8100718101327775</v>
      </c>
      <c r="I12" s="92">
        <v>8</v>
      </c>
      <c r="J12" s="93"/>
    </row>
    <row r="13" spans="1:10" x14ac:dyDescent="0.25">
      <c r="A13" s="87"/>
      <c r="B13" s="94" t="s">
        <v>37</v>
      </c>
      <c r="C13" s="89">
        <v>2700</v>
      </c>
      <c r="D13" s="90">
        <v>2900</v>
      </c>
      <c r="E13" s="95" t="s">
        <v>23</v>
      </c>
      <c r="F13" s="311">
        <v>0.63</v>
      </c>
      <c r="G13" s="76">
        <f t="shared" ref="G13:G16" si="3">+F13</f>
        <v>0.63</v>
      </c>
      <c r="H13" s="77">
        <f t="shared" si="2"/>
        <v>4.5809863259610166</v>
      </c>
      <c r="I13" s="92">
        <v>5</v>
      </c>
      <c r="J13" s="93"/>
    </row>
    <row r="14" spans="1:10" x14ac:dyDescent="0.25">
      <c r="A14" s="87"/>
      <c r="B14" s="94" t="s">
        <v>37</v>
      </c>
      <c r="C14" s="89">
        <v>2900</v>
      </c>
      <c r="D14" s="90">
        <v>3050</v>
      </c>
      <c r="E14" s="95" t="s">
        <v>23</v>
      </c>
      <c r="F14" s="311">
        <v>0.48</v>
      </c>
      <c r="G14" s="76">
        <f t="shared" si="3"/>
        <v>0.48</v>
      </c>
      <c r="H14" s="77">
        <f t="shared" si="2"/>
        <v>4.1582982964961905</v>
      </c>
      <c r="I14" s="92">
        <v>5</v>
      </c>
      <c r="J14" s="93"/>
    </row>
    <row r="15" spans="1:10" x14ac:dyDescent="0.25">
      <c r="A15" s="87"/>
      <c r="B15" s="94" t="s">
        <v>37</v>
      </c>
      <c r="C15" s="89">
        <v>3050</v>
      </c>
      <c r="D15" s="90">
        <v>3200</v>
      </c>
      <c r="E15" s="95" t="s">
        <v>23</v>
      </c>
      <c r="F15" s="311">
        <v>0.49</v>
      </c>
      <c r="G15" s="76">
        <f t="shared" si="3"/>
        <v>0.49</v>
      </c>
      <c r="H15" s="77">
        <f t="shared" si="2"/>
        <v>4.1889344490341625</v>
      </c>
      <c r="I15" s="92">
        <v>5</v>
      </c>
      <c r="J15" s="93"/>
    </row>
    <row r="16" spans="1:10" x14ac:dyDescent="0.25">
      <c r="A16" s="87"/>
      <c r="B16" s="94" t="s">
        <v>37</v>
      </c>
      <c r="C16" s="89">
        <v>3200</v>
      </c>
      <c r="D16" s="90">
        <v>3700</v>
      </c>
      <c r="E16" s="95" t="s">
        <v>23</v>
      </c>
      <c r="F16" s="311">
        <v>0.56999999999999995</v>
      </c>
      <c r="G16" s="76">
        <f t="shared" si="3"/>
        <v>0.56999999999999995</v>
      </c>
      <c r="H16" s="77">
        <f t="shared" si="2"/>
        <v>4.4206406043893001</v>
      </c>
      <c r="I16" s="92">
        <v>5</v>
      </c>
      <c r="J16" s="93"/>
    </row>
    <row r="17" spans="1:11" x14ac:dyDescent="0.25">
      <c r="A17" s="87"/>
      <c r="B17" s="94" t="s">
        <v>37</v>
      </c>
      <c r="C17" s="89">
        <v>2900</v>
      </c>
      <c r="D17" s="90">
        <v>3700</v>
      </c>
      <c r="E17" s="91" t="s">
        <v>25</v>
      </c>
      <c r="F17" s="317">
        <v>0.71740000000000004</v>
      </c>
      <c r="G17" s="76">
        <v>1.19</v>
      </c>
      <c r="H17" s="77">
        <f t="shared" si="2"/>
        <v>5.7449794306701545</v>
      </c>
      <c r="I17" s="92">
        <v>6</v>
      </c>
      <c r="J17" s="93"/>
    </row>
    <row r="18" spans="1:11" x14ac:dyDescent="0.25">
      <c r="A18" s="87"/>
      <c r="B18" s="88" t="s">
        <v>38</v>
      </c>
      <c r="C18" s="89">
        <v>3150</v>
      </c>
      <c r="D18" s="90">
        <v>3400</v>
      </c>
      <c r="E18" s="91" t="s">
        <v>25</v>
      </c>
      <c r="F18" s="92"/>
      <c r="G18" s="76">
        <v>0.49</v>
      </c>
      <c r="H18" s="77">
        <f t="shared" si="2"/>
        <v>4.1889344490341625</v>
      </c>
      <c r="I18" s="92">
        <v>2</v>
      </c>
      <c r="J18" s="93" t="s">
        <v>39</v>
      </c>
    </row>
    <row r="19" spans="1:11" x14ac:dyDescent="0.25">
      <c r="A19" s="87"/>
      <c r="B19" s="88" t="s">
        <v>40</v>
      </c>
      <c r="C19" s="89">
        <v>3550</v>
      </c>
      <c r="D19" s="90">
        <v>3920</v>
      </c>
      <c r="E19" s="91" t="s">
        <v>23</v>
      </c>
      <c r="F19" s="311">
        <v>0.56000000000000005</v>
      </c>
      <c r="G19" s="76">
        <f>+F19</f>
        <v>0.56000000000000005</v>
      </c>
      <c r="H19" s="77">
        <f t="shared" si="2"/>
        <v>4.3928735021642131</v>
      </c>
      <c r="I19" s="92">
        <v>5</v>
      </c>
      <c r="J19" s="93"/>
    </row>
    <row r="20" spans="1:11" x14ac:dyDescent="0.25">
      <c r="A20" s="87"/>
      <c r="B20" s="314" t="s">
        <v>40</v>
      </c>
      <c r="C20" s="315">
        <v>4100</v>
      </c>
      <c r="D20" s="316">
        <v>4200</v>
      </c>
      <c r="E20" s="152" t="s">
        <v>23</v>
      </c>
      <c r="F20" s="311">
        <v>0.42</v>
      </c>
      <c r="G20" s="317">
        <f>+F20</f>
        <v>0.42</v>
      </c>
      <c r="H20" s="318">
        <f t="shared" si="2"/>
        <v>3.9652493919916698</v>
      </c>
      <c r="I20" s="311">
        <v>4</v>
      </c>
      <c r="J20" s="319"/>
    </row>
    <row r="21" spans="1:11" x14ac:dyDescent="0.25">
      <c r="A21" s="87"/>
      <c r="B21" s="88" t="s">
        <v>49</v>
      </c>
      <c r="C21" s="89">
        <v>3150</v>
      </c>
      <c r="D21" s="90">
        <v>3350</v>
      </c>
      <c r="E21" s="91" t="s">
        <v>23</v>
      </c>
      <c r="F21" s="92"/>
      <c r="G21" s="76">
        <v>0.21</v>
      </c>
      <c r="H21" s="77">
        <f t="shared" si="2"/>
        <v>3.0981599017994217</v>
      </c>
      <c r="I21" s="92">
        <v>3</v>
      </c>
      <c r="J21" s="96" t="s">
        <v>50</v>
      </c>
    </row>
    <row r="22" spans="1:11" x14ac:dyDescent="0.25">
      <c r="A22" s="87"/>
      <c r="B22" s="88" t="s">
        <v>49</v>
      </c>
      <c r="C22" s="89">
        <v>3350</v>
      </c>
      <c r="D22" s="90">
        <v>3550</v>
      </c>
      <c r="E22" s="91" t="s">
        <v>23</v>
      </c>
      <c r="F22" s="311">
        <v>0.41</v>
      </c>
      <c r="G22" s="76">
        <f>+F22</f>
        <v>0.41</v>
      </c>
      <c r="H22" s="77">
        <f t="shared" si="2"/>
        <v>3.9313780886533576</v>
      </c>
      <c r="I22" s="92">
        <v>4</v>
      </c>
      <c r="J22" s="93"/>
    </row>
    <row r="23" spans="1:11" x14ac:dyDescent="0.25">
      <c r="A23" s="87"/>
      <c r="B23" s="88" t="s">
        <v>49</v>
      </c>
      <c r="C23" s="89">
        <v>3550</v>
      </c>
      <c r="D23" s="90">
        <v>3720</v>
      </c>
      <c r="E23" s="91" t="s">
        <v>23</v>
      </c>
      <c r="F23" s="311">
        <v>0.41</v>
      </c>
      <c r="G23" s="76">
        <f>+F23</f>
        <v>0.41</v>
      </c>
      <c r="H23" s="77">
        <f t="shared" si="2"/>
        <v>3.9313780886533576</v>
      </c>
      <c r="I23" s="92">
        <v>4</v>
      </c>
      <c r="J23" s="93"/>
    </row>
    <row r="24" spans="1:11" x14ac:dyDescent="0.25">
      <c r="A24" s="87"/>
      <c r="B24" s="88" t="s">
        <v>49</v>
      </c>
      <c r="C24" s="89">
        <v>3720</v>
      </c>
      <c r="D24" s="90">
        <v>3900</v>
      </c>
      <c r="E24" s="91" t="s">
        <v>23</v>
      </c>
      <c r="F24" s="311">
        <v>0.33</v>
      </c>
      <c r="G24" s="76">
        <f>+F24</f>
        <v>0.33</v>
      </c>
      <c r="H24" s="77">
        <f t="shared" si="2"/>
        <v>3.6390223457502633</v>
      </c>
      <c r="I24" s="92">
        <v>4</v>
      </c>
      <c r="J24" s="93"/>
    </row>
    <row r="25" spans="1:11" x14ac:dyDescent="0.25">
      <c r="A25" s="38"/>
      <c r="B25" s="69" t="s">
        <v>24</v>
      </c>
      <c r="C25" s="70">
        <v>4450</v>
      </c>
      <c r="D25" s="71">
        <v>4000</v>
      </c>
      <c r="E25" s="68" t="s">
        <v>23</v>
      </c>
      <c r="F25" s="310">
        <f>+G25-0.0592</f>
        <v>1.0518000000000001</v>
      </c>
      <c r="G25" s="73">
        <v>1.111</v>
      </c>
      <c r="H25" s="77">
        <f>5.4*(G25^0.356)</f>
        <v>5.606191967423964</v>
      </c>
      <c r="I25" s="72">
        <v>10</v>
      </c>
      <c r="J25" s="92" t="s">
        <v>51</v>
      </c>
    </row>
    <row r="26" spans="1:11" x14ac:dyDescent="0.25">
      <c r="A26" s="38"/>
      <c r="B26" s="46" t="s">
        <v>26</v>
      </c>
      <c r="C26" s="47">
        <v>4450</v>
      </c>
      <c r="D26" s="40">
        <v>6100</v>
      </c>
      <c r="E26" s="120" t="s">
        <v>23</v>
      </c>
      <c r="F26" s="41"/>
      <c r="G26" s="42">
        <v>7.32</v>
      </c>
      <c r="H26" s="43">
        <f t="shared" ref="H26" si="4">5.4*(G26^0.356)</f>
        <v>10.968814821802697</v>
      </c>
      <c r="I26" s="41">
        <v>10</v>
      </c>
      <c r="J26" s="92" t="s">
        <v>166</v>
      </c>
    </row>
    <row r="27" spans="1:11" x14ac:dyDescent="0.25">
      <c r="A27" s="38"/>
      <c r="B27" s="46" t="s">
        <v>27</v>
      </c>
      <c r="C27" s="47">
        <v>6850</v>
      </c>
      <c r="D27" s="40">
        <v>6900</v>
      </c>
      <c r="E27" s="212" t="s">
        <v>23</v>
      </c>
      <c r="F27" s="309">
        <v>0.12</v>
      </c>
      <c r="G27" s="42">
        <v>0.122</v>
      </c>
      <c r="H27" s="43">
        <f>5.4*(G27^0.356)</f>
        <v>2.5535117437575252</v>
      </c>
      <c r="I27" s="41">
        <v>10</v>
      </c>
      <c r="J27" s="41" t="str">
        <f>IF(H27&lt;=I27,"",IF(AND(H27&gt;I27,H27&lt;=10),H27,IF(AND(H27&gt;I27,H27&gt;10,#REF!="NO"),H27,IF(AND(H27&gt;I27,H27&gt;10,#REF!="YES"),"CONVEYANCE DITCH FOR OFFSITE DRAINAGE AREA",""))))</f>
        <v/>
      </c>
    </row>
    <row r="28" spans="1:11" x14ac:dyDescent="0.25">
      <c r="A28" s="38"/>
      <c r="B28" s="213" t="s">
        <v>124</v>
      </c>
      <c r="C28" s="51">
        <v>9600</v>
      </c>
      <c r="D28" s="52" t="s">
        <v>125</v>
      </c>
      <c r="E28" s="212" t="s">
        <v>23</v>
      </c>
      <c r="F28" s="281"/>
      <c r="G28" s="54">
        <f>3.9+11.34</f>
        <v>15.24</v>
      </c>
      <c r="H28" s="43">
        <f>5.4*(G28^0.356)</f>
        <v>14.240866266600644</v>
      </c>
      <c r="I28" s="53">
        <v>10</v>
      </c>
      <c r="J28" s="48"/>
      <c r="K28" t="s">
        <v>195</v>
      </c>
    </row>
    <row r="29" spans="1:11" x14ac:dyDescent="0.25">
      <c r="A29" s="38" t="s">
        <v>25</v>
      </c>
      <c r="B29" s="39" t="s">
        <v>26</v>
      </c>
      <c r="C29" s="49">
        <v>9600</v>
      </c>
      <c r="D29" s="49">
        <v>8600</v>
      </c>
      <c r="E29" s="212" t="s">
        <v>25</v>
      </c>
      <c r="F29" s="309"/>
      <c r="G29" s="50">
        <v>2.927</v>
      </c>
      <c r="H29" s="43">
        <f t="shared" ref="H29:H30" si="5">5.4*(G29^0.356)</f>
        <v>7.9148055386107998</v>
      </c>
      <c r="I29" s="39">
        <v>10</v>
      </c>
      <c r="J29" s="43" t="str">
        <f>IF(H29&lt;=I29,"",IF(AND(H29&gt;I29,H29&lt;=10),H29,IF(AND(H29&gt;I29,H29&gt;10,#REF!="NO"),H29,IF(AND(H29&gt;I29,H29&gt;10,#REF!="YES"),"CONVEYANCE DITCH FOR OFFSITE DRAINAGE AREA",""))))</f>
        <v/>
      </c>
    </row>
    <row r="30" spans="1:11" x14ac:dyDescent="0.25">
      <c r="A30" s="38"/>
      <c r="B30" s="39" t="s">
        <v>28</v>
      </c>
      <c r="C30" s="51" t="s">
        <v>161</v>
      </c>
      <c r="D30" s="52">
        <v>7350</v>
      </c>
      <c r="E30" s="300" t="s">
        <v>25</v>
      </c>
      <c r="F30" s="282">
        <f>+G30-0.0701</f>
        <v>0.22260000000000002</v>
      </c>
      <c r="G30" s="54">
        <v>0.29270000000000002</v>
      </c>
      <c r="H30" s="43">
        <f t="shared" si="5"/>
        <v>3.4869060737435933</v>
      </c>
      <c r="I30" s="53">
        <v>10</v>
      </c>
      <c r="J30" s="48"/>
    </row>
    <row r="31" spans="1:11" x14ac:dyDescent="0.25">
      <c r="A31" s="25" t="s">
        <v>25</v>
      </c>
      <c r="B31" s="39" t="s">
        <v>28</v>
      </c>
      <c r="C31" s="51" t="s">
        <v>108</v>
      </c>
      <c r="D31" s="52">
        <v>7400</v>
      </c>
      <c r="F31" s="282"/>
      <c r="G31" s="54">
        <v>8.3320000000000007</v>
      </c>
      <c r="H31" s="43">
        <f t="shared" ref="H31:H32" si="6">5.4*(G31^0.356)</f>
        <v>11.486309040248811</v>
      </c>
      <c r="I31" s="53">
        <v>10</v>
      </c>
      <c r="J31" s="48"/>
      <c r="K31" t="s">
        <v>195</v>
      </c>
    </row>
    <row r="32" spans="1:11" x14ac:dyDescent="0.25">
      <c r="A32" s="38" t="s">
        <v>23</v>
      </c>
      <c r="B32" s="39" t="s">
        <v>28</v>
      </c>
      <c r="C32" s="51" t="s">
        <v>160</v>
      </c>
      <c r="D32" s="52" t="s">
        <v>161</v>
      </c>
      <c r="E32" s="216"/>
      <c r="F32" s="282">
        <v>0.94620000000000004</v>
      </c>
      <c r="G32" s="54">
        <v>0.94620000000000004</v>
      </c>
      <c r="H32" s="43">
        <f t="shared" si="6"/>
        <v>5.2947284057511839</v>
      </c>
      <c r="I32" s="53">
        <v>6</v>
      </c>
      <c r="J32" s="43"/>
    </row>
    <row r="33" spans="1:13" x14ac:dyDescent="0.25">
      <c r="A33" s="38"/>
      <c r="B33" s="44"/>
      <c r="C33" s="55" t="s">
        <v>29</v>
      </c>
      <c r="D33" s="56"/>
      <c r="E33" s="216"/>
      <c r="F33" s="57"/>
      <c r="G33" s="58"/>
      <c r="H33" s="62"/>
      <c r="I33" s="57"/>
      <c r="J33" s="57"/>
    </row>
    <row r="34" spans="1:13" x14ac:dyDescent="0.25">
      <c r="A34" s="38" t="s">
        <v>23</v>
      </c>
      <c r="B34" s="46"/>
      <c r="C34" s="51">
        <v>9600</v>
      </c>
      <c r="D34" s="52">
        <v>10600</v>
      </c>
      <c r="F34" s="282">
        <f>+G34</f>
        <v>4.12</v>
      </c>
      <c r="G34" s="54">
        <v>4.12</v>
      </c>
      <c r="H34" s="43">
        <f>5.4*(G34^0.356)</f>
        <v>8.9391694280253962</v>
      </c>
      <c r="I34" s="53">
        <v>10</v>
      </c>
      <c r="J34" s="48" t="str">
        <f>IF(H34&lt;=I34,"",IF(AND(H34&gt;I34,H34&lt;=10),H34,IF(AND(H34&gt;I34,H34&gt;10,#REF!="NO"),H34,IF(AND(H34&gt;I34,H34&gt;10,#REF!="YES"),"CONVEYANCE DITCH FOR OFFSITE DRAINAGE AREA",""))))</f>
        <v/>
      </c>
    </row>
    <row r="35" spans="1:13" x14ac:dyDescent="0.25">
      <c r="A35" s="25" t="s">
        <v>23</v>
      </c>
      <c r="C35" s="51" t="s">
        <v>194</v>
      </c>
      <c r="D35" s="52">
        <v>11400</v>
      </c>
      <c r="E35" s="216"/>
      <c r="F35" s="282">
        <f>+G35</f>
        <v>2.9761000000000002</v>
      </c>
      <c r="G35" s="54">
        <v>2.9761000000000002</v>
      </c>
      <c r="H35" s="43">
        <f>5.4*(G35^0.356)</f>
        <v>7.9618185703675239</v>
      </c>
      <c r="I35" s="267">
        <v>8</v>
      </c>
      <c r="J35" s="46"/>
    </row>
    <row r="36" spans="1:13" x14ac:dyDescent="0.25">
      <c r="A36" s="25" t="s">
        <v>25</v>
      </c>
      <c r="C36" s="218">
        <v>11025</v>
      </c>
      <c r="D36" s="52">
        <v>11350</v>
      </c>
      <c r="E36" s="216"/>
      <c r="F36" s="282">
        <v>1.3622000000000001</v>
      </c>
      <c r="G36" s="54">
        <f>+F36</f>
        <v>1.3622000000000001</v>
      </c>
      <c r="H36" s="43">
        <f>5.4*(G36^0.356)</f>
        <v>6.0281425215906062</v>
      </c>
      <c r="I36" s="53">
        <v>6</v>
      </c>
      <c r="J36" s="302"/>
    </row>
    <row r="37" spans="1:13" x14ac:dyDescent="0.25">
      <c r="A37" s="38" t="s">
        <v>25</v>
      </c>
      <c r="B37" s="41"/>
      <c r="C37" s="52">
        <v>9600</v>
      </c>
      <c r="D37" s="52">
        <v>10600</v>
      </c>
      <c r="F37" s="282">
        <v>4.8</v>
      </c>
      <c r="G37" s="54">
        <v>4.8</v>
      </c>
      <c r="H37" s="43">
        <f>5.4*(G37^0.356)</f>
        <v>9.4387751468650727</v>
      </c>
      <c r="I37" s="53">
        <v>10</v>
      </c>
      <c r="J37" s="43" t="str">
        <f>IF(H37&lt;=I37,"",IF(AND(H37&gt;I37,H37&lt;=10),H37,IF(AND(H37&gt;I37,H37&gt;10,#REF!="NO"),H37,IF(AND(H37&gt;I37,H37&gt;10,#REF!="YES"),"CONVEYANCE DITCH FOR OFFSITE DRAINAGE AREA",""))))</f>
        <v/>
      </c>
      <c r="K37" t="s">
        <v>128</v>
      </c>
    </row>
    <row r="38" spans="1:13" x14ac:dyDescent="0.25">
      <c r="A38" s="38" t="s">
        <v>25</v>
      </c>
      <c r="B38" s="38"/>
      <c r="C38" s="52">
        <v>11350</v>
      </c>
      <c r="D38" s="52">
        <v>12100</v>
      </c>
      <c r="E38" s="216"/>
      <c r="F38" s="282">
        <f>+G38-1.6379</f>
        <v>4.7995000000000001</v>
      </c>
      <c r="G38" s="54">
        <v>6.4374000000000002</v>
      </c>
      <c r="H38" s="43">
        <f>5.4*(G38^0.356)</f>
        <v>10.478393321498794</v>
      </c>
      <c r="I38" s="53">
        <v>10</v>
      </c>
      <c r="J38" s="43"/>
    </row>
    <row r="39" spans="1:13" x14ac:dyDescent="0.25">
      <c r="A39" s="229"/>
      <c r="B39" s="230"/>
      <c r="C39" s="231"/>
      <c r="D39" s="232"/>
      <c r="E39" s="233"/>
      <c r="F39" s="234"/>
      <c r="G39" s="235"/>
      <c r="H39" s="253"/>
      <c r="I39" s="234"/>
      <c r="J39" s="236" t="str">
        <f>IF(H39&lt;=I39,"",IF(AND(H39&gt;I39,H39&lt;=10),H39,IF(AND(H39&gt;I39,H39&gt;10,#REF!="NO"),H39,IF(AND(H39&gt;I39,H39&gt;10,#REF!="YES"),"CONVEYANCE DITCH FOR OFFSITE DRAINAGE AREA",""))))</f>
        <v/>
      </c>
    </row>
    <row r="40" spans="1:13" x14ac:dyDescent="0.25">
      <c r="A40" s="25" t="s">
        <v>23</v>
      </c>
      <c r="B40" s="223" t="s">
        <v>136</v>
      </c>
      <c r="C40" s="51">
        <v>11600</v>
      </c>
      <c r="D40" s="52">
        <v>12200</v>
      </c>
      <c r="E40" s="225"/>
      <c r="F40" s="224"/>
      <c r="G40" s="219">
        <v>2.0099999999999998</v>
      </c>
      <c r="H40" s="221">
        <f t="shared" ref="H40" si="7">5.4*(G40^0.356)</f>
        <v>6.9235934160568924</v>
      </c>
      <c r="I40" s="220">
        <v>10</v>
      </c>
      <c r="J40" s="221"/>
    </row>
    <row r="41" spans="1:13" x14ac:dyDescent="0.25">
      <c r="A41" s="25" t="s">
        <v>23</v>
      </c>
      <c r="B41" s="223" t="s">
        <v>133</v>
      </c>
      <c r="C41" s="51">
        <v>1769</v>
      </c>
      <c r="D41" s="52">
        <v>1960</v>
      </c>
      <c r="E41" s="222"/>
      <c r="F41" s="308">
        <f>+G41</f>
        <v>2.74</v>
      </c>
      <c r="G41" s="219">
        <v>2.74</v>
      </c>
      <c r="H41" s="221">
        <f t="shared" ref="H41" si="8">5.4*(G41^0.356)</f>
        <v>7.7309517037765616</v>
      </c>
      <c r="I41" s="220">
        <v>8</v>
      </c>
      <c r="J41" s="221"/>
    </row>
    <row r="42" spans="1:13" x14ac:dyDescent="0.25">
      <c r="A42" s="229"/>
      <c r="B42" s="230"/>
      <c r="C42" s="231"/>
      <c r="D42" s="232"/>
      <c r="E42" s="233"/>
      <c r="F42" s="234"/>
      <c r="G42" s="235"/>
      <c r="H42" s="253"/>
      <c r="I42" s="234"/>
      <c r="J42" s="236" t="str">
        <f>IF(H42&lt;=I42,"",IF(AND(H42&gt;I42,H42&lt;=10),H42,IF(AND(H42&gt;I42,H42&gt;10,#REF!="NO"),H42,IF(AND(H42&gt;I42,H42&gt;10,#REF!="YES"),"CONVEYANCE DITCH FOR OFFSITE DRAINAGE AREA",""))))</f>
        <v/>
      </c>
    </row>
    <row r="43" spans="1:13" x14ac:dyDescent="0.25">
      <c r="A43" s="87" t="s">
        <v>25</v>
      </c>
      <c r="B43" s="223" t="s">
        <v>133</v>
      </c>
      <c r="C43" s="51">
        <v>2000</v>
      </c>
      <c r="D43" s="52">
        <v>1850</v>
      </c>
      <c r="E43" s="222"/>
      <c r="F43" s="307">
        <v>0.18</v>
      </c>
      <c r="G43" s="219">
        <f>+F43</f>
        <v>0.18</v>
      </c>
      <c r="H43" s="221">
        <f t="shared" ref="H43" si="9">5.4*(G43^0.356)</f>
        <v>2.9327211529260535</v>
      </c>
      <c r="I43" s="220">
        <v>3</v>
      </c>
      <c r="J43" s="221"/>
    </row>
    <row r="44" spans="1:13" x14ac:dyDescent="0.25">
      <c r="A44" s="242"/>
      <c r="B44" s="230"/>
      <c r="C44" s="247"/>
      <c r="D44" s="248"/>
      <c r="E44" s="233"/>
      <c r="F44" s="245"/>
      <c r="G44" s="243"/>
      <c r="H44" s="312"/>
      <c r="I44" s="244"/>
      <c r="J44" s="249"/>
    </row>
    <row r="45" spans="1:13" s="241" customFormat="1" x14ac:dyDescent="0.25">
      <c r="A45" s="87" t="s">
        <v>25</v>
      </c>
      <c r="B45" s="226" t="s">
        <v>135</v>
      </c>
      <c r="C45" s="227">
        <v>3000</v>
      </c>
      <c r="D45" s="228">
        <v>3260</v>
      </c>
      <c r="E45" s="15"/>
      <c r="F45" s="224"/>
      <c r="G45" s="219">
        <v>0.28999999999999998</v>
      </c>
      <c r="H45" s="221">
        <f t="shared" ref="H45" si="10">5.4*(G45^0.356)</f>
        <v>3.47542120878926</v>
      </c>
      <c r="I45" s="220">
        <v>2</v>
      </c>
      <c r="J45" s="300"/>
      <c r="K45"/>
      <c r="L45"/>
      <c r="M45"/>
    </row>
    <row r="46" spans="1:13" x14ac:dyDescent="0.25">
      <c r="A46" s="25" t="s">
        <v>23</v>
      </c>
      <c r="B46" s="39" t="s">
        <v>26</v>
      </c>
      <c r="C46" s="49">
        <v>12300</v>
      </c>
      <c r="D46" s="49">
        <v>12450</v>
      </c>
      <c r="E46" s="222"/>
      <c r="F46" s="39"/>
      <c r="G46" s="50">
        <f>+G45+0.78</f>
        <v>1.07</v>
      </c>
      <c r="H46" s="43">
        <f>5.4*(G46^0.356)</f>
        <v>5.5316460663528551</v>
      </c>
      <c r="I46" s="39">
        <v>6</v>
      </c>
      <c r="J46" s="43" t="str">
        <f>IF(H46&lt;=I46,"",IF(AND(H46&gt;I46,H46&lt;=10),H46,IF(AND(H46&gt;I46,H46&gt;10,#REF!="NO"),H46,IF(AND(H46&gt;I46,H46&gt;10,#REF!="YES"),"CONVEYANCE DITCH FOR OFFSITE DRAINAGE AREA",""))))</f>
        <v/>
      </c>
    </row>
    <row r="47" spans="1:13" x14ac:dyDescent="0.25">
      <c r="A47" s="25" t="s">
        <v>23</v>
      </c>
      <c r="B47" s="39" t="s">
        <v>26</v>
      </c>
      <c r="C47" s="49">
        <v>12450</v>
      </c>
      <c r="D47" s="49">
        <v>12800</v>
      </c>
      <c r="E47" s="225"/>
      <c r="F47" s="306">
        <f>+G47-0.0847</f>
        <v>4.2652999999999999</v>
      </c>
      <c r="G47" s="50">
        <v>4.3499999999999996</v>
      </c>
      <c r="H47" s="43">
        <f>5.4*(G47^0.356)</f>
        <v>9.1137253226189472</v>
      </c>
      <c r="I47" s="39">
        <v>10</v>
      </c>
      <c r="J47" s="43"/>
    </row>
    <row r="48" spans="1:13" x14ac:dyDescent="0.25">
      <c r="A48" s="237"/>
      <c r="B48" s="250"/>
      <c r="C48" s="251"/>
      <c r="D48" s="251"/>
      <c r="E48" s="233"/>
      <c r="F48" s="252"/>
      <c r="G48" s="252"/>
      <c r="H48" s="253"/>
      <c r="I48" s="250"/>
      <c r="J48" s="253"/>
    </row>
    <row r="49" spans="1:11" x14ac:dyDescent="0.25">
      <c r="A49" s="25" t="s">
        <v>25</v>
      </c>
      <c r="B49" s="39" t="s">
        <v>26</v>
      </c>
      <c r="C49" s="49">
        <v>12600</v>
      </c>
      <c r="D49" s="49">
        <v>12900</v>
      </c>
      <c r="E49" s="285"/>
      <c r="F49" s="306">
        <v>2.8961000000000001</v>
      </c>
      <c r="G49" s="50">
        <v>2.8961000000000001</v>
      </c>
      <c r="H49" s="43">
        <f>5.4*(G49^0.356)</f>
        <v>7.8849580100505676</v>
      </c>
      <c r="I49" s="39">
        <v>10</v>
      </c>
      <c r="J49" s="43"/>
    </row>
    <row r="50" spans="1:11" x14ac:dyDescent="0.25">
      <c r="A50" s="25" t="s">
        <v>23</v>
      </c>
      <c r="B50" s="39" t="s">
        <v>26</v>
      </c>
      <c r="C50" s="49">
        <v>13000</v>
      </c>
      <c r="D50" s="49">
        <v>12950</v>
      </c>
      <c r="E50" s="225"/>
      <c r="F50" s="306">
        <f>+G50</f>
        <v>3.1374</v>
      </c>
      <c r="G50" s="50">
        <v>3.1374</v>
      </c>
      <c r="H50" s="43">
        <f>5.4*(G50^0.356)</f>
        <v>8.1128349650038754</v>
      </c>
      <c r="I50" s="39">
        <v>9</v>
      </c>
      <c r="J50" s="43"/>
      <c r="K50" t="s">
        <v>137</v>
      </c>
    </row>
    <row r="51" spans="1:11" x14ac:dyDescent="0.25">
      <c r="A51" s="25"/>
      <c r="B51" s="39"/>
      <c r="C51" s="49"/>
      <c r="D51" s="49"/>
      <c r="E51" s="225"/>
      <c r="F51" s="39"/>
      <c r="G51" s="50"/>
      <c r="H51" s="43"/>
      <c r="I51" s="39">
        <v>10</v>
      </c>
      <c r="J51" s="43"/>
    </row>
    <row r="52" spans="1:11" x14ac:dyDescent="0.25">
      <c r="A52" s="254"/>
      <c r="B52" s="255"/>
      <c r="C52" s="55"/>
      <c r="D52" s="56"/>
      <c r="F52" s="57"/>
      <c r="G52" s="58"/>
      <c r="H52" s="62"/>
      <c r="I52" s="57"/>
      <c r="J52" s="57"/>
    </row>
    <row r="53" spans="1:11" x14ac:dyDescent="0.25">
      <c r="A53" s="38" t="s">
        <v>25</v>
      </c>
      <c r="B53" s="38"/>
      <c r="C53" s="52">
        <v>16600</v>
      </c>
      <c r="D53" s="52">
        <v>16650</v>
      </c>
      <c r="F53" s="281">
        <v>0.11</v>
      </c>
      <c r="G53" s="54">
        <v>0.11</v>
      </c>
      <c r="H53" s="43">
        <f>5.4*(G53^0.356)</f>
        <v>2.461101673555067</v>
      </c>
      <c r="I53" s="53">
        <v>10</v>
      </c>
      <c r="J53" s="43" t="str">
        <f>IF(H53&lt;=I53,"",IF(AND(H53&gt;I53,H53&lt;=10),H53,IF(AND(H53&gt;I53,H53&gt;10,#REF!="NO"),H53,IF(AND(H53&gt;I53,H53&gt;10,#REF!="YES"),"CONVEYANCE DITCH FOR OFFSITE DRAINAGE AREA",""))))</f>
        <v/>
      </c>
    </row>
    <row r="54" spans="1:11" x14ac:dyDescent="0.25">
      <c r="A54" s="254"/>
      <c r="B54" s="254"/>
      <c r="C54" s="258"/>
      <c r="D54" s="259"/>
      <c r="E54" s="260"/>
      <c r="F54" s="261"/>
      <c r="G54" s="262"/>
      <c r="H54" s="313"/>
      <c r="I54" s="261"/>
      <c r="J54" s="261"/>
    </row>
    <row r="55" spans="1:11" x14ac:dyDescent="0.25">
      <c r="A55" s="25" t="s">
        <v>23</v>
      </c>
      <c r="B55" s="38"/>
      <c r="C55" s="52">
        <v>16650</v>
      </c>
      <c r="D55" s="52">
        <v>16750</v>
      </c>
      <c r="E55" s="257"/>
      <c r="F55" s="282">
        <v>0.23910000000000001</v>
      </c>
      <c r="G55" s="54">
        <v>0.23910000000000001</v>
      </c>
      <c r="H55" s="43">
        <f>5.4*(G55^0.356)</f>
        <v>3.2446517374014814</v>
      </c>
      <c r="I55" s="53">
        <v>10</v>
      </c>
      <c r="J55" s="43" t="str">
        <f>IF(H55&lt;=I55,"",IF(AND(H55&gt;I55,H55&lt;=10),H55,IF(AND(H55&gt;I55,H55&gt;10,#REF!="NO"),H55,IF(AND(H55&gt;I55,H55&gt;10,#REF!="YES"),"CONVEYANCE DITCH FOR OFFSITE DRAINAGE AREA",""))))</f>
        <v/>
      </c>
    </row>
    <row r="56" spans="1:11" x14ac:dyDescent="0.25">
      <c r="A56" s="254"/>
      <c r="B56" s="254"/>
      <c r="C56" s="258"/>
      <c r="D56" s="259"/>
      <c r="E56" s="260"/>
      <c r="F56" s="261"/>
      <c r="G56" s="262"/>
      <c r="H56" s="313"/>
      <c r="I56" s="261"/>
      <c r="J56" s="261"/>
    </row>
    <row r="57" spans="1:11" x14ac:dyDescent="0.25">
      <c r="A57" s="25" t="s">
        <v>25</v>
      </c>
      <c r="B57" s="38"/>
      <c r="C57" s="51">
        <v>16700</v>
      </c>
      <c r="D57" s="52">
        <v>16750</v>
      </c>
      <c r="F57" s="282">
        <f>+G57-0.0684</f>
        <v>0.27679999999999999</v>
      </c>
      <c r="G57" s="54">
        <v>0.34520000000000001</v>
      </c>
      <c r="H57" s="43">
        <f>5.4*(G57^0.356)</f>
        <v>3.697830157593641</v>
      </c>
      <c r="I57" s="53">
        <v>10</v>
      </c>
      <c r="J57" s="48" t="str">
        <f>IF(H57&lt;=I57,"",IF(AND(H57&gt;I57,H57&lt;=10),H57,IF(AND(H57&gt;I57,H57&gt;10,#REF!="NO"),H57,IF(AND(H57&gt;I57,H57&gt;10,#REF!="YES"),"CONVEYANCE DITCH FOR OFFSITE DRAINAGE AREA",""))))</f>
        <v/>
      </c>
    </row>
    <row r="58" spans="1:11" x14ac:dyDescent="0.25">
      <c r="A58" s="254"/>
      <c r="B58" s="254"/>
      <c r="C58" s="258"/>
      <c r="D58" s="259"/>
      <c r="E58" s="260"/>
      <c r="F58" s="261"/>
      <c r="G58" s="262"/>
      <c r="H58" s="313"/>
      <c r="I58" s="261"/>
      <c r="J58" s="261"/>
    </row>
    <row r="59" spans="1:11" x14ac:dyDescent="0.25">
      <c r="A59" s="38" t="s">
        <v>25</v>
      </c>
      <c r="B59" s="38"/>
      <c r="C59" s="52">
        <v>16750</v>
      </c>
      <c r="D59" s="52">
        <v>17550</v>
      </c>
      <c r="F59" s="282">
        <f>+G59-0.2592</f>
        <v>4.3388</v>
      </c>
      <c r="G59" s="54">
        <v>4.5979999999999999</v>
      </c>
      <c r="H59" s="43">
        <f>5.4*(G59^0.356)</f>
        <v>9.2954049006380242</v>
      </c>
      <c r="I59" s="53">
        <v>10</v>
      </c>
      <c r="J59" s="43">
        <v>10</v>
      </c>
    </row>
    <row r="60" spans="1:11" x14ac:dyDescent="0.25">
      <c r="A60" s="254"/>
      <c r="B60" s="254"/>
      <c r="C60" s="258"/>
      <c r="D60" s="259"/>
      <c r="E60" s="260"/>
      <c r="F60" s="261"/>
      <c r="G60" s="262"/>
      <c r="H60" s="263"/>
      <c r="I60" s="261"/>
      <c r="J60" s="261"/>
    </row>
    <row r="61" spans="1:11" x14ac:dyDescent="0.25">
      <c r="A61" s="38" t="s">
        <v>25</v>
      </c>
      <c r="B61" s="38"/>
      <c r="C61" s="52">
        <v>17450</v>
      </c>
      <c r="D61" s="52">
        <v>17750</v>
      </c>
      <c r="F61" s="282">
        <f>+G61-1.5711</f>
        <v>2.5219</v>
      </c>
      <c r="G61" s="54">
        <v>4.093</v>
      </c>
      <c r="H61" s="43">
        <f>5.4*(G61^0.356)</f>
        <v>8.918270091771678</v>
      </c>
      <c r="I61" s="53">
        <v>10</v>
      </c>
      <c r="J61" s="43">
        <v>10</v>
      </c>
    </row>
    <row r="62" spans="1:11" x14ac:dyDescent="0.25">
      <c r="A62" s="254"/>
      <c r="B62" s="254"/>
      <c r="C62" s="258"/>
      <c r="D62" s="259"/>
      <c r="E62" s="260"/>
      <c r="F62" s="261"/>
      <c r="G62" s="262"/>
      <c r="H62" s="263"/>
      <c r="I62" s="261"/>
      <c r="J62" s="261"/>
    </row>
    <row r="63" spans="1:11" x14ac:dyDescent="0.25">
      <c r="A63" s="38" t="s">
        <v>25</v>
      </c>
      <c r="B63" s="38"/>
      <c r="C63" s="52">
        <v>17800</v>
      </c>
      <c r="D63" s="52" t="s">
        <v>157</v>
      </c>
      <c r="E63" s="257"/>
      <c r="F63" s="282">
        <f>+G63-0.1974</f>
        <v>4.6912000000000003</v>
      </c>
      <c r="G63" s="54">
        <v>4.8886000000000003</v>
      </c>
      <c r="H63" s="43">
        <f t="shared" ref="H63" si="11">5.4*(G63^0.356)</f>
        <v>9.5004339520676133</v>
      </c>
      <c r="I63" s="53">
        <v>10</v>
      </c>
      <c r="J63" s="43" t="str">
        <f>IF(H63&lt;=I63,"",IF(AND(H63&gt;I63,H63&lt;=10),H63,IF(AND(H63&gt;I63,H63&gt;10,#REF!="NO"),H63,IF(AND(H63&gt;I63,H63&gt;10,#REF!="YES"),"CONVEYANCE DITCH FOR OFFSITE DRAINAGE AREA",""))))</f>
        <v/>
      </c>
      <c r="K63" t="s">
        <v>158</v>
      </c>
    </row>
    <row r="64" spans="1:11" x14ac:dyDescent="0.25">
      <c r="A64" s="254"/>
      <c r="B64" s="254"/>
      <c r="C64" s="258"/>
      <c r="D64" s="259"/>
      <c r="E64" s="260"/>
      <c r="F64" s="261"/>
      <c r="G64" s="262"/>
      <c r="H64" s="263"/>
      <c r="I64" s="261"/>
      <c r="J64" s="261"/>
    </row>
    <row r="65" spans="1:17" x14ac:dyDescent="0.25">
      <c r="A65" s="38" t="s">
        <v>25</v>
      </c>
      <c r="B65" s="38"/>
      <c r="C65" s="59">
        <v>18500</v>
      </c>
      <c r="D65" s="59">
        <v>20700</v>
      </c>
      <c r="F65" s="60"/>
      <c r="G65" s="61">
        <f>0.88+10.59+0.88+0.78+0.027</f>
        <v>13.157</v>
      </c>
      <c r="H65" s="305">
        <f>5.4*(G65^0.356)</f>
        <v>13.514923980966319</v>
      </c>
      <c r="I65" s="60">
        <v>10</v>
      </c>
      <c r="J65" s="43"/>
      <c r="K65" t="s">
        <v>138</v>
      </c>
      <c r="N65" s="284"/>
      <c r="O65" s="284"/>
      <c r="P65" s="284"/>
    </row>
    <row r="66" spans="1:17" x14ac:dyDescent="0.25">
      <c r="A66" s="264" t="s">
        <v>139</v>
      </c>
      <c r="B66" s="270"/>
      <c r="C66" s="265"/>
      <c r="D66" s="265"/>
      <c r="E66" s="266"/>
      <c r="F66" s="267"/>
      <c r="G66" s="268"/>
      <c r="H66" s="269"/>
      <c r="I66" s="267"/>
      <c r="J66" s="271" t="str">
        <f>IF(H66&lt;=I66,"",IF(AND(H66&gt;I66,H66&lt;=10),H66,IF(AND(H66&gt;I66,H66&gt;10,#REF!="NO"),H66,IF(AND(H66&gt;I66,H66&gt;10,#REF!="YES"),"CONVEYANCE DITCH FOR OFFSITE DRAINAGE AREA",""))))</f>
        <v/>
      </c>
      <c r="K66" s="272"/>
      <c r="L66" s="272"/>
      <c r="M66" s="272"/>
      <c r="N66" s="284"/>
    </row>
    <row r="67" spans="1:17" x14ac:dyDescent="0.25">
      <c r="A67" s="25" t="s">
        <v>23</v>
      </c>
      <c r="B67" s="38"/>
      <c r="C67" s="59">
        <v>20650</v>
      </c>
      <c r="D67" s="59">
        <v>21000</v>
      </c>
      <c r="E67" s="273"/>
      <c r="F67" s="282">
        <f>+G67-1.4705</f>
        <v>2.6717</v>
      </c>
      <c r="G67" s="61">
        <v>4.1421999999999999</v>
      </c>
      <c r="H67" s="305">
        <f>5.4*(G67^0.356)</f>
        <v>8.9562873471281872</v>
      </c>
      <c r="I67" s="60">
        <v>10</v>
      </c>
      <c r="J67" s="43"/>
      <c r="N67" s="284"/>
    </row>
    <row r="68" spans="1:17" x14ac:dyDescent="0.25">
      <c r="A68" s="25" t="s">
        <v>23</v>
      </c>
      <c r="B68" s="38"/>
      <c r="C68" s="52">
        <v>21050</v>
      </c>
      <c r="D68" s="52">
        <v>22675</v>
      </c>
      <c r="F68" s="282">
        <v>5.89</v>
      </c>
      <c r="G68" s="54">
        <v>5.89</v>
      </c>
      <c r="H68" s="305">
        <f>5.4*(G68^0.356)</f>
        <v>10.15207470200391</v>
      </c>
      <c r="I68" s="60">
        <v>10</v>
      </c>
      <c r="J68" s="43"/>
      <c r="N68" s="284"/>
    </row>
    <row r="69" spans="1:17" x14ac:dyDescent="0.25">
      <c r="A69" s="278"/>
      <c r="B69" s="278"/>
      <c r="C69" s="278"/>
      <c r="D69" s="278"/>
      <c r="E69" s="279"/>
      <c r="F69" s="278"/>
      <c r="G69" s="278"/>
      <c r="H69" s="278"/>
      <c r="I69" s="278"/>
      <c r="J69" s="280"/>
      <c r="N69" s="284"/>
    </row>
    <row r="70" spans="1:17" x14ac:dyDescent="0.25">
      <c r="A70" s="38" t="s">
        <v>23</v>
      </c>
      <c r="B70" s="246"/>
      <c r="C70" s="238">
        <f>+D68</f>
        <v>22675</v>
      </c>
      <c r="D70" s="239">
        <v>23700</v>
      </c>
      <c r="E70" s="240"/>
      <c r="F70" s="282">
        <v>5.1100000000000003</v>
      </c>
      <c r="G70" s="282">
        <v>5.1100000000000003</v>
      </c>
      <c r="H70" s="305">
        <f>5.4*(G70^0.356)</f>
        <v>9.6514285577882166</v>
      </c>
      <c r="I70" s="281">
        <v>10</v>
      </c>
      <c r="J70" s="283"/>
    </row>
    <row r="71" spans="1:17" x14ac:dyDescent="0.25">
      <c r="A71" s="25"/>
      <c r="B71" s="25"/>
      <c r="C71" s="55"/>
      <c r="D71" s="56"/>
      <c r="E71" s="277"/>
      <c r="F71" s="57"/>
      <c r="G71" s="58"/>
      <c r="H71" s="45"/>
      <c r="I71" s="57"/>
      <c r="J71" s="57"/>
      <c r="Q71" s="284"/>
    </row>
    <row r="72" spans="1:17" x14ac:dyDescent="0.25">
      <c r="J72" s="48" t="str">
        <f>IF(H74&lt;=I74,"",IF(AND(H74&gt;I74,H74&lt;=10),H74,IF(AND(H74&gt;I74,H74&gt;10,#REF!="NO"),H74,IF(AND(H74&gt;I74,H74&gt;10,#REF!="YES"),"CONVEYANCE DITCH FOR OFFSITE DRAINAGE AREA",""))))</f>
        <v/>
      </c>
      <c r="Q72" s="284"/>
    </row>
    <row r="73" spans="1:17" x14ac:dyDescent="0.25">
      <c r="A73" s="38" t="s">
        <v>25</v>
      </c>
      <c r="B73" s="38"/>
      <c r="C73" s="52">
        <v>24000</v>
      </c>
      <c r="D73" s="52">
        <v>25450</v>
      </c>
      <c r="E73" s="294"/>
      <c r="F73" s="282">
        <f>+G73</f>
        <v>8.6889000000000003</v>
      </c>
      <c r="G73" s="54">
        <v>8.6889000000000003</v>
      </c>
      <c r="H73" s="43">
        <f>5.4*(G73^0.356)</f>
        <v>11.659105396184378</v>
      </c>
      <c r="I73" s="53">
        <v>10</v>
      </c>
      <c r="J73" s="43"/>
      <c r="Q73" s="284"/>
    </row>
    <row r="74" spans="1:17" x14ac:dyDescent="0.25">
      <c r="A74" s="38" t="s">
        <v>23</v>
      </c>
      <c r="B74" s="38"/>
      <c r="C74" s="51">
        <v>26400</v>
      </c>
      <c r="D74" s="52" t="s">
        <v>174</v>
      </c>
      <c r="E74" s="277"/>
      <c r="F74" s="282">
        <f>+G74-0.3105</f>
        <v>2.6455000000000002</v>
      </c>
      <c r="G74" s="54">
        <v>2.956</v>
      </c>
      <c r="H74" s="43">
        <f>5.4*(G74^0.356)</f>
        <v>7.9426337489128178</v>
      </c>
      <c r="I74" s="53">
        <v>10</v>
      </c>
      <c r="J74" s="43"/>
      <c r="Q74" s="284"/>
    </row>
    <row r="75" spans="1:17" x14ac:dyDescent="0.25">
      <c r="A75" s="25"/>
      <c r="B75" s="25"/>
      <c r="C75" s="55"/>
      <c r="D75" s="56"/>
      <c r="F75" s="57"/>
      <c r="G75" s="58"/>
      <c r="H75" s="62"/>
      <c r="I75" s="57"/>
      <c r="J75" s="57"/>
    </row>
    <row r="76" spans="1:17" x14ac:dyDescent="0.25">
      <c r="A76" s="38" t="s">
        <v>25</v>
      </c>
      <c r="B76" s="38"/>
      <c r="C76" s="52">
        <v>30550</v>
      </c>
      <c r="D76" s="52" t="s">
        <v>184</v>
      </c>
      <c r="E76" s="300" t="s">
        <v>25</v>
      </c>
      <c r="F76" s="282">
        <f>+G76</f>
        <v>4.4710999999999999</v>
      </c>
      <c r="G76" s="54">
        <v>4.4710999999999999</v>
      </c>
      <c r="H76" s="43">
        <f>5.4*(G76^0.356)</f>
        <v>9.2032512883145081</v>
      </c>
      <c r="I76" s="53">
        <v>10</v>
      </c>
      <c r="J76" s="43" t="str">
        <f>IF(H76&lt;=I76,"",IF(AND(H76&gt;I76,H76&lt;=10),H76,IF(AND(H76&gt;I76,H76&gt;10,#REF!="NO"),H76,IF(AND(H76&gt;I76,H76&gt;10,#REF!="YES"),"CONVEYANCE DITCH FOR OFFSITE DRAINAGE AREA",""))))</f>
        <v/>
      </c>
    </row>
    <row r="77" spans="1:17" x14ac:dyDescent="0.25">
      <c r="A77" s="25"/>
      <c r="B77" s="25"/>
      <c r="C77" s="55"/>
      <c r="D77" s="56"/>
      <c r="F77" s="57"/>
      <c r="G77" s="58"/>
      <c r="H77" s="62"/>
      <c r="I77" s="57"/>
      <c r="J77" s="57"/>
    </row>
    <row r="78" spans="1:17" x14ac:dyDescent="0.25">
      <c r="A78" s="38" t="s">
        <v>23</v>
      </c>
      <c r="B78" s="38"/>
      <c r="C78" s="51">
        <v>31100</v>
      </c>
      <c r="D78" s="52">
        <v>31450</v>
      </c>
      <c r="E78" s="300" t="s">
        <v>23</v>
      </c>
      <c r="F78" s="282">
        <f>+G78</f>
        <v>4.3468</v>
      </c>
      <c r="G78" s="54">
        <v>4.3468</v>
      </c>
      <c r="H78" s="43">
        <f>5.4*(G78^0.356)</f>
        <v>9.1113380085534175</v>
      </c>
      <c r="I78" s="53">
        <v>10</v>
      </c>
      <c r="J78" s="48" t="str">
        <f>IF(H78&lt;=I78,"",IF(AND(H78&gt;I78,H78&lt;=10),H78,IF(AND(H78&gt;I78,H78&gt;10,#REF!="NO"),H78,IF(AND(H78&gt;I78,H78&gt;10,#REF!="YES"),"CONVEYANCE DITCH FOR OFFSITE DRAINAGE AREA",""))))</f>
        <v/>
      </c>
    </row>
    <row r="79" spans="1:17" x14ac:dyDescent="0.25">
      <c r="A79" s="25"/>
      <c r="B79" s="25"/>
      <c r="C79" s="55"/>
      <c r="D79" s="56"/>
      <c r="F79" s="57"/>
      <c r="G79" s="58"/>
      <c r="H79" s="62"/>
      <c r="I79" s="57"/>
      <c r="J79" s="57"/>
    </row>
    <row r="80" spans="1:17" x14ac:dyDescent="0.25">
      <c r="A80" s="38" t="s">
        <v>25</v>
      </c>
      <c r="B80" s="38"/>
      <c r="C80" s="52">
        <v>31850</v>
      </c>
      <c r="D80" s="52">
        <v>31900</v>
      </c>
      <c r="E80" s="300" t="s">
        <v>25</v>
      </c>
      <c r="F80" s="282">
        <v>0.31</v>
      </c>
      <c r="G80" s="54">
        <v>0.31230000000000002</v>
      </c>
      <c r="H80" s="43">
        <f>5.4*(G80^0.356)</f>
        <v>3.5683002156638386</v>
      </c>
      <c r="I80" s="53">
        <v>10</v>
      </c>
      <c r="J80" s="43" t="str">
        <f>IF(H80&lt;=I80,"",IF(AND(H80&gt;I80,H80&lt;=10),H80,IF(AND(H80&gt;I80,H80&gt;10,#REF!="NO"),H80,IF(AND(H80&gt;I80,H80&gt;10,#REF!="YES"),"CONVEYANCE DITCH FOR OFFSITE DRAINAGE AREA",""))))</f>
        <v/>
      </c>
    </row>
    <row r="81" spans="1:10" x14ac:dyDescent="0.25">
      <c r="A81" s="25"/>
      <c r="B81" s="25"/>
      <c r="C81" s="55"/>
      <c r="D81" s="56"/>
      <c r="F81" s="57"/>
      <c r="G81" s="58"/>
      <c r="H81" s="45"/>
      <c r="I81" s="57"/>
      <c r="J81" s="57"/>
    </row>
    <row r="82" spans="1:10" x14ac:dyDescent="0.25">
      <c r="A82" s="25" t="s">
        <v>25</v>
      </c>
      <c r="B82" s="38"/>
      <c r="C82" s="51">
        <v>31925</v>
      </c>
      <c r="D82" s="52" t="s">
        <v>185</v>
      </c>
      <c r="F82" s="282">
        <f>+G82-1.3014</f>
        <v>3.5785999999999998</v>
      </c>
      <c r="G82" s="54">
        <v>4.88</v>
      </c>
      <c r="H82" s="43">
        <f>5.4*(G82^0.356)</f>
        <v>9.4944807096532866</v>
      </c>
      <c r="I82" s="53">
        <v>10</v>
      </c>
      <c r="J82" s="48" t="str">
        <f>IF(H82&lt;=I82,"",IF(AND(H82&gt;I82,H82&lt;=10),H82,IF(AND(H82&gt;I82,H82&gt;10,#REF!="NO"),H82,IF(AND(H82&gt;I82,H82&gt;10,#REF!="YES"),"CONVEYANCE DITCH FOR OFFSITE DRAINAGE AREA",""))))</f>
        <v/>
      </c>
    </row>
    <row r="83" spans="1:10" x14ac:dyDescent="0.25">
      <c r="A83" s="38" t="s">
        <v>23</v>
      </c>
      <c r="B83" s="38"/>
      <c r="C83" s="51">
        <v>31450</v>
      </c>
      <c r="D83" s="52" t="s">
        <v>186</v>
      </c>
      <c r="E83" s="300" t="s">
        <v>23</v>
      </c>
      <c r="F83" s="282">
        <f>+G83</f>
        <v>5.7434000000000003</v>
      </c>
      <c r="G83" s="54">
        <v>5.7434000000000003</v>
      </c>
      <c r="H83" s="43">
        <f>5.4*(G83^0.356)</f>
        <v>10.061389144770805</v>
      </c>
      <c r="I83" s="53">
        <v>10</v>
      </c>
      <c r="J83" s="48"/>
    </row>
    <row r="84" spans="1:10" x14ac:dyDescent="0.25">
      <c r="A84" s="38"/>
      <c r="B84" s="38"/>
      <c r="C84" s="51"/>
      <c r="D84" s="52"/>
      <c r="F84" s="53"/>
      <c r="G84" s="54"/>
      <c r="H84" s="43"/>
      <c r="I84" s="53"/>
      <c r="J84" s="48"/>
    </row>
    <row r="85" spans="1:10" x14ac:dyDescent="0.25">
      <c r="A85" s="38"/>
      <c r="B85" s="38"/>
      <c r="C85" s="56"/>
      <c r="D85" s="56"/>
      <c r="F85" s="57"/>
      <c r="G85" s="58"/>
      <c r="H85" s="62"/>
      <c r="I85" s="57"/>
      <c r="J85" s="62"/>
    </row>
    <row r="86" spans="1:10" x14ac:dyDescent="0.25">
      <c r="A86" s="38" t="s">
        <v>25</v>
      </c>
      <c r="B86" s="38"/>
      <c r="C86" s="52">
        <v>32350</v>
      </c>
      <c r="D86" s="52">
        <v>32850</v>
      </c>
      <c r="E86" s="300" t="s">
        <v>25</v>
      </c>
      <c r="F86" s="282">
        <f>+G86-0.4231</f>
        <v>2.0769000000000002</v>
      </c>
      <c r="G86" s="54">
        <v>2.5</v>
      </c>
      <c r="H86" s="43">
        <f>5.4*(G86^0.356)</f>
        <v>7.4827356528720435</v>
      </c>
      <c r="I86" s="53">
        <v>10</v>
      </c>
      <c r="J86" s="43"/>
    </row>
    <row r="87" spans="1:10" x14ac:dyDescent="0.25">
      <c r="A87" s="25"/>
      <c r="B87" s="25"/>
      <c r="C87" s="55"/>
      <c r="D87" s="56"/>
      <c r="F87" s="57"/>
      <c r="G87" s="58"/>
      <c r="H87" s="62"/>
      <c r="I87" s="57"/>
      <c r="J87" s="57"/>
    </row>
    <row r="88" spans="1:10" x14ac:dyDescent="0.25">
      <c r="A88" s="25" t="s">
        <v>25</v>
      </c>
      <c r="B88" s="38"/>
      <c r="C88" s="51">
        <v>32850</v>
      </c>
      <c r="D88" s="52">
        <v>32900</v>
      </c>
      <c r="E88" s="300" t="s">
        <v>25</v>
      </c>
      <c r="F88" s="282">
        <f>+G88-0.0774</f>
        <v>0.24260000000000001</v>
      </c>
      <c r="G88" s="54">
        <v>0.32</v>
      </c>
      <c r="H88" s="43">
        <f>5.4*(G88^0.356)</f>
        <v>3.5993754660340436</v>
      </c>
      <c r="I88" s="53">
        <v>10</v>
      </c>
      <c r="J88" s="48"/>
    </row>
    <row r="89" spans="1:10" x14ac:dyDescent="0.25">
      <c r="A89" s="38" t="s">
        <v>23</v>
      </c>
      <c r="B89" s="38"/>
      <c r="C89" s="51">
        <v>32250</v>
      </c>
      <c r="D89" s="52">
        <v>32950</v>
      </c>
      <c r="E89" s="300" t="s">
        <v>23</v>
      </c>
      <c r="F89" s="282">
        <v>1.21</v>
      </c>
      <c r="G89" s="54">
        <v>1.21</v>
      </c>
      <c r="H89" s="43">
        <f>5.4*(G89^0.356)</f>
        <v>5.7791684271055184</v>
      </c>
      <c r="I89" s="53">
        <v>10</v>
      </c>
      <c r="J89" s="48"/>
    </row>
    <row r="90" spans="1:10" x14ac:dyDescent="0.25">
      <c r="A90" s="38"/>
      <c r="B90" s="38"/>
      <c r="C90" s="56"/>
      <c r="D90" s="56"/>
      <c r="F90" s="57"/>
      <c r="G90" s="58"/>
      <c r="H90" s="62"/>
      <c r="I90" s="57"/>
      <c r="J90" s="62"/>
    </row>
    <row r="91" spans="1:10" x14ac:dyDescent="0.25">
      <c r="A91" s="25" t="s">
        <v>23</v>
      </c>
      <c r="B91" s="38"/>
      <c r="C91" s="52">
        <v>33150</v>
      </c>
      <c r="D91" s="52">
        <v>33350</v>
      </c>
      <c r="E91" s="297" t="s">
        <v>23</v>
      </c>
      <c r="F91" s="281">
        <v>0.46</v>
      </c>
      <c r="G91" s="54">
        <v>0.46</v>
      </c>
      <c r="H91" s="43">
        <f>5.4*(G91^0.356)</f>
        <v>4.0957698799600744</v>
      </c>
      <c r="I91" s="53">
        <v>10</v>
      </c>
      <c r="J91" s="43"/>
    </row>
    <row r="92" spans="1:10" x14ac:dyDescent="0.25">
      <c r="A92" s="38"/>
      <c r="B92" s="38"/>
      <c r="C92" s="56"/>
      <c r="D92" s="56"/>
      <c r="F92" s="57"/>
      <c r="G92" s="58"/>
      <c r="H92" s="62"/>
      <c r="I92" s="57"/>
      <c r="J92" s="62"/>
    </row>
    <row r="93" spans="1:10" x14ac:dyDescent="0.25">
      <c r="A93" s="25" t="s">
        <v>25</v>
      </c>
      <c r="B93" s="38"/>
      <c r="C93" s="52">
        <v>33400</v>
      </c>
      <c r="D93" s="52">
        <v>34450</v>
      </c>
      <c r="E93" s="297" t="s">
        <v>25</v>
      </c>
      <c r="F93" s="281">
        <v>6.55</v>
      </c>
      <c r="G93" s="54">
        <f>+F93</f>
        <v>6.55</v>
      </c>
      <c r="H93" s="43">
        <f>5.4*(G93^0.356)</f>
        <v>10.543278113773015</v>
      </c>
      <c r="I93" s="53">
        <v>10</v>
      </c>
      <c r="J93" s="43"/>
    </row>
    <row r="94" spans="1:10" x14ac:dyDescent="0.25">
      <c r="A94" s="38"/>
      <c r="B94" s="38"/>
      <c r="C94" s="56"/>
      <c r="D94" s="56"/>
      <c r="F94" s="57"/>
      <c r="G94" s="58"/>
      <c r="H94" s="62"/>
      <c r="I94" s="57"/>
      <c r="J94" s="62"/>
    </row>
    <row r="95" spans="1:10" x14ac:dyDescent="0.25">
      <c r="A95" s="25" t="s">
        <v>23</v>
      </c>
      <c r="B95" s="38"/>
      <c r="C95" s="52">
        <v>33400</v>
      </c>
      <c r="D95" s="52">
        <v>34450</v>
      </c>
      <c r="E95" s="297" t="s">
        <v>23</v>
      </c>
      <c r="F95" s="282">
        <f>+G95-0.09</f>
        <v>3.27</v>
      </c>
      <c r="G95" s="54">
        <v>3.36</v>
      </c>
      <c r="H95" s="43">
        <f>5.4*(G95^0.356)</f>
        <v>8.3132442873823678</v>
      </c>
      <c r="I95" s="53">
        <v>10</v>
      </c>
      <c r="J95" s="43"/>
    </row>
    <row r="96" spans="1:10" x14ac:dyDescent="0.25">
      <c r="A96" s="25" t="s">
        <v>25</v>
      </c>
      <c r="B96" s="38"/>
      <c r="C96" s="52">
        <v>34950</v>
      </c>
      <c r="D96" s="52">
        <v>35350</v>
      </c>
      <c r="E96" s="299" t="s">
        <v>25</v>
      </c>
      <c r="F96" s="281">
        <v>1.78</v>
      </c>
      <c r="G96" s="54">
        <v>2.19</v>
      </c>
      <c r="H96" s="43">
        <f>5.4*(G96^0.356)</f>
        <v>7.1382518195565634</v>
      </c>
      <c r="I96" s="53">
        <v>10</v>
      </c>
      <c r="J96" s="303"/>
    </row>
    <row r="97" spans="1:13" x14ac:dyDescent="0.25">
      <c r="A97" s="25" t="s">
        <v>23</v>
      </c>
      <c r="B97" s="38"/>
      <c r="C97" s="52">
        <v>34600</v>
      </c>
      <c r="D97" s="52">
        <v>34800</v>
      </c>
      <c r="E97" s="299" t="s">
        <v>23</v>
      </c>
      <c r="F97" s="281">
        <v>1.03</v>
      </c>
      <c r="G97" s="54">
        <v>1.03</v>
      </c>
      <c r="H97" s="43">
        <f>5.4*(G97^0.356)</f>
        <v>5.4571238696530733</v>
      </c>
      <c r="I97" s="53">
        <v>10</v>
      </c>
      <c r="J97" s="43"/>
    </row>
    <row r="98" spans="1:13" x14ac:dyDescent="0.25">
      <c r="A98" s="25" t="s">
        <v>23</v>
      </c>
      <c r="B98" s="38"/>
      <c r="C98" s="52">
        <v>34000</v>
      </c>
      <c r="D98" s="52">
        <v>35350</v>
      </c>
      <c r="E98" s="299" t="s">
        <v>23</v>
      </c>
      <c r="F98" s="281">
        <v>0.97</v>
      </c>
      <c r="G98" s="54">
        <v>0.97</v>
      </c>
      <c r="H98" s="43">
        <f>5.4*(G98^0.356)</f>
        <v>5.3417615438798984</v>
      </c>
      <c r="I98" s="53">
        <v>10</v>
      </c>
      <c r="J98" s="43"/>
    </row>
    <row r="99" spans="1:13" x14ac:dyDescent="0.25">
      <c r="A99" s="38"/>
      <c r="B99" s="38"/>
      <c r="C99" s="52"/>
      <c r="D99" s="52"/>
      <c r="F99" s="53"/>
      <c r="G99" s="54"/>
      <c r="H99" s="48"/>
      <c r="I99" s="53"/>
      <c r="J99" s="43"/>
      <c r="K99">
        <v>4</v>
      </c>
    </row>
    <row r="100" spans="1:13" x14ac:dyDescent="0.25">
      <c r="A100" s="38"/>
      <c r="B100" s="38"/>
      <c r="C100" s="55"/>
      <c r="D100" s="56"/>
      <c r="F100" s="57"/>
      <c r="G100" s="58"/>
      <c r="H100" s="45"/>
      <c r="I100" s="57"/>
      <c r="J100" s="57"/>
      <c r="K100">
        <f>4+3.5</f>
        <v>7.5</v>
      </c>
    </row>
    <row r="101" spans="1:13" x14ac:dyDescent="0.25">
      <c r="A101" s="38"/>
      <c r="B101" s="38"/>
      <c r="C101" s="51"/>
      <c r="D101" s="52"/>
      <c r="F101" s="53"/>
      <c r="G101" s="54"/>
      <c r="H101" s="48"/>
      <c r="I101" s="53"/>
      <c r="J101" s="48"/>
    </row>
    <row r="102" spans="1:13" x14ac:dyDescent="0.25">
      <c r="A102" s="25"/>
      <c r="B102" s="25"/>
      <c r="C102" s="55"/>
      <c r="D102" s="56"/>
      <c r="F102" s="57"/>
      <c r="G102" s="58"/>
      <c r="H102" s="45"/>
      <c r="I102" s="57"/>
      <c r="J102" s="57"/>
    </row>
    <row r="103" spans="1:13" x14ac:dyDescent="0.25">
      <c r="A103" s="38"/>
      <c r="B103" s="38"/>
      <c r="C103" s="51"/>
      <c r="D103" s="52"/>
      <c r="F103" s="53"/>
      <c r="G103" s="54"/>
      <c r="H103" s="48"/>
      <c r="I103" s="53"/>
      <c r="J103" s="48"/>
    </row>
    <row r="104" spans="1:13" x14ac:dyDescent="0.25">
      <c r="A104" s="38"/>
      <c r="B104" s="38"/>
      <c r="C104" s="51"/>
      <c r="D104" s="52"/>
      <c r="F104" s="53"/>
      <c r="G104" s="54"/>
      <c r="H104" s="48"/>
      <c r="I104" s="53"/>
      <c r="J104" s="48"/>
    </row>
    <row r="105" spans="1:13" x14ac:dyDescent="0.25">
      <c r="A105" s="25"/>
      <c r="B105" s="25"/>
      <c r="C105" s="55"/>
      <c r="D105" s="56"/>
      <c r="F105" s="57"/>
      <c r="G105" s="58"/>
      <c r="H105" s="45"/>
      <c r="I105" s="57"/>
      <c r="J105" s="57"/>
      <c r="L105">
        <f>44+2</f>
        <v>46</v>
      </c>
    </row>
    <row r="106" spans="1:13" x14ac:dyDescent="0.25">
      <c r="A106" s="38"/>
      <c r="B106" s="38"/>
      <c r="C106" s="51"/>
      <c r="D106" s="52"/>
      <c r="F106" s="53"/>
      <c r="G106" s="54"/>
      <c r="H106" s="48"/>
      <c r="I106" s="53"/>
      <c r="J106" s="48"/>
      <c r="L106">
        <f>10.5+6+4+9+9</f>
        <v>38.5</v>
      </c>
    </row>
    <row r="107" spans="1:13" x14ac:dyDescent="0.25">
      <c r="A107" s="25"/>
      <c r="B107" s="25"/>
      <c r="C107" s="55"/>
      <c r="D107" s="56"/>
      <c r="F107" s="57"/>
      <c r="G107" s="58"/>
      <c r="H107" s="45"/>
      <c r="I107" s="57"/>
      <c r="J107" s="57"/>
      <c r="L107">
        <f>SUM(L105:L106)</f>
        <v>84.5</v>
      </c>
      <c r="M107">
        <f>+L107*3.175</f>
        <v>268.28749999999997</v>
      </c>
    </row>
    <row r="108" spans="1:13" x14ac:dyDescent="0.25">
      <c r="A108" s="38"/>
      <c r="B108" s="38"/>
      <c r="C108" s="52"/>
      <c r="D108" s="52"/>
      <c r="F108" s="53"/>
      <c r="G108" s="54"/>
      <c r="H108" s="48"/>
      <c r="I108" s="53"/>
      <c r="J108" s="43"/>
      <c r="L108">
        <f>+L107*31.75*0.9-38</f>
        <v>2376.5875000000001</v>
      </c>
    </row>
    <row r="109" spans="1:13" x14ac:dyDescent="0.25">
      <c r="A109" s="38"/>
      <c r="B109" s="38"/>
      <c r="C109" s="52"/>
      <c r="D109" s="52"/>
      <c r="F109" s="53"/>
      <c r="G109" s="54"/>
      <c r="H109" s="48"/>
      <c r="I109" s="53"/>
      <c r="J109" s="43"/>
    </row>
    <row r="110" spans="1:13" x14ac:dyDescent="0.25">
      <c r="A110" s="38"/>
      <c r="B110" s="38"/>
      <c r="C110" s="52"/>
      <c r="D110" s="52"/>
      <c r="F110" s="53"/>
      <c r="G110" s="54"/>
      <c r="H110" s="48"/>
      <c r="I110" s="53"/>
      <c r="J110" s="43"/>
    </row>
    <row r="111" spans="1:13" x14ac:dyDescent="0.25">
      <c r="A111" s="38"/>
      <c r="B111" s="38"/>
      <c r="C111" s="52"/>
      <c r="D111" s="52"/>
      <c r="F111" s="53"/>
      <c r="G111" s="54"/>
      <c r="H111" s="48"/>
      <c r="I111" s="53"/>
      <c r="J111" s="43"/>
    </row>
    <row r="112" spans="1:13" ht="15.75" thickBot="1" x14ac:dyDescent="0.3">
      <c r="A112" s="38"/>
      <c r="B112" s="38"/>
      <c r="C112" s="63"/>
      <c r="D112" s="64"/>
      <c r="F112" s="65"/>
      <c r="G112" s="66"/>
      <c r="H112" s="67"/>
      <c r="I112" s="65"/>
      <c r="J112" s="65"/>
    </row>
    <row r="113" spans="1:10" x14ac:dyDescent="0.25">
      <c r="A113" s="38"/>
      <c r="B113" s="38"/>
      <c r="C113" s="51"/>
      <c r="D113" s="52"/>
      <c r="F113" s="53"/>
      <c r="G113" s="54"/>
      <c r="H113" s="48"/>
      <c r="I113" s="53"/>
      <c r="J113" s="48"/>
    </row>
    <row r="114" spans="1:10" ht="15.75" thickBot="1" x14ac:dyDescent="0.3">
      <c r="A114" s="25"/>
      <c r="B114" s="25"/>
      <c r="C114" s="63"/>
      <c r="D114" s="64"/>
      <c r="F114" s="65"/>
      <c r="G114" s="66"/>
      <c r="H114" s="67"/>
      <c r="I114" s="65"/>
      <c r="J114" s="65"/>
    </row>
    <row r="115" spans="1:10" x14ac:dyDescent="0.25">
      <c r="A115" s="38"/>
      <c r="B115" s="38"/>
      <c r="C115" s="59"/>
      <c r="D115" s="59"/>
      <c r="F115" s="60"/>
      <c r="G115" s="61"/>
      <c r="H115" s="48"/>
      <c r="I115" s="60"/>
      <c r="J115" s="43"/>
    </row>
    <row r="116" spans="1:10" x14ac:dyDescent="0.25">
      <c r="A116" s="38"/>
      <c r="B116" s="38"/>
      <c r="C116" s="52"/>
      <c r="D116" s="52"/>
      <c r="F116" s="53"/>
      <c r="G116" s="54"/>
      <c r="H116" s="48"/>
      <c r="I116" s="53"/>
      <c r="J116" s="43"/>
    </row>
  </sheetData>
  <pageMargins left="0.7" right="0.7" top="0.75" bottom="0.75" header="0.3" footer="0.3"/>
  <pageSetup scale="99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K6" sqref="K6"/>
    </sheetView>
  </sheetViews>
  <sheetFormatPr defaultRowHeight="15" x14ac:dyDescent="0.25"/>
  <cols>
    <col min="6" max="6" width="12.28515625" customWidth="1"/>
  </cols>
  <sheetData>
    <row r="1" spans="1:10" x14ac:dyDescent="0.25">
      <c r="E1" s="326"/>
      <c r="F1" s="326" t="s">
        <v>56</v>
      </c>
      <c r="G1" s="326" t="s">
        <v>130</v>
      </c>
      <c r="H1" s="326" t="s">
        <v>57</v>
      </c>
    </row>
    <row r="2" spans="1:10" x14ac:dyDescent="0.25">
      <c r="E2" s="328" t="s">
        <v>34</v>
      </c>
      <c r="F2" s="327">
        <f>SUM(F5:F10)</f>
        <v>3.0670999999999999</v>
      </c>
      <c r="G2" s="327">
        <f>SUM(F12:F20)</f>
        <v>14.935600000000001</v>
      </c>
      <c r="H2" s="327">
        <f>SUM(F22:F50)</f>
        <v>58.504999999999988</v>
      </c>
    </row>
    <row r="3" spans="1:10" ht="48" thickBot="1" x14ac:dyDescent="0.3">
      <c r="A3" s="25" t="s">
        <v>30</v>
      </c>
      <c r="B3" s="25"/>
      <c r="C3" s="26"/>
      <c r="D3" s="26"/>
      <c r="E3" s="27"/>
      <c r="F3" s="97" t="s">
        <v>141</v>
      </c>
      <c r="G3" s="99"/>
      <c r="H3" s="29"/>
      <c r="I3" s="29"/>
      <c r="J3" s="30"/>
    </row>
    <row r="4" spans="1:10" ht="16.5" thickBot="1" x14ac:dyDescent="0.3">
      <c r="A4" s="25"/>
      <c r="B4" s="31" t="s">
        <v>4</v>
      </c>
      <c r="C4" s="32" t="s">
        <v>16</v>
      </c>
      <c r="D4" s="33" t="s">
        <v>17</v>
      </c>
      <c r="E4" s="68"/>
      <c r="F4" s="98" t="s">
        <v>7</v>
      </c>
      <c r="G4" s="100"/>
      <c r="H4" s="101"/>
      <c r="I4" s="102"/>
      <c r="J4" s="103"/>
    </row>
    <row r="5" spans="1:10" x14ac:dyDescent="0.25">
      <c r="A5" s="25" t="s">
        <v>22</v>
      </c>
      <c r="B5" s="80" t="s">
        <v>31</v>
      </c>
      <c r="C5" s="81">
        <v>600</v>
      </c>
      <c r="D5" s="82">
        <v>750</v>
      </c>
      <c r="E5" s="84" t="s">
        <v>25</v>
      </c>
      <c r="F5" s="321">
        <v>0.33700000000000002</v>
      </c>
      <c r="G5" s="104"/>
      <c r="H5" s="105"/>
      <c r="I5" s="27"/>
      <c r="J5" s="105"/>
    </row>
    <row r="6" spans="1:10" x14ac:dyDescent="0.25">
      <c r="A6" s="60"/>
      <c r="B6" s="60"/>
      <c r="C6" s="52">
        <v>1150</v>
      </c>
      <c r="D6" s="52">
        <v>1700</v>
      </c>
      <c r="E6" s="86" t="s">
        <v>25</v>
      </c>
      <c r="F6" s="322">
        <v>1.42</v>
      </c>
      <c r="G6" s="104"/>
      <c r="H6" s="105"/>
      <c r="I6" s="27"/>
      <c r="J6" s="105"/>
    </row>
    <row r="7" spans="1:10" x14ac:dyDescent="0.25">
      <c r="A7" s="60"/>
      <c r="B7" s="60" t="s">
        <v>44</v>
      </c>
      <c r="C7" s="52">
        <v>2200</v>
      </c>
      <c r="D7" s="52">
        <v>2400</v>
      </c>
      <c r="E7" s="86" t="s">
        <v>25</v>
      </c>
      <c r="F7" s="322">
        <v>0.34229999999999999</v>
      </c>
      <c r="G7" s="104"/>
      <c r="H7" s="105"/>
      <c r="I7" s="27"/>
      <c r="J7" s="105"/>
    </row>
    <row r="8" spans="1:10" x14ac:dyDescent="0.25">
      <c r="A8" s="60"/>
      <c r="B8" s="60" t="s">
        <v>44</v>
      </c>
      <c r="C8" s="52">
        <v>4400</v>
      </c>
      <c r="D8" s="52">
        <v>4450</v>
      </c>
      <c r="E8" s="86" t="s">
        <v>25</v>
      </c>
      <c r="F8" s="322">
        <v>9.7900000000000001E-2</v>
      </c>
      <c r="G8" s="104"/>
      <c r="H8" s="105"/>
      <c r="I8" s="27"/>
      <c r="J8" s="105"/>
    </row>
    <row r="9" spans="1:10" x14ac:dyDescent="0.25">
      <c r="A9" s="60"/>
      <c r="B9" s="60" t="s">
        <v>40</v>
      </c>
      <c r="C9" s="52" t="s">
        <v>162</v>
      </c>
      <c r="D9" s="52" t="s">
        <v>163</v>
      </c>
      <c r="E9" s="86" t="s">
        <v>23</v>
      </c>
      <c r="F9" s="322">
        <v>0.40799999999999997</v>
      </c>
      <c r="G9" s="104"/>
      <c r="H9" s="105"/>
      <c r="I9" s="27"/>
      <c r="J9" s="105"/>
    </row>
    <row r="10" spans="1:10" x14ac:dyDescent="0.25">
      <c r="A10" s="60"/>
      <c r="B10" s="295" t="s">
        <v>164</v>
      </c>
      <c r="C10" s="52">
        <v>2350</v>
      </c>
      <c r="D10" s="52">
        <v>2650</v>
      </c>
      <c r="E10" s="86" t="s">
        <v>25</v>
      </c>
      <c r="F10" s="322">
        <v>0.46189999999999998</v>
      </c>
      <c r="G10" s="104"/>
      <c r="H10" s="105"/>
      <c r="I10" s="27"/>
      <c r="J10" s="105"/>
    </row>
    <row r="11" spans="1:10" x14ac:dyDescent="0.25">
      <c r="A11" s="25" t="s">
        <v>129</v>
      </c>
      <c r="B11" s="60"/>
      <c r="C11" s="52"/>
      <c r="D11" s="52"/>
      <c r="E11" s="86"/>
      <c r="F11" s="107"/>
      <c r="G11" s="104"/>
      <c r="H11" s="105"/>
      <c r="I11" s="27"/>
      <c r="J11" s="105"/>
    </row>
    <row r="12" spans="1:10" x14ac:dyDescent="0.25">
      <c r="A12" s="60"/>
      <c r="B12" s="60" t="s">
        <v>26</v>
      </c>
      <c r="C12" s="52">
        <v>10700</v>
      </c>
      <c r="D12" s="52">
        <v>11000</v>
      </c>
      <c r="E12" s="86" t="s">
        <v>23</v>
      </c>
      <c r="F12" s="282">
        <v>3.33</v>
      </c>
      <c r="G12" s="104" t="s">
        <v>155</v>
      </c>
      <c r="H12" s="105"/>
      <c r="I12" s="27"/>
      <c r="J12" s="105"/>
    </row>
    <row r="13" spans="1:10" x14ac:dyDescent="0.25">
      <c r="A13" s="60"/>
      <c r="B13" s="60" t="s">
        <v>26</v>
      </c>
      <c r="C13" s="52">
        <v>10600</v>
      </c>
      <c r="D13" s="52">
        <v>11025</v>
      </c>
      <c r="E13" s="86" t="s">
        <v>25</v>
      </c>
      <c r="F13" s="282">
        <v>2.2570000000000001</v>
      </c>
      <c r="G13" s="104" t="s">
        <v>155</v>
      </c>
      <c r="H13" s="105"/>
      <c r="I13" s="27"/>
      <c r="J13" s="105"/>
    </row>
    <row r="14" spans="1:10" x14ac:dyDescent="0.25">
      <c r="A14" s="60"/>
      <c r="B14" s="60" t="s">
        <v>26</v>
      </c>
      <c r="C14" s="52">
        <v>12050</v>
      </c>
      <c r="D14" s="52">
        <v>12100</v>
      </c>
      <c r="E14" s="86" t="s">
        <v>25</v>
      </c>
      <c r="F14" s="282">
        <v>0.43359999999999999</v>
      </c>
      <c r="G14" s="104" t="s">
        <v>155</v>
      </c>
      <c r="H14" s="105"/>
      <c r="I14" s="27"/>
      <c r="J14" s="105"/>
    </row>
    <row r="15" spans="1:10" x14ac:dyDescent="0.25">
      <c r="A15" s="60"/>
      <c r="B15" s="60" t="s">
        <v>167</v>
      </c>
      <c r="C15" s="52"/>
      <c r="D15" s="52">
        <v>1725</v>
      </c>
      <c r="E15" s="86" t="s">
        <v>25</v>
      </c>
      <c r="F15" s="282">
        <v>6.4600000000000005E-2</v>
      </c>
      <c r="G15" s="104"/>
      <c r="H15" s="105"/>
      <c r="I15" s="27"/>
      <c r="J15" s="105"/>
    </row>
    <row r="16" spans="1:10" x14ac:dyDescent="0.25">
      <c r="A16" s="60"/>
      <c r="B16" s="74" t="s">
        <v>26</v>
      </c>
      <c r="C16" s="52">
        <v>12900</v>
      </c>
      <c r="D16" s="52">
        <v>13000</v>
      </c>
      <c r="E16" s="86" t="s">
        <v>25</v>
      </c>
      <c r="F16" s="282">
        <v>0.49130000000000001</v>
      </c>
      <c r="G16" s="104" t="s">
        <v>173</v>
      </c>
      <c r="H16" s="256"/>
      <c r="I16" s="27"/>
      <c r="J16" s="103"/>
    </row>
    <row r="17" spans="1:10" x14ac:dyDescent="0.25">
      <c r="A17" s="60"/>
      <c r="B17" s="74"/>
      <c r="C17" s="52"/>
      <c r="D17" s="52"/>
      <c r="E17" s="86"/>
      <c r="F17" s="282"/>
      <c r="G17" s="104"/>
      <c r="H17" s="256"/>
      <c r="I17" s="27"/>
      <c r="J17" s="103"/>
    </row>
    <row r="18" spans="1:10" x14ac:dyDescent="0.25">
      <c r="A18" s="60"/>
      <c r="B18" s="60" t="s">
        <v>26</v>
      </c>
      <c r="C18" s="52">
        <v>16600</v>
      </c>
      <c r="D18" s="52">
        <v>16950</v>
      </c>
      <c r="E18" s="86" t="s">
        <v>23</v>
      </c>
      <c r="F18" s="282">
        <v>1.1316999999999999</v>
      </c>
      <c r="G18" s="104" t="s">
        <v>173</v>
      </c>
      <c r="H18" s="105"/>
      <c r="I18" s="27"/>
      <c r="J18" s="103"/>
    </row>
    <row r="19" spans="1:10" x14ac:dyDescent="0.25">
      <c r="A19" s="60"/>
      <c r="B19" s="60" t="s">
        <v>26</v>
      </c>
      <c r="C19" s="52">
        <v>17350</v>
      </c>
      <c r="D19" s="52">
        <v>17600</v>
      </c>
      <c r="E19" s="86" t="s">
        <v>23</v>
      </c>
      <c r="F19" s="282">
        <v>2.2566999999999999</v>
      </c>
      <c r="G19" s="104" t="s">
        <v>173</v>
      </c>
      <c r="H19" s="105"/>
      <c r="I19" s="27"/>
      <c r="J19" s="103"/>
    </row>
    <row r="20" spans="1:10" x14ac:dyDescent="0.25">
      <c r="A20" s="87"/>
      <c r="B20" s="281" t="s">
        <v>26</v>
      </c>
      <c r="C20" s="239">
        <v>17600</v>
      </c>
      <c r="D20" s="239">
        <v>18350</v>
      </c>
      <c r="E20" s="153" t="s">
        <v>23</v>
      </c>
      <c r="F20" s="282">
        <v>4.9706999999999999</v>
      </c>
      <c r="G20" s="104" t="s">
        <v>155</v>
      </c>
      <c r="H20" s="105"/>
      <c r="I20" s="27"/>
      <c r="J20" s="103"/>
    </row>
    <row r="21" spans="1:10" x14ac:dyDescent="0.25">
      <c r="A21" s="87" t="s">
        <v>139</v>
      </c>
      <c r="B21" s="60"/>
      <c r="C21" s="52"/>
      <c r="D21" s="52"/>
      <c r="E21" s="86"/>
      <c r="F21" s="54"/>
      <c r="G21" s="104"/>
      <c r="H21" s="105"/>
      <c r="I21" s="27"/>
      <c r="J21" s="103"/>
    </row>
    <row r="22" spans="1:10" x14ac:dyDescent="0.25">
      <c r="A22" s="87"/>
      <c r="B22" s="281" t="s">
        <v>26</v>
      </c>
      <c r="C22" s="239">
        <v>18400</v>
      </c>
      <c r="D22" s="239">
        <v>19500</v>
      </c>
      <c r="E22" s="153" t="s">
        <v>23</v>
      </c>
      <c r="F22" s="282">
        <v>3.0133999999999999</v>
      </c>
      <c r="G22" s="104" t="s">
        <v>155</v>
      </c>
      <c r="H22" s="105"/>
      <c r="I22" s="27"/>
      <c r="J22" s="103"/>
    </row>
    <row r="23" spans="1:10" x14ac:dyDescent="0.25">
      <c r="A23" s="87"/>
      <c r="B23" s="281" t="s">
        <v>26</v>
      </c>
      <c r="C23" s="239">
        <v>20700</v>
      </c>
      <c r="D23" s="239">
        <v>20850</v>
      </c>
      <c r="E23" s="153" t="s">
        <v>25</v>
      </c>
      <c r="F23" s="282">
        <v>0.81979999999999997</v>
      </c>
      <c r="G23" s="104" t="s">
        <v>155</v>
      </c>
      <c r="H23" s="105"/>
      <c r="I23" s="27"/>
      <c r="J23" s="103"/>
    </row>
    <row r="24" spans="1:10" x14ac:dyDescent="0.25">
      <c r="A24" s="87"/>
      <c r="B24" s="60" t="s">
        <v>26</v>
      </c>
      <c r="C24" s="52">
        <v>22625</v>
      </c>
      <c r="D24" s="52">
        <v>23000</v>
      </c>
      <c r="E24" s="86" t="s">
        <v>25</v>
      </c>
      <c r="F24" s="282">
        <v>2.56</v>
      </c>
      <c r="G24" s="104" t="s">
        <v>155</v>
      </c>
      <c r="H24" s="105"/>
      <c r="I24" s="27"/>
      <c r="J24" s="103"/>
    </row>
    <row r="25" spans="1:10" x14ac:dyDescent="0.25">
      <c r="A25" s="87"/>
      <c r="B25" s="60" t="s">
        <v>26</v>
      </c>
      <c r="C25" s="52">
        <v>23100</v>
      </c>
      <c r="D25" s="52">
        <v>23850</v>
      </c>
      <c r="E25" s="86" t="s">
        <v>25</v>
      </c>
      <c r="F25" s="282">
        <v>3.76</v>
      </c>
      <c r="G25" s="104" t="s">
        <v>155</v>
      </c>
      <c r="H25" s="105"/>
      <c r="I25" s="27"/>
      <c r="J25" s="106"/>
    </row>
    <row r="26" spans="1:10" x14ac:dyDescent="0.25">
      <c r="A26" s="87"/>
      <c r="B26" s="60" t="s">
        <v>26</v>
      </c>
      <c r="C26" s="52">
        <v>23700</v>
      </c>
      <c r="D26" s="52">
        <v>25250</v>
      </c>
      <c r="E26" s="86" t="s">
        <v>25</v>
      </c>
      <c r="F26" s="282">
        <v>6.9077000000000002</v>
      </c>
      <c r="G26" s="104" t="s">
        <v>155</v>
      </c>
      <c r="H26" s="105"/>
      <c r="I26" s="27"/>
      <c r="J26" s="103"/>
    </row>
    <row r="27" spans="1:10" x14ac:dyDescent="0.25">
      <c r="A27" s="87"/>
      <c r="B27" s="60" t="s">
        <v>26</v>
      </c>
      <c r="C27" s="52">
        <v>25450</v>
      </c>
      <c r="D27" s="52">
        <v>25600</v>
      </c>
      <c r="E27" s="86" t="s">
        <v>25</v>
      </c>
      <c r="F27" s="282">
        <v>1.0449999999999999</v>
      </c>
      <c r="G27" s="104" t="s">
        <v>173</v>
      </c>
      <c r="H27" s="105"/>
      <c r="I27" s="27"/>
      <c r="J27" s="106"/>
    </row>
    <row r="28" spans="1:10" x14ac:dyDescent="0.25">
      <c r="B28" s="60" t="s">
        <v>26</v>
      </c>
      <c r="C28" s="52">
        <v>25900</v>
      </c>
      <c r="D28" s="52">
        <v>26400</v>
      </c>
      <c r="E28" s="86" t="s">
        <v>23</v>
      </c>
      <c r="F28" s="282">
        <v>3.0554000000000001</v>
      </c>
      <c r="G28" s="104" t="s">
        <v>173</v>
      </c>
    </row>
    <row r="29" spans="1:10" x14ac:dyDescent="0.25">
      <c r="B29" s="60" t="s">
        <v>26</v>
      </c>
      <c r="C29" s="52">
        <v>27200</v>
      </c>
      <c r="D29" s="52">
        <v>27400</v>
      </c>
      <c r="E29" s="86" t="s">
        <v>23</v>
      </c>
      <c r="F29" s="282">
        <v>1.61</v>
      </c>
      <c r="G29" s="104" t="s">
        <v>173</v>
      </c>
    </row>
    <row r="30" spans="1:10" x14ac:dyDescent="0.25">
      <c r="B30" s="60" t="s">
        <v>26</v>
      </c>
      <c r="C30" s="52">
        <v>28400</v>
      </c>
      <c r="D30" s="52">
        <v>28975</v>
      </c>
      <c r="E30" s="86" t="s">
        <v>25</v>
      </c>
      <c r="F30" s="282">
        <v>6.27</v>
      </c>
      <c r="G30" s="104" t="s">
        <v>173</v>
      </c>
    </row>
    <row r="31" spans="1:10" x14ac:dyDescent="0.25">
      <c r="B31" s="60" t="s">
        <v>26</v>
      </c>
      <c r="C31" s="52">
        <v>28400</v>
      </c>
      <c r="D31" s="52">
        <v>28975</v>
      </c>
      <c r="E31" s="86" t="s">
        <v>25</v>
      </c>
      <c r="F31" s="282">
        <v>4.9645000000000001</v>
      </c>
      <c r="G31" s="104" t="s">
        <v>155</v>
      </c>
    </row>
    <row r="32" spans="1:10" x14ac:dyDescent="0.25">
      <c r="B32" s="60" t="s">
        <v>26</v>
      </c>
      <c r="C32" s="52">
        <v>29450</v>
      </c>
      <c r="D32" s="52">
        <v>30150</v>
      </c>
      <c r="E32" s="86" t="s">
        <v>25</v>
      </c>
      <c r="F32" s="282">
        <v>4.62</v>
      </c>
      <c r="G32" s="104" t="s">
        <v>155</v>
      </c>
    </row>
    <row r="33" spans="2:7" x14ac:dyDescent="0.25">
      <c r="B33" s="60" t="s">
        <v>26</v>
      </c>
      <c r="C33" s="52">
        <v>29900</v>
      </c>
      <c r="D33" s="52">
        <v>30600</v>
      </c>
      <c r="E33" s="86" t="s">
        <v>25</v>
      </c>
      <c r="F33" s="282">
        <v>3.8</v>
      </c>
      <c r="G33" s="304" t="s">
        <v>155</v>
      </c>
    </row>
    <row r="34" spans="2:7" x14ac:dyDescent="0.25">
      <c r="B34" s="60" t="s">
        <v>26</v>
      </c>
      <c r="C34" s="52">
        <v>30400</v>
      </c>
      <c r="D34" s="52">
        <v>31000</v>
      </c>
      <c r="E34" s="86" t="s">
        <v>23</v>
      </c>
      <c r="F34" s="282">
        <v>7.5917000000000003</v>
      </c>
      <c r="G34" s="298" t="s">
        <v>173</v>
      </c>
    </row>
    <row r="35" spans="2:7" x14ac:dyDescent="0.25">
      <c r="B35" s="60" t="s">
        <v>26</v>
      </c>
      <c r="C35" s="52">
        <v>31250</v>
      </c>
      <c r="D35" s="52">
        <v>31800</v>
      </c>
      <c r="E35" s="86" t="s">
        <v>25</v>
      </c>
      <c r="F35" s="282">
        <v>4.8117000000000001</v>
      </c>
      <c r="G35" s="298" t="s">
        <v>173</v>
      </c>
    </row>
    <row r="36" spans="2:7" x14ac:dyDescent="0.25">
      <c r="B36" s="60" t="s">
        <v>26</v>
      </c>
      <c r="C36" s="52">
        <v>32200</v>
      </c>
      <c r="D36" s="52">
        <v>32450</v>
      </c>
      <c r="E36" s="86" t="s">
        <v>23</v>
      </c>
      <c r="F36" s="282">
        <v>1.8381000000000001</v>
      </c>
      <c r="G36" s="298" t="s">
        <v>173</v>
      </c>
    </row>
    <row r="37" spans="2:7" x14ac:dyDescent="0.25">
      <c r="B37" s="60" t="s">
        <v>26</v>
      </c>
      <c r="C37" s="52">
        <v>32950</v>
      </c>
      <c r="D37" s="52">
        <v>33150</v>
      </c>
      <c r="E37" s="86" t="s">
        <v>23</v>
      </c>
      <c r="F37" s="282">
        <v>0.59770000000000001</v>
      </c>
      <c r="G37" s="298" t="s">
        <v>155</v>
      </c>
    </row>
    <row r="38" spans="2:7" x14ac:dyDescent="0.25">
      <c r="B38" s="60" t="s">
        <v>26</v>
      </c>
      <c r="C38" s="52">
        <v>34450</v>
      </c>
      <c r="D38" s="52" t="s">
        <v>192</v>
      </c>
      <c r="E38" s="86" t="s">
        <v>25</v>
      </c>
      <c r="F38" s="282">
        <v>0.51</v>
      </c>
      <c r="G38" s="298" t="s">
        <v>155</v>
      </c>
    </row>
    <row r="39" spans="2:7" x14ac:dyDescent="0.25">
      <c r="B39" s="60" t="s">
        <v>26</v>
      </c>
      <c r="C39" s="52">
        <v>34450</v>
      </c>
      <c r="D39" s="52">
        <v>34600</v>
      </c>
      <c r="E39" s="86" t="s">
        <v>23</v>
      </c>
      <c r="F39" s="282">
        <v>0.73</v>
      </c>
      <c r="G39" s="298" t="s">
        <v>173</v>
      </c>
    </row>
    <row r="42" spans="2:7" x14ac:dyDescent="0.25">
      <c r="D42" s="301"/>
    </row>
    <row r="43" spans="2:7" x14ac:dyDescent="0.25">
      <c r="D43" s="301"/>
      <c r="E43" s="2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tabSelected="1" view="pageBreakPreview" zoomScale="60" zoomScaleNormal="100" workbookViewId="0">
      <selection activeCell="A3" sqref="A3"/>
    </sheetView>
  </sheetViews>
  <sheetFormatPr defaultRowHeight="15" x14ac:dyDescent="0.25"/>
  <cols>
    <col min="3" max="3" width="10.5703125" bestFit="1" customWidth="1"/>
    <col min="27" max="27" width="10.5703125" bestFit="1" customWidth="1"/>
  </cols>
  <sheetData>
    <row r="1" spans="1:54" x14ac:dyDescent="0.25">
      <c r="B1" t="s">
        <v>182</v>
      </c>
      <c r="D1" s="324">
        <f>+C11-1.0267</f>
        <v>6.2945000000000002</v>
      </c>
      <c r="K1" t="s">
        <v>182</v>
      </c>
      <c r="M1" s="324">
        <f>+M11-1.6358</f>
        <v>6.0899000000000001</v>
      </c>
      <c r="U1" t="s">
        <v>180</v>
      </c>
      <c r="W1" t="s">
        <v>201</v>
      </c>
      <c r="AD1" t="s">
        <v>181</v>
      </c>
      <c r="AE1" s="324">
        <f>+AF11-4.1244</f>
        <v>15.495599999999998</v>
      </c>
      <c r="AF1" t="s">
        <v>182</v>
      </c>
      <c r="AM1" t="s">
        <v>181</v>
      </c>
      <c r="AN1" s="140"/>
      <c r="AO1" t="s">
        <v>182</v>
      </c>
      <c r="AP1" t="s">
        <v>193</v>
      </c>
      <c r="AW1" t="s">
        <v>181</v>
      </c>
      <c r="AX1" s="324">
        <v>4.33</v>
      </c>
      <c r="AY1" t="s">
        <v>182</v>
      </c>
    </row>
    <row r="2" spans="1:54" x14ac:dyDescent="0.25">
      <c r="A2" s="121" t="s">
        <v>52</v>
      </c>
      <c r="F2" s="122"/>
      <c r="G2" s="123"/>
      <c r="K2" s="121" t="s">
        <v>52</v>
      </c>
      <c r="P2" s="122"/>
      <c r="Q2" s="123"/>
      <c r="U2" s="121" t="s">
        <v>52</v>
      </c>
      <c r="Z2" s="122"/>
      <c r="AA2" s="123"/>
      <c r="AD2" s="121" t="s">
        <v>52</v>
      </c>
      <c r="AI2" s="122"/>
      <c r="AM2" s="121" t="s">
        <v>52</v>
      </c>
      <c r="AR2" s="122"/>
      <c r="AW2" s="121" t="s">
        <v>52</v>
      </c>
      <c r="BB2" s="122"/>
    </row>
    <row r="3" spans="1:54" x14ac:dyDescent="0.25">
      <c r="A3" t="s">
        <v>134</v>
      </c>
      <c r="K3" t="s">
        <v>84</v>
      </c>
      <c r="U3" t="s">
        <v>127</v>
      </c>
      <c r="AD3" t="s">
        <v>176</v>
      </c>
      <c r="AF3" t="s">
        <v>183</v>
      </c>
      <c r="AM3" t="s">
        <v>187</v>
      </c>
      <c r="AO3" t="s">
        <v>188</v>
      </c>
      <c r="AW3" t="s">
        <v>189</v>
      </c>
      <c r="AY3" t="s">
        <v>190</v>
      </c>
    </row>
    <row r="4" spans="1:54" x14ac:dyDescent="0.25">
      <c r="A4" t="s">
        <v>53</v>
      </c>
      <c r="C4" s="121"/>
      <c r="K4" t="s">
        <v>53</v>
      </c>
      <c r="M4" s="121"/>
      <c r="Q4" s="137"/>
      <c r="R4" s="137"/>
      <c r="S4" s="137"/>
      <c r="T4" s="137"/>
      <c r="U4" t="s">
        <v>53</v>
      </c>
      <c r="W4" s="121"/>
      <c r="AA4" s="137"/>
      <c r="AB4" s="137"/>
      <c r="AD4" t="s">
        <v>53</v>
      </c>
      <c r="AF4" s="121"/>
      <c r="AM4" t="s">
        <v>53</v>
      </c>
      <c r="AO4" s="121"/>
      <c r="AW4" t="s">
        <v>53</v>
      </c>
      <c r="AY4" s="121"/>
    </row>
    <row r="5" spans="1:54" ht="15.75" thickBot="1" x14ac:dyDescent="0.3">
      <c r="A5" t="s">
        <v>54</v>
      </c>
      <c r="K5" t="s">
        <v>54</v>
      </c>
      <c r="Q5" s="137"/>
      <c r="R5" s="137"/>
      <c r="S5" s="137"/>
      <c r="T5" s="137"/>
      <c r="U5" t="s">
        <v>54</v>
      </c>
      <c r="AA5" s="137"/>
      <c r="AB5" s="137"/>
      <c r="AD5" t="s">
        <v>54</v>
      </c>
      <c r="AM5" t="s">
        <v>54</v>
      </c>
      <c r="AW5" t="s">
        <v>54</v>
      </c>
    </row>
    <row r="6" spans="1:54" x14ac:dyDescent="0.25">
      <c r="A6" s="124" t="s">
        <v>55</v>
      </c>
      <c r="B6" s="5"/>
      <c r="C6" s="125" t="s">
        <v>56</v>
      </c>
      <c r="D6" s="125" t="s">
        <v>57</v>
      </c>
      <c r="E6" s="126" t="s">
        <v>58</v>
      </c>
      <c r="K6" s="124" t="s">
        <v>55</v>
      </c>
      <c r="L6" s="5"/>
      <c r="M6" s="125" t="s">
        <v>56</v>
      </c>
      <c r="N6" s="125" t="s">
        <v>57</v>
      </c>
      <c r="O6" s="126" t="s">
        <v>58</v>
      </c>
      <c r="Q6" s="137"/>
      <c r="R6" s="139"/>
      <c r="S6" s="137"/>
      <c r="T6" s="214"/>
      <c r="U6" s="124" t="s">
        <v>55</v>
      </c>
      <c r="V6" s="5"/>
      <c r="W6" s="125" t="s">
        <v>56</v>
      </c>
      <c r="X6" s="125" t="s">
        <v>57</v>
      </c>
      <c r="Y6" s="126" t="s">
        <v>58</v>
      </c>
      <c r="AA6" s="137"/>
      <c r="AB6" s="139"/>
      <c r="AD6" s="124" t="s">
        <v>55</v>
      </c>
      <c r="AE6" s="5"/>
      <c r="AF6" s="125" t="s">
        <v>56</v>
      </c>
      <c r="AG6" s="125" t="s">
        <v>57</v>
      </c>
      <c r="AH6" s="126" t="s">
        <v>58</v>
      </c>
      <c r="AM6" s="124" t="s">
        <v>55</v>
      </c>
      <c r="AN6" s="5"/>
      <c r="AO6" s="125" t="s">
        <v>56</v>
      </c>
      <c r="AP6" s="125" t="s">
        <v>57</v>
      </c>
      <c r="AQ6" s="126" t="s">
        <v>58</v>
      </c>
      <c r="AW6" s="124" t="s">
        <v>55</v>
      </c>
      <c r="AX6" s="5"/>
      <c r="AY6" s="125" t="s">
        <v>56</v>
      </c>
      <c r="AZ6" s="125" t="s">
        <v>57</v>
      </c>
      <c r="BA6" s="126" t="s">
        <v>58</v>
      </c>
    </row>
    <row r="7" spans="1:54" x14ac:dyDescent="0.25">
      <c r="A7" s="127"/>
      <c r="B7" s="116"/>
      <c r="C7" s="128">
        <v>7.32</v>
      </c>
      <c r="D7" s="116">
        <v>0.7</v>
      </c>
      <c r="E7" s="129">
        <f>+C7*D7</f>
        <v>5.1239999999999997</v>
      </c>
      <c r="K7" s="127"/>
      <c r="L7" s="116"/>
      <c r="M7" s="128">
        <v>6.59</v>
      </c>
      <c r="N7" s="116">
        <v>0.55000000000000004</v>
      </c>
      <c r="O7" s="129">
        <f>+M7*N7</f>
        <v>3.6245000000000003</v>
      </c>
      <c r="Q7" s="137"/>
      <c r="R7" s="137"/>
      <c r="S7" s="137"/>
      <c r="T7" s="142"/>
      <c r="U7" s="127"/>
      <c r="V7" s="116"/>
      <c r="W7" s="128">
        <v>4.9000000000000004</v>
      </c>
      <c r="X7" s="116">
        <v>0.55000000000000004</v>
      </c>
      <c r="Y7" s="129">
        <f>+W7*X7</f>
        <v>2.6950000000000003</v>
      </c>
      <c r="AA7" s="137"/>
      <c r="AB7" s="137"/>
      <c r="AD7" s="127" t="s">
        <v>178</v>
      </c>
      <c r="AE7" s="116"/>
      <c r="AF7" s="128">
        <v>1.9</v>
      </c>
      <c r="AG7" s="116">
        <v>0.5</v>
      </c>
      <c r="AH7" s="129">
        <f>+AF7*AG7</f>
        <v>0.95</v>
      </c>
      <c r="AM7" s="127" t="s">
        <v>178</v>
      </c>
      <c r="AN7" s="116"/>
      <c r="AO7" s="128">
        <v>0</v>
      </c>
      <c r="AP7" s="116">
        <v>0.5</v>
      </c>
      <c r="AQ7" s="129">
        <f>+AO7*AP7</f>
        <v>0</v>
      </c>
      <c r="AW7" s="127" t="s">
        <v>178</v>
      </c>
      <c r="AX7" s="116"/>
      <c r="AY7" s="128">
        <v>1.76</v>
      </c>
      <c r="AZ7" s="116">
        <v>0.7</v>
      </c>
      <c r="BA7" s="129">
        <f>+AY7*AZ7</f>
        <v>1.232</v>
      </c>
    </row>
    <row r="8" spans="1:54" x14ac:dyDescent="0.25">
      <c r="A8" s="127"/>
      <c r="B8" s="116"/>
      <c r="C8" s="128"/>
      <c r="D8" s="116"/>
      <c r="E8" s="129"/>
      <c r="K8" s="127"/>
      <c r="L8" s="116"/>
      <c r="M8" s="128">
        <v>1.39</v>
      </c>
      <c r="N8" s="116">
        <v>0.7</v>
      </c>
      <c r="O8" s="129">
        <f>+M8*N8</f>
        <v>0.97299999999999986</v>
      </c>
      <c r="Q8" s="137"/>
      <c r="R8" s="137"/>
      <c r="S8" s="137"/>
      <c r="T8" s="142"/>
      <c r="U8" s="127"/>
      <c r="V8" s="116"/>
      <c r="W8" s="128">
        <v>2.9</v>
      </c>
      <c r="X8" s="116">
        <v>0.9</v>
      </c>
      <c r="Y8" s="129">
        <f>+W8*X8</f>
        <v>2.61</v>
      </c>
      <c r="AA8" s="137"/>
      <c r="AB8" s="137"/>
      <c r="AD8" s="127" t="s">
        <v>177</v>
      </c>
      <c r="AE8" s="116"/>
      <c r="AF8" s="128">
        <v>4.1399999999999997</v>
      </c>
      <c r="AG8" s="116">
        <v>0.3</v>
      </c>
      <c r="AH8" s="129">
        <f>+AF8*AG8</f>
        <v>1.2419999999999998</v>
      </c>
      <c r="AM8" s="127" t="s">
        <v>177</v>
      </c>
      <c r="AN8" s="116"/>
      <c r="AO8" s="128">
        <f>5.5689+0.927</f>
        <v>6.4959000000000007</v>
      </c>
      <c r="AP8" s="116">
        <v>0.3</v>
      </c>
      <c r="AQ8" s="129">
        <f>+AO8*AP8</f>
        <v>1.9487700000000001</v>
      </c>
      <c r="AW8" s="127" t="s">
        <v>177</v>
      </c>
      <c r="AX8" s="116"/>
      <c r="AY8" s="128">
        <v>1.2775000000000001</v>
      </c>
      <c r="AZ8" s="116">
        <v>0.3</v>
      </c>
      <c r="BA8" s="129">
        <f>+AY8*AZ8</f>
        <v>0.38325000000000004</v>
      </c>
    </row>
    <row r="9" spans="1:54" x14ac:dyDescent="0.25">
      <c r="A9" s="127"/>
      <c r="B9" s="116"/>
      <c r="C9" s="128"/>
      <c r="D9" s="130"/>
      <c r="E9" s="129"/>
      <c r="K9" s="127"/>
      <c r="L9" s="116"/>
      <c r="M9" s="128"/>
      <c r="N9" s="130"/>
      <c r="O9" s="129"/>
      <c r="Q9" s="137"/>
      <c r="R9" s="137"/>
      <c r="S9" s="137"/>
      <c r="T9" s="142"/>
      <c r="U9" s="127"/>
      <c r="V9" s="116"/>
      <c r="W9" s="128">
        <v>3.3</v>
      </c>
      <c r="X9" s="130">
        <v>0.4</v>
      </c>
      <c r="Y9" s="129">
        <f>+W9*X9</f>
        <v>1.32</v>
      </c>
      <c r="AA9" s="137"/>
      <c r="AB9" s="137"/>
      <c r="AD9" s="127" t="s">
        <v>179</v>
      </c>
      <c r="AE9" s="116"/>
      <c r="AF9" s="128">
        <f>19.62-AF8-AF7</f>
        <v>13.58</v>
      </c>
      <c r="AG9" s="130">
        <v>0.9</v>
      </c>
      <c r="AH9" s="129">
        <f>+AF9*AG9</f>
        <v>12.222</v>
      </c>
      <c r="AM9" s="127" t="s">
        <v>179</v>
      </c>
      <c r="AN9" s="116"/>
      <c r="AO9" s="128">
        <f>10.87-AO8</f>
        <v>4.3740999999999985</v>
      </c>
      <c r="AP9" s="130">
        <v>0.9</v>
      </c>
      <c r="AQ9" s="129">
        <f>+AO9*AP9</f>
        <v>3.9366899999999987</v>
      </c>
      <c r="AW9" s="127" t="s">
        <v>179</v>
      </c>
      <c r="AX9" s="116"/>
      <c r="AY9" s="128">
        <f>4.9521-AY8-AY7</f>
        <v>1.9145999999999999</v>
      </c>
      <c r="AZ9" s="130">
        <v>0.9</v>
      </c>
      <c r="BA9" s="129">
        <f>+AY9*AZ9</f>
        <v>1.7231399999999999</v>
      </c>
    </row>
    <row r="10" spans="1:54" x14ac:dyDescent="0.25">
      <c r="A10" s="127"/>
      <c r="B10" s="116"/>
      <c r="C10" s="116"/>
      <c r="D10" s="116"/>
      <c r="E10" s="131"/>
      <c r="K10" s="127"/>
      <c r="L10" s="116"/>
      <c r="M10" s="116"/>
      <c r="N10" s="116"/>
      <c r="O10" s="131"/>
      <c r="Q10" s="137"/>
      <c r="R10" s="137"/>
      <c r="S10" s="137"/>
      <c r="T10" s="137"/>
      <c r="U10" s="127"/>
      <c r="V10" s="116"/>
      <c r="W10" s="116"/>
      <c r="X10" s="116"/>
      <c r="Y10" s="131"/>
      <c r="AA10" s="137"/>
      <c r="AB10" s="137"/>
      <c r="AD10" s="127"/>
      <c r="AE10" s="116"/>
      <c r="AF10" s="116"/>
      <c r="AG10" s="116"/>
      <c r="AH10" s="131"/>
      <c r="AM10" s="127"/>
      <c r="AN10" s="116"/>
      <c r="AO10" s="116"/>
      <c r="AP10" s="116"/>
      <c r="AQ10" s="131"/>
      <c r="AW10" s="127"/>
      <c r="AX10" s="116"/>
      <c r="AY10" s="116"/>
      <c r="AZ10" s="116"/>
      <c r="BA10" s="131"/>
    </row>
    <row r="11" spans="1:54" ht="15.75" thickBot="1" x14ac:dyDescent="0.3">
      <c r="A11" s="132" t="s">
        <v>59</v>
      </c>
      <c r="B11" s="133"/>
      <c r="C11" s="296">
        <v>7.3212000000000002</v>
      </c>
      <c r="D11" s="133"/>
      <c r="E11" s="135">
        <f>+E9+E8+E7</f>
        <v>5.1239999999999997</v>
      </c>
      <c r="K11" s="132" t="s">
        <v>59</v>
      </c>
      <c r="L11" s="133"/>
      <c r="M11" s="296">
        <v>7.7256999999999998</v>
      </c>
      <c r="N11" s="133"/>
      <c r="O11" s="135">
        <f>+O9+O8+O7</f>
        <v>4.5975000000000001</v>
      </c>
      <c r="Q11" s="137"/>
      <c r="R11" s="215"/>
      <c r="S11" s="137"/>
      <c r="T11" s="142"/>
      <c r="U11" s="132" t="s">
        <v>59</v>
      </c>
      <c r="V11" s="133"/>
      <c r="W11" s="134">
        <f>SUM(W7:W10)</f>
        <v>11.100000000000001</v>
      </c>
      <c r="X11" s="133"/>
      <c r="Y11" s="135">
        <f>+Y9+Y8+Y7</f>
        <v>6.625</v>
      </c>
      <c r="AA11" s="137"/>
      <c r="AB11" s="215"/>
      <c r="AD11" s="132" t="s">
        <v>59</v>
      </c>
      <c r="AE11" s="133"/>
      <c r="AF11" s="134">
        <f>SUM(AF7:AF10)</f>
        <v>19.619999999999997</v>
      </c>
      <c r="AG11" s="133"/>
      <c r="AH11" s="135">
        <f>+AH9+AH8+AH7</f>
        <v>14.413999999999998</v>
      </c>
      <c r="AM11" s="132" t="s">
        <v>59</v>
      </c>
      <c r="AN11" s="133"/>
      <c r="AO11" s="134">
        <f>SUM(AO7:AO10)</f>
        <v>10.87</v>
      </c>
      <c r="AP11" s="133"/>
      <c r="AQ11" s="135">
        <f>+AQ9+AQ8+AQ7</f>
        <v>5.8854599999999984</v>
      </c>
      <c r="AW11" s="132" t="s">
        <v>59</v>
      </c>
      <c r="AX11" s="133"/>
      <c r="AY11" s="134">
        <f>SUM(AY7:AY10)</f>
        <v>4.9520999999999997</v>
      </c>
      <c r="AZ11" s="133"/>
      <c r="BA11" s="135">
        <f>+BA9+BA8+BA7</f>
        <v>3.3383899999999995</v>
      </c>
    </row>
    <row r="12" spans="1:54" ht="15.75" thickBot="1" x14ac:dyDescent="0.3">
      <c r="B12" t="s">
        <v>60</v>
      </c>
      <c r="E12" s="136">
        <f>+E11/C11</f>
        <v>0.69988526471070311</v>
      </c>
      <c r="L12" t="s">
        <v>60</v>
      </c>
      <c r="O12" s="136">
        <f>+O11/M11</f>
        <v>0.59509170690034563</v>
      </c>
      <c r="Q12" s="137"/>
      <c r="R12" s="137"/>
      <c r="S12" s="137"/>
      <c r="T12" s="137"/>
      <c r="V12" t="s">
        <v>60</v>
      </c>
      <c r="Y12" s="136">
        <f>+Y11/W11</f>
        <v>0.59684684684684675</v>
      </c>
      <c r="AA12" s="137"/>
      <c r="AB12" s="137"/>
      <c r="AE12" t="s">
        <v>60</v>
      </c>
      <c r="AH12" s="136">
        <f>+AH11/AF11</f>
        <v>0.73465851172273189</v>
      </c>
      <c r="AN12" t="s">
        <v>60</v>
      </c>
      <c r="AQ12" s="136">
        <f>+AQ11/AO11</f>
        <v>0.54144066237350497</v>
      </c>
      <c r="AX12" t="s">
        <v>60</v>
      </c>
      <c r="BA12" s="136">
        <f>+BA11/AY11</f>
        <v>0.67413622503584336</v>
      </c>
    </row>
    <row r="13" spans="1:54" x14ac:dyDescent="0.25">
      <c r="A13" s="137"/>
      <c r="B13" s="137" t="s">
        <v>61</v>
      </c>
      <c r="C13" s="137"/>
      <c r="D13" s="138"/>
      <c r="E13" s="137"/>
      <c r="K13" s="137"/>
      <c r="L13" s="137" t="s">
        <v>61</v>
      </c>
      <c r="M13" s="137"/>
      <c r="N13" s="138"/>
      <c r="O13" s="137"/>
      <c r="U13" s="137"/>
      <c r="V13" s="137" t="s">
        <v>61</v>
      </c>
      <c r="W13" s="137"/>
      <c r="X13" s="138"/>
      <c r="Y13" s="137"/>
      <c r="AD13" s="137"/>
      <c r="AE13" s="137" t="s">
        <v>61</v>
      </c>
      <c r="AF13" s="137"/>
      <c r="AG13" s="138"/>
      <c r="AH13" s="137"/>
      <c r="AM13" s="137"/>
      <c r="AN13" s="137" t="s">
        <v>61</v>
      </c>
      <c r="AO13" s="137"/>
      <c r="AP13" s="138"/>
      <c r="AQ13" s="137"/>
      <c r="AW13" s="137"/>
      <c r="AX13" s="137" t="s">
        <v>61</v>
      </c>
      <c r="AY13" s="137"/>
      <c r="AZ13" s="138"/>
      <c r="BA13" s="137"/>
    </row>
    <row r="14" spans="1:54" ht="15.75" x14ac:dyDescent="0.3">
      <c r="A14" t="s">
        <v>62</v>
      </c>
      <c r="E14" s="137"/>
      <c r="F14" s="137"/>
      <c r="G14" s="137"/>
      <c r="H14" s="137"/>
      <c r="K14" t="s">
        <v>62</v>
      </c>
      <c r="O14" s="137"/>
      <c r="P14" s="137"/>
      <c r="Q14" s="137"/>
      <c r="R14" s="137"/>
      <c r="U14" t="s">
        <v>62</v>
      </c>
      <c r="Y14" s="137"/>
      <c r="Z14" s="137"/>
      <c r="AA14" s="137"/>
      <c r="AB14" s="137"/>
      <c r="AD14" t="s">
        <v>62</v>
      </c>
      <c r="AH14" s="137"/>
      <c r="AI14" s="137"/>
      <c r="AM14" t="s">
        <v>62</v>
      </c>
      <c r="AQ14" s="137"/>
      <c r="AR14" s="137"/>
      <c r="AW14" t="s">
        <v>62</v>
      </c>
      <c r="BA14" s="137"/>
      <c r="BB14" s="137"/>
    </row>
    <row r="15" spans="1:54" x14ac:dyDescent="0.25">
      <c r="E15" s="137"/>
      <c r="F15" s="137"/>
      <c r="G15" s="137"/>
      <c r="H15" s="137"/>
      <c r="O15" s="137"/>
      <c r="P15" s="137"/>
      <c r="Q15" s="137"/>
      <c r="R15" s="137"/>
      <c r="Y15" s="137"/>
      <c r="Z15" s="137"/>
      <c r="AA15" s="137"/>
      <c r="AB15" s="137"/>
      <c r="AH15" s="137"/>
      <c r="AI15" s="137"/>
      <c r="AQ15" s="137"/>
      <c r="AR15" s="137"/>
      <c r="BA15" s="137"/>
      <c r="BB15" s="137"/>
    </row>
    <row r="16" spans="1:54" x14ac:dyDescent="0.25">
      <c r="E16" s="137"/>
      <c r="F16" s="137"/>
      <c r="G16" s="137"/>
      <c r="H16" s="137"/>
      <c r="O16" s="137"/>
      <c r="P16" s="137"/>
      <c r="Q16" s="137"/>
      <c r="R16" s="137"/>
      <c r="Y16" s="137"/>
      <c r="Z16" s="137"/>
      <c r="AA16" s="137"/>
      <c r="AB16" s="137"/>
      <c r="AH16" s="137"/>
      <c r="AI16" s="137"/>
      <c r="AQ16" s="137"/>
      <c r="AR16" s="137"/>
      <c r="BA16" s="137"/>
      <c r="BB16" s="137"/>
    </row>
    <row r="17" spans="1:54" x14ac:dyDescent="0.25">
      <c r="E17" s="137"/>
      <c r="F17" s="137"/>
      <c r="G17" s="137"/>
      <c r="H17" s="137"/>
      <c r="O17" s="137"/>
      <c r="P17" s="137"/>
      <c r="Q17" s="137"/>
      <c r="R17" s="137"/>
      <c r="Y17" s="137"/>
      <c r="Z17" s="137"/>
      <c r="AA17" s="137"/>
      <c r="AB17" s="137"/>
      <c r="AH17" s="137"/>
      <c r="AI17" s="137"/>
      <c r="AQ17" s="137"/>
      <c r="AR17" s="137"/>
      <c r="BA17" s="137"/>
      <c r="BB17" s="137"/>
    </row>
    <row r="18" spans="1:54" x14ac:dyDescent="0.25">
      <c r="B18" t="s">
        <v>63</v>
      </c>
      <c r="C18">
        <v>0.75</v>
      </c>
      <c r="E18" s="137"/>
      <c r="F18" s="137"/>
      <c r="G18" s="139"/>
      <c r="H18" s="139"/>
      <c r="L18" t="s">
        <v>63</v>
      </c>
      <c r="M18">
        <v>0.75</v>
      </c>
      <c r="O18" s="137"/>
      <c r="P18" s="137"/>
      <c r="Q18" s="139"/>
      <c r="R18" s="139"/>
      <c r="V18" t="s">
        <v>63</v>
      </c>
      <c r="W18">
        <v>0.75</v>
      </c>
      <c r="Y18" s="137"/>
      <c r="Z18" s="137"/>
      <c r="AA18" s="139"/>
      <c r="AB18" s="139"/>
      <c r="AE18" t="s">
        <v>63</v>
      </c>
      <c r="AF18">
        <v>0.75</v>
      </c>
      <c r="AH18" s="137"/>
      <c r="AI18" s="137"/>
      <c r="AN18" t="s">
        <v>63</v>
      </c>
      <c r="AO18">
        <v>0.75</v>
      </c>
      <c r="AQ18" s="137"/>
      <c r="AR18" s="137"/>
      <c r="AX18" t="s">
        <v>63</v>
      </c>
      <c r="AY18">
        <v>0.75</v>
      </c>
      <c r="BA18" s="137"/>
      <c r="BB18" s="137"/>
    </row>
    <row r="19" spans="1:54" x14ac:dyDescent="0.25">
      <c r="B19" t="s">
        <v>56</v>
      </c>
      <c r="C19" s="140">
        <f>+C11</f>
        <v>7.3212000000000002</v>
      </c>
      <c r="E19" s="137"/>
      <c r="F19" s="137"/>
      <c r="G19" s="137"/>
      <c r="H19" s="137"/>
      <c r="L19" t="s">
        <v>56</v>
      </c>
      <c r="M19" s="140">
        <f>+M11</f>
        <v>7.7256999999999998</v>
      </c>
      <c r="O19" s="137"/>
      <c r="P19" s="137"/>
      <c r="Q19" s="137"/>
      <c r="R19" s="137"/>
      <c r="V19" t="s">
        <v>56</v>
      </c>
      <c r="W19" s="140">
        <f>+W11</f>
        <v>11.100000000000001</v>
      </c>
      <c r="Y19" s="137"/>
      <c r="Z19" s="137"/>
      <c r="AA19" s="137"/>
      <c r="AB19" s="137"/>
      <c r="AE19" t="s">
        <v>56</v>
      </c>
      <c r="AF19" s="140">
        <f>+AF11</f>
        <v>19.619999999999997</v>
      </c>
      <c r="AH19" s="137"/>
      <c r="AI19" s="137"/>
      <c r="AN19" t="s">
        <v>56</v>
      </c>
      <c r="AO19" s="140">
        <f>+AO11</f>
        <v>10.87</v>
      </c>
      <c r="AQ19" s="137"/>
      <c r="AR19" s="137"/>
      <c r="AX19" t="s">
        <v>56</v>
      </c>
      <c r="AY19" s="140">
        <f>+AY11</f>
        <v>4.9520999999999997</v>
      </c>
      <c r="BA19" s="137"/>
      <c r="BB19" s="137"/>
    </row>
    <row r="20" spans="1:54" x14ac:dyDescent="0.25">
      <c r="B20" t="s">
        <v>64</v>
      </c>
      <c r="C20" s="140">
        <f>+E12</f>
        <v>0.69988526471070311</v>
      </c>
      <c r="L20" t="s">
        <v>64</v>
      </c>
      <c r="M20" s="140">
        <f>+O12</f>
        <v>0.59509170690034563</v>
      </c>
      <c r="V20" t="s">
        <v>64</v>
      </c>
      <c r="W20" s="140">
        <f>+Y12</f>
        <v>0.59684684684684675</v>
      </c>
      <c r="AE20" t="s">
        <v>64</v>
      </c>
      <c r="AF20" s="140">
        <f>+AH12</f>
        <v>0.73465851172273189</v>
      </c>
      <c r="AN20" t="s">
        <v>64</v>
      </c>
      <c r="AO20" s="140">
        <f>+AQ12</f>
        <v>0.54144066237350497</v>
      </c>
      <c r="AX20" t="s">
        <v>64</v>
      </c>
      <c r="AY20" s="140">
        <f>+BA12</f>
        <v>0.67413622503584336</v>
      </c>
    </row>
    <row r="21" spans="1:54" ht="16.5" thickBot="1" x14ac:dyDescent="0.35">
      <c r="B21" s="141" t="s">
        <v>65</v>
      </c>
      <c r="C21" s="142">
        <f>+C18*C19*C20/12</f>
        <v>0.32024999999999998</v>
      </c>
      <c r="D21" s="137" t="s">
        <v>66</v>
      </c>
      <c r="L21" s="141" t="s">
        <v>65</v>
      </c>
      <c r="M21" s="142">
        <f>+M18*M19*M20/12</f>
        <v>0.28734375000000001</v>
      </c>
      <c r="N21" s="137" t="s">
        <v>66</v>
      </c>
      <c r="V21" s="141" t="s">
        <v>65</v>
      </c>
      <c r="W21" s="142">
        <f>+W18*W19*W20/12</f>
        <v>0.4140625</v>
      </c>
      <c r="X21" s="137" t="s">
        <v>66</v>
      </c>
      <c r="AE21" s="141" t="s">
        <v>65</v>
      </c>
      <c r="AF21" s="142">
        <f>+AF18*AF19*AF20/12</f>
        <v>0.90087499999999976</v>
      </c>
      <c r="AG21" s="137" t="s">
        <v>66</v>
      </c>
      <c r="AN21" s="141" t="s">
        <v>65</v>
      </c>
      <c r="AO21" s="142">
        <f>+AO18*AO19*AO20/12</f>
        <v>0.3678412499999999</v>
      </c>
      <c r="AP21" s="137" t="s">
        <v>66</v>
      </c>
      <c r="AX21" s="141" t="s">
        <v>65</v>
      </c>
      <c r="AY21" s="142">
        <f>+AY18*AY19*AY20/12</f>
        <v>0.208649375</v>
      </c>
      <c r="AZ21" s="137" t="s">
        <v>66</v>
      </c>
    </row>
    <row r="22" spans="1:54" ht="16.5" thickBot="1" x14ac:dyDescent="0.35">
      <c r="B22" s="143" t="s">
        <v>65</v>
      </c>
      <c r="C22" s="144">
        <f>ROUND(+C21*66*660,-2)</f>
        <v>14000</v>
      </c>
      <c r="D22" s="145" t="s">
        <v>67</v>
      </c>
      <c r="L22" s="143" t="s">
        <v>65</v>
      </c>
      <c r="M22" s="144">
        <f>ROUND(+M21*66*660,-2)</f>
        <v>12500</v>
      </c>
      <c r="N22" s="145" t="s">
        <v>67</v>
      </c>
      <c r="V22" s="143" t="s">
        <v>65</v>
      </c>
      <c r="W22" s="144">
        <f>ROUND(+W21*66*660,-2)</f>
        <v>18000</v>
      </c>
      <c r="X22" s="145" t="s">
        <v>67</v>
      </c>
      <c r="AE22" s="143" t="s">
        <v>65</v>
      </c>
      <c r="AF22" s="144">
        <f>ROUND(+AF21*66*660,-2)</f>
        <v>39200</v>
      </c>
      <c r="AG22" s="145" t="s">
        <v>67</v>
      </c>
      <c r="AN22" s="143" t="s">
        <v>65</v>
      </c>
      <c r="AO22" s="144">
        <f>ROUND(+AO21*66*660,-2)</f>
        <v>16000</v>
      </c>
      <c r="AP22" s="145" t="s">
        <v>67</v>
      </c>
      <c r="AX22" s="143" t="s">
        <v>65</v>
      </c>
      <c r="AY22" s="144">
        <f>ROUND(+AY21*66*660,-2)</f>
        <v>9100</v>
      </c>
      <c r="AZ22" s="145" t="s">
        <v>67</v>
      </c>
    </row>
    <row r="23" spans="1:54" x14ac:dyDescent="0.25">
      <c r="C23">
        <f>+C22/3</f>
        <v>4666.666666666667</v>
      </c>
      <c r="D23">
        <f>+C23/2</f>
        <v>2333.3333333333335</v>
      </c>
      <c r="M23">
        <f>+M22/3</f>
        <v>4166.666666666667</v>
      </c>
      <c r="N23">
        <f>+M23/2</f>
        <v>2083.3333333333335</v>
      </c>
      <c r="W23">
        <f>+W22/3</f>
        <v>6000</v>
      </c>
      <c r="X23">
        <f>+W23/2</f>
        <v>3000</v>
      </c>
      <c r="AF23">
        <f>+AF22/3</f>
        <v>13066.666666666666</v>
      </c>
      <c r="AG23">
        <f>+AF23/2</f>
        <v>6533.333333333333</v>
      </c>
      <c r="AO23">
        <f>+AO22/3</f>
        <v>5333.333333333333</v>
      </c>
      <c r="AP23">
        <f>+AO23/2</f>
        <v>2666.6666666666665</v>
      </c>
      <c r="AY23">
        <f>+AY22/3</f>
        <v>3033.3333333333335</v>
      </c>
      <c r="AZ23">
        <f>+AY23/2</f>
        <v>1516.6666666666667</v>
      </c>
    </row>
    <row r="24" spans="1:54" x14ac:dyDescent="0.25">
      <c r="D24">
        <f>+D23^0.5</f>
        <v>48.304589153964798</v>
      </c>
      <c r="N24">
        <f>+N23^0.5</f>
        <v>45.643546458763844</v>
      </c>
      <c r="X24">
        <f>+X23^0.5</f>
        <v>54.772255750516614</v>
      </c>
      <c r="AG24">
        <f>+AG23^0.5</f>
        <v>80.829037686547608</v>
      </c>
      <c r="AP24">
        <f>+AP23^0.5</f>
        <v>51.639777949432222</v>
      </c>
      <c r="AZ24">
        <f>+AZ23^0.5</f>
        <v>38.944404818493076</v>
      </c>
    </row>
    <row r="26" spans="1:54" x14ac:dyDescent="0.25">
      <c r="A26" t="s">
        <v>68</v>
      </c>
      <c r="K26" t="s">
        <v>68</v>
      </c>
      <c r="U26" t="s">
        <v>68</v>
      </c>
      <c r="AD26" t="s">
        <v>68</v>
      </c>
      <c r="AM26" t="s">
        <v>68</v>
      </c>
      <c r="AW26" t="s">
        <v>68</v>
      </c>
    </row>
    <row r="27" spans="1:54" ht="15.75" thickBot="1" x14ac:dyDescent="0.3">
      <c r="A27" t="s">
        <v>69</v>
      </c>
      <c r="C27" s="146">
        <v>1.2</v>
      </c>
      <c r="D27" t="s">
        <v>70</v>
      </c>
      <c r="K27" t="s">
        <v>69</v>
      </c>
      <c r="M27" s="146">
        <v>1.2</v>
      </c>
      <c r="N27" t="s">
        <v>70</v>
      </c>
      <c r="U27" t="s">
        <v>69</v>
      </c>
      <c r="W27" s="146">
        <v>1.2</v>
      </c>
      <c r="X27" t="s">
        <v>70</v>
      </c>
      <c r="AD27" t="s">
        <v>69</v>
      </c>
      <c r="AF27" s="146">
        <v>1.2</v>
      </c>
      <c r="AG27" t="s">
        <v>70</v>
      </c>
      <c r="AM27" t="s">
        <v>69</v>
      </c>
      <c r="AO27" s="146">
        <v>1.2</v>
      </c>
      <c r="AP27" t="s">
        <v>70</v>
      </c>
      <c r="AW27" t="s">
        <v>69</v>
      </c>
      <c r="AY27" s="146">
        <v>1.2</v>
      </c>
      <c r="AZ27" t="s">
        <v>70</v>
      </c>
    </row>
    <row r="28" spans="1:54" ht="15.75" thickBot="1" x14ac:dyDescent="0.3">
      <c r="A28" t="s">
        <v>71</v>
      </c>
      <c r="C28" s="147">
        <f>ROUND(+C22*C27,-2)</f>
        <v>16800</v>
      </c>
      <c r="D28" t="s">
        <v>67</v>
      </c>
      <c r="K28" t="s">
        <v>71</v>
      </c>
      <c r="M28" s="147">
        <f>ROUND(+M22*M27,-2)</f>
        <v>15000</v>
      </c>
      <c r="N28" t="s">
        <v>67</v>
      </c>
      <c r="U28" t="s">
        <v>71</v>
      </c>
      <c r="W28" s="147">
        <f>ROUND(+W22*W27,-2)</f>
        <v>21600</v>
      </c>
      <c r="X28" t="s">
        <v>67</v>
      </c>
      <c r="AD28" t="s">
        <v>71</v>
      </c>
      <c r="AF28" s="147">
        <f>ROUND(+AF22*AF27,-2)</f>
        <v>47000</v>
      </c>
      <c r="AG28" t="s">
        <v>67</v>
      </c>
      <c r="AM28" t="s">
        <v>71</v>
      </c>
      <c r="AO28" s="147">
        <f>ROUND(+AO22*AO27,-2)</f>
        <v>19200</v>
      </c>
      <c r="AP28" t="s">
        <v>67</v>
      </c>
      <c r="AW28" t="s">
        <v>71</v>
      </c>
      <c r="AY28" s="147">
        <f>ROUND(+AY22*AY27,-2)</f>
        <v>10900</v>
      </c>
      <c r="AZ28" t="s">
        <v>67</v>
      </c>
    </row>
    <row r="29" spans="1:54" x14ac:dyDescent="0.25">
      <c r="B29" t="s">
        <v>72</v>
      </c>
      <c r="C29" s="148">
        <f>+C28/43560</f>
        <v>0.38567493112947659</v>
      </c>
      <c r="D29" t="s">
        <v>66</v>
      </c>
      <c r="L29" t="s">
        <v>72</v>
      </c>
      <c r="M29" s="148">
        <f>+M28/43560</f>
        <v>0.34435261707988979</v>
      </c>
      <c r="N29" t="s">
        <v>66</v>
      </c>
      <c r="V29" t="s">
        <v>72</v>
      </c>
      <c r="W29" s="148">
        <f>+W28/43560</f>
        <v>0.49586776859504134</v>
      </c>
      <c r="X29" t="s">
        <v>66</v>
      </c>
      <c r="AE29" t="s">
        <v>72</v>
      </c>
      <c r="AF29" s="148">
        <f>+AF28/43560</f>
        <v>1.078971533516988</v>
      </c>
      <c r="AG29" t="s">
        <v>66</v>
      </c>
      <c r="AN29" t="s">
        <v>72</v>
      </c>
      <c r="AO29" s="148">
        <f>+AO28/43560</f>
        <v>0.44077134986225897</v>
      </c>
      <c r="AP29" t="s">
        <v>66</v>
      </c>
      <c r="AX29" t="s">
        <v>72</v>
      </c>
      <c r="AY29" s="148">
        <f>+AY28/43560</f>
        <v>0.2502295684113866</v>
      </c>
      <c r="AZ29" t="s">
        <v>66</v>
      </c>
    </row>
    <row r="30" spans="1:54" x14ac:dyDescent="0.25">
      <c r="A30" t="s">
        <v>73</v>
      </c>
      <c r="C30" s="149">
        <f>+C28*0.1</f>
        <v>1680</v>
      </c>
      <c r="D30" t="s">
        <v>67</v>
      </c>
      <c r="K30" t="s">
        <v>73</v>
      </c>
      <c r="M30" s="149">
        <f>+M28*0.1</f>
        <v>1500</v>
      </c>
      <c r="N30" t="s">
        <v>67</v>
      </c>
      <c r="U30" t="s">
        <v>73</v>
      </c>
      <c r="W30" s="149">
        <f>+W28*0.1</f>
        <v>2160</v>
      </c>
      <c r="X30" t="s">
        <v>67</v>
      </c>
      <c r="AD30" t="s">
        <v>73</v>
      </c>
      <c r="AF30" s="149">
        <f>+AF28*0.1</f>
        <v>4700</v>
      </c>
      <c r="AG30" t="s">
        <v>67</v>
      </c>
      <c r="AM30" t="s">
        <v>73</v>
      </c>
      <c r="AO30" s="149">
        <f>+AO28*0.1</f>
        <v>1920</v>
      </c>
      <c r="AP30" t="s">
        <v>67</v>
      </c>
      <c r="AW30" t="s">
        <v>73</v>
      </c>
      <c r="AY30" s="149">
        <f>+AY28*0.1</f>
        <v>1090</v>
      </c>
      <c r="AZ30" t="s">
        <v>67</v>
      </c>
    </row>
    <row r="31" spans="1:54" x14ac:dyDescent="0.25">
      <c r="M31">
        <f>+M28/3</f>
        <v>5000</v>
      </c>
      <c r="W31">
        <f>+W28/3</f>
        <v>7200</v>
      </c>
      <c r="AF31">
        <f>+AF28/3</f>
        <v>15666.666666666666</v>
      </c>
      <c r="AO31">
        <f>+AO28/3</f>
        <v>6400</v>
      </c>
      <c r="AY31">
        <f>+AY28/3</f>
        <v>3633.3333333333335</v>
      </c>
    </row>
    <row r="32" spans="1:54" x14ac:dyDescent="0.25">
      <c r="M32">
        <f>+M31/2</f>
        <v>2500</v>
      </c>
      <c r="N32">
        <f>+M32^0.5</f>
        <v>50</v>
      </c>
      <c r="W32">
        <f>+W31/2</f>
        <v>3600</v>
      </c>
      <c r="X32">
        <f>+W32^0.5</f>
        <v>60</v>
      </c>
      <c r="AF32">
        <f>+AF31/2</f>
        <v>7833.333333333333</v>
      </c>
      <c r="AG32">
        <f>+AF32^0.5</f>
        <v>88.506120315678359</v>
      </c>
      <c r="AO32">
        <f>+AO31/2</f>
        <v>3200</v>
      </c>
      <c r="AP32">
        <f>+AO32^0.5</f>
        <v>56.568542494923804</v>
      </c>
      <c r="AY32">
        <f>+AY31/2</f>
        <v>1816.6666666666667</v>
      </c>
      <c r="AZ32">
        <f>+AY32^0.5</f>
        <v>42.622372841814737</v>
      </c>
    </row>
    <row r="33" spans="1:56" ht="15.75" thickBot="1" x14ac:dyDescent="0.3">
      <c r="A33" s="19"/>
      <c r="B33" s="19"/>
      <c r="C33" s="19"/>
      <c r="D33" s="19"/>
      <c r="E33" s="19"/>
      <c r="F33" s="19"/>
      <c r="G33" s="19"/>
      <c r="H33" s="19"/>
      <c r="K33" s="19"/>
      <c r="L33" s="19"/>
      <c r="M33" s="19"/>
      <c r="N33" s="19"/>
      <c r="O33" s="19"/>
      <c r="P33" s="19"/>
      <c r="Q33" s="19"/>
      <c r="R33" s="19"/>
      <c r="U33" s="19"/>
      <c r="V33" s="19"/>
      <c r="W33" s="19"/>
      <c r="X33" s="19"/>
      <c r="Y33" s="19"/>
      <c r="Z33" s="19"/>
      <c r="AA33" s="19"/>
      <c r="AB33" s="19"/>
      <c r="AD33" s="19"/>
      <c r="AE33" s="19"/>
      <c r="AF33" s="19"/>
      <c r="AG33" s="19"/>
      <c r="AH33" s="19"/>
      <c r="AI33" s="19"/>
      <c r="AM33" s="19"/>
      <c r="AN33" s="19"/>
      <c r="AO33" s="19"/>
      <c r="AP33" s="19"/>
      <c r="AQ33" s="19"/>
      <c r="AR33" s="19"/>
      <c r="AW33" s="19"/>
      <c r="AX33" s="19"/>
      <c r="AY33" s="19"/>
      <c r="AZ33" s="19"/>
      <c r="BA33" s="19"/>
      <c r="BB33" s="19"/>
    </row>
    <row r="34" spans="1:56" x14ac:dyDescent="0.25">
      <c r="A34" s="337" t="s">
        <v>74</v>
      </c>
      <c r="B34" s="332" t="s">
        <v>75</v>
      </c>
      <c r="C34" s="332" t="s">
        <v>75</v>
      </c>
      <c r="D34" s="150" t="s">
        <v>76</v>
      </c>
      <c r="E34" s="150" t="s">
        <v>77</v>
      </c>
      <c r="F34" s="151" t="s">
        <v>72</v>
      </c>
      <c r="G34" s="152"/>
      <c r="H34" s="152"/>
      <c r="K34" s="337" t="s">
        <v>74</v>
      </c>
      <c r="L34" s="332" t="s">
        <v>75</v>
      </c>
      <c r="M34" s="332" t="s">
        <v>75</v>
      </c>
      <c r="N34" s="150" t="s">
        <v>76</v>
      </c>
      <c r="O34" s="150" t="s">
        <v>77</v>
      </c>
      <c r="P34" s="151" t="s">
        <v>72</v>
      </c>
      <c r="Q34" s="152"/>
      <c r="R34" s="152"/>
      <c r="U34" s="337" t="s">
        <v>74</v>
      </c>
      <c r="V34" s="332" t="s">
        <v>75</v>
      </c>
      <c r="W34" s="332" t="s">
        <v>75</v>
      </c>
      <c r="X34" s="150" t="s">
        <v>76</v>
      </c>
      <c r="Y34" s="150" t="s">
        <v>77</v>
      </c>
      <c r="Z34" s="151" t="s">
        <v>72</v>
      </c>
      <c r="AA34" s="152"/>
      <c r="AB34" s="152"/>
      <c r="AD34" s="337" t="s">
        <v>74</v>
      </c>
      <c r="AE34" s="332" t="s">
        <v>75</v>
      </c>
      <c r="AF34" s="332" t="s">
        <v>75</v>
      </c>
      <c r="AG34" s="150" t="s">
        <v>76</v>
      </c>
      <c r="AH34" s="150" t="s">
        <v>77</v>
      </c>
      <c r="AI34" s="151" t="s">
        <v>72</v>
      </c>
      <c r="AM34" s="337" t="s">
        <v>74</v>
      </c>
      <c r="AN34" s="332" t="s">
        <v>75</v>
      </c>
      <c r="AO34" s="332" t="s">
        <v>75</v>
      </c>
      <c r="AP34" s="150" t="s">
        <v>76</v>
      </c>
      <c r="AQ34" s="150" t="s">
        <v>77</v>
      </c>
      <c r="AR34" s="151" t="s">
        <v>72</v>
      </c>
      <c r="AW34" s="337" t="s">
        <v>74</v>
      </c>
      <c r="AX34" s="332" t="s">
        <v>75</v>
      </c>
      <c r="AY34" s="332" t="s">
        <v>75</v>
      </c>
      <c r="AZ34" s="150" t="s">
        <v>76</v>
      </c>
      <c r="BA34" s="150" t="s">
        <v>77</v>
      </c>
      <c r="BB34" s="151" t="s">
        <v>72</v>
      </c>
    </row>
    <row r="35" spans="1:56" x14ac:dyDescent="0.25">
      <c r="A35" s="338"/>
      <c r="B35" s="333"/>
      <c r="C35" s="333"/>
      <c r="D35" s="153"/>
      <c r="E35" s="153"/>
      <c r="F35" s="154"/>
      <c r="G35" s="19"/>
      <c r="H35" s="19"/>
      <c r="K35" s="338"/>
      <c r="L35" s="333"/>
      <c r="M35" s="333"/>
      <c r="N35" s="153"/>
      <c r="O35" s="153"/>
      <c r="P35" s="154"/>
      <c r="Q35" s="19"/>
      <c r="R35" s="19"/>
      <c r="U35" s="338"/>
      <c r="V35" s="333"/>
      <c r="W35" s="333"/>
      <c r="X35" s="153"/>
      <c r="Y35" s="153"/>
      <c r="Z35" s="154"/>
      <c r="AA35" s="19"/>
      <c r="AB35" s="19"/>
      <c r="AD35" s="338"/>
      <c r="AE35" s="333"/>
      <c r="AF35" s="333"/>
      <c r="AG35" s="153"/>
      <c r="AH35" s="153"/>
      <c r="AI35" s="154"/>
      <c r="AM35" s="338"/>
      <c r="AN35" s="333"/>
      <c r="AO35" s="333"/>
      <c r="AP35" s="153"/>
      <c r="AQ35" s="153"/>
      <c r="AR35" s="154"/>
      <c r="AW35" s="338"/>
      <c r="AX35" s="333"/>
      <c r="AY35" s="333"/>
      <c r="AZ35" s="153"/>
      <c r="BA35" s="153"/>
      <c r="BB35" s="154"/>
    </row>
    <row r="36" spans="1:56" ht="15.75" thickBot="1" x14ac:dyDescent="0.3">
      <c r="A36" s="155"/>
      <c r="B36" s="156" t="s">
        <v>78</v>
      </c>
      <c r="C36" s="156" t="s">
        <v>79</v>
      </c>
      <c r="D36" s="157" t="s">
        <v>80</v>
      </c>
      <c r="E36" s="157" t="s">
        <v>81</v>
      </c>
      <c r="F36" s="158" t="s">
        <v>81</v>
      </c>
      <c r="G36" s="19"/>
      <c r="H36" s="19"/>
      <c r="K36" s="155"/>
      <c r="L36" s="156" t="s">
        <v>78</v>
      </c>
      <c r="M36" s="156" t="s">
        <v>79</v>
      </c>
      <c r="N36" s="157" t="s">
        <v>80</v>
      </c>
      <c r="O36" s="157" t="s">
        <v>81</v>
      </c>
      <c r="P36" s="158" t="s">
        <v>81</v>
      </c>
      <c r="Q36" s="19"/>
      <c r="R36" s="19"/>
      <c r="U36" s="155"/>
      <c r="V36" s="156" t="s">
        <v>78</v>
      </c>
      <c r="W36" s="156" t="s">
        <v>79</v>
      </c>
      <c r="X36" s="157" t="s">
        <v>80</v>
      </c>
      <c r="Y36" s="157" t="s">
        <v>81</v>
      </c>
      <c r="Z36" s="158" t="s">
        <v>81</v>
      </c>
      <c r="AA36" s="19"/>
      <c r="AB36" s="19"/>
      <c r="AD36" s="155"/>
      <c r="AE36" s="156" t="s">
        <v>78</v>
      </c>
      <c r="AF36" s="156" t="s">
        <v>79</v>
      </c>
      <c r="AG36" s="157" t="s">
        <v>80</v>
      </c>
      <c r="AH36" s="157" t="s">
        <v>81</v>
      </c>
      <c r="AI36" s="158" t="s">
        <v>81</v>
      </c>
      <c r="AM36" s="155"/>
      <c r="AN36" s="156" t="s">
        <v>78</v>
      </c>
      <c r="AO36" s="156" t="s">
        <v>79</v>
      </c>
      <c r="AP36" s="157" t="s">
        <v>80</v>
      </c>
      <c r="AQ36" s="157" t="s">
        <v>81</v>
      </c>
      <c r="AR36" s="158" t="s">
        <v>81</v>
      </c>
      <c r="AW36" s="155"/>
      <c r="AX36" s="156" t="s">
        <v>78</v>
      </c>
      <c r="AY36" s="156" t="s">
        <v>79</v>
      </c>
      <c r="AZ36" s="157" t="s">
        <v>80</v>
      </c>
      <c r="BA36" s="157" t="s">
        <v>81</v>
      </c>
      <c r="BB36" s="158" t="s">
        <v>81</v>
      </c>
    </row>
    <row r="37" spans="1:56" ht="15.75" thickBot="1" x14ac:dyDescent="0.3">
      <c r="A37" s="334"/>
      <c r="B37" s="335"/>
      <c r="C37" s="335"/>
      <c r="D37" s="335"/>
      <c r="E37" s="335"/>
      <c r="F37" s="336"/>
      <c r="G37" s="159"/>
      <c r="H37" s="160"/>
      <c r="K37" s="334"/>
      <c r="L37" s="335"/>
      <c r="M37" s="335"/>
      <c r="N37" s="335"/>
      <c r="O37" s="335"/>
      <c r="P37" s="336"/>
      <c r="Q37" s="159"/>
      <c r="R37" s="160"/>
      <c r="U37" s="334"/>
      <c r="V37" s="335"/>
      <c r="W37" s="335"/>
      <c r="X37" s="335"/>
      <c r="Y37" s="335"/>
      <c r="Z37" s="336"/>
      <c r="AA37" s="159"/>
      <c r="AB37" s="160"/>
      <c r="AD37" s="334"/>
      <c r="AE37" s="335"/>
      <c r="AF37" s="335"/>
      <c r="AG37" s="335"/>
      <c r="AH37" s="335"/>
      <c r="AI37" s="336"/>
      <c r="AM37" s="334"/>
      <c r="AN37" s="335"/>
      <c r="AO37" s="335"/>
      <c r="AP37" s="335"/>
      <c r="AQ37" s="335"/>
      <c r="AR37" s="336"/>
      <c r="AW37" s="334"/>
      <c r="AX37" s="335"/>
      <c r="AY37" s="335"/>
      <c r="AZ37" s="335"/>
      <c r="BA37" s="335"/>
      <c r="BB37" s="336"/>
    </row>
    <row r="38" spans="1:56" x14ac:dyDescent="0.25">
      <c r="A38" s="161">
        <v>554</v>
      </c>
      <c r="B38" s="162">
        <v>5122</v>
      </c>
      <c r="C38" s="150">
        <f>+B38/66/660</f>
        <v>0.11758494031221305</v>
      </c>
      <c r="D38" s="163">
        <v>0</v>
      </c>
      <c r="E38" s="162">
        <v>0</v>
      </c>
      <c r="F38" s="164">
        <f t="shared" ref="F38:F43" si="0">E38+F37</f>
        <v>0</v>
      </c>
      <c r="G38" s="159"/>
      <c r="H38" s="160"/>
      <c r="K38" s="161">
        <v>555</v>
      </c>
      <c r="L38" s="162">
        <v>4400</v>
      </c>
      <c r="M38" s="150">
        <f>+L38/66/660</f>
        <v>0.10101010101010102</v>
      </c>
      <c r="N38" s="163">
        <v>0</v>
      </c>
      <c r="O38" s="162">
        <v>0</v>
      </c>
      <c r="P38" s="164">
        <f t="shared" ref="P38:P43" si="1">O38+P37</f>
        <v>0</v>
      </c>
      <c r="Q38" s="159"/>
      <c r="R38" s="160"/>
      <c r="U38" s="161">
        <v>573</v>
      </c>
      <c r="V38" s="162">
        <v>6782</v>
      </c>
      <c r="W38" s="150">
        <f>+V38/66/660</f>
        <v>0.15569329660238751</v>
      </c>
      <c r="X38" s="163">
        <v>0</v>
      </c>
      <c r="Y38" s="162">
        <v>0</v>
      </c>
      <c r="Z38" s="164">
        <f t="shared" ref="Z38:Z43" si="2">Y38+Z37</f>
        <v>0</v>
      </c>
      <c r="AA38" s="159"/>
      <c r="AB38" s="160"/>
      <c r="AD38" s="161">
        <v>726</v>
      </c>
      <c r="AE38" s="162">
        <v>17127</v>
      </c>
      <c r="AF38" s="150">
        <f>+AE38/66/660</f>
        <v>0.39318181818181819</v>
      </c>
      <c r="AG38" s="163">
        <v>0</v>
      </c>
      <c r="AH38" s="162">
        <v>0</v>
      </c>
      <c r="AI38" s="164">
        <f t="shared" ref="AI38:AI43" si="3">AH38+AI37</f>
        <v>0</v>
      </c>
      <c r="AM38" s="161">
        <v>660</v>
      </c>
      <c r="AN38" s="162">
        <v>1132</v>
      </c>
      <c r="AO38" s="150">
        <f>+AN38/66/660</f>
        <v>2.5987144168962351E-2</v>
      </c>
      <c r="AP38" s="163">
        <v>0</v>
      </c>
      <c r="AQ38" s="162">
        <v>0</v>
      </c>
      <c r="AR38" s="164">
        <f t="shared" ref="AR38:AR41" si="4">AQ38+AR37</f>
        <v>0</v>
      </c>
      <c r="AW38" s="161">
        <v>581</v>
      </c>
      <c r="AX38" s="162">
        <v>4441</v>
      </c>
      <c r="AY38" s="150">
        <f>+AX38/66/660</f>
        <v>0.10195133149678604</v>
      </c>
      <c r="AZ38" s="163">
        <v>0</v>
      </c>
      <c r="BA38" s="162">
        <v>0</v>
      </c>
      <c r="BB38" s="164">
        <f t="shared" ref="BB38:BB41" si="5">BA38+BB37</f>
        <v>0</v>
      </c>
    </row>
    <row r="39" spans="1:56" ht="15.75" thickBot="1" x14ac:dyDescent="0.3">
      <c r="A39" s="165">
        <f>+A38+1</f>
        <v>555</v>
      </c>
      <c r="B39" s="166">
        <v>5700</v>
      </c>
      <c r="C39" s="153">
        <f t="shared" ref="C39:C43" si="6">+B39/66/660</f>
        <v>0.13085399449035812</v>
      </c>
      <c r="D39" s="167">
        <f t="shared" ref="D39:D43" si="7">(B39+B38)/2</f>
        <v>5411</v>
      </c>
      <c r="E39" s="167">
        <f t="shared" ref="E39:E43" si="8">(A39-A38)*D39</f>
        <v>5411</v>
      </c>
      <c r="F39" s="168">
        <f t="shared" si="0"/>
        <v>5411</v>
      </c>
      <c r="G39" s="159"/>
      <c r="H39" s="160"/>
      <c r="K39" s="165">
        <f>+K38+1</f>
        <v>556</v>
      </c>
      <c r="L39" s="166">
        <v>5000</v>
      </c>
      <c r="M39" s="153">
        <f t="shared" ref="M39:M43" si="9">+L39/66/660</f>
        <v>0.11478420569329659</v>
      </c>
      <c r="N39" s="167">
        <f t="shared" ref="N39:N43" si="10">(L39+L38)/2</f>
        <v>4700</v>
      </c>
      <c r="O39" s="167">
        <f t="shared" ref="O39:O43" si="11">(K39-K38)*N39</f>
        <v>4700</v>
      </c>
      <c r="P39" s="168">
        <f t="shared" si="1"/>
        <v>4700</v>
      </c>
      <c r="Q39" s="159"/>
      <c r="R39" s="160"/>
      <c r="U39" s="165">
        <f>+U38+1</f>
        <v>574</v>
      </c>
      <c r="V39" s="166">
        <v>7980</v>
      </c>
      <c r="W39" s="153">
        <f t="shared" ref="W39:W43" si="12">+V39/66/660</f>
        <v>0.18319559228650137</v>
      </c>
      <c r="X39" s="167">
        <f t="shared" ref="X39:X43" si="13">(V39+V38)/2</f>
        <v>7381</v>
      </c>
      <c r="Y39" s="167">
        <f t="shared" ref="Y39:Y43" si="14">(U39-U38)*X39</f>
        <v>7381</v>
      </c>
      <c r="Z39" s="168">
        <f t="shared" si="2"/>
        <v>7381</v>
      </c>
      <c r="AA39" s="159"/>
      <c r="AB39" s="160"/>
      <c r="AD39" s="165">
        <f>+AD38+1</f>
        <v>727</v>
      </c>
      <c r="AE39" s="166">
        <v>18818</v>
      </c>
      <c r="AF39" s="153">
        <f t="shared" ref="AF39:AF44" si="15">+AE39/66/660</f>
        <v>0.43200183654729107</v>
      </c>
      <c r="AG39" s="167">
        <f t="shared" ref="AG39:AG43" si="16">(AE39+AE38)/2</f>
        <v>17972.5</v>
      </c>
      <c r="AH39" s="167">
        <f t="shared" ref="AH39:AH43" si="17">(AD39-AD38)*AG39</f>
        <v>17972.5</v>
      </c>
      <c r="AI39" s="168">
        <f t="shared" si="3"/>
        <v>17972.5</v>
      </c>
      <c r="AM39" s="165">
        <v>665</v>
      </c>
      <c r="AN39" s="166">
        <v>1688</v>
      </c>
      <c r="AO39" s="153">
        <f t="shared" ref="AO39:AO41" si="18">+AN39/66/660</f>
        <v>3.8751147842056931E-2</v>
      </c>
      <c r="AP39" s="167">
        <f t="shared" ref="AP39:AP41" si="19">(AN39+AN38)/2</f>
        <v>1410</v>
      </c>
      <c r="AQ39" s="167">
        <f t="shared" ref="AQ39:AQ41" si="20">(AM39-AM38)*AP39</f>
        <v>7050</v>
      </c>
      <c r="AR39" s="168">
        <f t="shared" si="4"/>
        <v>7050</v>
      </c>
      <c r="AW39" s="165">
        <f>+AW38+1</f>
        <v>582</v>
      </c>
      <c r="AX39" s="166">
        <v>5311</v>
      </c>
      <c r="AY39" s="153">
        <f t="shared" ref="AY39:AY43" si="21">+AX39/66/660</f>
        <v>0.12192378328741965</v>
      </c>
      <c r="AZ39" s="167">
        <f t="shared" ref="AZ39:AZ41" si="22">(AX39+AX38)/2</f>
        <v>4876</v>
      </c>
      <c r="BA39" s="167">
        <f t="shared" ref="BA39:BA41" si="23">(AW39-AW38)*AZ39</f>
        <v>4876</v>
      </c>
      <c r="BB39" s="168">
        <f t="shared" si="5"/>
        <v>4876</v>
      </c>
    </row>
    <row r="40" spans="1:56" x14ac:dyDescent="0.25">
      <c r="A40" s="165">
        <f t="shared" ref="A40:A43" si="24">+A39+1</f>
        <v>556</v>
      </c>
      <c r="B40" s="166">
        <v>6300</v>
      </c>
      <c r="C40" s="153">
        <f t="shared" si="6"/>
        <v>0.14462809917355371</v>
      </c>
      <c r="D40" s="167">
        <f t="shared" si="7"/>
        <v>6000</v>
      </c>
      <c r="E40" s="167">
        <f t="shared" si="8"/>
        <v>6000</v>
      </c>
      <c r="F40" s="168">
        <f t="shared" si="0"/>
        <v>11411</v>
      </c>
      <c r="G40" s="169" t="s">
        <v>82</v>
      </c>
      <c r="H40" s="170">
        <f>+C28</f>
        <v>16800</v>
      </c>
      <c r="K40" s="165">
        <f t="shared" ref="K40:K43" si="25">+K39+1</f>
        <v>557</v>
      </c>
      <c r="L40" s="166">
        <v>5600</v>
      </c>
      <c r="M40" s="153">
        <f t="shared" si="9"/>
        <v>0.12855831037649218</v>
      </c>
      <c r="N40" s="167">
        <f t="shared" si="10"/>
        <v>5300</v>
      </c>
      <c r="O40" s="167">
        <f t="shared" si="11"/>
        <v>5300</v>
      </c>
      <c r="P40" s="168">
        <f t="shared" si="1"/>
        <v>10000</v>
      </c>
      <c r="Q40" s="169" t="s">
        <v>82</v>
      </c>
      <c r="R40" s="170">
        <f>+M28</f>
        <v>15000</v>
      </c>
      <c r="U40" s="165">
        <f t="shared" ref="U40:U43" si="26">+U39+1</f>
        <v>575</v>
      </c>
      <c r="V40" s="166">
        <v>9236</v>
      </c>
      <c r="W40" s="153">
        <f t="shared" si="12"/>
        <v>0.21202938475665747</v>
      </c>
      <c r="X40" s="167">
        <f t="shared" si="13"/>
        <v>8608</v>
      </c>
      <c r="Y40" s="167">
        <f t="shared" si="14"/>
        <v>8608</v>
      </c>
      <c r="Z40" s="168">
        <f t="shared" si="2"/>
        <v>15989</v>
      </c>
      <c r="AA40" s="169" t="s">
        <v>82</v>
      </c>
      <c r="AB40" s="170">
        <f>+W28</f>
        <v>21600</v>
      </c>
      <c r="AD40" s="165">
        <f t="shared" ref="AD40:AD44" si="27">+AD39+1</f>
        <v>728</v>
      </c>
      <c r="AE40" s="166">
        <v>20565</v>
      </c>
      <c r="AF40" s="153">
        <f t="shared" si="15"/>
        <v>0.47210743801652888</v>
      </c>
      <c r="AG40" s="167">
        <f t="shared" si="16"/>
        <v>19691.5</v>
      </c>
      <c r="AH40" s="167">
        <f t="shared" si="17"/>
        <v>19691.5</v>
      </c>
      <c r="AI40" s="168">
        <f t="shared" si="3"/>
        <v>37664</v>
      </c>
      <c r="AJ40" s="169" t="s">
        <v>82</v>
      </c>
      <c r="AK40" s="170">
        <f>+AF28</f>
        <v>47000</v>
      </c>
      <c r="AM40" s="165">
        <v>670</v>
      </c>
      <c r="AN40" s="166">
        <v>4256</v>
      </c>
      <c r="AO40" s="153">
        <f t="shared" si="18"/>
        <v>9.7704315886134069E-2</v>
      </c>
      <c r="AP40" s="167">
        <f t="shared" si="19"/>
        <v>2972</v>
      </c>
      <c r="AQ40" s="167">
        <f t="shared" si="20"/>
        <v>14860</v>
      </c>
      <c r="AR40" s="168">
        <f t="shared" si="4"/>
        <v>21910</v>
      </c>
      <c r="AS40" s="169" t="s">
        <v>82</v>
      </c>
      <c r="AT40" s="170">
        <f>+AO28</f>
        <v>19200</v>
      </c>
      <c r="AW40" s="165">
        <f>+AW39+1</f>
        <v>583</v>
      </c>
      <c r="AX40" s="166">
        <v>6254</v>
      </c>
      <c r="AY40" s="153">
        <f t="shared" si="21"/>
        <v>0.14357208448117537</v>
      </c>
      <c r="AZ40" s="167">
        <f t="shared" si="22"/>
        <v>5782.5</v>
      </c>
      <c r="BA40" s="167">
        <f t="shared" si="23"/>
        <v>5782.5</v>
      </c>
      <c r="BB40" s="168">
        <f t="shared" si="5"/>
        <v>10658.5</v>
      </c>
      <c r="BC40" s="169" t="s">
        <v>82</v>
      </c>
      <c r="BD40" s="170">
        <f>+AY28</f>
        <v>10900</v>
      </c>
    </row>
    <row r="41" spans="1:56" x14ac:dyDescent="0.25">
      <c r="A41" s="171">
        <f t="shared" si="24"/>
        <v>557</v>
      </c>
      <c r="B41" s="166">
        <v>7000</v>
      </c>
      <c r="C41" s="153">
        <f t="shared" si="6"/>
        <v>0.16069788797061524</v>
      </c>
      <c r="D41" s="167">
        <f t="shared" si="7"/>
        <v>6650</v>
      </c>
      <c r="E41" s="167">
        <f t="shared" si="8"/>
        <v>6650</v>
      </c>
      <c r="F41" s="168">
        <f t="shared" si="0"/>
        <v>18061</v>
      </c>
      <c r="G41" s="172">
        <f>+(A43-A42)/(F43-F42)*(H40-F42)+A42</f>
        <v>556.92314465408811</v>
      </c>
      <c r="H41" s="173"/>
      <c r="K41" s="171">
        <f t="shared" si="25"/>
        <v>558</v>
      </c>
      <c r="L41" s="166">
        <v>6220</v>
      </c>
      <c r="M41" s="153">
        <f t="shared" si="9"/>
        <v>0.14279155188246098</v>
      </c>
      <c r="N41" s="167">
        <f t="shared" si="10"/>
        <v>5910</v>
      </c>
      <c r="O41" s="167">
        <f t="shared" si="11"/>
        <v>5910</v>
      </c>
      <c r="P41" s="168">
        <f t="shared" si="1"/>
        <v>15910</v>
      </c>
      <c r="Q41" s="172">
        <f>+(K43-K42)/(P43-P42)*(R40-P42)+K42</f>
        <v>557.96616280682292</v>
      </c>
      <c r="R41" s="173"/>
      <c r="U41" s="171">
        <f t="shared" si="26"/>
        <v>576</v>
      </c>
      <c r="V41" s="166">
        <v>10547</v>
      </c>
      <c r="W41" s="153">
        <f t="shared" si="12"/>
        <v>0.24212580348943988</v>
      </c>
      <c r="X41" s="167">
        <f t="shared" si="13"/>
        <v>9891.5</v>
      </c>
      <c r="Y41" s="167">
        <f t="shared" si="14"/>
        <v>9891.5</v>
      </c>
      <c r="Z41" s="168">
        <f t="shared" si="2"/>
        <v>25880.5</v>
      </c>
      <c r="AA41" s="172">
        <f>+(U43-U42)/(Z43-Z42)*(AB40-Z42)+U42</f>
        <v>575.77160958226091</v>
      </c>
      <c r="AB41" s="173"/>
      <c r="AD41" s="171">
        <f t="shared" si="27"/>
        <v>729</v>
      </c>
      <c r="AE41" s="166">
        <v>22368</v>
      </c>
      <c r="AF41" s="153">
        <f t="shared" si="15"/>
        <v>0.51349862258953172</v>
      </c>
      <c r="AG41" s="167">
        <f t="shared" si="16"/>
        <v>21466.5</v>
      </c>
      <c r="AH41" s="167">
        <f t="shared" si="17"/>
        <v>21466.5</v>
      </c>
      <c r="AI41" s="168">
        <f t="shared" si="3"/>
        <v>59130.5</v>
      </c>
      <c r="AJ41" s="172">
        <f>+(AD43-AD42)/(AI43-AI42)*(AK40-AI42)+AD42</f>
        <v>728.59338957816374</v>
      </c>
      <c r="AK41" s="173"/>
      <c r="AM41" s="171">
        <v>675</v>
      </c>
      <c r="AN41" s="166">
        <v>7430</v>
      </c>
      <c r="AO41" s="153">
        <f t="shared" si="18"/>
        <v>0.17056932966023874</v>
      </c>
      <c r="AP41" s="167">
        <f t="shared" si="19"/>
        <v>5843</v>
      </c>
      <c r="AQ41" s="167">
        <f t="shared" si="20"/>
        <v>29215</v>
      </c>
      <c r="AR41" s="168">
        <f t="shared" si="4"/>
        <v>51125</v>
      </c>
      <c r="AS41" s="172">
        <f>+(AM40-AM39)/(AR40-AR39)*(AT40-AR39)+AM39</f>
        <v>669.08815612382239</v>
      </c>
      <c r="AT41" s="173"/>
      <c r="AW41" s="165">
        <f>+AW40+1</f>
        <v>584</v>
      </c>
      <c r="AX41" s="166">
        <v>7271</v>
      </c>
      <c r="AY41" s="153">
        <f t="shared" si="21"/>
        <v>0.16691919191919194</v>
      </c>
      <c r="AZ41" s="167">
        <f t="shared" si="22"/>
        <v>6762.5</v>
      </c>
      <c r="BA41" s="167">
        <f t="shared" si="23"/>
        <v>6762.5</v>
      </c>
      <c r="BB41" s="168">
        <f t="shared" si="5"/>
        <v>17421</v>
      </c>
      <c r="BC41" s="172">
        <f>+(AW41-AW40)/(BB41-BB40)*(BD40-BB40)+AW40</f>
        <v>583.03571164510163</v>
      </c>
      <c r="BD41" s="173"/>
    </row>
    <row r="42" spans="1:56" ht="15.75" x14ac:dyDescent="0.3">
      <c r="A42" s="171">
        <f t="shared" si="24"/>
        <v>558</v>
      </c>
      <c r="B42" s="153">
        <v>7600</v>
      </c>
      <c r="C42" s="153">
        <f t="shared" si="6"/>
        <v>0.17447199265381083</v>
      </c>
      <c r="D42" s="167">
        <f t="shared" si="7"/>
        <v>7300</v>
      </c>
      <c r="E42" s="167">
        <f t="shared" si="8"/>
        <v>7300</v>
      </c>
      <c r="F42" s="168">
        <f t="shared" si="0"/>
        <v>25361</v>
      </c>
      <c r="G42" s="165" t="s">
        <v>83</v>
      </c>
      <c r="H42" s="174">
        <f>+H40/2</f>
        <v>8400</v>
      </c>
      <c r="K42" s="171">
        <f t="shared" si="25"/>
        <v>559</v>
      </c>
      <c r="L42" s="153">
        <v>6870</v>
      </c>
      <c r="M42" s="153">
        <f t="shared" si="9"/>
        <v>0.15771349862258954</v>
      </c>
      <c r="N42" s="167">
        <f t="shared" si="10"/>
        <v>6545</v>
      </c>
      <c r="O42" s="167">
        <f t="shared" si="11"/>
        <v>6545</v>
      </c>
      <c r="P42" s="168">
        <f t="shared" si="1"/>
        <v>22455</v>
      </c>
      <c r="Q42" s="165" t="s">
        <v>83</v>
      </c>
      <c r="R42" s="174">
        <f>+R40/2</f>
        <v>7500</v>
      </c>
      <c r="U42" s="171">
        <f t="shared" si="26"/>
        <v>577</v>
      </c>
      <c r="V42" s="166">
        <v>11915</v>
      </c>
      <c r="W42" s="153">
        <f t="shared" si="12"/>
        <v>0.2735307621671258</v>
      </c>
      <c r="X42" s="167">
        <f t="shared" si="13"/>
        <v>11231</v>
      </c>
      <c r="Y42" s="167">
        <f t="shared" si="14"/>
        <v>11231</v>
      </c>
      <c r="Z42" s="168">
        <f t="shared" si="2"/>
        <v>37111.5</v>
      </c>
      <c r="AA42" s="165" t="s">
        <v>83</v>
      </c>
      <c r="AB42" s="174">
        <f>+AB40/2</f>
        <v>10800</v>
      </c>
      <c r="AD42" s="171">
        <f t="shared" si="27"/>
        <v>730</v>
      </c>
      <c r="AE42" s="166">
        <v>24229</v>
      </c>
      <c r="AF42" s="153">
        <f t="shared" si="15"/>
        <v>0.55622130394857672</v>
      </c>
      <c r="AG42" s="167">
        <f t="shared" si="16"/>
        <v>23298.5</v>
      </c>
      <c r="AH42" s="167">
        <f t="shared" si="17"/>
        <v>23298.5</v>
      </c>
      <c r="AI42" s="168">
        <f t="shared" si="3"/>
        <v>82429</v>
      </c>
      <c r="AJ42" s="165" t="s">
        <v>83</v>
      </c>
      <c r="AK42" s="174">
        <f>+AK40/2</f>
        <v>23500</v>
      </c>
      <c r="AM42" s="171"/>
      <c r="AN42" s="166"/>
      <c r="AO42" s="153"/>
      <c r="AP42" s="167"/>
      <c r="AQ42" s="167"/>
      <c r="AR42" s="168"/>
      <c r="AS42" s="165" t="s">
        <v>83</v>
      </c>
      <c r="AT42" s="174">
        <f>+AT40/2</f>
        <v>9600</v>
      </c>
      <c r="AW42" s="165">
        <f>+AW41+1</f>
        <v>585</v>
      </c>
      <c r="AX42" s="166">
        <v>8362</v>
      </c>
      <c r="AY42" s="153">
        <f t="shared" si="21"/>
        <v>0.19196510560146923</v>
      </c>
      <c r="AZ42" s="167">
        <f t="shared" ref="AZ42:AZ43" si="28">(AX42+AX41)/2</f>
        <v>7816.5</v>
      </c>
      <c r="BA42" s="167">
        <f t="shared" ref="BA42:BA43" si="29">(AW42-AW41)*AZ42</f>
        <v>7816.5</v>
      </c>
      <c r="BB42" s="168">
        <f t="shared" ref="BB42:BB43" si="30">BA42+BB41</f>
        <v>25237.5</v>
      </c>
      <c r="BC42" s="165" t="s">
        <v>83</v>
      </c>
      <c r="BD42" s="174">
        <f>+BD40/2</f>
        <v>5450</v>
      </c>
    </row>
    <row r="43" spans="1:56" ht="15.75" thickBot="1" x14ac:dyDescent="0.3">
      <c r="A43" s="171">
        <f t="shared" si="24"/>
        <v>559</v>
      </c>
      <c r="B43" s="167">
        <v>8300</v>
      </c>
      <c r="C43" s="153">
        <f t="shared" si="6"/>
        <v>0.19054178145087236</v>
      </c>
      <c r="D43" s="167">
        <f t="shared" si="7"/>
        <v>7950</v>
      </c>
      <c r="E43" s="167">
        <f t="shared" si="8"/>
        <v>7950</v>
      </c>
      <c r="F43" s="168">
        <f t="shared" si="0"/>
        <v>33311</v>
      </c>
      <c r="G43" s="175">
        <f>+(A41-A40)/(F41-F40)*(H42-F40)+A40</f>
        <v>555.5472180451128</v>
      </c>
      <c r="H43" s="176"/>
      <c r="K43" s="171">
        <f t="shared" si="25"/>
        <v>560</v>
      </c>
      <c r="L43" s="167">
        <v>7552</v>
      </c>
      <c r="M43" s="153">
        <f t="shared" si="9"/>
        <v>0.17337006427915519</v>
      </c>
      <c r="N43" s="167">
        <f t="shared" si="10"/>
        <v>7211</v>
      </c>
      <c r="O43" s="167">
        <f t="shared" si="11"/>
        <v>7211</v>
      </c>
      <c r="P43" s="168">
        <f t="shared" si="1"/>
        <v>29666</v>
      </c>
      <c r="Q43" s="175">
        <f>+(K41-K40)/(P41-P40)*(R42-P40)+K40</f>
        <v>556.57698815566835</v>
      </c>
      <c r="R43" s="176"/>
      <c r="U43" s="171">
        <f t="shared" si="26"/>
        <v>578</v>
      </c>
      <c r="V43" s="166">
        <v>13340</v>
      </c>
      <c r="W43" s="153">
        <f t="shared" si="12"/>
        <v>0.30624426078971534</v>
      </c>
      <c r="X43" s="167">
        <f t="shared" si="13"/>
        <v>12627.5</v>
      </c>
      <c r="Y43" s="167">
        <f t="shared" si="14"/>
        <v>12627.5</v>
      </c>
      <c r="Z43" s="168">
        <f t="shared" si="2"/>
        <v>49739</v>
      </c>
      <c r="AA43" s="175">
        <f>+(U41-U40)/(Z41-Z40)*(AB42-Z40)+U40</f>
        <v>574.47540817873937</v>
      </c>
      <c r="AB43" s="176"/>
      <c r="AD43" s="171">
        <f t="shared" si="27"/>
        <v>731</v>
      </c>
      <c r="AE43" s="166">
        <v>26146</v>
      </c>
      <c r="AF43" s="153">
        <f t="shared" si="15"/>
        <v>0.60022956841138653</v>
      </c>
      <c r="AG43" s="167">
        <f t="shared" si="16"/>
        <v>25187.5</v>
      </c>
      <c r="AH43" s="167">
        <f t="shared" si="17"/>
        <v>25187.5</v>
      </c>
      <c r="AI43" s="168">
        <f t="shared" si="3"/>
        <v>107616.5</v>
      </c>
      <c r="AJ43" s="175">
        <f>+(AD41-AD40)/(AI41-AI40)*(AK42-AI40)+AD40</f>
        <v>727.34018121258703</v>
      </c>
      <c r="AK43" s="176"/>
      <c r="AM43" s="171"/>
      <c r="AN43" s="166"/>
      <c r="AO43" s="153"/>
      <c r="AP43" s="167"/>
      <c r="AQ43" s="167"/>
      <c r="AR43" s="168"/>
      <c r="AS43" s="175">
        <f>+(AM40-AM39)/(AR40-AR39)*(AT42-AR39)+AM39</f>
        <v>665.85800807537009</v>
      </c>
      <c r="AT43" s="176"/>
      <c r="AW43" s="165">
        <f>+AW42+1</f>
        <v>586</v>
      </c>
      <c r="AX43" s="166">
        <v>9525</v>
      </c>
      <c r="AY43" s="153">
        <f t="shared" si="21"/>
        <v>0.21866391184573003</v>
      </c>
      <c r="AZ43" s="167">
        <f t="shared" si="28"/>
        <v>8943.5</v>
      </c>
      <c r="BA43" s="167">
        <f t="shared" si="29"/>
        <v>8943.5</v>
      </c>
      <c r="BB43" s="168">
        <f t="shared" si="30"/>
        <v>34181</v>
      </c>
      <c r="BC43" s="175">
        <f>+(AW41-AW40)/(BB41-BB40)*(BD42-BB40)+AW40</f>
        <v>582.22979667282812</v>
      </c>
      <c r="BD43" s="176"/>
    </row>
    <row r="44" spans="1:56" x14ac:dyDescent="0.25">
      <c r="A44" s="171"/>
      <c r="B44" s="153"/>
      <c r="C44" s="153"/>
      <c r="D44" s="167"/>
      <c r="E44" s="167"/>
      <c r="F44" s="168"/>
      <c r="G44" s="177"/>
      <c r="H44" s="19"/>
      <c r="K44" s="171"/>
      <c r="L44" s="153"/>
      <c r="M44" s="153"/>
      <c r="N44" s="167"/>
      <c r="O44" s="167"/>
      <c r="P44" s="168"/>
      <c r="Q44" s="177"/>
      <c r="R44" s="19"/>
      <c r="U44" s="171">
        <v>579</v>
      </c>
      <c r="V44" s="166">
        <v>14821</v>
      </c>
      <c r="W44" s="153">
        <f t="shared" ref="W44" si="31">+V44/66/660</f>
        <v>0.3402433425160698</v>
      </c>
      <c r="X44" s="167">
        <f t="shared" ref="X44" si="32">(V44+V43)/2</f>
        <v>14080.5</v>
      </c>
      <c r="Y44" s="167">
        <f t="shared" ref="Y44" si="33">(U44-U43)*X44</f>
        <v>14080.5</v>
      </c>
      <c r="Z44" s="168">
        <f t="shared" ref="Z44" si="34">Y44+Z43</f>
        <v>63819.5</v>
      </c>
      <c r="AA44" s="177"/>
      <c r="AB44" s="19"/>
      <c r="AD44" s="171">
        <f t="shared" si="27"/>
        <v>732</v>
      </c>
      <c r="AE44" s="166">
        <v>28119</v>
      </c>
      <c r="AF44" s="153">
        <f t="shared" si="15"/>
        <v>0.64552341597796148</v>
      </c>
      <c r="AG44" s="167">
        <f t="shared" ref="AG44" si="35">(AE44+AE43)/2</f>
        <v>27132.5</v>
      </c>
      <c r="AH44" s="167">
        <f t="shared" ref="AH44" si="36">(AD44-AD43)*AG44</f>
        <v>27132.5</v>
      </c>
      <c r="AI44" s="168">
        <f t="shared" ref="AI44" si="37">AH44+AI43</f>
        <v>134749</v>
      </c>
      <c r="AM44" s="171"/>
      <c r="AN44" s="166"/>
      <c r="AO44" s="153"/>
      <c r="AP44" s="167"/>
      <c r="AQ44" s="167"/>
      <c r="AR44" s="168"/>
      <c r="AW44" s="171"/>
      <c r="AX44" s="166"/>
      <c r="AY44" s="153"/>
      <c r="AZ44" s="167"/>
      <c r="BA44" s="167"/>
      <c r="BB44" s="168"/>
    </row>
    <row r="45" spans="1:56" ht="15.75" thickBot="1" x14ac:dyDescent="0.3">
      <c r="A45" s="178"/>
      <c r="B45" s="157"/>
      <c r="C45" s="157"/>
      <c r="D45" s="179"/>
      <c r="E45" s="179"/>
      <c r="F45" s="180"/>
      <c r="G45" s="19"/>
      <c r="H45" s="19"/>
      <c r="K45" s="178"/>
      <c r="L45" s="157"/>
      <c r="M45" s="157"/>
      <c r="N45" s="179"/>
      <c r="O45" s="179"/>
      <c r="P45" s="180"/>
      <c r="Q45" s="19"/>
      <c r="R45" s="19"/>
      <c r="U45" s="178"/>
      <c r="V45" s="157"/>
      <c r="W45" s="157"/>
      <c r="X45" s="179"/>
      <c r="Y45" s="179"/>
      <c r="Z45" s="180"/>
      <c r="AA45" s="19"/>
      <c r="AB45" s="19"/>
      <c r="AD45" s="178"/>
      <c r="AE45" s="157"/>
      <c r="AF45" s="157"/>
      <c r="AG45" s="179"/>
      <c r="AH45" s="179"/>
      <c r="AI45" s="180"/>
      <c r="AM45" s="178"/>
      <c r="AN45" s="157"/>
      <c r="AO45" s="157"/>
      <c r="AP45" s="179"/>
      <c r="AQ45" s="179"/>
      <c r="AR45" s="180"/>
      <c r="AW45" s="178"/>
      <c r="AX45" s="157"/>
      <c r="AY45" s="157"/>
      <c r="AZ45" s="179"/>
      <c r="BA45" s="179"/>
      <c r="BB45" s="180"/>
    </row>
    <row r="46" spans="1:56" x14ac:dyDescent="0.25">
      <c r="A46" s="152"/>
      <c r="B46" s="152"/>
      <c r="C46" s="152"/>
      <c r="D46" s="181"/>
      <c r="E46" s="181"/>
      <c r="F46" s="181"/>
      <c r="G46" s="19"/>
      <c r="H46" s="19"/>
      <c r="K46" s="152"/>
      <c r="L46" s="152"/>
      <c r="M46" s="152"/>
      <c r="N46" s="181"/>
      <c r="O46" s="181"/>
      <c r="P46" s="181"/>
      <c r="Q46" s="19"/>
      <c r="R46" s="19"/>
      <c r="U46" s="152"/>
      <c r="V46" s="152"/>
      <c r="W46" s="152"/>
      <c r="X46" s="181"/>
      <c r="Y46" s="181"/>
      <c r="Z46" s="181"/>
      <c r="AA46" s="19"/>
      <c r="AB46" s="19"/>
      <c r="AD46" s="152"/>
      <c r="AE46" s="152"/>
      <c r="AF46" s="152"/>
      <c r="AG46" s="181"/>
      <c r="AH46" s="181"/>
      <c r="AI46" s="181"/>
    </row>
  </sheetData>
  <mergeCells count="24">
    <mergeCell ref="AD34:AD35"/>
    <mergeCell ref="AE34:AE35"/>
    <mergeCell ref="AF34:AF35"/>
    <mergeCell ref="AD37:AI37"/>
    <mergeCell ref="U34:U35"/>
    <mergeCell ref="V34:V35"/>
    <mergeCell ref="W34:W35"/>
    <mergeCell ref="U37:Z37"/>
    <mergeCell ref="A34:A35"/>
    <mergeCell ref="B34:B35"/>
    <mergeCell ref="C34:C35"/>
    <mergeCell ref="A37:F37"/>
    <mergeCell ref="K34:K35"/>
    <mergeCell ref="L34:L35"/>
    <mergeCell ref="M34:M35"/>
    <mergeCell ref="K37:P37"/>
    <mergeCell ref="AX34:AX35"/>
    <mergeCell ref="AY34:AY35"/>
    <mergeCell ref="AW37:BB37"/>
    <mergeCell ref="AM34:AM35"/>
    <mergeCell ref="AN34:AN35"/>
    <mergeCell ref="AO34:AO35"/>
    <mergeCell ref="AM37:AR37"/>
    <mergeCell ref="AW34:AW35"/>
  </mergeCells>
  <pageMargins left="0.7" right="0.7" top="0.75" bottom="0.75" header="0.3" footer="0.3"/>
  <pageSetup scale="97" orientation="portrait" r:id="rId1"/>
  <colBreaks count="5" manualBreakCount="5">
    <brk id="8" max="1048575" man="1"/>
    <brk id="18" max="1048575" man="1"/>
    <brk id="28" max="1048575" man="1"/>
    <brk id="37" max="1048575" man="1"/>
    <brk id="4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topLeftCell="A2" zoomScale="60" zoomScaleNormal="100" workbookViewId="0">
      <selection activeCell="K62" sqref="K62"/>
    </sheetView>
  </sheetViews>
  <sheetFormatPr defaultRowHeight="15" x14ac:dyDescent="0.25"/>
  <cols>
    <col min="3" max="3" width="10.5703125" bestFit="1" customWidth="1"/>
  </cols>
  <sheetData>
    <row r="1" spans="1:20" x14ac:dyDescent="0.25">
      <c r="B1" t="s">
        <v>182</v>
      </c>
      <c r="D1" s="140">
        <f>+C11-3.3168</f>
        <v>14.991900000000001</v>
      </c>
      <c r="K1" t="s">
        <v>182</v>
      </c>
      <c r="M1" s="140">
        <f>+M11-5.204</f>
        <v>22.346</v>
      </c>
    </row>
    <row r="2" spans="1:20" x14ac:dyDescent="0.25">
      <c r="A2" s="121" t="s">
        <v>52</v>
      </c>
      <c r="F2" s="122"/>
      <c r="G2" s="123"/>
      <c r="K2" s="121" t="s">
        <v>52</v>
      </c>
      <c r="P2" s="122"/>
      <c r="Q2" s="123"/>
    </row>
    <row r="3" spans="1:20" x14ac:dyDescent="0.25">
      <c r="A3" t="s">
        <v>134</v>
      </c>
      <c r="K3" t="s">
        <v>84</v>
      </c>
    </row>
    <row r="4" spans="1:20" x14ac:dyDescent="0.25">
      <c r="A4" t="s">
        <v>53</v>
      </c>
      <c r="C4" s="121"/>
      <c r="K4" t="s">
        <v>53</v>
      </c>
      <c r="M4" s="121"/>
      <c r="Q4" s="137"/>
      <c r="R4" s="137"/>
      <c r="S4" s="137"/>
      <c r="T4" s="137"/>
    </row>
    <row r="5" spans="1:20" ht="15.75" thickBot="1" x14ac:dyDescent="0.3">
      <c r="A5" t="s">
        <v>54</v>
      </c>
      <c r="K5" t="s">
        <v>54</v>
      </c>
      <c r="Q5" s="137"/>
      <c r="R5" s="137"/>
      <c r="S5" s="137"/>
      <c r="T5" s="137"/>
    </row>
    <row r="6" spans="1:20" x14ac:dyDescent="0.25">
      <c r="A6" s="124" t="s">
        <v>55</v>
      </c>
      <c r="B6" s="5"/>
      <c r="C6" s="125" t="s">
        <v>56</v>
      </c>
      <c r="D6" s="125" t="s">
        <v>57</v>
      </c>
      <c r="E6" s="126" t="s">
        <v>58</v>
      </c>
      <c r="K6" s="124" t="s">
        <v>55</v>
      </c>
      <c r="L6" s="5"/>
      <c r="M6" s="125" t="s">
        <v>56</v>
      </c>
      <c r="N6" s="125" t="s">
        <v>57</v>
      </c>
      <c r="O6" s="126" t="s">
        <v>58</v>
      </c>
      <c r="Q6" s="137"/>
      <c r="R6" s="139"/>
      <c r="S6" s="137"/>
      <c r="T6" s="214"/>
    </row>
    <row r="7" spans="1:20" x14ac:dyDescent="0.25">
      <c r="A7" s="127" t="s">
        <v>198</v>
      </c>
      <c r="B7" s="116"/>
      <c r="C7" s="128">
        <v>7.2</v>
      </c>
      <c r="D7" s="116">
        <v>0.3</v>
      </c>
      <c r="E7" s="129">
        <f>+C7*D7</f>
        <v>2.16</v>
      </c>
      <c r="K7" s="127" t="s">
        <v>198</v>
      </c>
      <c r="L7" s="116"/>
      <c r="M7" s="128">
        <v>9.1538000000000004</v>
      </c>
      <c r="N7" s="116">
        <v>0.3</v>
      </c>
      <c r="O7" s="129">
        <f>+M7*N7</f>
        <v>2.74614</v>
      </c>
      <c r="Q7" s="137"/>
      <c r="R7" s="137"/>
      <c r="S7" s="137"/>
      <c r="T7" s="142"/>
    </row>
    <row r="8" spans="1:20" x14ac:dyDescent="0.25">
      <c r="A8" s="127" t="s">
        <v>179</v>
      </c>
      <c r="B8" s="116"/>
      <c r="C8" s="128">
        <f>+C11-C7-C9</f>
        <v>3.2587000000000028</v>
      </c>
      <c r="D8" s="116">
        <v>0.9</v>
      </c>
      <c r="E8" s="129">
        <f>+C8*D8</f>
        <v>2.9328300000000027</v>
      </c>
      <c r="K8" s="127" t="s">
        <v>179</v>
      </c>
      <c r="L8" s="116"/>
      <c r="M8" s="128">
        <f>+M11-M7-M9</f>
        <v>5.3162000000000003</v>
      </c>
      <c r="N8" s="116">
        <v>0.9</v>
      </c>
      <c r="O8" s="129">
        <f>+M8*N8</f>
        <v>4.7845800000000001</v>
      </c>
      <c r="Q8" s="137"/>
      <c r="R8" s="137"/>
      <c r="S8" s="137"/>
      <c r="T8" s="142"/>
    </row>
    <row r="9" spans="1:20" x14ac:dyDescent="0.25">
      <c r="A9" s="127" t="s">
        <v>199</v>
      </c>
      <c r="B9" s="116"/>
      <c r="C9" s="128">
        <v>7.85</v>
      </c>
      <c r="D9" s="130">
        <v>0.7</v>
      </c>
      <c r="E9" s="129">
        <f>+C9*D9</f>
        <v>5.4949999999999992</v>
      </c>
      <c r="K9" s="127" t="s">
        <v>199</v>
      </c>
      <c r="L9" s="116"/>
      <c r="M9" s="128">
        <v>13.08</v>
      </c>
      <c r="N9" s="130">
        <v>0.7</v>
      </c>
      <c r="O9" s="129">
        <f>+M9*N9</f>
        <v>9.1559999999999988</v>
      </c>
      <c r="Q9" s="137"/>
      <c r="R9" s="137"/>
      <c r="S9" s="137"/>
      <c r="T9" s="142"/>
    </row>
    <row r="10" spans="1:20" x14ac:dyDescent="0.25">
      <c r="A10" s="127"/>
      <c r="B10" s="116"/>
      <c r="C10" s="116"/>
      <c r="D10" s="116"/>
      <c r="E10" s="131"/>
      <c r="K10" s="127"/>
      <c r="L10" s="116"/>
      <c r="M10" s="116"/>
      <c r="N10" s="116"/>
      <c r="O10" s="131"/>
      <c r="Q10" s="137"/>
      <c r="R10" s="137"/>
      <c r="S10" s="137"/>
      <c r="T10" s="137"/>
    </row>
    <row r="11" spans="1:20" ht="15.75" thickBot="1" x14ac:dyDescent="0.3">
      <c r="A11" s="132" t="s">
        <v>59</v>
      </c>
      <c r="B11" s="133"/>
      <c r="C11" s="296">
        <v>18.308700000000002</v>
      </c>
      <c r="D11" s="133"/>
      <c r="E11" s="135">
        <f>+E9+E8+E7</f>
        <v>10.587830000000002</v>
      </c>
      <c r="K11" s="132" t="s">
        <v>59</v>
      </c>
      <c r="L11" s="133"/>
      <c r="M11" s="296">
        <v>27.55</v>
      </c>
      <c r="N11" s="133"/>
      <c r="O11" s="135">
        <f>+O9+O8+O7</f>
        <v>16.686719999999998</v>
      </c>
      <c r="Q11" s="137"/>
      <c r="R11" s="215"/>
      <c r="S11" s="137"/>
      <c r="T11" s="142"/>
    </row>
    <row r="12" spans="1:20" ht="15.75" thickBot="1" x14ac:dyDescent="0.3">
      <c r="B12" t="s">
        <v>60</v>
      </c>
      <c r="E12" s="136">
        <f>+E11/C11</f>
        <v>0.57829501821538398</v>
      </c>
      <c r="L12" t="s">
        <v>60</v>
      </c>
      <c r="O12" s="136">
        <f>+O11/M11</f>
        <v>0.60568856624319412</v>
      </c>
      <c r="Q12" s="137"/>
      <c r="R12" s="137"/>
      <c r="S12" s="137"/>
      <c r="T12" s="137"/>
    </row>
    <row r="13" spans="1:20" x14ac:dyDescent="0.25">
      <c r="A13" s="137"/>
      <c r="B13" s="137" t="s">
        <v>61</v>
      </c>
      <c r="C13" s="137"/>
      <c r="D13" s="138"/>
      <c r="E13" s="137"/>
      <c r="K13" s="137"/>
      <c r="L13" s="137" t="s">
        <v>61</v>
      </c>
      <c r="M13" s="137"/>
      <c r="N13" s="138"/>
      <c r="O13" s="137"/>
    </row>
    <row r="14" spans="1:20" ht="15.75" x14ac:dyDescent="0.3">
      <c r="A14" t="s">
        <v>62</v>
      </c>
      <c r="E14" s="137"/>
      <c r="F14" s="137"/>
      <c r="G14" s="137"/>
      <c r="H14" s="137"/>
      <c r="K14" t="s">
        <v>62</v>
      </c>
      <c r="O14" s="137"/>
      <c r="P14" s="137"/>
      <c r="Q14" s="137"/>
      <c r="R14" s="137"/>
    </row>
    <row r="15" spans="1:20" x14ac:dyDescent="0.25">
      <c r="E15" s="137"/>
      <c r="F15" s="137"/>
      <c r="G15" s="137"/>
      <c r="H15" s="137"/>
      <c r="O15" s="137"/>
      <c r="P15" s="137"/>
      <c r="Q15" s="137"/>
      <c r="R15" s="137"/>
    </row>
    <row r="16" spans="1:20" x14ac:dyDescent="0.25">
      <c r="E16" s="137"/>
      <c r="F16" s="137"/>
      <c r="G16" s="137"/>
      <c r="H16" s="137"/>
      <c r="O16" s="137"/>
      <c r="P16" s="137"/>
      <c r="Q16" s="137"/>
      <c r="R16" s="137"/>
    </row>
    <row r="17" spans="1:18" x14ac:dyDescent="0.25">
      <c r="E17" s="137"/>
      <c r="F17" s="137"/>
      <c r="G17" s="137"/>
      <c r="H17" s="137"/>
      <c r="O17" s="137"/>
      <c r="P17" s="137"/>
      <c r="Q17" s="137"/>
      <c r="R17" s="137"/>
    </row>
    <row r="18" spans="1:18" x14ac:dyDescent="0.25">
      <c r="B18" t="s">
        <v>63</v>
      </c>
      <c r="C18">
        <v>0.75</v>
      </c>
      <c r="E18" s="137"/>
      <c r="F18" s="137"/>
      <c r="G18" s="139"/>
      <c r="H18" s="139"/>
      <c r="L18" t="s">
        <v>63</v>
      </c>
      <c r="M18">
        <v>0.75</v>
      </c>
      <c r="O18" s="137"/>
      <c r="P18" s="137"/>
      <c r="Q18" s="139"/>
      <c r="R18" s="139"/>
    </row>
    <row r="19" spans="1:18" x14ac:dyDescent="0.25">
      <c r="B19" t="s">
        <v>56</v>
      </c>
      <c r="C19" s="140">
        <f>+C11</f>
        <v>18.308700000000002</v>
      </c>
      <c r="E19" s="137"/>
      <c r="F19" s="137"/>
      <c r="G19" s="137"/>
      <c r="H19" s="137"/>
      <c r="L19" t="s">
        <v>56</v>
      </c>
      <c r="M19" s="140">
        <f>+M11</f>
        <v>27.55</v>
      </c>
      <c r="O19" s="137"/>
      <c r="P19" s="137"/>
      <c r="Q19" s="137"/>
      <c r="R19" s="137"/>
    </row>
    <row r="20" spans="1:18" x14ac:dyDescent="0.25">
      <c r="B20" t="s">
        <v>64</v>
      </c>
      <c r="C20" s="140">
        <f>+E12</f>
        <v>0.57829501821538398</v>
      </c>
      <c r="L20" t="s">
        <v>64</v>
      </c>
      <c r="M20" s="140">
        <f>+O12</f>
        <v>0.60568856624319412</v>
      </c>
    </row>
    <row r="21" spans="1:18" ht="16.5" thickBot="1" x14ac:dyDescent="0.35">
      <c r="B21" s="141" t="s">
        <v>65</v>
      </c>
      <c r="C21" s="142">
        <f>+C18*C19*C20/12</f>
        <v>0.66173937500000013</v>
      </c>
      <c r="D21" s="137" t="s">
        <v>66</v>
      </c>
      <c r="L21" s="141" t="s">
        <v>65</v>
      </c>
      <c r="M21" s="142">
        <f>+M18*M19*M20/12</f>
        <v>1.0429199999999998</v>
      </c>
      <c r="N21" s="137" t="s">
        <v>66</v>
      </c>
    </row>
    <row r="22" spans="1:18" ht="16.5" thickBot="1" x14ac:dyDescent="0.35">
      <c r="B22" s="143" t="s">
        <v>65</v>
      </c>
      <c r="C22" s="144">
        <f>ROUND(+C21*66*660,-2)</f>
        <v>28800</v>
      </c>
      <c r="D22" s="145" t="s">
        <v>67</v>
      </c>
      <c r="L22" s="143" t="s">
        <v>65</v>
      </c>
      <c r="M22" s="144">
        <f>ROUND(+M21*66*660,-2)</f>
        <v>45400</v>
      </c>
      <c r="N22" s="145" t="s">
        <v>67</v>
      </c>
    </row>
    <row r="23" spans="1:18" x14ac:dyDescent="0.25">
      <c r="C23">
        <f>+C22/3</f>
        <v>9600</v>
      </c>
      <c r="D23">
        <f>+C23/2</f>
        <v>4800</v>
      </c>
      <c r="M23">
        <f>+M22/3</f>
        <v>15133.333333333334</v>
      </c>
      <c r="N23">
        <f>+M23/2</f>
        <v>7566.666666666667</v>
      </c>
    </row>
    <row r="24" spans="1:18" x14ac:dyDescent="0.25">
      <c r="D24">
        <f>+D23^0.5</f>
        <v>69.282032302755098</v>
      </c>
      <c r="N24">
        <f>+N23^0.5</f>
        <v>86.98658900466593</v>
      </c>
    </row>
    <row r="26" spans="1:18" x14ac:dyDescent="0.25">
      <c r="A26" t="s">
        <v>68</v>
      </c>
      <c r="K26" t="s">
        <v>68</v>
      </c>
    </row>
    <row r="27" spans="1:18" ht="15.75" thickBot="1" x14ac:dyDescent="0.3">
      <c r="A27" t="s">
        <v>69</v>
      </c>
      <c r="C27" s="146">
        <v>1.2</v>
      </c>
      <c r="D27" t="s">
        <v>70</v>
      </c>
      <c r="K27" t="s">
        <v>69</v>
      </c>
      <c r="M27" s="146">
        <v>1.2</v>
      </c>
      <c r="N27" t="s">
        <v>70</v>
      </c>
    </row>
    <row r="28" spans="1:18" ht="15.75" thickBot="1" x14ac:dyDescent="0.3">
      <c r="A28" t="s">
        <v>71</v>
      </c>
      <c r="C28" s="147">
        <f>ROUND(+C22*C27,-2)</f>
        <v>34600</v>
      </c>
      <c r="D28" t="s">
        <v>67</v>
      </c>
      <c r="K28" t="s">
        <v>71</v>
      </c>
      <c r="M28" s="147">
        <f>ROUND(+M22*M27,-2)</f>
        <v>54500</v>
      </c>
      <c r="N28" t="s">
        <v>67</v>
      </c>
    </row>
    <row r="29" spans="1:18" x14ac:dyDescent="0.25">
      <c r="B29" t="s">
        <v>72</v>
      </c>
      <c r="C29" s="148">
        <f>+C28/43560</f>
        <v>0.79430670339761245</v>
      </c>
      <c r="D29" t="s">
        <v>66</v>
      </c>
      <c r="L29" t="s">
        <v>72</v>
      </c>
      <c r="M29" s="148">
        <f>+M28/43560</f>
        <v>1.2511478420569329</v>
      </c>
      <c r="N29" t="s">
        <v>66</v>
      </c>
    </row>
    <row r="30" spans="1:18" x14ac:dyDescent="0.25">
      <c r="A30" t="s">
        <v>73</v>
      </c>
      <c r="C30" s="149">
        <f>+C28*0.1</f>
        <v>3460</v>
      </c>
      <c r="D30" t="s">
        <v>67</v>
      </c>
      <c r="K30" t="s">
        <v>73</v>
      </c>
      <c r="M30" s="149">
        <f>+M28*0.1</f>
        <v>5450</v>
      </c>
      <c r="N30" t="s">
        <v>67</v>
      </c>
    </row>
    <row r="31" spans="1:18" x14ac:dyDescent="0.25">
      <c r="M31">
        <f>+M28/3</f>
        <v>18166.666666666668</v>
      </c>
    </row>
    <row r="32" spans="1:18" x14ac:dyDescent="0.25">
      <c r="I32">
        <f>5*3</f>
        <v>15</v>
      </c>
      <c r="M32">
        <f>+M31/2</f>
        <v>9083.3333333333339</v>
      </c>
      <c r="N32">
        <f>+M32^0.5</f>
        <v>95.306523036638652</v>
      </c>
    </row>
    <row r="33" spans="1:18" ht="15.75" thickBot="1" x14ac:dyDescent="0.3">
      <c r="A33" s="19"/>
      <c r="B33" s="19"/>
      <c r="C33" s="19"/>
      <c r="D33" s="19"/>
      <c r="E33" s="19"/>
      <c r="F33" s="19"/>
      <c r="G33" s="19"/>
      <c r="H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5">
      <c r="A34" s="337" t="s">
        <v>74</v>
      </c>
      <c r="B34" s="332" t="s">
        <v>75</v>
      </c>
      <c r="C34" s="332" t="s">
        <v>75</v>
      </c>
      <c r="D34" s="150" t="s">
        <v>76</v>
      </c>
      <c r="E34" s="150" t="s">
        <v>77</v>
      </c>
      <c r="F34" s="151" t="s">
        <v>72</v>
      </c>
      <c r="G34" s="152"/>
      <c r="H34" s="152"/>
      <c r="K34" s="337" t="s">
        <v>74</v>
      </c>
      <c r="L34" s="332" t="s">
        <v>75</v>
      </c>
      <c r="M34" s="332" t="s">
        <v>75</v>
      </c>
      <c r="N34" s="150" t="s">
        <v>76</v>
      </c>
      <c r="O34" s="150" t="s">
        <v>77</v>
      </c>
      <c r="P34" s="151" t="s">
        <v>72</v>
      </c>
      <c r="Q34" s="152"/>
      <c r="R34" s="152"/>
    </row>
    <row r="35" spans="1:18" x14ac:dyDescent="0.25">
      <c r="A35" s="338"/>
      <c r="B35" s="333"/>
      <c r="C35" s="333"/>
      <c r="D35" s="153"/>
      <c r="E35" s="153"/>
      <c r="F35" s="154"/>
      <c r="G35" s="19"/>
      <c r="H35" s="19"/>
      <c r="K35" s="338"/>
      <c r="L35" s="333"/>
      <c r="M35" s="333"/>
      <c r="N35" s="153"/>
      <c r="O35" s="153"/>
      <c r="P35" s="154"/>
      <c r="Q35" s="19"/>
      <c r="R35" s="19"/>
    </row>
    <row r="36" spans="1:18" ht="15.75" thickBot="1" x14ac:dyDescent="0.3">
      <c r="A36" s="155"/>
      <c r="B36" s="156" t="s">
        <v>78</v>
      </c>
      <c r="C36" s="156" t="s">
        <v>79</v>
      </c>
      <c r="D36" s="157" t="s">
        <v>80</v>
      </c>
      <c r="E36" s="157" t="s">
        <v>81</v>
      </c>
      <c r="F36" s="158" t="s">
        <v>81</v>
      </c>
      <c r="G36" s="19"/>
      <c r="H36" s="19"/>
      <c r="K36" s="155"/>
      <c r="L36" s="156" t="s">
        <v>78</v>
      </c>
      <c r="M36" s="156" t="s">
        <v>79</v>
      </c>
      <c r="N36" s="157" t="s">
        <v>80</v>
      </c>
      <c r="O36" s="157" t="s">
        <v>81</v>
      </c>
      <c r="P36" s="158" t="s">
        <v>81</v>
      </c>
      <c r="Q36" s="19"/>
      <c r="R36" s="19"/>
    </row>
    <row r="37" spans="1:18" ht="15.75" thickBot="1" x14ac:dyDescent="0.3">
      <c r="A37" s="334"/>
      <c r="B37" s="335"/>
      <c r="C37" s="335"/>
      <c r="D37" s="335"/>
      <c r="E37" s="335"/>
      <c r="F37" s="336"/>
      <c r="G37" s="159"/>
      <c r="H37" s="160"/>
      <c r="K37" s="334"/>
      <c r="L37" s="335"/>
      <c r="M37" s="335"/>
      <c r="N37" s="335"/>
      <c r="O37" s="335"/>
      <c r="P37" s="336"/>
      <c r="Q37" s="159"/>
      <c r="R37" s="160"/>
    </row>
    <row r="38" spans="1:18" x14ac:dyDescent="0.25">
      <c r="A38" s="161">
        <v>0</v>
      </c>
      <c r="B38" s="162">
        <v>8112</v>
      </c>
      <c r="C38" s="150">
        <f>+B38/66/660</f>
        <v>0.18622589531680439</v>
      </c>
      <c r="D38" s="163">
        <v>0</v>
      </c>
      <c r="E38" s="162">
        <v>0</v>
      </c>
      <c r="F38" s="164">
        <f t="shared" ref="F38:F43" si="0">E38+F37</f>
        <v>0</v>
      </c>
      <c r="G38" s="159"/>
      <c r="H38" s="160"/>
      <c r="K38" s="161">
        <v>0</v>
      </c>
      <c r="L38" s="162">
        <v>11555</v>
      </c>
      <c r="M38" s="150">
        <f>+L38/66/660</f>
        <v>0.26526629935720841</v>
      </c>
      <c r="N38" s="163">
        <v>0</v>
      </c>
      <c r="O38" s="162">
        <v>0</v>
      </c>
      <c r="P38" s="164">
        <f t="shared" ref="P38:P43" si="1">O38+P37</f>
        <v>0</v>
      </c>
      <c r="Q38" s="159"/>
      <c r="R38" s="160"/>
    </row>
    <row r="39" spans="1:18" ht="15.75" thickBot="1" x14ac:dyDescent="0.3">
      <c r="A39" s="165">
        <f>+A38+1</f>
        <v>1</v>
      </c>
      <c r="B39" s="166">
        <v>9228</v>
      </c>
      <c r="C39" s="153">
        <f t="shared" ref="C39:C44" si="2">+B39/66/660</f>
        <v>0.2118457300275482</v>
      </c>
      <c r="D39" s="167">
        <f t="shared" ref="D39:D43" si="3">(B39+B38)/2</f>
        <v>8670</v>
      </c>
      <c r="E39" s="167">
        <f t="shared" ref="E39:E43" si="4">(A39-A38)*D39</f>
        <v>8670</v>
      </c>
      <c r="F39" s="168">
        <f t="shared" si="0"/>
        <v>8670</v>
      </c>
      <c r="G39" s="159"/>
      <c r="H39" s="160"/>
      <c r="K39" s="165">
        <f>+K38+1</f>
        <v>1</v>
      </c>
      <c r="L39" s="166">
        <v>12865</v>
      </c>
      <c r="M39" s="153">
        <f t="shared" ref="M39:M43" si="5">+L39/66/660</f>
        <v>0.2953397612488522</v>
      </c>
      <c r="N39" s="167">
        <f t="shared" ref="N39:N43" si="6">(L39+L38)/2</f>
        <v>12210</v>
      </c>
      <c r="O39" s="167">
        <f t="shared" ref="O39:O43" si="7">(K39-K38)*N39</f>
        <v>12210</v>
      </c>
      <c r="P39" s="168">
        <f t="shared" si="1"/>
        <v>12210</v>
      </c>
      <c r="Q39" s="159"/>
      <c r="R39" s="160"/>
    </row>
    <row r="40" spans="1:18" x14ac:dyDescent="0.25">
      <c r="A40" s="165">
        <f t="shared" ref="A40:A43" si="8">+A39+1</f>
        <v>2</v>
      </c>
      <c r="B40" s="166">
        <v>10401</v>
      </c>
      <c r="C40" s="153">
        <f t="shared" si="2"/>
        <v>0.2387741046831956</v>
      </c>
      <c r="D40" s="167">
        <f t="shared" si="3"/>
        <v>9814.5</v>
      </c>
      <c r="E40" s="167">
        <f t="shared" si="4"/>
        <v>9814.5</v>
      </c>
      <c r="F40" s="168">
        <f t="shared" si="0"/>
        <v>18484.5</v>
      </c>
      <c r="G40" s="169" t="s">
        <v>82</v>
      </c>
      <c r="H40" s="170">
        <f>+C28</f>
        <v>34600</v>
      </c>
      <c r="K40" s="165">
        <f t="shared" ref="K40:K43" si="9">+K39+1</f>
        <v>2</v>
      </c>
      <c r="L40" s="166">
        <v>14232</v>
      </c>
      <c r="M40" s="153">
        <f t="shared" si="5"/>
        <v>0.32672176308539941</v>
      </c>
      <c r="N40" s="167">
        <f t="shared" si="6"/>
        <v>13548.5</v>
      </c>
      <c r="O40" s="167">
        <f t="shared" si="7"/>
        <v>13548.5</v>
      </c>
      <c r="P40" s="168">
        <f t="shared" si="1"/>
        <v>25758.5</v>
      </c>
      <c r="Q40" s="169" t="s">
        <v>82</v>
      </c>
      <c r="R40" s="170">
        <f>+M28</f>
        <v>54500</v>
      </c>
    </row>
    <row r="41" spans="1:18" x14ac:dyDescent="0.25">
      <c r="A41" s="171">
        <f t="shared" si="8"/>
        <v>3</v>
      </c>
      <c r="B41" s="166">
        <v>11630</v>
      </c>
      <c r="C41" s="153">
        <f t="shared" si="2"/>
        <v>0.26698806244260792</v>
      </c>
      <c r="D41" s="167">
        <f t="shared" si="3"/>
        <v>11015.5</v>
      </c>
      <c r="E41" s="167">
        <f t="shared" si="4"/>
        <v>11015.5</v>
      </c>
      <c r="F41" s="168">
        <f t="shared" si="0"/>
        <v>29500</v>
      </c>
      <c r="G41" s="172">
        <f>+(A43-A42)/(F43-F42)*(H40-F42)+A42</f>
        <v>3.497935185833275</v>
      </c>
      <c r="H41" s="173"/>
      <c r="K41" s="171">
        <f t="shared" si="9"/>
        <v>3</v>
      </c>
      <c r="L41" s="166">
        <v>17135</v>
      </c>
      <c r="M41" s="153">
        <f t="shared" si="5"/>
        <v>0.39336547291092744</v>
      </c>
      <c r="N41" s="167">
        <f t="shared" si="6"/>
        <v>15683.5</v>
      </c>
      <c r="O41" s="167">
        <f t="shared" si="7"/>
        <v>15683.5</v>
      </c>
      <c r="P41" s="168">
        <f t="shared" si="1"/>
        <v>41442</v>
      </c>
      <c r="Q41" s="172">
        <f>+(K43-K42)/(P43-P42)*(R40-P42)+K42</f>
        <v>3.7511300595849599</v>
      </c>
      <c r="R41" s="173"/>
    </row>
    <row r="42" spans="1:18" ht="15.75" x14ac:dyDescent="0.3">
      <c r="A42" s="171">
        <f t="shared" si="8"/>
        <v>4</v>
      </c>
      <c r="B42" s="153">
        <v>12916</v>
      </c>
      <c r="C42" s="153">
        <f t="shared" si="2"/>
        <v>0.29651056014692379</v>
      </c>
      <c r="D42" s="167">
        <f t="shared" si="3"/>
        <v>12273</v>
      </c>
      <c r="E42" s="167">
        <f t="shared" si="4"/>
        <v>12273</v>
      </c>
      <c r="F42" s="168">
        <f t="shared" si="0"/>
        <v>41773</v>
      </c>
      <c r="G42" s="165" t="s">
        <v>83</v>
      </c>
      <c r="H42" s="174">
        <f>+H40/2</f>
        <v>17300</v>
      </c>
      <c r="K42" s="171">
        <f t="shared" si="9"/>
        <v>4</v>
      </c>
      <c r="L42" s="153">
        <v>18671</v>
      </c>
      <c r="M42" s="153">
        <f t="shared" si="5"/>
        <v>0.42862718089990814</v>
      </c>
      <c r="N42" s="167">
        <f t="shared" si="6"/>
        <v>17903</v>
      </c>
      <c r="O42" s="167">
        <f t="shared" si="7"/>
        <v>17903</v>
      </c>
      <c r="P42" s="168">
        <f t="shared" si="1"/>
        <v>59345</v>
      </c>
      <c r="Q42" s="165" t="s">
        <v>83</v>
      </c>
      <c r="R42" s="174">
        <f>+R40/2</f>
        <v>27250</v>
      </c>
    </row>
    <row r="43" spans="1:18" ht="15.75" thickBot="1" x14ac:dyDescent="0.3">
      <c r="A43" s="171">
        <f t="shared" si="8"/>
        <v>5</v>
      </c>
      <c r="B43" s="167">
        <v>15658</v>
      </c>
      <c r="C43" s="153">
        <f t="shared" si="2"/>
        <v>0.35945821854912763</v>
      </c>
      <c r="D43" s="167">
        <f t="shared" si="3"/>
        <v>14287</v>
      </c>
      <c r="E43" s="167">
        <f t="shared" si="4"/>
        <v>14287</v>
      </c>
      <c r="F43" s="168">
        <f t="shared" si="0"/>
        <v>56060</v>
      </c>
      <c r="G43" s="175">
        <f>+(A41-A40)/(F41-F40)*(H42-F40)+A40</f>
        <v>1.8924697017838501</v>
      </c>
      <c r="H43" s="176"/>
      <c r="K43" s="171">
        <f t="shared" si="9"/>
        <v>5</v>
      </c>
      <c r="L43" s="167">
        <v>20265</v>
      </c>
      <c r="M43" s="153">
        <f t="shared" si="5"/>
        <v>0.46522038567493118</v>
      </c>
      <c r="N43" s="167">
        <f t="shared" si="6"/>
        <v>19468</v>
      </c>
      <c r="O43" s="167">
        <f t="shared" si="7"/>
        <v>19468</v>
      </c>
      <c r="P43" s="168">
        <f t="shared" si="1"/>
        <v>78813</v>
      </c>
      <c r="Q43" s="175">
        <f>+(K41-K40)/(P41-P40)*(R42-P40)+K40</f>
        <v>2.095099945802914</v>
      </c>
      <c r="R43" s="176"/>
    </row>
    <row r="44" spans="1:18" x14ac:dyDescent="0.25">
      <c r="A44" s="171">
        <v>6</v>
      </c>
      <c r="B44" s="153">
        <v>17114</v>
      </c>
      <c r="C44" s="153">
        <f t="shared" si="2"/>
        <v>0.39288337924701561</v>
      </c>
      <c r="D44" s="167">
        <f t="shared" ref="D44" si="10">(B44+B43)/2</f>
        <v>16386</v>
      </c>
      <c r="E44" s="167">
        <f t="shared" ref="E44" si="11">(A44-A43)*D44</f>
        <v>16386</v>
      </c>
      <c r="F44" s="168">
        <f t="shared" ref="F44" si="12">E44+F43</f>
        <v>72446</v>
      </c>
      <c r="G44" s="177"/>
      <c r="H44" s="19"/>
      <c r="K44" s="171"/>
      <c r="L44" s="153"/>
      <c r="M44" s="153"/>
      <c r="N44" s="167"/>
      <c r="O44" s="167"/>
      <c r="P44" s="168"/>
      <c r="Q44" s="177"/>
      <c r="R44" s="19"/>
    </row>
    <row r="45" spans="1:18" ht="15.75" thickBot="1" x14ac:dyDescent="0.3">
      <c r="A45" s="178"/>
      <c r="B45" s="157"/>
      <c r="C45" s="157"/>
      <c r="D45" s="179"/>
      <c r="E45" s="179"/>
      <c r="F45" s="180"/>
      <c r="G45" s="19"/>
      <c r="H45" s="19"/>
      <c r="K45" s="178"/>
      <c r="L45" s="157"/>
      <c r="M45" s="157"/>
      <c r="N45" s="179"/>
      <c r="O45" s="179"/>
      <c r="P45" s="180"/>
      <c r="Q45" s="19"/>
      <c r="R45" s="19"/>
    </row>
    <row r="46" spans="1:18" x14ac:dyDescent="0.25">
      <c r="A46" s="152"/>
      <c r="B46" s="152"/>
      <c r="C46" s="152"/>
      <c r="D46" s="181"/>
      <c r="E46" s="181"/>
      <c r="F46" s="181"/>
      <c r="G46" s="19"/>
      <c r="H46" s="19"/>
      <c r="K46" s="152"/>
      <c r="L46" s="152"/>
      <c r="M46" s="152"/>
      <c r="N46" s="181"/>
      <c r="O46" s="181"/>
      <c r="P46" s="181"/>
      <c r="Q46" s="19"/>
      <c r="R46" s="19"/>
    </row>
  </sheetData>
  <mergeCells count="8">
    <mergeCell ref="A37:F37"/>
    <mergeCell ref="K37:P37"/>
    <mergeCell ref="A34:A35"/>
    <mergeCell ref="B34:B35"/>
    <mergeCell ref="C34:C35"/>
    <mergeCell ref="K34:K35"/>
    <mergeCell ref="L34:L35"/>
    <mergeCell ref="M34:M3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/>
  </sheetViews>
  <sheetFormatPr defaultRowHeight="15" x14ac:dyDescent="0.25"/>
  <cols>
    <col min="1" max="1" width="9.140625" customWidth="1"/>
    <col min="2" max="2" width="11.7109375" customWidth="1"/>
    <col min="4" max="4" width="11.28515625" customWidth="1"/>
    <col min="5" max="5" width="11.5703125" customWidth="1"/>
    <col min="6" max="6" width="11.28515625" customWidth="1"/>
    <col min="7" max="7" width="10.7109375" customWidth="1"/>
    <col min="12" max="12" width="52.28515625" customWidth="1"/>
  </cols>
  <sheetData>
    <row r="1" spans="2:12" x14ac:dyDescent="0.25">
      <c r="E1" t="s">
        <v>56</v>
      </c>
      <c r="F1" t="s">
        <v>130</v>
      </c>
      <c r="G1" t="s">
        <v>57</v>
      </c>
    </row>
    <row r="2" spans="2:12" x14ac:dyDescent="0.25">
      <c r="E2" s="148">
        <f>+SUM(E9:E36)</f>
        <v>1.0490817263544536</v>
      </c>
      <c r="F2" s="148">
        <f>+SUM(E38:E40)</f>
        <v>0</v>
      </c>
      <c r="G2" s="148">
        <f>+SUM(E42:E69)</f>
        <v>3.8528673094582184</v>
      </c>
    </row>
    <row r="3" spans="2:12" x14ac:dyDescent="0.25">
      <c r="B3" s="121" t="s">
        <v>85</v>
      </c>
      <c r="C3" s="121"/>
      <c r="E3" s="148"/>
      <c r="F3" s="182"/>
      <c r="G3" s="183"/>
      <c r="H3" s="140"/>
      <c r="I3" s="184"/>
      <c r="J3" s="185"/>
      <c r="K3" s="186"/>
    </row>
    <row r="4" spans="2:12" x14ac:dyDescent="0.25">
      <c r="B4" s="121" t="s">
        <v>86</v>
      </c>
      <c r="C4" s="121"/>
      <c r="E4" s="148"/>
      <c r="F4" s="182"/>
      <c r="G4" s="183"/>
      <c r="H4" s="140"/>
      <c r="I4" s="184"/>
      <c r="J4" s="185"/>
      <c r="K4" s="186"/>
    </row>
    <row r="5" spans="2:12" x14ac:dyDescent="0.25">
      <c r="B5" s="187" t="s">
        <v>87</v>
      </c>
      <c r="C5" s="121"/>
      <c r="E5" s="148"/>
      <c r="F5" s="182"/>
      <c r="G5" s="183"/>
      <c r="H5" s="140"/>
      <c r="I5" s="184"/>
      <c r="J5" s="185"/>
      <c r="K5" s="186"/>
    </row>
    <row r="6" spans="2:12" x14ac:dyDescent="0.25">
      <c r="B6" s="352" t="s">
        <v>88</v>
      </c>
      <c r="C6" s="345" t="s">
        <v>89</v>
      </c>
      <c r="D6" s="345" t="s">
        <v>90</v>
      </c>
      <c r="E6" s="353" t="s">
        <v>91</v>
      </c>
      <c r="F6" s="345" t="s">
        <v>92</v>
      </c>
      <c r="G6" s="345" t="s">
        <v>93</v>
      </c>
      <c r="H6" s="345" t="s">
        <v>94</v>
      </c>
      <c r="I6" s="345" t="s">
        <v>64</v>
      </c>
      <c r="J6" s="345" t="s">
        <v>95</v>
      </c>
      <c r="K6" s="345" t="s">
        <v>96</v>
      </c>
      <c r="L6" s="348" t="s">
        <v>21</v>
      </c>
    </row>
    <row r="7" spans="2:12" x14ac:dyDescent="0.25">
      <c r="B7" s="346"/>
      <c r="C7" s="346"/>
      <c r="D7" s="346"/>
      <c r="E7" s="354"/>
      <c r="F7" s="346"/>
      <c r="G7" s="346"/>
      <c r="H7" s="346"/>
      <c r="I7" s="346"/>
      <c r="J7" s="346"/>
      <c r="K7" s="346"/>
      <c r="L7" s="349"/>
    </row>
    <row r="8" spans="2:12" x14ac:dyDescent="0.25">
      <c r="B8" s="347"/>
      <c r="C8" s="347"/>
      <c r="D8" s="347"/>
      <c r="E8" s="355"/>
      <c r="F8" s="347"/>
      <c r="G8" s="347"/>
      <c r="H8" s="347"/>
      <c r="I8" s="347"/>
      <c r="J8" s="347"/>
      <c r="K8" s="347"/>
      <c r="L8" s="350"/>
    </row>
    <row r="9" spans="2:12" x14ac:dyDescent="0.25">
      <c r="B9" s="339" t="s">
        <v>97</v>
      </c>
      <c r="C9" s="188" t="s">
        <v>98</v>
      </c>
      <c r="D9" s="189">
        <v>1</v>
      </c>
      <c r="E9" s="190"/>
      <c r="F9" s="205">
        <v>15071.759999999998</v>
      </c>
      <c r="G9" s="191">
        <f t="shared" ref="G9:G28" si="0">+F9</f>
        <v>15071.759999999998</v>
      </c>
      <c r="H9" s="189">
        <f t="shared" ref="H9:H36" si="1">+F9/G9</f>
        <v>1</v>
      </c>
      <c r="I9" s="189">
        <f>0.858-0.78+0.774+0.04</f>
        <v>0.89200000000000002</v>
      </c>
      <c r="J9" s="192">
        <f t="shared" ref="J9:J27" si="2">+(D9*(G9*I9))/689</f>
        <v>19.512351117561682</v>
      </c>
      <c r="K9" s="193">
        <f>(ROUNDUP((+J9/4),0))*4</f>
        <v>20</v>
      </c>
      <c r="L9" s="195" t="s">
        <v>122</v>
      </c>
    </row>
    <row r="10" spans="2:12" x14ac:dyDescent="0.25">
      <c r="B10" s="341"/>
      <c r="C10" s="194" t="s">
        <v>99</v>
      </c>
      <c r="D10" s="189">
        <v>1</v>
      </c>
      <c r="E10" s="190"/>
      <c r="F10" s="205">
        <v>5854.4639999999999</v>
      </c>
      <c r="G10" s="191">
        <f t="shared" ref="G10" si="3">+F10</f>
        <v>5854.4639999999999</v>
      </c>
      <c r="H10" s="189">
        <f t="shared" si="1"/>
        <v>1</v>
      </c>
      <c r="I10" s="189">
        <f t="shared" ref="I10:I57" si="4">0.858-0.78+0.774+0.04</f>
        <v>0.89200000000000002</v>
      </c>
      <c r="J10" s="192">
        <f t="shared" si="2"/>
        <v>7.5793641335268509</v>
      </c>
      <c r="K10" s="193">
        <f>(ROUNDUP((+J10/4),0))*4</f>
        <v>8</v>
      </c>
      <c r="L10" s="195" t="s">
        <v>122</v>
      </c>
    </row>
    <row r="11" spans="2:12" x14ac:dyDescent="0.25">
      <c r="B11" s="339" t="s">
        <v>100</v>
      </c>
      <c r="C11" s="188" t="s">
        <v>98</v>
      </c>
      <c r="D11" s="189">
        <v>1</v>
      </c>
      <c r="E11" s="190"/>
      <c r="F11" s="205">
        <v>2613.6</v>
      </c>
      <c r="G11" s="191">
        <f t="shared" si="0"/>
        <v>2613.6</v>
      </c>
      <c r="H11" s="189">
        <f t="shared" si="1"/>
        <v>1</v>
      </c>
      <c r="I11" s="189">
        <f t="shared" si="4"/>
        <v>0.89200000000000002</v>
      </c>
      <c r="J11" s="192">
        <f t="shared" si="2"/>
        <v>3.3836447024673442</v>
      </c>
      <c r="K11" s="193">
        <f>(ROUNDUP((+J11/4),0))*4</f>
        <v>4</v>
      </c>
      <c r="L11" s="195" t="s">
        <v>122</v>
      </c>
    </row>
    <row r="12" spans="2:12" x14ac:dyDescent="0.25">
      <c r="B12" s="341"/>
      <c r="C12" s="194" t="s">
        <v>99</v>
      </c>
      <c r="D12" s="189">
        <v>1</v>
      </c>
      <c r="E12" s="190"/>
      <c r="F12" s="191">
        <v>2250</v>
      </c>
      <c r="G12" s="191">
        <f t="shared" si="0"/>
        <v>2250</v>
      </c>
      <c r="H12" s="189">
        <f t="shared" si="1"/>
        <v>1</v>
      </c>
      <c r="I12" s="189">
        <f t="shared" si="4"/>
        <v>0.89200000000000002</v>
      </c>
      <c r="J12" s="192">
        <f t="shared" si="2"/>
        <v>2.9129172714078373</v>
      </c>
      <c r="K12" s="193">
        <f>(ROUNDUP((+J12/4),0))*4</f>
        <v>4</v>
      </c>
      <c r="L12" s="195" t="s">
        <v>122</v>
      </c>
    </row>
    <row r="13" spans="2:12" x14ac:dyDescent="0.25">
      <c r="B13" s="339" t="s">
        <v>101</v>
      </c>
      <c r="C13" s="188" t="s">
        <v>98</v>
      </c>
      <c r="D13" s="189">
        <v>1</v>
      </c>
      <c r="E13" s="190"/>
      <c r="F13" s="191">
        <v>716</v>
      </c>
      <c r="G13" s="191">
        <f t="shared" si="0"/>
        <v>716</v>
      </c>
      <c r="H13" s="189">
        <f t="shared" si="1"/>
        <v>1</v>
      </c>
      <c r="I13" s="189">
        <f t="shared" si="4"/>
        <v>0.89200000000000002</v>
      </c>
      <c r="J13" s="192">
        <f t="shared" si="2"/>
        <v>0.92695500725689406</v>
      </c>
      <c r="K13" s="193"/>
      <c r="L13" s="342" t="s">
        <v>102</v>
      </c>
    </row>
    <row r="14" spans="2:12" x14ac:dyDescent="0.25">
      <c r="B14" s="351"/>
      <c r="C14" s="194" t="s">
        <v>99</v>
      </c>
      <c r="D14" s="189">
        <v>1</v>
      </c>
      <c r="E14" s="190"/>
      <c r="F14" s="191">
        <v>719</v>
      </c>
      <c r="G14" s="191">
        <f t="shared" si="0"/>
        <v>719</v>
      </c>
      <c r="H14" s="189">
        <f t="shared" si="1"/>
        <v>1</v>
      </c>
      <c r="I14" s="189">
        <f t="shared" si="4"/>
        <v>0.89200000000000002</v>
      </c>
      <c r="J14" s="192">
        <f t="shared" si="2"/>
        <v>0.93083889695210442</v>
      </c>
      <c r="K14" s="193"/>
      <c r="L14" s="343"/>
    </row>
    <row r="15" spans="2:12" x14ac:dyDescent="0.25">
      <c r="B15" s="351"/>
      <c r="C15" s="188" t="s">
        <v>98</v>
      </c>
      <c r="D15" s="189">
        <v>1</v>
      </c>
      <c r="E15" s="190"/>
      <c r="F15" s="191">
        <v>784</v>
      </c>
      <c r="G15" s="191">
        <f t="shared" si="0"/>
        <v>784</v>
      </c>
      <c r="H15" s="189">
        <f t="shared" si="1"/>
        <v>1</v>
      </c>
      <c r="I15" s="189">
        <f t="shared" si="4"/>
        <v>0.89200000000000002</v>
      </c>
      <c r="J15" s="192">
        <f t="shared" si="2"/>
        <v>1.0149898403483308</v>
      </c>
      <c r="K15" s="193"/>
      <c r="L15" s="343"/>
    </row>
    <row r="16" spans="2:12" x14ac:dyDescent="0.25">
      <c r="B16" s="341"/>
      <c r="C16" s="194" t="s">
        <v>99</v>
      </c>
      <c r="D16" s="189">
        <v>1</v>
      </c>
      <c r="E16" s="190"/>
      <c r="F16" s="191">
        <v>784</v>
      </c>
      <c r="G16" s="191">
        <f t="shared" si="0"/>
        <v>784</v>
      </c>
      <c r="H16" s="189">
        <f t="shared" si="1"/>
        <v>1</v>
      </c>
      <c r="I16" s="189">
        <f t="shared" si="4"/>
        <v>0.89200000000000002</v>
      </c>
      <c r="J16" s="192">
        <f t="shared" si="2"/>
        <v>1.0149898403483308</v>
      </c>
      <c r="K16" s="193"/>
      <c r="L16" s="344"/>
    </row>
    <row r="17" spans="2:12" x14ac:dyDescent="0.25">
      <c r="B17" s="339" t="s">
        <v>103</v>
      </c>
      <c r="C17" s="188" t="s">
        <v>98</v>
      </c>
      <c r="D17" s="189">
        <v>1</v>
      </c>
      <c r="E17" s="190"/>
      <c r="F17" s="191">
        <v>1875</v>
      </c>
      <c r="G17" s="191">
        <f t="shared" si="0"/>
        <v>1875</v>
      </c>
      <c r="H17" s="189">
        <f t="shared" si="1"/>
        <v>1</v>
      </c>
      <c r="I17" s="189">
        <f t="shared" si="4"/>
        <v>0.89200000000000002</v>
      </c>
      <c r="J17" s="192">
        <f t="shared" si="2"/>
        <v>2.4274310595065312</v>
      </c>
      <c r="K17" s="193">
        <f t="shared" ref="K17:K36" si="5">(ROUNDUP((+J17/4),0))*4</f>
        <v>4</v>
      </c>
      <c r="L17" s="195" t="s">
        <v>123</v>
      </c>
    </row>
    <row r="18" spans="2:12" x14ac:dyDescent="0.25">
      <c r="B18" s="341"/>
      <c r="C18" s="194" t="s">
        <v>99</v>
      </c>
      <c r="D18" s="189">
        <v>1</v>
      </c>
      <c r="E18" s="190"/>
      <c r="F18" s="191">
        <v>1875</v>
      </c>
      <c r="G18" s="191">
        <f t="shared" si="0"/>
        <v>1875</v>
      </c>
      <c r="H18" s="189">
        <f t="shared" si="1"/>
        <v>1</v>
      </c>
      <c r="I18" s="189">
        <f t="shared" si="4"/>
        <v>0.89200000000000002</v>
      </c>
      <c r="J18" s="192">
        <f t="shared" si="2"/>
        <v>2.4274310595065312</v>
      </c>
      <c r="K18" s="193">
        <f t="shared" si="5"/>
        <v>4</v>
      </c>
      <c r="L18" s="195" t="s">
        <v>123</v>
      </c>
    </row>
    <row r="19" spans="2:12" x14ac:dyDescent="0.25">
      <c r="B19" s="339" t="s">
        <v>104</v>
      </c>
      <c r="C19" s="188" t="s">
        <v>98</v>
      </c>
      <c r="D19" s="189">
        <v>1</v>
      </c>
      <c r="E19" s="190"/>
      <c r="F19" s="191">
        <v>1742</v>
      </c>
      <c r="G19" s="191">
        <f t="shared" si="0"/>
        <v>1742</v>
      </c>
      <c r="H19" s="189">
        <f t="shared" si="1"/>
        <v>1</v>
      </c>
      <c r="I19" s="189">
        <f t="shared" si="4"/>
        <v>0.89200000000000002</v>
      </c>
      <c r="J19" s="192">
        <f t="shared" si="2"/>
        <v>2.2552452830188678</v>
      </c>
      <c r="K19" s="193">
        <f t="shared" si="5"/>
        <v>4</v>
      </c>
      <c r="L19" s="195" t="s">
        <v>123</v>
      </c>
    </row>
    <row r="20" spans="2:12" x14ac:dyDescent="0.25">
      <c r="B20" s="341"/>
      <c r="C20" s="194" t="s">
        <v>99</v>
      </c>
      <c r="D20" s="189">
        <v>1</v>
      </c>
      <c r="E20" s="190"/>
      <c r="F20" s="191">
        <v>1742</v>
      </c>
      <c r="G20" s="191">
        <f t="shared" si="0"/>
        <v>1742</v>
      </c>
      <c r="H20" s="189">
        <f t="shared" si="1"/>
        <v>1</v>
      </c>
      <c r="I20" s="189">
        <f t="shared" si="4"/>
        <v>0.89200000000000002</v>
      </c>
      <c r="J20" s="192">
        <f t="shared" si="2"/>
        <v>2.2552452830188678</v>
      </c>
      <c r="K20" s="193">
        <f t="shared" si="5"/>
        <v>4</v>
      </c>
      <c r="L20" s="195" t="s">
        <v>123</v>
      </c>
    </row>
    <row r="21" spans="2:12" x14ac:dyDescent="0.25">
      <c r="B21" s="339" t="s">
        <v>105</v>
      </c>
      <c r="C21" s="188" t="s">
        <v>98</v>
      </c>
      <c r="D21" s="189">
        <v>1</v>
      </c>
      <c r="E21" s="190">
        <v>0.09</v>
      </c>
      <c r="F21" s="191">
        <f t="shared" ref="F21:F26" si="6">+E21*43560</f>
        <v>3920.3999999999996</v>
      </c>
      <c r="G21" s="191">
        <f t="shared" si="0"/>
        <v>3920.3999999999996</v>
      </c>
      <c r="H21" s="189">
        <f t="shared" si="1"/>
        <v>1</v>
      </c>
      <c r="I21" s="189">
        <f t="shared" si="4"/>
        <v>0.89200000000000002</v>
      </c>
      <c r="J21" s="192">
        <f t="shared" si="2"/>
        <v>5.0754670537010158</v>
      </c>
      <c r="K21" s="193">
        <f t="shared" si="5"/>
        <v>8</v>
      </c>
      <c r="L21" s="195" t="s">
        <v>159</v>
      </c>
    </row>
    <row r="22" spans="2:12" x14ac:dyDescent="0.25">
      <c r="B22" s="341"/>
      <c r="C22" s="194" t="s">
        <v>99</v>
      </c>
      <c r="D22" s="189">
        <v>1</v>
      </c>
      <c r="E22" s="190">
        <v>0.09</v>
      </c>
      <c r="F22" s="191">
        <f t="shared" si="6"/>
        <v>3920.3999999999996</v>
      </c>
      <c r="G22" s="191">
        <f t="shared" si="0"/>
        <v>3920.3999999999996</v>
      </c>
      <c r="H22" s="189">
        <f t="shared" si="1"/>
        <v>1</v>
      </c>
      <c r="I22" s="189">
        <f t="shared" si="4"/>
        <v>0.89200000000000002</v>
      </c>
      <c r="J22" s="192">
        <f t="shared" si="2"/>
        <v>5.0754670537010158</v>
      </c>
      <c r="K22" s="193">
        <f t="shared" si="5"/>
        <v>8</v>
      </c>
      <c r="L22" s="195" t="s">
        <v>159</v>
      </c>
    </row>
    <row r="23" spans="2:12" x14ac:dyDescent="0.25">
      <c r="B23" s="339" t="s">
        <v>106</v>
      </c>
      <c r="C23" s="188" t="s">
        <v>98</v>
      </c>
      <c r="D23" s="189">
        <v>1</v>
      </c>
      <c r="E23" s="190">
        <v>0.09</v>
      </c>
      <c r="F23" s="191">
        <f t="shared" si="6"/>
        <v>3920.3999999999996</v>
      </c>
      <c r="G23" s="191">
        <f t="shared" si="0"/>
        <v>3920.3999999999996</v>
      </c>
      <c r="H23" s="189">
        <f t="shared" si="1"/>
        <v>1</v>
      </c>
      <c r="I23" s="189">
        <f t="shared" si="4"/>
        <v>0.89200000000000002</v>
      </c>
      <c r="J23" s="192">
        <f t="shared" si="2"/>
        <v>5.0754670537010158</v>
      </c>
      <c r="K23" s="193">
        <f t="shared" si="5"/>
        <v>8</v>
      </c>
      <c r="L23" s="195" t="s">
        <v>159</v>
      </c>
    </row>
    <row r="24" spans="2:12" x14ac:dyDescent="0.25">
      <c r="B24" s="341"/>
      <c r="C24" s="194" t="s">
        <v>99</v>
      </c>
      <c r="D24" s="189">
        <v>1</v>
      </c>
      <c r="E24" s="190">
        <v>0.09</v>
      </c>
      <c r="F24" s="191">
        <f t="shared" si="6"/>
        <v>3920.3999999999996</v>
      </c>
      <c r="G24" s="191">
        <f t="shared" si="0"/>
        <v>3920.3999999999996</v>
      </c>
      <c r="H24" s="189">
        <f t="shared" si="1"/>
        <v>1</v>
      </c>
      <c r="I24" s="189">
        <f t="shared" si="4"/>
        <v>0.89200000000000002</v>
      </c>
      <c r="J24" s="192">
        <f t="shared" si="2"/>
        <v>5.0754670537010158</v>
      </c>
      <c r="K24" s="193">
        <f t="shared" si="5"/>
        <v>8</v>
      </c>
      <c r="L24" s="195"/>
    </row>
    <row r="25" spans="2:12" x14ac:dyDescent="0.25">
      <c r="B25" s="339" t="s">
        <v>107</v>
      </c>
      <c r="C25" s="188" t="s">
        <v>98</v>
      </c>
      <c r="D25" s="189">
        <v>1</v>
      </c>
      <c r="E25" s="190">
        <v>0.17</v>
      </c>
      <c r="F25" s="191">
        <f t="shared" si="6"/>
        <v>7405.2000000000007</v>
      </c>
      <c r="G25" s="191">
        <f t="shared" si="0"/>
        <v>7405.2000000000007</v>
      </c>
      <c r="H25" s="189">
        <f t="shared" si="1"/>
        <v>1</v>
      </c>
      <c r="I25" s="189">
        <f t="shared" si="4"/>
        <v>0.89200000000000002</v>
      </c>
      <c r="J25" s="192">
        <f t="shared" si="2"/>
        <v>9.5869933236574756</v>
      </c>
      <c r="K25" s="193">
        <f t="shared" si="5"/>
        <v>12</v>
      </c>
      <c r="L25" s="195"/>
    </row>
    <row r="26" spans="2:12" x14ac:dyDescent="0.25">
      <c r="B26" s="341"/>
      <c r="C26" s="194" t="s">
        <v>99</v>
      </c>
      <c r="D26" s="189">
        <v>1</v>
      </c>
      <c r="E26" s="190">
        <v>0.17</v>
      </c>
      <c r="F26" s="191">
        <f t="shared" si="6"/>
        <v>7405.2000000000007</v>
      </c>
      <c r="G26" s="191">
        <f t="shared" si="0"/>
        <v>7405.2000000000007</v>
      </c>
      <c r="H26" s="189">
        <f t="shared" si="1"/>
        <v>1</v>
      </c>
      <c r="I26" s="189">
        <f t="shared" si="4"/>
        <v>0.89200000000000002</v>
      </c>
      <c r="J26" s="192">
        <f t="shared" si="2"/>
        <v>9.5869933236574756</v>
      </c>
      <c r="K26" s="193">
        <f t="shared" si="5"/>
        <v>12</v>
      </c>
      <c r="L26" s="195"/>
    </row>
    <row r="27" spans="2:12" x14ac:dyDescent="0.25">
      <c r="B27" s="339" t="s">
        <v>108</v>
      </c>
      <c r="C27" s="188" t="s">
        <v>98</v>
      </c>
      <c r="D27" s="189">
        <v>1</v>
      </c>
      <c r="E27" s="190">
        <f t="shared" ref="E27:E28" si="7">+F27/43560</f>
        <v>0.17454086317722681</v>
      </c>
      <c r="F27" s="191">
        <v>7603</v>
      </c>
      <c r="G27" s="191">
        <f t="shared" si="0"/>
        <v>7603</v>
      </c>
      <c r="H27" s="189">
        <f t="shared" si="1"/>
        <v>1</v>
      </c>
      <c r="I27" s="189">
        <f t="shared" si="4"/>
        <v>0.89200000000000002</v>
      </c>
      <c r="J27" s="192">
        <f t="shared" si="2"/>
        <v>9.8430711175616832</v>
      </c>
      <c r="K27" s="193">
        <f t="shared" si="5"/>
        <v>12</v>
      </c>
      <c r="L27" s="195"/>
    </row>
    <row r="28" spans="2:12" x14ac:dyDescent="0.25">
      <c r="B28" s="341"/>
      <c r="C28" s="194" t="s">
        <v>99</v>
      </c>
      <c r="D28" s="189">
        <v>1</v>
      </c>
      <c r="E28" s="190">
        <f t="shared" si="7"/>
        <v>0.17454086317722681</v>
      </c>
      <c r="F28" s="191">
        <v>7603</v>
      </c>
      <c r="G28" s="191">
        <f t="shared" si="0"/>
        <v>7603</v>
      </c>
      <c r="H28" s="189">
        <f t="shared" si="1"/>
        <v>1</v>
      </c>
      <c r="I28" s="189">
        <f t="shared" si="4"/>
        <v>0.89200000000000002</v>
      </c>
      <c r="J28" s="192">
        <f>+(D28*(G28*I28))/689</f>
        <v>9.8430711175616832</v>
      </c>
      <c r="K28" s="193">
        <f t="shared" si="5"/>
        <v>12</v>
      </c>
      <c r="L28" s="195"/>
    </row>
    <row r="29" spans="2:12" ht="29.25" customHeight="1" x14ac:dyDescent="0.25">
      <c r="B29" s="209" t="s">
        <v>109</v>
      </c>
      <c r="C29" s="196" t="s">
        <v>98</v>
      </c>
      <c r="D29" s="196">
        <v>1</v>
      </c>
      <c r="E29" s="197"/>
      <c r="F29" s="198">
        <v>5011.92</v>
      </c>
      <c r="G29" s="198">
        <f t="shared" ref="G29:G36" si="8">F29</f>
        <v>5011.92</v>
      </c>
      <c r="H29" s="189">
        <f t="shared" si="1"/>
        <v>1</v>
      </c>
      <c r="I29" s="189">
        <f t="shared" si="4"/>
        <v>0.89200000000000002</v>
      </c>
      <c r="J29" s="199">
        <f t="shared" ref="J29:J36" si="9">+(D29*(G29*I29))/689</f>
        <v>6.4885814804063857</v>
      </c>
      <c r="K29" s="200">
        <f t="shared" si="5"/>
        <v>8</v>
      </c>
      <c r="L29" s="201" t="s">
        <v>110</v>
      </c>
    </row>
    <row r="30" spans="2:12" ht="29.25" customHeight="1" x14ac:dyDescent="0.25">
      <c r="B30" s="210" t="s">
        <v>111</v>
      </c>
      <c r="C30" s="196" t="s">
        <v>99</v>
      </c>
      <c r="D30" s="196">
        <v>1</v>
      </c>
      <c r="E30" s="197"/>
      <c r="F30" s="198">
        <v>5715.7</v>
      </c>
      <c r="G30" s="198">
        <f t="shared" si="8"/>
        <v>5715.7</v>
      </c>
      <c r="H30" s="189">
        <f t="shared" si="1"/>
        <v>1</v>
      </c>
      <c r="I30" s="189">
        <f t="shared" si="4"/>
        <v>0.89200000000000002</v>
      </c>
      <c r="J30" s="199">
        <f t="shared" si="9"/>
        <v>7.3997161103047899</v>
      </c>
      <c r="K30" s="200">
        <f t="shared" si="5"/>
        <v>8</v>
      </c>
      <c r="L30" s="202" t="s">
        <v>112</v>
      </c>
    </row>
    <row r="31" spans="2:12" ht="29.25" customHeight="1" x14ac:dyDescent="0.25">
      <c r="B31" s="203" t="s">
        <v>113</v>
      </c>
      <c r="C31" s="188"/>
      <c r="D31" s="204"/>
      <c r="E31" s="190"/>
      <c r="F31" s="205"/>
      <c r="G31" s="205"/>
      <c r="H31" s="189"/>
      <c r="I31" s="189"/>
      <c r="J31" s="199"/>
      <c r="K31" s="200"/>
      <c r="L31" s="201" t="s">
        <v>114</v>
      </c>
    </row>
    <row r="32" spans="2:12" ht="29.25" customHeight="1" x14ac:dyDescent="0.25">
      <c r="B32" s="203" t="s">
        <v>115</v>
      </c>
      <c r="C32" s="188" t="s">
        <v>99</v>
      </c>
      <c r="D32" s="204">
        <v>1</v>
      </c>
      <c r="E32" s="190"/>
      <c r="F32" s="205">
        <v>12632</v>
      </c>
      <c r="G32" s="205">
        <f t="shared" si="8"/>
        <v>12632</v>
      </c>
      <c r="H32" s="189">
        <f t="shared" si="1"/>
        <v>1</v>
      </c>
      <c r="I32" s="189">
        <f t="shared" si="4"/>
        <v>0.89200000000000002</v>
      </c>
      <c r="J32" s="199">
        <f t="shared" si="9"/>
        <v>16.353764876632802</v>
      </c>
      <c r="K32" s="200">
        <f t="shared" si="5"/>
        <v>20</v>
      </c>
      <c r="L32" s="201" t="s">
        <v>120</v>
      </c>
    </row>
    <row r="33" spans="1:12" ht="29.25" customHeight="1" x14ac:dyDescent="0.25">
      <c r="B33" s="211" t="s">
        <v>116</v>
      </c>
      <c r="C33" s="86" t="s">
        <v>98</v>
      </c>
      <c r="D33" s="86">
        <v>1</v>
      </c>
      <c r="E33" s="206"/>
      <c r="F33" s="205">
        <v>12632.4</v>
      </c>
      <c r="G33" s="205">
        <f>F33</f>
        <v>12632.4</v>
      </c>
      <c r="H33" s="189">
        <f>+F33/G33</f>
        <v>1</v>
      </c>
      <c r="I33" s="189">
        <f t="shared" si="4"/>
        <v>0.89200000000000002</v>
      </c>
      <c r="J33" s="199">
        <f>+(D33*(G33*I33))/689</f>
        <v>16.354282728592164</v>
      </c>
      <c r="K33" s="200">
        <f>(ROUNDUP((+J33/4),0))*4</f>
        <v>20</v>
      </c>
      <c r="L33" s="201" t="s">
        <v>120</v>
      </c>
    </row>
    <row r="34" spans="1:12" ht="29.25" customHeight="1" x14ac:dyDescent="0.25">
      <c r="B34" s="211" t="s">
        <v>117</v>
      </c>
      <c r="C34" s="207" t="s">
        <v>99</v>
      </c>
      <c r="D34" s="86">
        <v>1</v>
      </c>
      <c r="E34" s="206"/>
      <c r="F34" s="205">
        <v>25264.799999999999</v>
      </c>
      <c r="G34" s="205">
        <f>F34</f>
        <v>25264.799999999999</v>
      </c>
      <c r="H34" s="189">
        <f>+F34/G34</f>
        <v>1</v>
      </c>
      <c r="I34" s="189">
        <f t="shared" si="4"/>
        <v>0.89200000000000002</v>
      </c>
      <c r="J34" s="199">
        <f>+(D34*(G34*I34))/689</f>
        <v>32.708565457184328</v>
      </c>
      <c r="K34" s="200">
        <f>(ROUNDUP((+J34/4),0))*4</f>
        <v>36</v>
      </c>
      <c r="L34" s="201" t="s">
        <v>120</v>
      </c>
    </row>
    <row r="35" spans="1:12" ht="29.25" customHeight="1" x14ac:dyDescent="0.25">
      <c r="B35" s="203" t="s">
        <v>118</v>
      </c>
      <c r="C35" s="188" t="s">
        <v>99</v>
      </c>
      <c r="D35" s="204">
        <v>1</v>
      </c>
      <c r="E35" s="208"/>
      <c r="F35" s="205">
        <v>2614</v>
      </c>
      <c r="G35" s="205">
        <f t="shared" si="8"/>
        <v>2614</v>
      </c>
      <c r="H35" s="189">
        <f t="shared" si="1"/>
        <v>1</v>
      </c>
      <c r="I35" s="189">
        <f t="shared" si="4"/>
        <v>0.89200000000000002</v>
      </c>
      <c r="J35" s="199">
        <f t="shared" si="9"/>
        <v>3.3841625544267053</v>
      </c>
      <c r="K35" s="200">
        <f t="shared" si="5"/>
        <v>4</v>
      </c>
      <c r="L35" s="201" t="s">
        <v>121</v>
      </c>
    </row>
    <row r="36" spans="1:12" ht="29.25" customHeight="1" x14ac:dyDescent="0.25">
      <c r="B36" s="203" t="s">
        <v>119</v>
      </c>
      <c r="C36" s="188" t="s">
        <v>99</v>
      </c>
      <c r="D36" s="204">
        <v>1</v>
      </c>
      <c r="E36" s="208"/>
      <c r="F36" s="205">
        <v>3049</v>
      </c>
      <c r="G36" s="205">
        <f t="shared" si="8"/>
        <v>3049</v>
      </c>
      <c r="H36" s="189">
        <f t="shared" si="1"/>
        <v>1</v>
      </c>
      <c r="I36" s="189">
        <f t="shared" si="4"/>
        <v>0.89200000000000002</v>
      </c>
      <c r="J36" s="199">
        <f t="shared" si="9"/>
        <v>3.9473265602322209</v>
      </c>
      <c r="K36" s="200">
        <f t="shared" si="5"/>
        <v>4</v>
      </c>
      <c r="L36" s="201" t="s">
        <v>121</v>
      </c>
    </row>
    <row r="37" spans="1:12" x14ac:dyDescent="0.25">
      <c r="A37" t="s">
        <v>129</v>
      </c>
    </row>
    <row r="38" spans="1:12" x14ac:dyDescent="0.25">
      <c r="B38" s="339" t="s">
        <v>131</v>
      </c>
      <c r="C38" s="188" t="s">
        <v>98</v>
      </c>
      <c r="D38" s="189">
        <v>1</v>
      </c>
      <c r="E38" s="190"/>
      <c r="F38" s="191">
        <v>7610</v>
      </c>
      <c r="G38" s="191">
        <f t="shared" ref="G38:G40" si="10">+F38</f>
        <v>7610</v>
      </c>
      <c r="H38" s="189">
        <f t="shared" ref="H38:H40" si="11">+F38/G38</f>
        <v>1</v>
      </c>
      <c r="I38" s="189">
        <f t="shared" si="4"/>
        <v>0.89200000000000002</v>
      </c>
      <c r="J38" s="192">
        <f t="shared" ref="J38" si="12">+(D38*(G38*I38))/689</f>
        <v>9.8521335268505084</v>
      </c>
      <c r="K38" s="193">
        <f t="shared" ref="K38:K40" si="13">(ROUNDUP((+J38/4),0))*4</f>
        <v>12</v>
      </c>
      <c r="L38" s="195" t="s">
        <v>168</v>
      </c>
    </row>
    <row r="39" spans="1:12" x14ac:dyDescent="0.25">
      <c r="B39" s="340"/>
      <c r="C39" s="194" t="s">
        <v>99</v>
      </c>
      <c r="D39" s="189">
        <v>1</v>
      </c>
      <c r="E39" s="190"/>
      <c r="F39" s="191">
        <v>7610</v>
      </c>
      <c r="G39" s="191">
        <f t="shared" ref="G39" si="14">+F39</f>
        <v>7610</v>
      </c>
      <c r="H39" s="189">
        <f t="shared" ref="H39" si="15">+F39/G39</f>
        <v>1</v>
      </c>
      <c r="I39" s="189">
        <f t="shared" si="4"/>
        <v>0.89200000000000002</v>
      </c>
      <c r="J39" s="192">
        <f>+(D39*(G39*I39))/689</f>
        <v>9.8521335268505084</v>
      </c>
      <c r="K39" s="193">
        <f t="shared" ref="K39" si="16">(ROUNDUP((+J39/4),0))*4</f>
        <v>12</v>
      </c>
      <c r="L39" s="195"/>
    </row>
    <row r="40" spans="1:12" x14ac:dyDescent="0.25">
      <c r="B40" s="341"/>
      <c r="C40" s="194" t="s">
        <v>132</v>
      </c>
      <c r="D40" s="189">
        <v>1</v>
      </c>
      <c r="E40" s="190"/>
      <c r="F40" s="191">
        <v>40297</v>
      </c>
      <c r="G40" s="191">
        <f t="shared" si="10"/>
        <v>40297</v>
      </c>
      <c r="H40" s="189">
        <f t="shared" si="11"/>
        <v>1</v>
      </c>
      <c r="I40" s="189">
        <f t="shared" si="4"/>
        <v>0.89200000000000002</v>
      </c>
      <c r="J40" s="192">
        <f>+(D40*(G40*I40))/689</f>
        <v>52.169701015965167</v>
      </c>
      <c r="K40" s="193">
        <f t="shared" si="13"/>
        <v>56</v>
      </c>
      <c r="L40" s="195"/>
    </row>
    <row r="41" spans="1:12" x14ac:dyDescent="0.25">
      <c r="A41" t="s">
        <v>139</v>
      </c>
    </row>
    <row r="42" spans="1:12" x14ac:dyDescent="0.25">
      <c r="B42" s="339" t="s">
        <v>169</v>
      </c>
      <c r="C42" s="188" t="s">
        <v>98</v>
      </c>
      <c r="D42" s="189">
        <v>1</v>
      </c>
      <c r="E42" s="197">
        <f t="shared" ref="E42:E47" si="17">F42/43560</f>
        <v>6.6368227731864099E-2</v>
      </c>
      <c r="F42" s="191">
        <v>2891</v>
      </c>
      <c r="G42" s="191">
        <f t="shared" ref="G42:G43" si="18">+F42</f>
        <v>2891</v>
      </c>
      <c r="H42" s="189">
        <f t="shared" ref="H42:H43" si="19">+F42/G42</f>
        <v>1</v>
      </c>
      <c r="I42" s="189">
        <f t="shared" si="4"/>
        <v>0.89200000000000002</v>
      </c>
      <c r="J42" s="192">
        <f t="shared" ref="J42" si="20">+(D42*(G42*I42))/689</f>
        <v>3.7427750362844701</v>
      </c>
      <c r="K42" s="193">
        <f t="shared" ref="K42:K43" si="21">(ROUNDUP((+J42/4),0))*4</f>
        <v>4</v>
      </c>
      <c r="L42" s="195"/>
    </row>
    <row r="43" spans="1:12" x14ac:dyDescent="0.25">
      <c r="B43" s="340"/>
      <c r="C43" s="194" t="s">
        <v>99</v>
      </c>
      <c r="D43" s="189">
        <v>1</v>
      </c>
      <c r="E43" s="197">
        <f t="shared" si="17"/>
        <v>0.30185950413223139</v>
      </c>
      <c r="F43" s="191">
        <v>13149</v>
      </c>
      <c r="G43" s="191">
        <f t="shared" si="18"/>
        <v>13149</v>
      </c>
      <c r="H43" s="189">
        <f t="shared" si="19"/>
        <v>1</v>
      </c>
      <c r="I43" s="189">
        <f t="shared" si="4"/>
        <v>0.89200000000000002</v>
      </c>
      <c r="J43" s="192">
        <f>+(D43*(G43*I43))/689</f>
        <v>17.023088534107401</v>
      </c>
      <c r="K43" s="193">
        <f t="shared" si="21"/>
        <v>20</v>
      </c>
      <c r="L43" s="195"/>
    </row>
    <row r="44" spans="1:12" x14ac:dyDescent="0.25">
      <c r="B44" s="339" t="s">
        <v>170</v>
      </c>
      <c r="C44" s="188" t="s">
        <v>98</v>
      </c>
      <c r="D44" s="189">
        <v>1</v>
      </c>
      <c r="E44" s="197">
        <f t="shared" si="17"/>
        <v>4.0518824609733703E-2</v>
      </c>
      <c r="F44" s="191">
        <v>1765</v>
      </c>
      <c r="G44" s="191">
        <f t="shared" ref="G44:G51" si="22">+F44</f>
        <v>1765</v>
      </c>
      <c r="H44" s="189">
        <f t="shared" ref="H44:H51" si="23">+F44/G44</f>
        <v>1</v>
      </c>
      <c r="I44" s="189">
        <f t="shared" si="4"/>
        <v>0.89200000000000002</v>
      </c>
      <c r="J44" s="192">
        <f t="shared" ref="J44" si="24">+(D44*(G44*I44))/689</f>
        <v>2.2850217706821483</v>
      </c>
      <c r="K44" s="193">
        <f t="shared" ref="K44:K51" si="25">(ROUNDUP((+J44/4),0))*4</f>
        <v>4</v>
      </c>
      <c r="L44" s="195"/>
    </row>
    <row r="45" spans="1:12" x14ac:dyDescent="0.25">
      <c r="B45" s="356"/>
      <c r="C45" s="194" t="s">
        <v>99</v>
      </c>
      <c r="D45" s="189">
        <v>1</v>
      </c>
      <c r="E45" s="197">
        <f t="shared" si="17"/>
        <v>0.16797520661157025</v>
      </c>
      <c r="F45" s="191">
        <v>7317</v>
      </c>
      <c r="G45" s="191">
        <f t="shared" si="22"/>
        <v>7317</v>
      </c>
      <c r="H45" s="189">
        <f t="shared" si="23"/>
        <v>1</v>
      </c>
      <c r="I45" s="189">
        <f t="shared" si="4"/>
        <v>0.89200000000000002</v>
      </c>
      <c r="J45" s="192">
        <f>+(D45*(G45*I45))/689</f>
        <v>9.4728069666182879</v>
      </c>
      <c r="K45" s="193">
        <f t="shared" si="25"/>
        <v>12</v>
      </c>
      <c r="L45" s="195"/>
    </row>
    <row r="46" spans="1:12" x14ac:dyDescent="0.25">
      <c r="B46" s="339" t="s">
        <v>191</v>
      </c>
      <c r="C46" s="188" t="s">
        <v>98</v>
      </c>
      <c r="D46" s="189">
        <v>1</v>
      </c>
      <c r="E46" s="197">
        <f t="shared" si="17"/>
        <v>5.057392102846648E-2</v>
      </c>
      <c r="F46" s="191">
        <v>2203</v>
      </c>
      <c r="G46" s="191">
        <f t="shared" ref="G46:G47" si="26">+F46</f>
        <v>2203</v>
      </c>
      <c r="H46" s="189">
        <f t="shared" ref="H46:H47" si="27">+F46/G46</f>
        <v>1</v>
      </c>
      <c r="I46" s="189">
        <f t="shared" si="4"/>
        <v>0.89200000000000002</v>
      </c>
      <c r="J46" s="192">
        <f t="shared" ref="J46" si="28">+(D46*(G46*I46))/689</f>
        <v>2.8520696661828739</v>
      </c>
      <c r="K46" s="193">
        <f t="shared" ref="K46:K47" si="29">(ROUNDUP((+J46/4),0))*4</f>
        <v>4</v>
      </c>
      <c r="L46" s="195"/>
    </row>
    <row r="47" spans="1:12" x14ac:dyDescent="0.25">
      <c r="B47" s="356"/>
      <c r="C47" s="194" t="s">
        <v>99</v>
      </c>
      <c r="D47" s="189">
        <v>1</v>
      </c>
      <c r="E47" s="197">
        <f t="shared" si="17"/>
        <v>5.057392102846648E-2</v>
      </c>
      <c r="F47" s="191">
        <v>2203</v>
      </c>
      <c r="G47" s="191">
        <f t="shared" si="26"/>
        <v>2203</v>
      </c>
      <c r="H47" s="189">
        <f t="shared" si="27"/>
        <v>1</v>
      </c>
      <c r="I47" s="189">
        <f t="shared" si="4"/>
        <v>0.89200000000000002</v>
      </c>
      <c r="J47" s="192">
        <f>+(D47*(G47*I47))/689</f>
        <v>2.8520696661828739</v>
      </c>
      <c r="K47" s="193">
        <f t="shared" si="29"/>
        <v>4</v>
      </c>
      <c r="L47" s="195"/>
    </row>
    <row r="48" spans="1:12" x14ac:dyDescent="0.25">
      <c r="B48" s="339" t="s">
        <v>196</v>
      </c>
      <c r="C48" s="188" t="s">
        <v>98</v>
      </c>
      <c r="D48" s="189">
        <v>1</v>
      </c>
      <c r="E48" s="197">
        <f t="shared" ref="E48:E49" si="30">F48/43560</f>
        <v>0.25346648301193758</v>
      </c>
      <c r="F48" s="191">
        <v>11041</v>
      </c>
      <c r="G48" s="191">
        <f t="shared" ref="G48:G49" si="31">+F48</f>
        <v>11041</v>
      </c>
      <c r="H48" s="189">
        <f t="shared" ref="H48:H49" si="32">+F48/G48</f>
        <v>1</v>
      </c>
      <c r="I48" s="189">
        <f t="shared" si="4"/>
        <v>0.89200000000000002</v>
      </c>
      <c r="J48" s="192">
        <f t="shared" ref="J48" si="33">+(D48*(G48*I48))/689</f>
        <v>14.294008708272859</v>
      </c>
      <c r="K48" s="193">
        <f t="shared" ref="K48:K49" si="34">(ROUNDUP((+J48/4),0))*4</f>
        <v>16</v>
      </c>
      <c r="L48" s="195"/>
    </row>
    <row r="49" spans="2:12" x14ac:dyDescent="0.25">
      <c r="B49" s="356"/>
      <c r="C49" s="194" t="s">
        <v>99</v>
      </c>
      <c r="D49" s="189">
        <v>1</v>
      </c>
      <c r="E49" s="197">
        <f t="shared" si="30"/>
        <v>0.25346648301193758</v>
      </c>
      <c r="F49" s="191">
        <v>11041</v>
      </c>
      <c r="G49" s="191">
        <f t="shared" si="31"/>
        <v>11041</v>
      </c>
      <c r="H49" s="189">
        <f t="shared" si="32"/>
        <v>1</v>
      </c>
      <c r="I49" s="189">
        <f t="shared" si="4"/>
        <v>0.89200000000000002</v>
      </c>
      <c r="J49" s="192">
        <f>+(D49*(G49*I49))/689</f>
        <v>14.294008708272859</v>
      </c>
      <c r="K49" s="193">
        <f t="shared" si="34"/>
        <v>16</v>
      </c>
      <c r="L49" s="195"/>
    </row>
    <row r="50" spans="2:12" x14ac:dyDescent="0.25">
      <c r="B50" s="339" t="s">
        <v>171</v>
      </c>
      <c r="C50" s="188" t="s">
        <v>98</v>
      </c>
      <c r="D50" s="189">
        <v>1</v>
      </c>
      <c r="E50" s="197">
        <f t="shared" ref="E50:E55" si="35">F50/43560</f>
        <v>0.11701101928374656</v>
      </c>
      <c r="F50" s="191">
        <v>5097</v>
      </c>
      <c r="G50" s="191">
        <f t="shared" si="22"/>
        <v>5097</v>
      </c>
      <c r="H50" s="189">
        <f t="shared" si="23"/>
        <v>1</v>
      </c>
      <c r="I50" s="189">
        <f t="shared" si="4"/>
        <v>0.89200000000000002</v>
      </c>
      <c r="J50" s="192">
        <f t="shared" ref="J50" si="36">+(D50*(G50*I50))/689</f>
        <v>6.5987285921625549</v>
      </c>
      <c r="K50" s="193">
        <f t="shared" si="25"/>
        <v>8</v>
      </c>
      <c r="L50" s="195"/>
    </row>
    <row r="51" spans="2:12" x14ac:dyDescent="0.25">
      <c r="B51" s="340"/>
      <c r="C51" s="194" t="s">
        <v>99</v>
      </c>
      <c r="D51" s="189">
        <v>1</v>
      </c>
      <c r="E51" s="197">
        <f t="shared" si="35"/>
        <v>0.4903581267217631</v>
      </c>
      <c r="F51" s="191">
        <v>21360</v>
      </c>
      <c r="G51" s="191">
        <f t="shared" si="22"/>
        <v>21360</v>
      </c>
      <c r="H51" s="189">
        <f t="shared" si="23"/>
        <v>1</v>
      </c>
      <c r="I51" s="189">
        <f t="shared" si="4"/>
        <v>0.89200000000000002</v>
      </c>
      <c r="J51" s="192">
        <f>+(D51*(G51*I51))/689</f>
        <v>27.653294629898401</v>
      </c>
      <c r="K51" s="193">
        <f t="shared" si="25"/>
        <v>28</v>
      </c>
      <c r="L51" s="195"/>
    </row>
    <row r="52" spans="2:12" x14ac:dyDescent="0.25">
      <c r="B52" s="339" t="s">
        <v>172</v>
      </c>
      <c r="C52" s="188" t="s">
        <v>98</v>
      </c>
      <c r="D52" s="189">
        <v>1</v>
      </c>
      <c r="E52" s="197">
        <f t="shared" si="35"/>
        <v>9.7566574839302117E-2</v>
      </c>
      <c r="F52" s="191">
        <v>4250</v>
      </c>
      <c r="G52" s="191">
        <f t="shared" ref="G52:G53" si="37">+F52</f>
        <v>4250</v>
      </c>
      <c r="H52" s="189">
        <f t="shared" ref="H52:H53" si="38">+F52/G52</f>
        <v>1</v>
      </c>
      <c r="I52" s="189">
        <f t="shared" si="4"/>
        <v>0.89200000000000002</v>
      </c>
      <c r="J52" s="192">
        <f t="shared" ref="J52" si="39">+(D52*(G52*I52))/689</f>
        <v>5.5021770682148041</v>
      </c>
      <c r="K52" s="193">
        <f t="shared" ref="K52:K53" si="40">(ROUNDUP((+J52/4),0))*4</f>
        <v>8</v>
      </c>
      <c r="L52" s="195"/>
    </row>
    <row r="53" spans="2:12" x14ac:dyDescent="0.25">
      <c r="B53" s="356"/>
      <c r="C53" s="194" t="s">
        <v>99</v>
      </c>
      <c r="D53" s="189">
        <v>1</v>
      </c>
      <c r="E53" s="197">
        <f t="shared" si="35"/>
        <v>0.42426538108356288</v>
      </c>
      <c r="F53" s="191">
        <v>18481</v>
      </c>
      <c r="G53" s="191">
        <f t="shared" si="37"/>
        <v>18481</v>
      </c>
      <c r="H53" s="189">
        <f t="shared" si="38"/>
        <v>1</v>
      </c>
      <c r="I53" s="189">
        <f t="shared" si="4"/>
        <v>0.89200000000000002</v>
      </c>
      <c r="J53" s="192">
        <f>+(D53*(G53*I53))/689</f>
        <v>23.926055152394774</v>
      </c>
      <c r="K53" s="193">
        <f t="shared" si="40"/>
        <v>24</v>
      </c>
      <c r="L53" s="195"/>
    </row>
    <row r="54" spans="2:12" x14ac:dyDescent="0.25">
      <c r="B54" s="339" t="s">
        <v>175</v>
      </c>
      <c r="C54" s="188" t="s">
        <v>98</v>
      </c>
      <c r="D54" s="189">
        <v>1</v>
      </c>
      <c r="E54" s="197">
        <f t="shared" si="35"/>
        <v>0.85176538108356292</v>
      </c>
      <c r="F54" s="191">
        <v>37102.9</v>
      </c>
      <c r="G54" s="191">
        <f t="shared" ref="G54:G55" si="41">+F54</f>
        <v>37102.9</v>
      </c>
      <c r="H54" s="189">
        <f t="shared" ref="H54:H55" si="42">+F54/G54</f>
        <v>1</v>
      </c>
      <c r="I54" s="189">
        <f t="shared" si="4"/>
        <v>0.89200000000000002</v>
      </c>
      <c r="J54" s="192">
        <f t="shared" ref="J54" si="43">+(D54*(G54*I54))/689</f>
        <v>48.034523657474601</v>
      </c>
      <c r="K54" s="193">
        <f t="shared" ref="K54:K55" si="44">(ROUNDUP((+J54/4),0))*4</f>
        <v>52</v>
      </c>
    </row>
    <row r="55" spans="2:12" x14ac:dyDescent="0.25">
      <c r="B55" s="356"/>
      <c r="C55" s="194" t="s">
        <v>99</v>
      </c>
      <c r="D55" s="189">
        <v>1</v>
      </c>
      <c r="E55" s="197">
        <f t="shared" si="35"/>
        <v>0.18709825528007346</v>
      </c>
      <c r="F55" s="191">
        <v>8150</v>
      </c>
      <c r="G55" s="191">
        <f t="shared" si="41"/>
        <v>8150</v>
      </c>
      <c r="H55" s="189">
        <f t="shared" si="42"/>
        <v>1</v>
      </c>
      <c r="I55" s="189">
        <f t="shared" si="4"/>
        <v>0.89200000000000002</v>
      </c>
      <c r="J55" s="192">
        <f>+(D55*(G55*I55))/689</f>
        <v>10.551233671988388</v>
      </c>
      <c r="K55" s="193">
        <f t="shared" si="44"/>
        <v>12</v>
      </c>
    </row>
    <row r="56" spans="2:12" x14ac:dyDescent="0.25">
      <c r="B56" s="339" t="s">
        <v>197</v>
      </c>
      <c r="C56" s="188" t="s">
        <v>98</v>
      </c>
      <c r="D56" s="189">
        <v>1</v>
      </c>
      <c r="E56" s="197">
        <v>0.25</v>
      </c>
      <c r="F56" s="191">
        <v>11000</v>
      </c>
      <c r="G56" s="191">
        <f t="shared" ref="G56:G57" si="45">+F56</f>
        <v>11000</v>
      </c>
      <c r="H56" s="189">
        <f t="shared" ref="H56:H57" si="46">+F56/G56</f>
        <v>1</v>
      </c>
      <c r="I56" s="189">
        <f t="shared" si="4"/>
        <v>0.89200000000000002</v>
      </c>
      <c r="J56" s="192">
        <f t="shared" ref="J56" si="47">+(D56*(G56*I56))/689</f>
        <v>14.240928882438316</v>
      </c>
      <c r="K56" s="193">
        <f t="shared" ref="K56:K57" si="48">(ROUNDUP((+J56/4),0))*4</f>
        <v>16</v>
      </c>
    </row>
    <row r="57" spans="2:12" x14ac:dyDescent="0.25">
      <c r="B57" s="356"/>
      <c r="C57" s="194" t="s">
        <v>99</v>
      </c>
      <c r="D57" s="189">
        <v>1</v>
      </c>
      <c r="E57" s="197">
        <v>0.25</v>
      </c>
      <c r="F57" s="191">
        <v>10944</v>
      </c>
      <c r="G57" s="191">
        <f t="shared" si="45"/>
        <v>10944</v>
      </c>
      <c r="H57" s="189">
        <f t="shared" si="46"/>
        <v>1</v>
      </c>
      <c r="I57" s="189">
        <f t="shared" si="4"/>
        <v>0.89200000000000002</v>
      </c>
      <c r="J57" s="192">
        <f>+(D57*(G57*I57))/689</f>
        <v>14.168429608127722</v>
      </c>
      <c r="K57" s="193">
        <f t="shared" si="48"/>
        <v>16</v>
      </c>
    </row>
  </sheetData>
  <mergeCells count="30">
    <mergeCell ref="B56:B57"/>
    <mergeCell ref="B42:B43"/>
    <mergeCell ref="B44:B45"/>
    <mergeCell ref="B50:B51"/>
    <mergeCell ref="B52:B53"/>
    <mergeCell ref="B54:B55"/>
    <mergeCell ref="B46:B47"/>
    <mergeCell ref="B48:B49"/>
    <mergeCell ref="F6:F8"/>
    <mergeCell ref="G6:G8"/>
    <mergeCell ref="B23:B24"/>
    <mergeCell ref="B25:B26"/>
    <mergeCell ref="B27:B28"/>
    <mergeCell ref="B11:B12"/>
    <mergeCell ref="B13:B16"/>
    <mergeCell ref="B9:B10"/>
    <mergeCell ref="B6:B8"/>
    <mergeCell ref="C6:C8"/>
    <mergeCell ref="D6:D8"/>
    <mergeCell ref="E6:E8"/>
    <mergeCell ref="H6:H8"/>
    <mergeCell ref="I6:I8"/>
    <mergeCell ref="J6:J8"/>
    <mergeCell ref="K6:K8"/>
    <mergeCell ref="L6:L8"/>
    <mergeCell ref="B38:B40"/>
    <mergeCell ref="L13:L16"/>
    <mergeCell ref="B17:B18"/>
    <mergeCell ref="B19:B20"/>
    <mergeCell ref="B21:B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BAE9F39C0C64E9C8B17515140D44D" ma:contentTypeVersion="0" ma:contentTypeDescription="Create a new document." ma:contentTypeScope="" ma:versionID="f77cbcbe248f48ce2403d2095cb21d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71B0C8-1308-45D4-A5E8-605312F893D3}"/>
</file>

<file path=customXml/itemProps2.xml><?xml version="1.0" encoding="utf-8"?>
<ds:datastoreItem xmlns:ds="http://schemas.openxmlformats.org/officeDocument/2006/customXml" ds:itemID="{3887234A-CBD0-44F8-B6E2-5B01190FA39E}"/>
</file>

<file path=customXml/itemProps3.xml><?xml version="1.0" encoding="utf-8"?>
<ds:datastoreItem xmlns:ds="http://schemas.openxmlformats.org/officeDocument/2006/customXml" ds:itemID="{F49D75B9-9B27-41F2-BC30-68E39E9620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BMP Summary Sheet</vt:lpstr>
      <vt:lpstr>VBF</vt:lpstr>
      <vt:lpstr>Sheet Flow and VFS</vt:lpstr>
      <vt:lpstr>Possible basins</vt:lpstr>
      <vt:lpstr>Basins for Dual Culverts</vt:lpstr>
      <vt:lpstr>ExT</vt:lpstr>
      <vt:lpstr>'Basins for Dual Culverts'!Print_Area</vt:lpstr>
      <vt:lpstr>'BMP Summary Sheet'!Print_Area</vt:lpstr>
      <vt:lpstr>VBF!Print_Area</vt:lpstr>
    </vt:vector>
  </TitlesOfParts>
  <Company>HDR,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kgruver</dc:creator>
  <cp:lastModifiedBy>kgruver</cp:lastModifiedBy>
  <cp:lastPrinted>2012-08-28T18:10:55Z</cp:lastPrinted>
  <dcterms:created xsi:type="dcterms:W3CDTF">2010-01-05T14:58:24Z</dcterms:created>
  <dcterms:modified xsi:type="dcterms:W3CDTF">2013-03-21T17:35:31Z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0x010100208BAE9F39C0C64E9C8B17515140D44D</vt:lpwstr>
  </property>
</Properties>
</file>