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defaultThemeVersion="166925"/>
  <mc:AlternateContent xmlns:mc="http://schemas.openxmlformats.org/markup-compatibility/2006">
    <mc:Choice Requires="x15">
      <x15ac:absPath xmlns:x15ac="http://schemas.microsoft.com/office/spreadsheetml/2010/11/ac" url="https://ohiodas-my.sharepoint.com/personal/10114641_id_ohio_gov/Documents/Hydraulic Specification Committee/Hydraulics 2026-01/OHE Submittals/Specifications/"/>
    </mc:Choice>
  </mc:AlternateContent>
  <xr:revisionPtr revIDLastSave="6" documentId="13_ncr:1_{EFDB818C-12E6-408D-9C1A-C6CB92C8592E}" xr6:coauthVersionLast="47" xr6:coauthVersionMax="47" xr10:uidLastSave="{AEF8A0EA-70A7-4442-B31B-18329783338B}"/>
  <bookViews>
    <workbookView xWindow="-120" yWindow="-120" windowWidth="29040" windowHeight="15720" xr2:uid="{27B03836-1D90-4FD6-BF4D-D80C56C6532F}"/>
  </bookViews>
  <sheets>
    <sheet name="Summary Page" sheetId="13" r:id="rId1"/>
    <sheet name="Thickness Calcs" sheetId="7" r:id="rId2"/>
    <sheet name="Design Input Form" sheetId="5" r:id="rId3"/>
    <sheet name="Live Load" sheetId="12" r:id="rId4"/>
    <sheet name="Dead and Hydraulic Load" sheetId="11" r:id="rId5"/>
  </sheets>
  <definedNames>
    <definedName name="_xlnm._FilterDatabase" localSheetId="2" hidden="1">'Design Input Form'!$A$1:$M$33</definedName>
    <definedName name="_xlnm._FilterDatabase" localSheetId="0" hidden="1">'Summary Page'!$A$1:$G$27</definedName>
    <definedName name="_xlnm.Print_Area" localSheetId="4">'Dead and Hydraulic Load'!$B$1:$J$35</definedName>
    <definedName name="_xlnm.Print_Area" localSheetId="2">'Design Input Form'!$A$1:$G$49,'Design Input Form'!$I$1:$N$49</definedName>
    <definedName name="_xlnm.Print_Area" localSheetId="3">'Live Load'!$B$1:$N$38</definedName>
    <definedName name="_xlnm.Print_Area" localSheetId="0">'Summary Page'!$B$1:$G$37</definedName>
    <definedName name="_xlnm.Print_Area" localSheetId="1">'Thickness Calcs'!$B$1:$I$31,'Thickness Calcs'!$B$41:$I$70</definedName>
    <definedName name="solver_adj" localSheetId="4" hidden="1">'Dead and Hydraulic Load'!#REF!</definedName>
    <definedName name="solver_adj" localSheetId="2" hidden="1">'Design Input Form'!$D$112</definedName>
    <definedName name="solver_adj" localSheetId="3" hidden="1">'Live Load'!#REF!</definedName>
    <definedName name="solver_adj" localSheetId="0" hidden="1">'Summary Page'!$D$106</definedName>
    <definedName name="solver_adj" localSheetId="1" hidden="1">'Thickness Calcs'!$D$69</definedName>
    <definedName name="solver_cvg" localSheetId="4" hidden="1">0.0001</definedName>
    <definedName name="solver_cvg" localSheetId="3" hidden="1">0.0001</definedName>
    <definedName name="solver_cvg" localSheetId="1" hidden="1">0.0001</definedName>
    <definedName name="solver_drv" localSheetId="4" hidden="1">1</definedName>
    <definedName name="solver_drv" localSheetId="3" hidden="1">1</definedName>
    <definedName name="solver_drv" localSheetId="1" hidden="1">1</definedName>
    <definedName name="solver_eng" localSheetId="4" hidden="1">1</definedName>
    <definedName name="solver_eng" localSheetId="2" hidden="1">1</definedName>
    <definedName name="solver_eng" localSheetId="3" hidden="1">1</definedName>
    <definedName name="solver_eng" localSheetId="0" hidden="1">1</definedName>
    <definedName name="solver_eng" localSheetId="1" hidden="1">1</definedName>
    <definedName name="solver_est" localSheetId="4" hidden="1">1</definedName>
    <definedName name="solver_est" localSheetId="3" hidden="1">1</definedName>
    <definedName name="solver_est" localSheetId="1" hidden="1">1</definedName>
    <definedName name="solver_itr" localSheetId="4" hidden="1">2147483647</definedName>
    <definedName name="solver_itr" localSheetId="3" hidden="1">2147483647</definedName>
    <definedName name="solver_itr" localSheetId="1" hidden="1">2147483647</definedName>
    <definedName name="solver_mip" localSheetId="4" hidden="1">2147483647</definedName>
    <definedName name="solver_mip" localSheetId="3" hidden="1">2147483647</definedName>
    <definedName name="solver_mip" localSheetId="1" hidden="1">2147483647</definedName>
    <definedName name="solver_mni" localSheetId="4" hidden="1">30</definedName>
    <definedName name="solver_mni" localSheetId="3" hidden="1">30</definedName>
    <definedName name="solver_mni" localSheetId="1" hidden="1">30</definedName>
    <definedName name="solver_mrt" localSheetId="4" hidden="1">0.075</definedName>
    <definedName name="solver_mrt" localSheetId="3" hidden="1">0.075</definedName>
    <definedName name="solver_mrt" localSheetId="1" hidden="1">0.075</definedName>
    <definedName name="solver_msl" localSheetId="4" hidden="1">2</definedName>
    <definedName name="solver_msl" localSheetId="3" hidden="1">2</definedName>
    <definedName name="solver_msl" localSheetId="1" hidden="1">2</definedName>
    <definedName name="solver_neg" localSheetId="4" hidden="1">1</definedName>
    <definedName name="solver_neg" localSheetId="3" hidden="1">1</definedName>
    <definedName name="solver_neg" localSheetId="1" hidden="1">1</definedName>
    <definedName name="solver_nod" localSheetId="4" hidden="1">2147483647</definedName>
    <definedName name="solver_nod" localSheetId="3" hidden="1">2147483647</definedName>
    <definedName name="solver_nod" localSheetId="1" hidden="1">2147483647</definedName>
    <definedName name="solver_num" localSheetId="4" hidden="1">0</definedName>
    <definedName name="solver_num" localSheetId="3" hidden="1">0</definedName>
    <definedName name="solver_num" localSheetId="1" hidden="1">0</definedName>
    <definedName name="solver_nwt" localSheetId="4" hidden="1">1</definedName>
    <definedName name="solver_nwt" localSheetId="3" hidden="1">1</definedName>
    <definedName name="solver_nwt" localSheetId="1" hidden="1">1</definedName>
    <definedName name="solver_opt" localSheetId="4" hidden="1">'Dead and Hydraulic Load'!#REF!</definedName>
    <definedName name="solver_opt" localSheetId="2" hidden="1">'Design Input Form'!$D$110</definedName>
    <definedName name="solver_opt" localSheetId="3" hidden="1">'Live Load'!#REF!</definedName>
    <definedName name="solver_opt" localSheetId="0" hidden="1">'Summary Page'!$D$104</definedName>
    <definedName name="solver_opt" localSheetId="1" hidden="1">'Thickness Calcs'!$D$68</definedName>
    <definedName name="solver_pre" localSheetId="4" hidden="1">0.000001</definedName>
    <definedName name="solver_pre" localSheetId="3" hidden="1">0.000001</definedName>
    <definedName name="solver_pre" localSheetId="1" hidden="1">0.000001</definedName>
    <definedName name="solver_rbv" localSheetId="4" hidden="1">1</definedName>
    <definedName name="solver_rbv" localSheetId="3" hidden="1">1</definedName>
    <definedName name="solver_rbv" localSheetId="1" hidden="1">1</definedName>
    <definedName name="solver_rlx" localSheetId="4" hidden="1">2</definedName>
    <definedName name="solver_rlx" localSheetId="3" hidden="1">2</definedName>
    <definedName name="solver_rlx" localSheetId="1" hidden="1">2</definedName>
    <definedName name="solver_rsd" localSheetId="4" hidden="1">0</definedName>
    <definedName name="solver_rsd" localSheetId="3" hidden="1">0</definedName>
    <definedName name="solver_rsd" localSheetId="1" hidden="1">0</definedName>
    <definedName name="solver_scl" localSheetId="4" hidden="1">1</definedName>
    <definedName name="solver_scl" localSheetId="3" hidden="1">1</definedName>
    <definedName name="solver_scl" localSheetId="1" hidden="1">1</definedName>
    <definedName name="solver_sho" localSheetId="4" hidden="1">2</definedName>
    <definedName name="solver_sho" localSheetId="3" hidden="1">2</definedName>
    <definedName name="solver_sho" localSheetId="1" hidden="1">2</definedName>
    <definedName name="solver_ssz" localSheetId="4" hidden="1">100</definedName>
    <definedName name="solver_ssz" localSheetId="3" hidden="1">100</definedName>
    <definedName name="solver_ssz" localSheetId="1" hidden="1">100</definedName>
    <definedName name="solver_tim" localSheetId="4" hidden="1">2147483647</definedName>
    <definedName name="solver_tim" localSheetId="3" hidden="1">2147483647</definedName>
    <definedName name="solver_tim" localSheetId="1" hidden="1">2147483647</definedName>
    <definedName name="solver_tol" localSheetId="4" hidden="1">0.01</definedName>
    <definedName name="solver_tol" localSheetId="3" hidden="1">0.01</definedName>
    <definedName name="solver_tol" localSheetId="1" hidden="1">0.01</definedName>
    <definedName name="solver_typ" localSheetId="4" hidden="1">3</definedName>
    <definedName name="solver_typ" localSheetId="2" hidden="1">3</definedName>
    <definedName name="solver_typ" localSheetId="3" hidden="1">3</definedName>
    <definedName name="solver_typ" localSheetId="0" hidden="1">3</definedName>
    <definedName name="solver_typ" localSheetId="1" hidden="1">3</definedName>
    <definedName name="solver_val" localSheetId="4" hidden="1">0</definedName>
    <definedName name="solver_val" localSheetId="2" hidden="1">0</definedName>
    <definedName name="solver_val" localSheetId="3" hidden="1">0</definedName>
    <definedName name="solver_val" localSheetId="0" hidden="1">0</definedName>
    <definedName name="solver_val" localSheetId="1" hidden="1">0</definedName>
    <definedName name="solver_ver" localSheetId="4" hidden="1">3</definedName>
    <definedName name="solver_ver" localSheetId="3" hidden="1">3</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3" l="1"/>
  <c r="D18" i="5"/>
  <c r="E11" i="13"/>
  <c r="J10" i="5"/>
  <c r="C7" i="13"/>
  <c r="C6" i="13"/>
  <c r="C5" i="13"/>
  <c r="C4" i="13"/>
  <c r="C10" i="11"/>
  <c r="C16" i="11"/>
  <c r="F19" i="12"/>
  <c r="C4" i="7"/>
  <c r="C5" i="7"/>
  <c r="C17" i="11" s="1"/>
  <c r="C9" i="11"/>
  <c r="C26" i="12"/>
  <c r="E14" i="12"/>
  <c r="E13" i="12"/>
  <c r="C4" i="12"/>
  <c r="C25" i="11"/>
  <c r="C12" i="11"/>
  <c r="C8" i="11"/>
  <c r="C4" i="11"/>
  <c r="C3" i="11"/>
  <c r="C14" i="11" l="1"/>
  <c r="C18" i="11"/>
  <c r="C27" i="12"/>
  <c r="L11" i="5" s="1"/>
  <c r="G12" i="13" s="1"/>
  <c r="C26" i="11"/>
  <c r="L12" i="5" s="1"/>
  <c r="G13" i="13" s="1"/>
  <c r="F20" i="12"/>
  <c r="F21" i="12"/>
  <c r="H21" i="12" s="1"/>
  <c r="H19" i="12"/>
  <c r="L19" i="12"/>
  <c r="I19" i="12"/>
  <c r="M41" i="5"/>
  <c r="E29" i="13" s="1"/>
  <c r="M40" i="5"/>
  <c r="E28" i="13" s="1"/>
  <c r="L33" i="5"/>
  <c r="C21" i="13" s="1"/>
  <c r="J34" i="5"/>
  <c r="B22" i="13" s="1"/>
  <c r="J36" i="5"/>
  <c r="B24" i="13" s="1"/>
  <c r="E25" i="5"/>
  <c r="E24" i="5"/>
  <c r="C11" i="11" l="1"/>
  <c r="C13" i="11" s="1"/>
  <c r="J19" i="12"/>
  <c r="K19" i="12" s="1"/>
  <c r="M19" i="12" s="1"/>
  <c r="I21" i="12"/>
  <c r="J21" i="12" s="1"/>
  <c r="K21" i="12" s="1"/>
  <c r="L21" i="12"/>
  <c r="H20" i="12"/>
  <c r="I20" i="12"/>
  <c r="L20" i="12"/>
  <c r="C10" i="7"/>
  <c r="C33" i="11" l="1"/>
  <c r="C34" i="11" s="1"/>
  <c r="L13" i="5" s="1"/>
  <c r="G14" i="13" s="1"/>
  <c r="C23" i="11"/>
  <c r="C24" i="11" s="1"/>
  <c r="C28" i="11" s="1"/>
  <c r="C22" i="7" s="1"/>
  <c r="M21" i="12"/>
  <c r="J20" i="12"/>
  <c r="K20" i="12" s="1"/>
  <c r="M20" i="12" s="1"/>
  <c r="C18" i="7"/>
  <c r="C19" i="7" s="1"/>
  <c r="C15" i="7"/>
  <c r="C14" i="7"/>
  <c r="C13" i="7"/>
  <c r="C3" i="7"/>
  <c r="C25" i="7" l="1"/>
  <c r="L10" i="5"/>
  <c r="G11" i="13" s="1"/>
  <c r="M22" i="12"/>
  <c r="C24" i="12" s="1"/>
  <c r="C25" i="12" s="1"/>
  <c r="L9" i="5" s="1"/>
  <c r="G10" i="13" s="1"/>
  <c r="M42" i="5"/>
  <c r="E30" i="13" s="1"/>
  <c r="C6" i="7"/>
  <c r="C30" i="12" l="1"/>
  <c r="C31" i="7" s="1"/>
  <c r="C7" i="7"/>
  <c r="C28" i="7" l="1"/>
  <c r="D69" i="7"/>
  <c r="D66" i="7"/>
  <c r="L15" i="5"/>
  <c r="J16" i="5" l="1"/>
  <c r="G16" i="13"/>
  <c r="K4" i="5"/>
  <c r="K6" i="5" s="1"/>
  <c r="C10" i="13" s="1"/>
</calcChain>
</file>

<file path=xl/sharedStrings.xml><?xml version="1.0" encoding="utf-8"?>
<sst xmlns="http://schemas.openxmlformats.org/spreadsheetml/2006/main" count="277" uniqueCount="219">
  <si>
    <t xml:space="preserve">SAPL Design Summary </t>
  </si>
  <si>
    <t>Date:</t>
  </si>
  <si>
    <t>Pipe Identification</t>
  </si>
  <si>
    <t>CFN or SFN</t>
  </si>
  <si>
    <t>Project PID</t>
  </si>
  <si>
    <t>Project Name:</t>
  </si>
  <si>
    <t>Notes:</t>
  </si>
  <si>
    <t>Design Thickness</t>
  </si>
  <si>
    <t>Loading used for Structural Design</t>
  </si>
  <si>
    <t>-Print All Tabs:  Right click on a Worksheet Tab and "Select All Sheets";  Select File--&gt; Print.</t>
  </si>
  <si>
    <t>Liner Thickness Specified (in):</t>
  </si>
  <si>
    <t>+ Factored HL-93 Live Load (psi)=</t>
  </si>
  <si>
    <t>Factored Additional Live Load (psi)=</t>
  </si>
  <si>
    <t>+ Live Load is always included regardless of depth or span; soil arching has no effect on Live Load</t>
  </si>
  <si>
    <t>Factored Additional  Dead Load (psi)=</t>
  </si>
  <si>
    <t>*Factored Hydrostatic Load at Invert (psi)=</t>
  </si>
  <si>
    <t xml:space="preserve">* Groundwater load is calculated at the invert and applied at the top </t>
  </si>
  <si>
    <t>*Total Factored Load at top of conduit (psi)=</t>
  </si>
  <si>
    <t>Surface</t>
  </si>
  <si>
    <t>Hb</t>
  </si>
  <si>
    <t>Hc</t>
  </si>
  <si>
    <t>Water</t>
  </si>
  <si>
    <t>Hc+D</t>
  </si>
  <si>
    <t>Table</t>
  </si>
  <si>
    <t>Crown</t>
  </si>
  <si>
    <t>Existing Pipe</t>
  </si>
  <si>
    <t>Diameter=</t>
  </si>
  <si>
    <t>in</t>
  </si>
  <si>
    <t>Deflection=</t>
  </si>
  <si>
    <t>%</t>
  </si>
  <si>
    <t>Design (Span) Diameter=</t>
  </si>
  <si>
    <t>Invert</t>
  </si>
  <si>
    <r>
      <t xml:space="preserve">The contents of this SAPL Excel design sheet should not be used without independent examination and verification of its accuracy by professionally qualifed personnel.  The Ohio Department of Transportation assumes no liability or responsibility for and makes no representations or warranties as to the applicability or suitability  and anyone making use thereof or relying thereon assumes all risk and liabiltiy arising from such use or reliance.  </t>
    </r>
    <r>
      <rPr>
        <b/>
        <u/>
        <sz val="11"/>
        <color rgb="FFFF0000"/>
        <rFont val="Calibri"/>
        <family val="2"/>
        <scheme val="minor"/>
      </rPr>
      <t>Supplemental Specification 833 requires the design thickness to be the greater of this Excel sheet or as recommended by the SAPL material vendor.</t>
    </r>
  </si>
  <si>
    <t>SAPL Liner Thickness Design</t>
  </si>
  <si>
    <t>Host pipe geometry</t>
  </si>
  <si>
    <t>Values</t>
  </si>
  <si>
    <t>D</t>
  </si>
  <si>
    <t>original pipe inside diameter (in)</t>
  </si>
  <si>
    <t>&lt;Typo -addressed</t>
  </si>
  <si>
    <t>Dmin</t>
  </si>
  <si>
    <t>Deflected shaped assumed to be ellipse in shape</t>
  </si>
  <si>
    <t>Dmax</t>
  </si>
  <si>
    <t>Rc</t>
  </si>
  <si>
    <t>Design Diameter (in) -Use Dmax</t>
  </si>
  <si>
    <r>
      <t>r</t>
    </r>
    <r>
      <rPr>
        <vertAlign val="subscript"/>
        <sz val="11"/>
        <color theme="1"/>
        <rFont val="Calibri"/>
        <family val="2"/>
        <scheme val="minor"/>
      </rPr>
      <t>0</t>
    </r>
  </si>
  <si>
    <t>Design pipe radius (in) (Rc/2)</t>
  </si>
  <si>
    <t>Designer Notes:</t>
  </si>
  <si>
    <t>-Structural design is based on Royer No-Dig Paper- Case 1 and Case 2; Using the max thickness between the cases</t>
  </si>
  <si>
    <t xml:space="preserve">LRFD reduction factors </t>
  </si>
  <si>
    <t>-Applicable for Pressures less than 1Mpa=145psi</t>
  </si>
  <si>
    <r>
      <rPr>
        <sz val="11"/>
        <color theme="1"/>
        <rFont val="Times New Roman"/>
        <family val="1"/>
      </rPr>
      <t>Φ</t>
    </r>
    <r>
      <rPr>
        <vertAlign val="subscript"/>
        <sz val="11"/>
        <color theme="1"/>
        <rFont val="Calibri"/>
        <family val="2"/>
      </rPr>
      <t>LF</t>
    </r>
  </si>
  <si>
    <t>Flexural strength RF</t>
  </si>
  <si>
    <t>-Design uses Maximum deflected Span for Arch Radius</t>
  </si>
  <si>
    <t>LRFD Load Factors</t>
  </si>
  <si>
    <r>
      <t>γ</t>
    </r>
    <r>
      <rPr>
        <vertAlign val="subscript"/>
        <sz val="11"/>
        <color theme="1"/>
        <rFont val="Calibri"/>
        <family val="2"/>
      </rPr>
      <t>GW</t>
    </r>
  </si>
  <si>
    <t xml:space="preserve">load factor on groundwater pressure </t>
  </si>
  <si>
    <r>
      <t>γ</t>
    </r>
    <r>
      <rPr>
        <vertAlign val="subscript"/>
        <sz val="11"/>
        <color theme="1"/>
        <rFont val="Calibri"/>
        <family val="2"/>
      </rPr>
      <t>DL</t>
    </r>
  </si>
  <si>
    <t xml:space="preserve">load factor for dead load </t>
  </si>
  <si>
    <r>
      <t>γ</t>
    </r>
    <r>
      <rPr>
        <vertAlign val="subscript"/>
        <sz val="11"/>
        <color theme="1"/>
        <rFont val="Calibri"/>
        <family val="2"/>
      </rPr>
      <t>LL</t>
    </r>
  </si>
  <si>
    <t>load factor for live load</t>
  </si>
  <si>
    <t xml:space="preserve"> SAPL  Material Properties</t>
  </si>
  <si>
    <r>
      <rPr>
        <sz val="11"/>
        <color theme="1"/>
        <rFont val="Times New Roman"/>
        <family val="1"/>
      </rPr>
      <t>σ</t>
    </r>
    <r>
      <rPr>
        <vertAlign val="subscript"/>
        <sz val="11"/>
        <color theme="1"/>
        <rFont val="Calibri"/>
        <family val="2"/>
      </rPr>
      <t>F</t>
    </r>
  </si>
  <si>
    <t xml:space="preserve"> flexural strength (psi)  </t>
  </si>
  <si>
    <t>ΦLF x σF=</t>
  </si>
  <si>
    <t>factored flexural strength (psi)</t>
  </si>
  <si>
    <r>
      <t>Dead Load-Value calculated at the</t>
    </r>
    <r>
      <rPr>
        <b/>
        <u/>
        <sz val="11"/>
        <color theme="1"/>
        <rFont val="Calibri"/>
        <family val="2"/>
        <scheme val="minor"/>
      </rPr>
      <t xml:space="preserve"> </t>
    </r>
    <r>
      <rPr>
        <b/>
        <u/>
        <sz val="11"/>
        <color rgb="FFCC0000"/>
        <rFont val="Calibri"/>
        <family val="2"/>
        <scheme val="minor"/>
      </rPr>
      <t xml:space="preserve">top </t>
    </r>
    <r>
      <rPr>
        <b/>
        <sz val="11"/>
        <color rgb="FFCC0000"/>
        <rFont val="Calibri"/>
        <family val="2"/>
        <scheme val="minor"/>
      </rPr>
      <t>of the conduit</t>
    </r>
  </si>
  <si>
    <r>
      <t>Total p</t>
    </r>
    <r>
      <rPr>
        <vertAlign val="subscript"/>
        <sz val="11"/>
        <color theme="1"/>
        <rFont val="Calibri"/>
        <family val="2"/>
        <scheme val="minor"/>
      </rPr>
      <t>soil,u</t>
    </r>
  </si>
  <si>
    <t>Total Factored Dead Load (psi)</t>
  </si>
  <si>
    <r>
      <t xml:space="preserve">Hydrostatic Load-Value calculated at the </t>
    </r>
    <r>
      <rPr>
        <b/>
        <u/>
        <sz val="11"/>
        <color rgb="FFCC0000"/>
        <rFont val="Calibri"/>
        <family val="2"/>
        <scheme val="minor"/>
      </rPr>
      <t xml:space="preserve">invert </t>
    </r>
    <r>
      <rPr>
        <b/>
        <sz val="11"/>
        <color rgb="FFCC0000"/>
        <rFont val="Calibri"/>
        <family val="2"/>
        <scheme val="minor"/>
      </rPr>
      <t xml:space="preserve">of the conduit </t>
    </r>
  </si>
  <si>
    <r>
      <t>p</t>
    </r>
    <r>
      <rPr>
        <vertAlign val="subscript"/>
        <sz val="11"/>
        <color theme="1"/>
        <rFont val="Calibri"/>
        <family val="2"/>
        <scheme val="minor"/>
      </rPr>
      <t>w,u</t>
    </r>
  </si>
  <si>
    <r>
      <t>p</t>
    </r>
    <r>
      <rPr>
        <vertAlign val="subscript"/>
        <sz val="11"/>
        <color theme="1"/>
        <rFont val="Calibri"/>
        <family val="2"/>
        <scheme val="minor"/>
      </rPr>
      <t>w</t>
    </r>
    <r>
      <rPr>
        <sz val="11"/>
        <color theme="1"/>
        <rFont val="Calibri"/>
        <family val="2"/>
        <scheme val="minor"/>
      </rPr>
      <t xml:space="preserve"> multiplied by groundwater pressure load factor </t>
    </r>
    <r>
      <rPr>
        <sz val="11"/>
        <color theme="1"/>
        <rFont val="Times New Roman"/>
        <family val="1"/>
      </rPr>
      <t>γ</t>
    </r>
    <r>
      <rPr>
        <vertAlign val="subscript"/>
        <sz val="11"/>
        <color theme="1"/>
        <rFont val="Calibri"/>
        <family val="2"/>
      </rPr>
      <t>GW</t>
    </r>
    <r>
      <rPr>
        <sz val="11"/>
        <color theme="1"/>
        <rFont val="Calibri"/>
        <family val="2"/>
        <scheme val="minor"/>
      </rPr>
      <t xml:space="preserve"> (psi)</t>
    </r>
  </si>
  <si>
    <r>
      <t xml:space="preserve">Live Load-Value calculated at the </t>
    </r>
    <r>
      <rPr>
        <b/>
        <u/>
        <sz val="11"/>
        <color rgb="FFCC0000"/>
        <rFont val="Calibri"/>
        <family val="2"/>
        <scheme val="minor"/>
      </rPr>
      <t>top</t>
    </r>
    <r>
      <rPr>
        <b/>
        <sz val="11"/>
        <color rgb="FFCC0000"/>
        <rFont val="Calibri"/>
        <family val="2"/>
        <scheme val="minor"/>
      </rPr>
      <t xml:space="preserve"> of the conduit</t>
    </r>
  </si>
  <si>
    <r>
      <t>Total p</t>
    </r>
    <r>
      <rPr>
        <vertAlign val="subscript"/>
        <sz val="11"/>
        <color theme="1"/>
        <rFont val="Calibri"/>
        <family val="2"/>
        <scheme val="minor"/>
      </rPr>
      <t>L,u</t>
    </r>
  </si>
  <si>
    <t>Total Factored Live Load (psi)</t>
  </si>
  <si>
    <r>
      <t xml:space="preserve">Total Factored Design Load used for design at </t>
    </r>
    <r>
      <rPr>
        <b/>
        <u/>
        <sz val="11"/>
        <color rgb="FFCC0000"/>
        <rFont val="Calibri"/>
        <family val="2"/>
        <scheme val="minor"/>
      </rPr>
      <t>top</t>
    </r>
    <r>
      <rPr>
        <b/>
        <sz val="11"/>
        <color rgb="FFCC0000"/>
        <rFont val="Calibri"/>
        <family val="2"/>
        <scheme val="minor"/>
      </rPr>
      <t xml:space="preserve"> of conduit</t>
    </r>
  </si>
  <si>
    <r>
      <t>p</t>
    </r>
    <r>
      <rPr>
        <vertAlign val="subscript"/>
        <sz val="11"/>
        <color theme="1"/>
        <rFont val="Calibri"/>
        <family val="2"/>
        <scheme val="minor"/>
      </rPr>
      <t>v,u</t>
    </r>
  </si>
  <si>
    <t>Total Factored Design Loading at top of conduit for DL and LL and at Invert for GW (psi)</t>
  </si>
  <si>
    <t>SAPL Design for Top Radius</t>
  </si>
  <si>
    <t>Case 1:</t>
  </si>
  <si>
    <t>t=</t>
  </si>
  <si>
    <t>thickness (inches)</t>
  </si>
  <si>
    <t>Case 2:</t>
  </si>
  <si>
    <t xml:space="preserve"> Cementitious SAPL Design Excel Sheet-Circular or Pipe Arch Shape-Input Page</t>
  </si>
  <si>
    <t>Design Results</t>
  </si>
  <si>
    <t>Instructions:</t>
  </si>
  <si>
    <t xml:space="preserve">-Enter the required data in the yellow highlighted cells in Sections 1 - 6 </t>
  </si>
  <si>
    <t>-Design uses ASCE MOP-145 methods for dertermination of loading and liner design methods from No-Dig North paper WA-T4-01</t>
  </si>
  <si>
    <t>-Design Results shown in Section 7</t>
  </si>
  <si>
    <t>-Designer is responsible for verifying design calculations and resulting thicknesses from this design sheet</t>
  </si>
  <si>
    <t>Minimum Design Liner Thickness t (in):</t>
  </si>
  <si>
    <t>Calculated Design Thickness for all loads at top of conduit</t>
  </si>
  <si>
    <t>-See ODOT Supplmental Specification 833</t>
  </si>
  <si>
    <t>Minimum Liner Thickness: D&lt;54=1 in, D≥54 to &lt;96=1.5 in, D≥96 to ≤120=2.0 in</t>
  </si>
  <si>
    <t>xxxxx</t>
  </si>
  <si>
    <t>Project PID:</t>
  </si>
  <si>
    <t>Design Loading</t>
  </si>
  <si>
    <t>Host Pipe</t>
  </si>
  <si>
    <t>Host Pipe Circular Inside Diameter or Pipe Arch Span Inside Diameter D (in):</t>
  </si>
  <si>
    <r>
      <t xml:space="preserve">From Specs/Plans </t>
    </r>
    <r>
      <rPr>
        <sz val="11"/>
        <color rgb="FF0070C0"/>
        <rFont val="Calibri"/>
        <family val="2"/>
        <scheme val="minor"/>
      </rPr>
      <t>Diameter must be Greater than 36 and less than 120 inches</t>
    </r>
  </si>
  <si>
    <t>Vertical Deflection (%):</t>
  </si>
  <si>
    <t>From Measurements or Design Specification Requirements, which ever is greater</t>
  </si>
  <si>
    <t>Max deflection set at 20%</t>
  </si>
  <si>
    <r>
      <t>Cover Depth to surface, including pavement thicknesses H</t>
    </r>
    <r>
      <rPr>
        <vertAlign val="subscript"/>
        <sz val="11"/>
        <color theme="1"/>
        <rFont val="Calibri"/>
        <family val="2"/>
        <scheme val="minor"/>
      </rPr>
      <t>c</t>
    </r>
    <r>
      <rPr>
        <sz val="11"/>
        <color theme="1"/>
        <rFont val="Calibri"/>
        <family val="2"/>
        <scheme val="minor"/>
      </rPr>
      <t xml:space="preserve"> (ft):</t>
    </r>
  </si>
  <si>
    <t>Assume Existing Soil Arching?</t>
  </si>
  <si>
    <t>No</t>
  </si>
  <si>
    <t>Soil Arching Factor=</t>
  </si>
  <si>
    <t>See ASTM F3706 Appendix.  Min value=2.5</t>
  </si>
  <si>
    <r>
      <t>Water table depth H</t>
    </r>
    <r>
      <rPr>
        <vertAlign val="subscript"/>
        <sz val="11"/>
        <color theme="1"/>
        <rFont val="Calibri"/>
        <family val="2"/>
        <scheme val="minor"/>
      </rPr>
      <t>b</t>
    </r>
    <r>
      <rPr>
        <sz val="11"/>
        <color theme="1"/>
        <rFont val="Calibri"/>
        <family val="2"/>
        <scheme val="minor"/>
      </rPr>
      <t xml:space="preserve"> (ft) from surface:</t>
    </r>
  </si>
  <si>
    <t>Use actual value or minimum value as calculated below.  Negative value is above the surface.</t>
  </si>
  <si>
    <t>Note:</t>
  </si>
  <si>
    <r>
      <t>• Groundwater level (H</t>
    </r>
    <r>
      <rPr>
        <vertAlign val="subscript"/>
        <sz val="11"/>
        <color theme="1"/>
        <rFont val="Calibri"/>
        <family val="2"/>
        <scheme val="minor"/>
      </rPr>
      <t>b</t>
    </r>
    <r>
      <rPr>
        <sz val="11"/>
        <color theme="1"/>
        <rFont val="Calibri"/>
        <family val="2"/>
        <scheme val="minor"/>
      </rPr>
      <t>) minimum: 1.5 ft above pipe crown=</t>
    </r>
  </si>
  <si>
    <t>ft</t>
  </si>
  <si>
    <r>
      <t>• Groundwater level (H</t>
    </r>
    <r>
      <rPr>
        <vertAlign val="subscript"/>
        <sz val="11"/>
        <color theme="1"/>
        <rFont val="Calibri"/>
        <family val="2"/>
        <scheme val="minor"/>
      </rPr>
      <t>b</t>
    </r>
    <r>
      <rPr>
        <sz val="11"/>
        <color theme="1"/>
        <rFont val="Calibri"/>
        <family val="2"/>
        <scheme val="minor"/>
      </rPr>
      <t>) minimum: 5 ft above pipe invert=</t>
    </r>
  </si>
  <si>
    <t>Ground water depth minimum per ASCE MOP-145</t>
  </si>
  <si>
    <r>
      <t>γ</t>
    </r>
    <r>
      <rPr>
        <vertAlign val="subscript"/>
        <sz val="11"/>
        <color theme="1"/>
        <rFont val="Calibri"/>
        <family val="2"/>
      </rPr>
      <t>w</t>
    </r>
    <r>
      <rPr>
        <sz val="11"/>
        <color theme="1"/>
        <rFont val="Calibri"/>
        <family val="2"/>
      </rPr>
      <t xml:space="preserve"> (pcf)</t>
    </r>
    <r>
      <rPr>
        <vertAlign val="subscript"/>
        <sz val="11"/>
        <color theme="1"/>
        <rFont val="Calibri"/>
        <family val="2"/>
      </rPr>
      <t>:</t>
    </r>
  </si>
  <si>
    <t>Density of Water</t>
  </si>
  <si>
    <t>Soil Density γs (pcf)</t>
  </si>
  <si>
    <t>default to 120</t>
  </si>
  <si>
    <t>LRFD Load Reduction Factors</t>
  </si>
  <si>
    <r>
      <t>Flexural Strength Φ</t>
    </r>
    <r>
      <rPr>
        <vertAlign val="subscript"/>
        <sz val="11"/>
        <color theme="1"/>
        <rFont val="Calibri"/>
        <family val="2"/>
        <scheme val="minor"/>
      </rPr>
      <t>LF</t>
    </r>
    <r>
      <rPr>
        <sz val="11"/>
        <color theme="1"/>
        <rFont val="Calibri"/>
        <family val="2"/>
        <scheme val="minor"/>
      </rPr>
      <t>:</t>
    </r>
  </si>
  <si>
    <t>0.85 default</t>
  </si>
  <si>
    <r>
      <t>γ</t>
    </r>
    <r>
      <rPr>
        <vertAlign val="subscript"/>
        <sz val="11"/>
        <color theme="1"/>
        <rFont val="Calibri"/>
        <family val="2"/>
      </rPr>
      <t>GW</t>
    </r>
    <r>
      <rPr>
        <sz val="11"/>
        <color theme="1"/>
        <rFont val="Calibri"/>
        <family val="1"/>
      </rPr>
      <t>:</t>
    </r>
  </si>
  <si>
    <t>load factor on groundwater pressure (recommended value = 1.6)</t>
  </si>
  <si>
    <r>
      <t>γ</t>
    </r>
    <r>
      <rPr>
        <vertAlign val="subscript"/>
        <sz val="11"/>
        <color theme="1"/>
        <rFont val="Calibri"/>
        <family val="2"/>
      </rPr>
      <t>DL</t>
    </r>
    <r>
      <rPr>
        <sz val="11"/>
        <color theme="1"/>
        <rFont val="Calibri"/>
        <family val="1"/>
      </rPr>
      <t>:</t>
    </r>
  </si>
  <si>
    <t>load factor for dead load (recommended value = 1.2)</t>
  </si>
  <si>
    <r>
      <t>γ</t>
    </r>
    <r>
      <rPr>
        <vertAlign val="subscript"/>
        <sz val="11"/>
        <color theme="1"/>
        <rFont val="Calibri"/>
        <family val="2"/>
      </rPr>
      <t>LL</t>
    </r>
    <r>
      <rPr>
        <sz val="11"/>
        <color theme="1"/>
        <rFont val="Calibri"/>
        <family val="1"/>
      </rPr>
      <t>:</t>
    </r>
  </si>
  <si>
    <t>load factor for live load (recommended value = 1.6</t>
  </si>
  <si>
    <t>SAPL Liner Geometry and Material Properties</t>
  </si>
  <si>
    <t>28 day flexural strength σF (psi)</t>
  </si>
  <si>
    <t>ASTM C 1602 or C78 Testing Results</t>
  </si>
  <si>
    <t>Additional Surface Loads</t>
  </si>
  <si>
    <r>
      <rPr>
        <sz val="11"/>
        <color rgb="FF00B0F0"/>
        <rFont val="Calibri"/>
        <family val="2"/>
        <scheme val="minor"/>
      </rPr>
      <t>*</t>
    </r>
    <r>
      <rPr>
        <sz val="11"/>
        <color theme="1"/>
        <rFont val="Calibri"/>
        <family val="2"/>
        <scheme val="minor"/>
      </rPr>
      <t>Additional Unfactored Dead Load (psi):</t>
    </r>
  </si>
  <si>
    <r>
      <t xml:space="preserve">Example: Loads due to buildings or other permanent structures (non-pavement) </t>
    </r>
    <r>
      <rPr>
        <sz val="11"/>
        <color rgb="FF0070C0"/>
        <rFont val="Calibri"/>
        <family val="2"/>
        <scheme val="minor"/>
      </rPr>
      <t>-unfactored load</t>
    </r>
  </si>
  <si>
    <r>
      <rPr>
        <sz val="11"/>
        <color rgb="FF00B0F0"/>
        <rFont val="Calibri"/>
        <family val="2"/>
        <scheme val="minor"/>
      </rPr>
      <t>*</t>
    </r>
    <r>
      <rPr>
        <sz val="11"/>
        <color theme="1"/>
        <rFont val="Calibri"/>
        <family val="2"/>
        <scheme val="minor"/>
      </rPr>
      <t>Additional Unfactored Live Load (psi)=</t>
    </r>
  </si>
  <si>
    <r>
      <t>Example:  Railway load</t>
    </r>
    <r>
      <rPr>
        <sz val="11"/>
        <color rgb="FF0070C0"/>
        <rFont val="Calibri"/>
        <family val="2"/>
        <scheme val="minor"/>
      </rPr>
      <t xml:space="preserve"> - unfactored load</t>
    </r>
  </si>
  <si>
    <t>* Additional dead or live load may cause host pipe deformation that needs to be evaluated and incorported into this design</t>
  </si>
  <si>
    <t>Live Load</t>
  </si>
  <si>
    <t>Design Notes:</t>
  </si>
  <si>
    <t xml:space="preserve">-Loading calculations based on ASCE MOP-145 </t>
  </si>
  <si>
    <r>
      <t xml:space="preserve">Live Load-Value calculated at the </t>
    </r>
    <r>
      <rPr>
        <b/>
        <sz val="11"/>
        <color rgb="FFCC0000"/>
        <rFont val="Calibri"/>
        <family val="2"/>
        <scheme val="minor"/>
      </rPr>
      <t>top of the conduit</t>
    </r>
  </si>
  <si>
    <t>-Contribution of pavement to spread the loading is ignored; assume soil all the way to the surface</t>
  </si>
  <si>
    <t>-Live Load is always applied regardles of depth of cover</t>
  </si>
  <si>
    <t>Load Spread Factor for Design</t>
  </si>
  <si>
    <t>default=1.0</t>
  </si>
  <si>
    <t>tire spacing (longitudinal 1-2)</t>
  </si>
  <si>
    <t>tire spacing (longitudinal 2-3)</t>
  </si>
  <si>
    <t>ft  (range 14-30 ft)</t>
  </si>
  <si>
    <t>tandem axle spacing</t>
  </si>
  <si>
    <t xml:space="preserve">ft </t>
  </si>
  <si>
    <r>
      <t>tire contact width a</t>
    </r>
    <r>
      <rPr>
        <vertAlign val="subscript"/>
        <sz val="11"/>
        <color theme="1"/>
        <rFont val="Calibri"/>
        <family val="2"/>
        <scheme val="minor"/>
      </rPr>
      <t>0</t>
    </r>
  </si>
  <si>
    <t>ft (20 in)</t>
  </si>
  <si>
    <r>
      <t>tire contact length b</t>
    </r>
    <r>
      <rPr>
        <vertAlign val="subscript"/>
        <sz val="11"/>
        <color theme="1"/>
        <rFont val="Calibri"/>
        <family val="2"/>
        <scheme val="minor"/>
      </rPr>
      <t>0</t>
    </r>
  </si>
  <si>
    <t>ft (10 in)</t>
  </si>
  <si>
    <t>tire spread</t>
  </si>
  <si>
    <t>Table 2-5 -ASCE MOP-145</t>
  </si>
  <si>
    <t>width</t>
  </si>
  <si>
    <t>length</t>
  </si>
  <si>
    <r>
      <t>A =a</t>
    </r>
    <r>
      <rPr>
        <sz val="11"/>
        <color theme="1"/>
        <rFont val="Calibri"/>
        <family val="2"/>
      </rPr>
      <t>×b×144</t>
    </r>
  </si>
  <si>
    <t>p = P/A</t>
  </si>
  <si>
    <t>w = p*(1+IM)</t>
  </si>
  <si>
    <t xml:space="preserve">live load at crown with flexible pavement </t>
  </si>
  <si>
    <t>H condition</t>
  </si>
  <si>
    <t>H (ft)</t>
  </si>
  <si>
    <t>P (lb)</t>
  </si>
  <si>
    <t>a (ft)</t>
  </si>
  <si>
    <t>b (ft)</t>
  </si>
  <si>
    <r>
      <t>A (in</t>
    </r>
    <r>
      <rPr>
        <vertAlign val="superscript"/>
        <sz val="11"/>
        <color theme="1"/>
        <rFont val="Calibri"/>
        <family val="2"/>
        <scheme val="minor"/>
      </rPr>
      <t>2</t>
    </r>
    <r>
      <rPr>
        <sz val="11"/>
        <color theme="1"/>
        <rFont val="Calibri"/>
        <family val="2"/>
        <scheme val="minor"/>
      </rPr>
      <t>)</t>
    </r>
  </si>
  <si>
    <t>p (psi)</t>
  </si>
  <si>
    <t>IM (unitless)</t>
  </si>
  <si>
    <t>w (psi)</t>
  </si>
  <si>
    <t>Load condition 1 single front tire</t>
  </si>
  <si>
    <t>H &lt; 2.33 ft</t>
  </si>
  <si>
    <t>Load condition 2 double tire</t>
  </si>
  <si>
    <r>
      <t xml:space="preserve">2.33 ft </t>
    </r>
    <r>
      <rPr>
        <sz val="11"/>
        <color theme="1"/>
        <rFont val="Calibri"/>
        <family val="2"/>
      </rPr>
      <t>≤ H ≤ 6.3 ft</t>
    </r>
  </si>
  <si>
    <t>Load condition 3 tandem tire</t>
  </si>
  <si>
    <t>H &gt; 6.3 ft</t>
  </si>
  <si>
    <t>Crown live load pressure (max)</t>
  </si>
  <si>
    <r>
      <t>p</t>
    </r>
    <r>
      <rPr>
        <vertAlign val="subscript"/>
        <sz val="11"/>
        <color theme="1"/>
        <rFont val="Calibri"/>
        <family val="2"/>
        <scheme val="minor"/>
      </rPr>
      <t>L</t>
    </r>
  </si>
  <si>
    <t>HL-93 Live Load (psi)</t>
  </si>
  <si>
    <r>
      <t>p</t>
    </r>
    <r>
      <rPr>
        <vertAlign val="subscript"/>
        <sz val="11"/>
        <color theme="1"/>
        <rFont val="Calibri"/>
        <family val="2"/>
        <scheme val="minor"/>
      </rPr>
      <t>L,u</t>
    </r>
  </si>
  <si>
    <t>Factored HL-93 Live Load y Live Load (psi)</t>
  </si>
  <si>
    <r>
      <t>p</t>
    </r>
    <r>
      <rPr>
        <vertAlign val="subscript"/>
        <sz val="11"/>
        <color theme="1"/>
        <rFont val="Calibri"/>
        <family val="2"/>
        <scheme val="minor"/>
      </rPr>
      <t>ssr</t>
    </r>
  </si>
  <si>
    <t>Additional live load (psi)</t>
  </si>
  <si>
    <r>
      <t>p</t>
    </r>
    <r>
      <rPr>
        <vertAlign val="subscript"/>
        <sz val="11"/>
        <color theme="1"/>
        <rFont val="Calibri"/>
        <family val="2"/>
        <scheme val="minor"/>
      </rPr>
      <t>ssr,</t>
    </r>
    <r>
      <rPr>
        <sz val="11"/>
        <color theme="1"/>
        <rFont val="Calibri"/>
        <family val="2"/>
        <scheme val="minor"/>
      </rPr>
      <t>u</t>
    </r>
  </si>
  <si>
    <t>Factored Additional live load (psi)</t>
  </si>
  <si>
    <t>Total pL,u</t>
  </si>
  <si>
    <t>Dead and Hydrostatic Load</t>
  </si>
  <si>
    <t>-Soil arching is only available if the fill height is at least 3 times the design diameter.</t>
  </si>
  <si>
    <t>Soil and Site Properties</t>
  </si>
  <si>
    <r>
      <t>γ</t>
    </r>
    <r>
      <rPr>
        <vertAlign val="subscript"/>
        <sz val="11"/>
        <color theme="1"/>
        <rFont val="Calibri"/>
        <family val="2"/>
      </rPr>
      <t>w</t>
    </r>
  </si>
  <si>
    <t>Density of Water (pcf)</t>
  </si>
  <si>
    <r>
      <t xml:space="preserve"> γ</t>
    </r>
    <r>
      <rPr>
        <vertAlign val="subscript"/>
        <sz val="11"/>
        <color theme="1"/>
        <rFont val="Calibri"/>
        <family val="2"/>
        <scheme val="minor"/>
      </rPr>
      <t>s</t>
    </r>
  </si>
  <si>
    <t>Soil density (pcf)</t>
  </si>
  <si>
    <r>
      <t>H</t>
    </r>
    <r>
      <rPr>
        <vertAlign val="subscript"/>
        <sz val="11"/>
        <color theme="1"/>
        <rFont val="Calibri"/>
        <family val="2"/>
        <scheme val="minor"/>
      </rPr>
      <t>c</t>
    </r>
  </si>
  <si>
    <t>Soil cover above crown (ft)</t>
  </si>
  <si>
    <r>
      <t>H</t>
    </r>
    <r>
      <rPr>
        <vertAlign val="subscript"/>
        <sz val="11"/>
        <color theme="1"/>
        <rFont val="Calibri"/>
        <family val="2"/>
        <scheme val="minor"/>
      </rPr>
      <t>c</t>
    </r>
    <r>
      <rPr>
        <sz val="11"/>
        <color theme="1"/>
        <rFont val="Calibri"/>
        <family val="2"/>
        <scheme val="minor"/>
      </rPr>
      <t>d</t>
    </r>
  </si>
  <si>
    <t xml:space="preserve">Soil cover above crown used for Dead Load (ft).  If soil arching applied==&gt;soil arching factor x (Dmax/12); must be greater than 3*D </t>
  </si>
  <si>
    <r>
      <t>H</t>
    </r>
    <r>
      <rPr>
        <vertAlign val="subscript"/>
        <sz val="11"/>
        <color theme="1"/>
        <rFont val="Calibri"/>
        <family val="2"/>
        <scheme val="minor"/>
      </rPr>
      <t>b</t>
    </r>
    <r>
      <rPr>
        <sz val="11"/>
        <color theme="1"/>
        <rFont val="Calibri"/>
        <family val="2"/>
        <scheme val="minor"/>
      </rPr>
      <t xml:space="preserve"> </t>
    </r>
  </si>
  <si>
    <t>Water table depth (ft) measured from top down</t>
  </si>
  <si>
    <r>
      <t>R</t>
    </r>
    <r>
      <rPr>
        <vertAlign val="subscript"/>
        <sz val="11"/>
        <color theme="1"/>
        <rFont val="Calibri"/>
        <family val="2"/>
        <scheme val="minor"/>
      </rPr>
      <t>w</t>
    </r>
  </si>
  <si>
    <t>buoyancy factor = 1-0.33*Hw/Hc</t>
  </si>
  <si>
    <r>
      <t>H</t>
    </r>
    <r>
      <rPr>
        <vertAlign val="subscript"/>
        <sz val="11"/>
        <color theme="1"/>
        <rFont val="Calibri"/>
        <family val="2"/>
        <scheme val="minor"/>
      </rPr>
      <t>w</t>
    </r>
  </si>
  <si>
    <t>head of water above crown (ft)</t>
  </si>
  <si>
    <t>Soil Arching Factor</t>
  </si>
  <si>
    <t>Dmax for Soil Arching Load (ft)</t>
  </si>
  <si>
    <t>HcArch (ft)</t>
  </si>
  <si>
    <r>
      <t xml:space="preserve">Dead Load-Value calculated at the </t>
    </r>
    <r>
      <rPr>
        <b/>
        <sz val="11"/>
        <color rgb="FFCC0000"/>
        <rFont val="Calibri"/>
        <family val="2"/>
        <scheme val="minor"/>
      </rPr>
      <t>top of the conduit</t>
    </r>
  </si>
  <si>
    <r>
      <t>p</t>
    </r>
    <r>
      <rPr>
        <vertAlign val="subscript"/>
        <sz val="11"/>
        <color theme="1"/>
        <rFont val="Calibri"/>
        <family val="2"/>
        <scheme val="minor"/>
      </rPr>
      <t>soil</t>
    </r>
  </si>
  <si>
    <t>Soil Pressure dead load (psi)</t>
  </si>
  <si>
    <r>
      <t>p</t>
    </r>
    <r>
      <rPr>
        <vertAlign val="subscript"/>
        <sz val="11"/>
        <color theme="1"/>
        <rFont val="Calibri"/>
        <family val="2"/>
        <scheme val="minor"/>
      </rPr>
      <t>soil,u</t>
    </r>
  </si>
  <si>
    <t>Factored soil  pressure dead load(psi)</t>
  </si>
  <si>
    <r>
      <t>p</t>
    </r>
    <r>
      <rPr>
        <vertAlign val="subscript"/>
        <sz val="11"/>
        <color theme="1"/>
        <rFont val="Calibri"/>
        <family val="2"/>
        <scheme val="minor"/>
      </rPr>
      <t>ssl</t>
    </r>
    <r>
      <rPr>
        <sz val="11"/>
        <color theme="1"/>
        <rFont val="Calibri"/>
        <family val="2"/>
        <scheme val="minor"/>
      </rPr>
      <t xml:space="preserve"> = p</t>
    </r>
    <r>
      <rPr>
        <vertAlign val="subscript"/>
        <sz val="11"/>
        <color theme="1"/>
        <rFont val="Calibri"/>
        <family val="2"/>
        <scheme val="minor"/>
      </rPr>
      <t xml:space="preserve">DL </t>
    </r>
    <r>
      <rPr>
        <sz val="11"/>
        <color theme="1"/>
        <rFont val="Calibri"/>
        <family val="2"/>
        <scheme val="minor"/>
      </rPr>
      <t>= p</t>
    </r>
    <r>
      <rPr>
        <vertAlign val="subscript"/>
        <sz val="11"/>
        <color theme="1"/>
        <rFont val="Calibri"/>
        <family val="2"/>
        <scheme val="minor"/>
      </rPr>
      <t>SL</t>
    </r>
  </si>
  <si>
    <t>Additional  Dead loads (psi)</t>
  </si>
  <si>
    <r>
      <t>p</t>
    </r>
    <r>
      <rPr>
        <vertAlign val="subscript"/>
        <sz val="11"/>
        <color theme="1"/>
        <rFont val="Calibri"/>
        <family val="2"/>
        <scheme val="minor"/>
      </rPr>
      <t>DL,u</t>
    </r>
  </si>
  <si>
    <r>
      <t>Factored additional dead load p</t>
    </r>
    <r>
      <rPr>
        <vertAlign val="subscript"/>
        <sz val="11"/>
        <color theme="1"/>
        <rFont val="Calibri"/>
        <family val="2"/>
        <scheme val="minor"/>
      </rPr>
      <t>DL</t>
    </r>
    <r>
      <rPr>
        <sz val="11"/>
        <color theme="1"/>
        <rFont val="Calibri"/>
        <family val="2"/>
        <scheme val="minor"/>
      </rPr>
      <t>*γ</t>
    </r>
    <r>
      <rPr>
        <vertAlign val="subscript"/>
        <sz val="11"/>
        <color theme="1"/>
        <rFont val="Calibri"/>
        <family val="2"/>
        <scheme val="minor"/>
      </rPr>
      <t>DL</t>
    </r>
    <r>
      <rPr>
        <sz val="11"/>
        <color theme="1"/>
        <rFont val="Calibri"/>
        <family val="2"/>
        <scheme val="minor"/>
      </rPr>
      <t xml:space="preserve"> (psi)</t>
    </r>
  </si>
  <si>
    <t>Total psoil,u</t>
  </si>
  <si>
    <r>
      <t xml:space="preserve">Hydrostatic Load-Value calculated at the </t>
    </r>
    <r>
      <rPr>
        <b/>
        <sz val="11"/>
        <color rgb="FFCC0000"/>
        <rFont val="Calibri"/>
        <family val="2"/>
        <scheme val="minor"/>
      </rPr>
      <t xml:space="preserve">invert of the conduit </t>
    </r>
  </si>
  <si>
    <t>pw</t>
  </si>
  <si>
    <t>Density of water times head difference at invert Head water depth above crown or above invert (psi)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</si>
</sst>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f\t"/>
    <numFmt numFmtId="166" formatCode="0.000000"/>
    <numFmt numFmtId="167" formatCode="0.0000"/>
  </numFmts>
  <fonts count="26">
    <font>
      <sz val="11"/>
      <color theme="1"/>
      <name val="Calibri"/>
      <family val="2"/>
      <scheme val="minor"/>
    </font>
    <font>
      <sz val="11"/>
      <color theme="1"/>
      <name val="Calibri"/>
      <family val="2"/>
    </font>
    <font>
      <sz val="11"/>
      <color rgb="FFFF0000"/>
      <name val="Calibri"/>
      <family val="2"/>
      <scheme val="minor"/>
    </font>
    <font>
      <vertAlign val="subscript"/>
      <sz val="11"/>
      <color theme="1"/>
      <name val="Calibri"/>
      <family val="2"/>
      <scheme val="minor"/>
    </font>
    <font>
      <vertAlign val="superscript"/>
      <sz val="11"/>
      <color theme="1"/>
      <name val="Calibri"/>
      <family val="2"/>
      <scheme val="minor"/>
    </font>
    <font>
      <sz val="11"/>
      <color theme="1"/>
      <name val="Times New Roman"/>
      <family val="1"/>
    </font>
    <font>
      <sz val="11"/>
      <color theme="1"/>
      <name val="Calibri"/>
      <family val="1"/>
    </font>
    <font>
      <vertAlign val="subscript"/>
      <sz val="11"/>
      <color theme="1"/>
      <name val="Calibri"/>
      <family val="2"/>
    </font>
    <font>
      <sz val="11"/>
      <name val="Calibri"/>
      <family val="2"/>
      <scheme val="minor"/>
    </font>
    <font>
      <b/>
      <sz val="11"/>
      <color theme="1"/>
      <name val="Calibri"/>
      <family val="2"/>
      <scheme val="minor"/>
    </font>
    <font>
      <b/>
      <sz val="11"/>
      <name val="Calibri"/>
      <family val="2"/>
      <scheme val="minor"/>
    </font>
    <font>
      <sz val="22"/>
      <color theme="1"/>
      <name val="Calibri"/>
      <family val="2"/>
      <scheme val="minor"/>
    </font>
    <font>
      <b/>
      <sz val="12"/>
      <color theme="1"/>
      <name val="Calibri"/>
      <family val="2"/>
      <scheme val="minor"/>
    </font>
    <font>
      <b/>
      <sz val="11"/>
      <color rgb="FFFF0000"/>
      <name val="Calibri"/>
      <family val="2"/>
      <scheme val="minor"/>
    </font>
    <font>
      <b/>
      <sz val="16"/>
      <color theme="1"/>
      <name val="Calibri"/>
      <family val="2"/>
      <scheme val="minor"/>
    </font>
    <font>
      <sz val="11"/>
      <color rgb="FF00B0F0"/>
      <name val="Calibri"/>
      <family val="2"/>
      <scheme val="minor"/>
    </font>
    <font>
      <i/>
      <sz val="11"/>
      <color rgb="FFFF0000"/>
      <name val="Calibri"/>
      <family val="2"/>
      <scheme val="minor"/>
    </font>
    <font>
      <b/>
      <u/>
      <sz val="11"/>
      <color theme="1"/>
      <name val="Calibri"/>
      <family val="2"/>
      <scheme val="minor"/>
    </font>
    <font>
      <b/>
      <sz val="11"/>
      <color rgb="FFCC0000"/>
      <name val="Calibri"/>
      <family val="2"/>
      <scheme val="minor"/>
    </font>
    <font>
      <sz val="11"/>
      <color rgb="FFCC0000"/>
      <name val="Calibri"/>
      <family val="2"/>
      <scheme val="minor"/>
    </font>
    <font>
      <b/>
      <sz val="11"/>
      <color rgb="FF0070C0"/>
      <name val="Calibri"/>
      <family val="2"/>
      <scheme val="minor"/>
    </font>
    <font>
      <sz val="11"/>
      <color rgb="FF0070C0"/>
      <name val="Calibri"/>
      <family val="2"/>
      <scheme val="minor"/>
    </font>
    <font>
      <b/>
      <u/>
      <sz val="11"/>
      <color rgb="FFCC0000"/>
      <name val="Calibri"/>
      <family val="2"/>
      <scheme val="minor"/>
    </font>
    <font>
      <b/>
      <sz val="16"/>
      <color rgb="FFFF0000"/>
      <name val="Calibri"/>
      <family val="2"/>
      <scheme val="minor"/>
    </font>
    <font>
      <sz val="12"/>
      <color theme="1"/>
      <name val="Times New Roman"/>
      <family val="1"/>
    </font>
    <font>
      <b/>
      <u/>
      <sz val="11"/>
      <color rgb="FFFF0000"/>
      <name val="Calibri"/>
      <family val="2"/>
      <scheme val="minor"/>
    </font>
  </fonts>
  <fills count="10">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rgb="FFFFFF99"/>
        <bgColor indexed="64"/>
      </patternFill>
    </fill>
    <fill>
      <patternFill patternType="solid">
        <fgColor rgb="FFFFD347"/>
        <bgColor indexed="64"/>
      </patternFill>
    </fill>
    <fill>
      <patternFill patternType="solid">
        <fgColor rgb="FFC9D6ED"/>
        <bgColor indexed="64"/>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351">
    <xf numFmtId="0" fontId="0" fillId="0" borderId="0" xfId="0"/>
    <xf numFmtId="0" fontId="6" fillId="0" borderId="0" xfId="0" applyFont="1"/>
    <xf numFmtId="0" fontId="0" fillId="0" borderId="0" xfId="0" applyAlignment="1">
      <alignment horizontal="center"/>
    </xf>
    <xf numFmtId="0" fontId="9" fillId="0" borderId="0" xfId="0" applyFont="1"/>
    <xf numFmtId="2" fontId="0" fillId="0" borderId="0" xfId="0" applyNumberFormat="1" applyAlignment="1">
      <alignment horizontal="center"/>
    </xf>
    <xf numFmtId="0" fontId="0" fillId="0" borderId="0" xfId="0" applyAlignment="1">
      <alignment wrapText="1"/>
    </xf>
    <xf numFmtId="1" fontId="0" fillId="0" borderId="0" xfId="0" applyNumberFormat="1" applyAlignment="1">
      <alignment horizontal="center"/>
    </xf>
    <xf numFmtId="0" fontId="2" fillId="0" borderId="0" xfId="0" applyFont="1"/>
    <xf numFmtId="0" fontId="13" fillId="0" borderId="0" xfId="0" applyFont="1"/>
    <xf numFmtId="0" fontId="0" fillId="0" borderId="0" xfId="0" applyAlignment="1">
      <alignment vertical="top"/>
    </xf>
    <xf numFmtId="2" fontId="9" fillId="0" borderId="0" xfId="0" applyNumberFormat="1" applyFont="1" applyAlignment="1">
      <alignment horizontal="center"/>
    </xf>
    <xf numFmtId="0" fontId="0" fillId="0" borderId="5" xfId="0" applyBorder="1"/>
    <xf numFmtId="0" fontId="13" fillId="0" borderId="30" xfId="0" applyFont="1" applyBorder="1" applyAlignment="1">
      <alignment vertical="center"/>
    </xf>
    <xf numFmtId="0" fontId="0" fillId="0" borderId="7" xfId="0" applyBorder="1"/>
    <xf numFmtId="165" fontId="0" fillId="0" borderId="30" xfId="0" applyNumberFormat="1" applyBorder="1" applyAlignment="1">
      <alignment horizontal="right"/>
    </xf>
    <xf numFmtId="0" fontId="0" fillId="0" borderId="30" xfId="0" applyBorder="1"/>
    <xf numFmtId="165" fontId="0" fillId="0" borderId="30" xfId="0" applyNumberFormat="1" applyBorder="1" applyAlignment="1">
      <alignment horizontal="left"/>
    </xf>
    <xf numFmtId="0" fontId="0" fillId="0" borderId="26" xfId="0" applyBorder="1"/>
    <xf numFmtId="0" fontId="0" fillId="0" borderId="10" xfId="0" applyBorder="1"/>
    <xf numFmtId="0" fontId="0" fillId="0" borderId="11" xfId="0" applyBorder="1"/>
    <xf numFmtId="0" fontId="9" fillId="0" borderId="30" xfId="0" applyFont="1" applyBorder="1" applyAlignment="1">
      <alignment horizontal="left" vertical="center" wrapText="1"/>
    </xf>
    <xf numFmtId="0" fontId="0" fillId="4" borderId="30" xfId="0" applyFill="1" applyBorder="1"/>
    <xf numFmtId="0" fontId="8" fillId="0" borderId="30" xfId="0" applyFont="1" applyBorder="1" applyAlignment="1">
      <alignment horizontal="right" vertical="top" wrapText="1"/>
    </xf>
    <xf numFmtId="166" fontId="0" fillId="0" borderId="0" xfId="0" applyNumberFormat="1"/>
    <xf numFmtId="167" fontId="0" fillId="0" borderId="0" xfId="0" applyNumberFormat="1" applyAlignment="1">
      <alignment horizontal="center"/>
    </xf>
    <xf numFmtId="0" fontId="10" fillId="2" borderId="30" xfId="0" applyFont="1" applyFill="1" applyBorder="1" applyAlignment="1">
      <alignment horizontal="right"/>
    </xf>
    <xf numFmtId="0" fontId="0" fillId="2" borderId="0" xfId="0" applyFill="1"/>
    <xf numFmtId="0" fontId="0" fillId="2" borderId="7" xfId="0" applyFill="1" applyBorder="1"/>
    <xf numFmtId="0" fontId="6" fillId="2" borderId="30" xfId="0" applyFont="1" applyFill="1" applyBorder="1" applyAlignment="1">
      <alignment horizontal="right"/>
    </xf>
    <xf numFmtId="0" fontId="0" fillId="2" borderId="1" xfId="0" applyFill="1" applyBorder="1" applyAlignment="1">
      <alignment horizontal="center"/>
    </xf>
    <xf numFmtId="0" fontId="0" fillId="2" borderId="30" xfId="0" applyFill="1" applyBorder="1"/>
    <xf numFmtId="0" fontId="0" fillId="2" borderId="30" xfId="0" applyFill="1" applyBorder="1" applyAlignment="1">
      <alignment horizontal="right"/>
    </xf>
    <xf numFmtId="2" fontId="0" fillId="2" borderId="1" xfId="0" applyNumberFormat="1" applyFill="1" applyBorder="1" applyAlignment="1">
      <alignment horizontal="center"/>
    </xf>
    <xf numFmtId="2" fontId="0" fillId="2" borderId="0" xfId="0" applyNumberFormat="1" applyFill="1" applyAlignment="1">
      <alignment horizontal="center"/>
    </xf>
    <xf numFmtId="2" fontId="9" fillId="2" borderId="21" xfId="0" applyNumberFormat="1" applyFont="1" applyFill="1" applyBorder="1" applyAlignment="1">
      <alignment horizontal="center"/>
    </xf>
    <xf numFmtId="0" fontId="0" fillId="2" borderId="26" xfId="0" applyFill="1" applyBorder="1"/>
    <xf numFmtId="0" fontId="0" fillId="2" borderId="10" xfId="0" applyFill="1" applyBorder="1"/>
    <xf numFmtId="0" fontId="0" fillId="2" borderId="11" xfId="0" applyFill="1" applyBorder="1"/>
    <xf numFmtId="0" fontId="0" fillId="2" borderId="0" xfId="0" applyFill="1" applyAlignment="1">
      <alignment horizontal="right"/>
    </xf>
    <xf numFmtId="0" fontId="0" fillId="2" borderId="1" xfId="0" applyFill="1" applyBorder="1"/>
    <xf numFmtId="0" fontId="0" fillId="2" borderId="1" xfId="0" applyFill="1" applyBorder="1" applyAlignment="1">
      <alignment horizontal="right"/>
    </xf>
    <xf numFmtId="2" fontId="8" fillId="2" borderId="1" xfId="0" applyNumberFormat="1" applyFont="1" applyFill="1" applyBorder="1" applyAlignment="1">
      <alignment horizontal="center"/>
    </xf>
    <xf numFmtId="2" fontId="8" fillId="2" borderId="0" xfId="0" applyNumberFormat="1" applyFont="1" applyFill="1" applyAlignment="1">
      <alignment horizontal="center"/>
    </xf>
    <xf numFmtId="0" fontId="0" fillId="2" borderId="7" xfId="0" applyFill="1" applyBorder="1" applyAlignment="1">
      <alignment horizontal="center"/>
    </xf>
    <xf numFmtId="0" fontId="10" fillId="2" borderId="0" xfId="0" applyFont="1" applyFill="1" applyAlignment="1">
      <alignment horizontal="right"/>
    </xf>
    <xf numFmtId="0" fontId="9" fillId="2" borderId="0" xfId="0" applyFont="1" applyFill="1" applyAlignment="1">
      <alignment horizontal="left"/>
    </xf>
    <xf numFmtId="0" fontId="16" fillId="0" borderId="0" xfId="0" applyFont="1" applyAlignment="1">
      <alignment vertical="center" wrapText="1"/>
    </xf>
    <xf numFmtId="0" fontId="2" fillId="2" borderId="7" xfId="0" applyFont="1" applyFill="1" applyBorder="1" applyAlignment="1">
      <alignment vertical="center" wrapText="1"/>
    </xf>
    <xf numFmtId="0" fontId="6" fillId="2" borderId="30" xfId="0" applyFont="1" applyFill="1" applyBorder="1"/>
    <xf numFmtId="1" fontId="0" fillId="2" borderId="1" xfId="0" applyNumberFormat="1" applyFill="1" applyBorder="1" applyAlignment="1">
      <alignment horizontal="center"/>
    </xf>
    <xf numFmtId="0" fontId="6" fillId="2" borderId="10" xfId="0" applyFont="1" applyFill="1" applyBorder="1"/>
    <xf numFmtId="1" fontId="0" fillId="2" borderId="10" xfId="0" applyNumberFormat="1" applyFill="1" applyBorder="1" applyAlignment="1">
      <alignment horizontal="center"/>
    </xf>
    <xf numFmtId="0" fontId="0" fillId="2" borderId="7" xfId="0" applyFill="1" applyBorder="1" applyAlignment="1">
      <alignment vertical="top" wrapText="1"/>
    </xf>
    <xf numFmtId="0" fontId="9" fillId="0" borderId="0" xfId="0" applyFont="1" applyAlignment="1">
      <alignment horizontal="right"/>
    </xf>
    <xf numFmtId="0" fontId="0" fillId="0" borderId="0" xfId="0" applyAlignment="1">
      <alignment horizontal="right"/>
    </xf>
    <xf numFmtId="49" fontId="0" fillId="0" borderId="0" xfId="0" applyNumberFormat="1"/>
    <xf numFmtId="0" fontId="9" fillId="0" borderId="0" xfId="0" applyFont="1" applyAlignment="1">
      <alignment horizontal="left" vertical="center" wrapText="1"/>
    </xf>
    <xf numFmtId="0" fontId="2" fillId="0" borderId="0" xfId="0" applyFont="1" applyAlignment="1">
      <alignment horizontal="left" vertical="top" wrapText="1"/>
    </xf>
    <xf numFmtId="0" fontId="9" fillId="0" borderId="0" xfId="0" applyFont="1" applyAlignment="1">
      <alignment horizontal="center"/>
    </xf>
    <xf numFmtId="164" fontId="9" fillId="0" borderId="0" xfId="0" applyNumberFormat="1" applyFont="1" applyAlignment="1">
      <alignment horizontal="center"/>
    </xf>
    <xf numFmtId="0" fontId="9" fillId="0" borderId="8" xfId="0" applyFont="1" applyBorder="1" applyAlignment="1">
      <alignment horizontal="right" vertical="center"/>
    </xf>
    <xf numFmtId="0" fontId="9" fillId="0" borderId="0" xfId="0" applyFont="1" applyAlignment="1">
      <alignment vertical="center"/>
    </xf>
    <xf numFmtId="0" fontId="0" fillId="0" borderId="0" xfId="0" applyAlignment="1">
      <alignment horizontal="right" vertical="center"/>
    </xf>
    <xf numFmtId="1" fontId="0" fillId="0" borderId="0" xfId="0" applyNumberFormat="1" applyAlignment="1" applyProtection="1">
      <alignment horizontal="center" vertical="center"/>
      <protection locked="0"/>
    </xf>
    <xf numFmtId="2" fontId="0" fillId="0" borderId="0" xfId="0" applyNumberFormat="1" applyAlignment="1" applyProtection="1">
      <alignment horizontal="center" vertical="center"/>
      <protection locked="0"/>
    </xf>
    <xf numFmtId="0" fontId="0" fillId="0" borderId="0" xfId="0" applyAlignment="1">
      <alignment vertical="center" wrapText="1"/>
    </xf>
    <xf numFmtId="0" fontId="11" fillId="0" borderId="0" xfId="0" applyFont="1" applyAlignment="1">
      <alignment vertical="center"/>
    </xf>
    <xf numFmtId="0" fontId="11" fillId="5" borderId="30" xfId="0" applyFont="1" applyFill="1" applyBorder="1" applyAlignment="1">
      <alignment vertical="center"/>
    </xf>
    <xf numFmtId="0" fontId="11" fillId="5" borderId="7" xfId="0" applyFont="1" applyFill="1" applyBorder="1" applyAlignment="1">
      <alignment vertical="center"/>
    </xf>
    <xf numFmtId="2" fontId="10" fillId="0" borderId="38" xfId="0" applyNumberFormat="1" applyFont="1" applyBorder="1" applyAlignment="1">
      <alignment horizontal="center"/>
    </xf>
    <xf numFmtId="2" fontId="10" fillId="0" borderId="38" xfId="0" applyNumberFormat="1" applyFont="1" applyBorder="1" applyAlignment="1">
      <alignment horizontal="center" vertical="center"/>
    </xf>
    <xf numFmtId="0" fontId="10" fillId="0" borderId="38" xfId="0" applyFont="1" applyBorder="1" applyAlignment="1">
      <alignment horizontal="center"/>
    </xf>
    <xf numFmtId="2" fontId="10" fillId="0" borderId="43" xfId="0" applyNumberFormat="1" applyFont="1" applyBorder="1" applyAlignment="1">
      <alignment horizontal="center"/>
    </xf>
    <xf numFmtId="0" fontId="9" fillId="4" borderId="3" xfId="0" applyFont="1" applyFill="1" applyBorder="1"/>
    <xf numFmtId="0" fontId="0" fillId="4" borderId="30" xfId="0" applyFill="1" applyBorder="1" applyAlignment="1">
      <alignment horizontal="center"/>
    </xf>
    <xf numFmtId="0" fontId="9" fillId="4" borderId="30" xfId="0" applyFont="1" applyFill="1" applyBorder="1" applyAlignment="1">
      <alignment vertical="center"/>
    </xf>
    <xf numFmtId="0" fontId="0" fillId="4" borderId="30" xfId="0" applyFill="1" applyBorder="1" applyAlignment="1">
      <alignment horizontal="right"/>
    </xf>
    <xf numFmtId="0" fontId="2" fillId="4" borderId="30" xfId="0" applyFont="1" applyFill="1" applyBorder="1"/>
    <xf numFmtId="0" fontId="0" fillId="0" borderId="30" xfId="0" applyBorder="1" applyAlignment="1">
      <alignment horizontal="center"/>
    </xf>
    <xf numFmtId="0" fontId="11" fillId="0" borderId="30" xfId="0" applyFont="1" applyBorder="1" applyAlignment="1">
      <alignment vertical="center"/>
    </xf>
    <xf numFmtId="49" fontId="0" fillId="0" borderId="30" xfId="0" applyNumberFormat="1" applyBorder="1"/>
    <xf numFmtId="0" fontId="0" fillId="0" borderId="7" xfId="0" applyBorder="1" applyAlignment="1">
      <alignment vertical="center"/>
    </xf>
    <xf numFmtId="0" fontId="9" fillId="0" borderId="7" xfId="0" applyFont="1" applyBorder="1" applyAlignment="1">
      <alignment vertical="center"/>
    </xf>
    <xf numFmtId="0" fontId="0" fillId="0" borderId="7" xfId="0" applyBorder="1" applyAlignment="1">
      <alignmen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15" xfId="0" applyFont="1" applyBorder="1" applyAlignment="1">
      <alignment horizontal="right"/>
    </xf>
    <xf numFmtId="2" fontId="0" fillId="0" borderId="21" xfId="0" applyNumberFormat="1" applyBorder="1" applyAlignment="1">
      <alignment horizontal="center"/>
    </xf>
    <xf numFmtId="0" fontId="9" fillId="0" borderId="36" xfId="0" applyFont="1" applyBorder="1" applyAlignment="1">
      <alignment horizontal="right"/>
    </xf>
    <xf numFmtId="2" fontId="0" fillId="0" borderId="12" xfId="0" applyNumberFormat="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2" xfId="0" applyBorder="1" applyAlignment="1">
      <alignment horizontal="right"/>
    </xf>
    <xf numFmtId="0" fontId="0" fillId="0" borderId="15" xfId="0" applyBorder="1" applyAlignment="1">
      <alignment horizontal="center"/>
    </xf>
    <xf numFmtId="0" fontId="0" fillId="0" borderId="20" xfId="0" applyBorder="1" applyAlignment="1">
      <alignment horizontal="center"/>
    </xf>
    <xf numFmtId="0" fontId="0" fillId="0" borderId="39" xfId="0" applyBorder="1" applyAlignment="1">
      <alignment horizontal="center"/>
    </xf>
    <xf numFmtId="0" fontId="13" fillId="2" borderId="15" xfId="0" applyFont="1" applyFill="1" applyBorder="1" applyAlignment="1">
      <alignment horizontal="center"/>
    </xf>
    <xf numFmtId="0" fontId="13" fillId="2" borderId="20" xfId="0" applyFont="1" applyFill="1" applyBorder="1" applyAlignment="1">
      <alignment horizontal="center"/>
    </xf>
    <xf numFmtId="0" fontId="13" fillId="2" borderId="39" xfId="0" applyFont="1" applyFill="1" applyBorder="1" applyAlignment="1">
      <alignment horizontal="center"/>
    </xf>
    <xf numFmtId="0" fontId="0" fillId="0" borderId="16" xfId="0" applyBorder="1" applyAlignment="1">
      <alignment horizontal="right"/>
    </xf>
    <xf numFmtId="0" fontId="6" fillId="0" borderId="16" xfId="0" applyFont="1" applyBorder="1" applyAlignment="1">
      <alignment horizontal="right"/>
    </xf>
    <xf numFmtId="0" fontId="6" fillId="0" borderId="6" xfId="0" applyFont="1" applyBorder="1" applyAlignment="1">
      <alignment horizontal="right"/>
    </xf>
    <xf numFmtId="0" fontId="6" fillId="0" borderId="8" xfId="0" applyFont="1" applyBorder="1" applyAlignment="1">
      <alignment horizontal="right"/>
    </xf>
    <xf numFmtId="0" fontId="0" fillId="0" borderId="27" xfId="0" applyBorder="1" applyAlignment="1">
      <alignment horizontal="right" vertical="center"/>
    </xf>
    <xf numFmtId="0" fontId="0" fillId="0" borderId="6" xfId="0" applyBorder="1" applyAlignment="1">
      <alignment horizontal="right" vertical="center"/>
    </xf>
    <xf numFmtId="0" fontId="0" fillId="0" borderId="8" xfId="0" applyBorder="1" applyAlignment="1">
      <alignment horizontal="right" vertical="center"/>
    </xf>
    <xf numFmtId="2" fontId="0" fillId="6" borderId="1" xfId="0" applyNumberFormat="1" applyFill="1" applyBorder="1" applyAlignment="1" applyProtection="1">
      <alignment horizontal="center" vertical="center"/>
      <protection locked="0"/>
    </xf>
    <xf numFmtId="2" fontId="0" fillId="6" borderId="9" xfId="0" applyNumberFormat="1" applyFill="1" applyBorder="1" applyAlignment="1" applyProtection="1">
      <alignment horizontal="center" vertical="center"/>
      <protection locked="0"/>
    </xf>
    <xf numFmtId="1" fontId="0" fillId="6" borderId="37" xfId="0" applyNumberFormat="1" applyFill="1" applyBorder="1" applyAlignment="1" applyProtection="1">
      <alignment horizontal="center" vertical="center"/>
      <protection locked="0"/>
    </xf>
    <xf numFmtId="0" fontId="0" fillId="6" borderId="2" xfId="0" applyFill="1" applyBorder="1" applyAlignment="1" applyProtection="1">
      <alignment horizontal="center"/>
      <protection locked="0"/>
    </xf>
    <xf numFmtId="164" fontId="0" fillId="6" borderId="1" xfId="0" applyNumberFormat="1" applyFill="1" applyBorder="1" applyAlignment="1" applyProtection="1">
      <alignment horizontal="center"/>
      <protection locked="0"/>
    </xf>
    <xf numFmtId="0" fontId="0" fillId="6" borderId="1" xfId="0" applyFill="1" applyBorder="1" applyAlignment="1" applyProtection="1">
      <alignment horizontal="center" vertical="center"/>
      <protection locked="0"/>
    </xf>
    <xf numFmtId="0" fontId="0" fillId="6" borderId="9" xfId="0" applyFill="1" applyBorder="1" applyAlignment="1" applyProtection="1">
      <alignment horizontal="center" vertical="center"/>
      <protection locked="0"/>
    </xf>
    <xf numFmtId="0" fontId="9" fillId="7" borderId="23" xfId="0" applyFont="1" applyFill="1" applyBorder="1" applyAlignment="1">
      <alignment horizontal="right" vertical="center"/>
    </xf>
    <xf numFmtId="164" fontId="9" fillId="7" borderId="21" xfId="0" applyNumberFormat="1" applyFont="1" applyFill="1" applyBorder="1" applyAlignment="1">
      <alignment horizontal="center" vertical="center"/>
    </xf>
    <xf numFmtId="0" fontId="21" fillId="0" borderId="20" xfId="0" applyFont="1" applyBorder="1" applyAlignment="1">
      <alignment horizontal="center"/>
    </xf>
    <xf numFmtId="0" fontId="19" fillId="2" borderId="0" xfId="0" applyFont="1" applyFill="1"/>
    <xf numFmtId="0" fontId="18" fillId="2" borderId="0" xfId="0" applyFont="1" applyFill="1"/>
    <xf numFmtId="49" fontId="19" fillId="2" borderId="0" xfId="0" applyNumberFormat="1" applyFont="1" applyFill="1"/>
    <xf numFmtId="0" fontId="18" fillId="2" borderId="0" xfId="0" applyFont="1" applyFill="1" applyAlignment="1">
      <alignment horizontal="right"/>
    </xf>
    <xf numFmtId="0" fontId="9" fillId="0" borderId="6" xfId="0" applyFont="1" applyBorder="1" applyAlignment="1">
      <alignment horizontal="right" vertical="center"/>
    </xf>
    <xf numFmtId="0" fontId="9" fillId="0" borderId="45" xfId="0" applyFont="1" applyBorder="1" applyAlignment="1">
      <alignment horizontal="right" vertical="center"/>
    </xf>
    <xf numFmtId="2" fontId="20" fillId="2" borderId="33" xfId="0" applyNumberFormat="1" applyFont="1" applyFill="1" applyBorder="1" applyAlignment="1">
      <alignment horizontal="center" vertical="center"/>
    </xf>
    <xf numFmtId="2" fontId="20" fillId="2" borderId="34" xfId="0" applyNumberFormat="1" applyFont="1" applyFill="1" applyBorder="1" applyAlignment="1">
      <alignment horizontal="center" vertical="center"/>
    </xf>
    <xf numFmtId="2" fontId="0" fillId="6" borderId="2" xfId="0" applyNumberFormat="1" applyFill="1" applyBorder="1" applyAlignment="1" applyProtection="1">
      <alignment horizontal="center" vertical="center"/>
      <protection locked="0"/>
    </xf>
    <xf numFmtId="164" fontId="9" fillId="7" borderId="23" xfId="0" applyNumberFormat="1" applyFont="1" applyFill="1" applyBorder="1" applyAlignment="1">
      <alignment horizontal="center" vertical="center"/>
    </xf>
    <xf numFmtId="0" fontId="0" fillId="2" borderId="1" xfId="0" applyFill="1" applyBorder="1" applyAlignment="1">
      <alignment horizontal="center" vertical="center"/>
    </xf>
    <xf numFmtId="0" fontId="23" fillId="0" borderId="0" xfId="0" applyFont="1"/>
    <xf numFmtId="0" fontId="19" fillId="2" borderId="7" xfId="0" applyFont="1" applyFill="1" applyBorder="1" applyAlignment="1">
      <alignment horizontal="left" vertical="center"/>
    </xf>
    <xf numFmtId="0" fontId="0" fillId="2" borderId="0" xfId="0" applyFill="1" applyAlignment="1">
      <alignment vertical="top" wrapText="1"/>
    </xf>
    <xf numFmtId="0" fontId="13" fillId="2" borderId="0" xfId="0" applyFont="1" applyFill="1"/>
    <xf numFmtId="0" fontId="19" fillId="2" borderId="7" xfId="0" applyFont="1" applyFill="1" applyBorder="1"/>
    <xf numFmtId="49" fontId="19" fillId="2" borderId="7" xfId="0" applyNumberFormat="1" applyFont="1" applyFill="1" applyBorder="1"/>
    <xf numFmtId="0" fontId="24" fillId="0" borderId="0" xfId="0" applyFont="1" applyAlignment="1">
      <alignment vertical="center"/>
    </xf>
    <xf numFmtId="0" fontId="0" fillId="4" borderId="3" xfId="0" applyFill="1" applyBorder="1"/>
    <xf numFmtId="0" fontId="0" fillId="4" borderId="7" xfId="0" applyFill="1" applyBorder="1"/>
    <xf numFmtId="0" fontId="0" fillId="2" borderId="30" xfId="0" applyFill="1" applyBorder="1" applyAlignment="1">
      <alignment horizontal="left"/>
    </xf>
    <xf numFmtId="0" fontId="0" fillId="2" borderId="0" xfId="0" applyFill="1" applyAlignment="1">
      <alignment horizontal="left"/>
    </xf>
    <xf numFmtId="0" fontId="0" fillId="2" borderId="26" xfId="0" applyFill="1" applyBorder="1" applyAlignment="1">
      <alignment horizontal="left"/>
    </xf>
    <xf numFmtId="2" fontId="0" fillId="2" borderId="10" xfId="0" applyNumberFormat="1" applyFill="1" applyBorder="1" applyAlignment="1">
      <alignment horizontal="left"/>
    </xf>
    <xf numFmtId="0" fontId="0" fillId="2" borderId="10" xfId="0" applyFill="1" applyBorder="1" applyAlignment="1">
      <alignment horizontal="left"/>
    </xf>
    <xf numFmtId="0" fontId="0" fillId="0" borderId="0" xfId="0" applyAlignment="1">
      <alignment horizontal="left"/>
    </xf>
    <xf numFmtId="0" fontId="0" fillId="0" borderId="29" xfId="0" applyBorder="1" applyAlignment="1">
      <alignment horizontal="right" vertical="center"/>
    </xf>
    <xf numFmtId="2" fontId="2" fillId="0" borderId="0" xfId="0" applyNumberFormat="1" applyFont="1" applyAlignment="1">
      <alignment horizontal="center"/>
    </xf>
    <xf numFmtId="0" fontId="0" fillId="0" borderId="0" xfId="0" applyAlignment="1">
      <alignment vertical="center"/>
    </xf>
    <xf numFmtId="0" fontId="11" fillId="5" borderId="0" xfId="0" applyFont="1" applyFill="1" applyAlignment="1">
      <alignment vertical="center"/>
    </xf>
    <xf numFmtId="0" fontId="9" fillId="2" borderId="0" xfId="0" applyFont="1" applyFill="1" applyAlignment="1">
      <alignment horizontal="center"/>
    </xf>
    <xf numFmtId="0" fontId="18" fillId="2" borderId="0" xfId="0" applyFont="1" applyFill="1" applyAlignment="1">
      <alignment horizontal="left" vertical="center"/>
    </xf>
    <xf numFmtId="0" fontId="19" fillId="2" borderId="0" xfId="0" applyFont="1" applyFill="1" applyAlignment="1">
      <alignment horizontal="left" vertical="center"/>
    </xf>
    <xf numFmtId="1" fontId="0" fillId="2" borderId="0" xfId="0" applyNumberFormat="1" applyFill="1" applyAlignment="1">
      <alignment horizontal="center"/>
    </xf>
    <xf numFmtId="2" fontId="0" fillId="2" borderId="41" xfId="0" applyNumberFormat="1" applyFill="1" applyBorder="1" applyAlignment="1">
      <alignment horizontal="center"/>
    </xf>
    <xf numFmtId="0" fontId="0" fillId="2" borderId="26" xfId="0" applyFill="1" applyBorder="1" applyAlignment="1">
      <alignment horizontal="right"/>
    </xf>
    <xf numFmtId="2" fontId="0" fillId="2" borderId="9" xfId="0" applyNumberFormat="1" applyFill="1" applyBorder="1" applyAlignment="1">
      <alignment horizontal="center"/>
    </xf>
    <xf numFmtId="49" fontId="18" fillId="2" borderId="30" xfId="0" applyNumberFormat="1" applyFont="1" applyFill="1" applyBorder="1" applyAlignment="1">
      <alignment horizontal="left" vertical="center" wrapText="1"/>
    </xf>
    <xf numFmtId="49" fontId="18" fillId="2" borderId="26" xfId="0" applyNumberFormat="1" applyFont="1" applyFill="1" applyBorder="1" applyAlignment="1">
      <alignment wrapText="1"/>
    </xf>
    <xf numFmtId="0" fontId="18" fillId="2" borderId="49" xfId="0" applyFont="1" applyFill="1" applyBorder="1"/>
    <xf numFmtId="0" fontId="0" fillId="0" borderId="22" xfId="0" applyBorder="1" applyAlignment="1">
      <alignment horizontal="right" wrapText="1"/>
    </xf>
    <xf numFmtId="0" fontId="0" fillId="6" borderId="28" xfId="0" applyFill="1" applyBorder="1" applyAlignment="1" applyProtection="1">
      <alignment horizontal="center" vertical="center"/>
      <protection locked="0"/>
    </xf>
    <xf numFmtId="0" fontId="0" fillId="0" borderId="27" xfId="0" applyBorder="1" applyAlignment="1">
      <alignment horizontal="right"/>
    </xf>
    <xf numFmtId="0" fontId="0" fillId="4" borderId="0" xfId="0" applyFill="1"/>
    <xf numFmtId="0" fontId="14" fillId="4" borderId="0" xfId="0" applyFont="1" applyFill="1" applyAlignment="1">
      <alignment horizontal="center"/>
    </xf>
    <xf numFmtId="0" fontId="20" fillId="0" borderId="0" xfId="0" applyFont="1" applyAlignment="1">
      <alignment vertical="center"/>
    </xf>
    <xf numFmtId="0" fontId="21" fillId="0" borderId="0" xfId="0" applyFont="1" applyAlignment="1">
      <alignment vertical="center"/>
    </xf>
    <xf numFmtId="0" fontId="9" fillId="0" borderId="21" xfId="0" applyFont="1" applyBorder="1" applyAlignment="1">
      <alignment horizontal="right"/>
    </xf>
    <xf numFmtId="22" fontId="9" fillId="0" borderId="21" xfId="0" applyNumberFormat="1" applyFont="1" applyBorder="1" applyAlignment="1">
      <alignment horizontal="center"/>
    </xf>
    <xf numFmtId="0" fontId="0" fillId="0" borderId="0" xfId="0" applyAlignment="1" applyProtection="1">
      <alignment horizontal="center"/>
      <protection locked="0"/>
    </xf>
    <xf numFmtId="0" fontId="1" fillId="2" borderId="30" xfId="0" applyFont="1" applyFill="1" applyBorder="1" applyAlignment="1">
      <alignment horizontal="right"/>
    </xf>
    <xf numFmtId="0" fontId="0" fillId="4" borderId="24" xfId="0" applyFill="1" applyBorder="1"/>
    <xf numFmtId="0" fontId="0" fillId="4" borderId="25" xfId="0" applyFill="1" applyBorder="1"/>
    <xf numFmtId="165" fontId="0" fillId="0" borderId="0" xfId="0" applyNumberFormat="1" applyAlignment="1">
      <alignment horizontal="right"/>
    </xf>
    <xf numFmtId="0" fontId="9" fillId="2" borderId="1" xfId="0" applyFont="1" applyFill="1" applyBorder="1" applyAlignment="1">
      <alignment horizontal="right"/>
    </xf>
    <xf numFmtId="0" fontId="9" fillId="2" borderId="30" xfId="0" applyFont="1" applyFill="1" applyBorder="1" applyAlignment="1">
      <alignment horizontal="right"/>
    </xf>
    <xf numFmtId="0" fontId="16" fillId="0" borderId="0" xfId="0" applyFont="1" applyAlignment="1">
      <alignment horizontal="left" vertical="center" wrapText="1"/>
    </xf>
    <xf numFmtId="0" fontId="9" fillId="0" borderId="23" xfId="0" applyFont="1" applyBorder="1" applyAlignment="1">
      <alignment horizontal="center"/>
    </xf>
    <xf numFmtId="0" fontId="9" fillId="0" borderId="24" xfId="0" applyFont="1" applyBorder="1" applyAlignment="1">
      <alignment horizontal="center"/>
    </xf>
    <xf numFmtId="0" fontId="9" fillId="0" borderId="25" xfId="0" applyFont="1" applyBorder="1" applyAlignment="1">
      <alignment horizontal="center"/>
    </xf>
    <xf numFmtId="0" fontId="9" fillId="2" borderId="46" xfId="0" applyFont="1" applyFill="1" applyBorder="1" applyAlignment="1">
      <alignment horizontal="right"/>
    </xf>
    <xf numFmtId="0" fontId="9" fillId="2" borderId="16" xfId="0" applyFont="1" applyFill="1" applyBorder="1" applyAlignment="1">
      <alignment horizontal="right"/>
    </xf>
    <xf numFmtId="0" fontId="0" fillId="2" borderId="0" xfId="0" applyFill="1" applyAlignment="1">
      <alignment horizontal="center"/>
    </xf>
    <xf numFmtId="0" fontId="9" fillId="2" borderId="23" xfId="0" applyFont="1" applyFill="1" applyBorder="1" applyAlignment="1">
      <alignment horizontal="center"/>
    </xf>
    <xf numFmtId="0" fontId="9" fillId="2" borderId="24"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9" fillId="2" borderId="5" xfId="0" applyFont="1" applyFill="1" applyBorder="1" applyAlignment="1">
      <alignment horizontal="center"/>
    </xf>
    <xf numFmtId="49" fontId="9" fillId="2" borderId="6" xfId="0" applyNumberFormat="1" applyFont="1" applyFill="1" applyBorder="1" applyAlignment="1">
      <alignment horizontal="right"/>
    </xf>
    <xf numFmtId="49" fontId="9" fillId="2" borderId="1" xfId="0" applyNumberFormat="1" applyFont="1" applyFill="1" applyBorder="1" applyAlignment="1">
      <alignment horizontal="right"/>
    </xf>
    <xf numFmtId="0" fontId="9" fillId="2" borderId="6" xfId="0" applyFont="1" applyFill="1" applyBorder="1" applyAlignment="1">
      <alignment horizontal="right" wrapText="1"/>
    </xf>
    <xf numFmtId="0" fontId="9" fillId="2" borderId="1" xfId="0" applyFont="1" applyFill="1" applyBorder="1" applyAlignment="1">
      <alignment horizontal="right" wrapText="1"/>
    </xf>
    <xf numFmtId="0" fontId="9" fillId="2" borderId="8" xfId="0" applyFont="1" applyFill="1" applyBorder="1" applyAlignment="1">
      <alignment horizontal="right" wrapText="1"/>
    </xf>
    <xf numFmtId="0" fontId="9" fillId="2" borderId="9" xfId="0" applyFont="1" applyFill="1" applyBorder="1" applyAlignment="1">
      <alignment horizontal="right" wrapText="1"/>
    </xf>
    <xf numFmtId="0" fontId="9" fillId="2" borderId="6" xfId="0" applyFont="1" applyFill="1" applyBorder="1" applyAlignment="1">
      <alignment horizontal="right"/>
    </xf>
    <xf numFmtId="0" fontId="9" fillId="2" borderId="1" xfId="0" applyFont="1" applyFill="1" applyBorder="1" applyAlignment="1">
      <alignment horizontal="right"/>
    </xf>
    <xf numFmtId="0" fontId="9" fillId="2" borderId="6" xfId="0" applyFont="1" applyFill="1" applyBorder="1" applyAlignment="1">
      <alignment horizontal="center" wrapText="1"/>
    </xf>
    <xf numFmtId="0" fontId="9" fillId="2" borderId="1" xfId="0" applyFont="1" applyFill="1" applyBorder="1" applyAlignment="1">
      <alignment horizontal="center" wrapText="1"/>
    </xf>
    <xf numFmtId="49" fontId="2" fillId="0" borderId="30"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0" fontId="11" fillId="0" borderId="0" xfId="0" applyFont="1" applyAlignment="1">
      <alignment horizontal="center" vertical="center"/>
    </xf>
    <xf numFmtId="0" fontId="0" fillId="0" borderId="0" xfId="0" applyAlignment="1">
      <alignment horizontal="left" vertical="center" wrapText="1"/>
    </xf>
    <xf numFmtId="0" fontId="15" fillId="0" borderId="0" xfId="0" applyFont="1" applyAlignment="1">
      <alignment horizontal="center" vertical="center"/>
    </xf>
    <xf numFmtId="0" fontId="10" fillId="0" borderId="30" xfId="0" applyFont="1" applyBorder="1" applyAlignment="1">
      <alignment horizontal="center" vertical="center" wrapText="1"/>
    </xf>
    <xf numFmtId="0" fontId="10" fillId="0" borderId="0" xfId="0" applyFont="1" applyAlignment="1">
      <alignment horizontal="center" vertical="center" wrapText="1"/>
    </xf>
    <xf numFmtId="165" fontId="0" fillId="0" borderId="0" xfId="0" applyNumberFormat="1" applyAlignment="1">
      <alignment horizontal="right"/>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7"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14" fillId="8" borderId="23" xfId="0" applyFont="1" applyFill="1" applyBorder="1" applyAlignment="1">
      <alignment horizontal="center" vertical="center"/>
    </xf>
    <xf numFmtId="0" fontId="14" fillId="8" borderId="4" xfId="0" applyFont="1" applyFill="1" applyBorder="1" applyAlignment="1">
      <alignment horizontal="center" vertical="center"/>
    </xf>
    <xf numFmtId="0" fontId="14" fillId="8" borderId="24" xfId="0" applyFont="1" applyFill="1" applyBorder="1" applyAlignment="1">
      <alignment horizontal="center" vertical="center"/>
    </xf>
    <xf numFmtId="0" fontId="14" fillId="8" borderId="25" xfId="0" applyFont="1" applyFill="1" applyBorder="1" applyAlignment="1">
      <alignment horizontal="center" vertical="center"/>
    </xf>
    <xf numFmtId="0" fontId="0" fillId="2" borderId="19" xfId="0" applyFill="1" applyBorder="1" applyAlignment="1">
      <alignment horizontal="left" vertical="top" wrapText="1"/>
    </xf>
    <xf numFmtId="0" fontId="0" fillId="2" borderId="20" xfId="0" applyFill="1" applyBorder="1" applyAlignment="1">
      <alignment horizontal="left" vertical="top" wrapText="1"/>
    </xf>
    <xf numFmtId="0" fontId="0" fillId="2" borderId="39" xfId="0" applyFill="1" applyBorder="1" applyAlignment="1">
      <alignment horizontal="left" vertical="top" wrapText="1"/>
    </xf>
    <xf numFmtId="0" fontId="9" fillId="2" borderId="23"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0" fillId="2" borderId="2" xfId="0" applyFill="1" applyBorder="1" applyAlignment="1">
      <alignment horizontal="left" vertical="center"/>
    </xf>
    <xf numFmtId="0" fontId="0" fillId="2" borderId="42" xfId="0" applyFill="1" applyBorder="1" applyAlignment="1">
      <alignment horizontal="left" vertical="center"/>
    </xf>
    <xf numFmtId="0" fontId="0" fillId="2" borderId="1" xfId="0" applyFill="1" applyBorder="1" applyAlignment="1">
      <alignment horizontal="left" vertical="center"/>
    </xf>
    <xf numFmtId="0" fontId="0" fillId="2" borderId="38" xfId="0"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0" fillId="2" borderId="35" xfId="0" applyFill="1" applyBorder="1" applyAlignment="1">
      <alignment horizontal="left" vertical="center"/>
    </xf>
    <xf numFmtId="0" fontId="16" fillId="0" borderId="0" xfId="0" applyFont="1" applyAlignment="1">
      <alignment horizontal="left" vertical="center" wrapText="1"/>
    </xf>
    <xf numFmtId="0" fontId="0" fillId="2" borderId="0" xfId="0" applyFill="1" applyAlignment="1">
      <alignment horizontal="left" vertical="center"/>
    </xf>
    <xf numFmtId="0" fontId="16" fillId="9" borderId="0" xfId="0" applyFont="1" applyFill="1" applyAlignment="1">
      <alignment horizontal="left" vertical="center" wrapText="1"/>
    </xf>
    <xf numFmtId="0" fontId="9" fillId="8" borderId="23" xfId="0" applyFont="1" applyFill="1" applyBorder="1" applyAlignment="1">
      <alignment horizontal="center"/>
    </xf>
    <xf numFmtId="0" fontId="13" fillId="8" borderId="24" xfId="0" applyFont="1" applyFill="1" applyBorder="1" applyAlignment="1">
      <alignment horizontal="center"/>
    </xf>
    <xf numFmtId="0" fontId="13" fillId="8" borderId="25" xfId="0" applyFont="1" applyFill="1" applyBorder="1" applyAlignment="1">
      <alignment horizontal="center"/>
    </xf>
    <xf numFmtId="0" fontId="9" fillId="2" borderId="30" xfId="0" applyFont="1" applyFill="1" applyBorder="1" applyAlignment="1">
      <alignment horizontal="right"/>
    </xf>
    <xf numFmtId="0" fontId="9" fillId="2" borderId="0" xfId="0" applyFont="1" applyFill="1" applyAlignment="1">
      <alignment horizontal="right"/>
    </xf>
    <xf numFmtId="49" fontId="19" fillId="2" borderId="0" xfId="0" applyNumberFormat="1" applyFont="1" applyFill="1" applyAlignment="1">
      <alignment horizontal="left" vertical="center" wrapText="1"/>
    </xf>
    <xf numFmtId="49" fontId="19" fillId="2" borderId="7" xfId="0" applyNumberFormat="1" applyFont="1" applyFill="1" applyBorder="1" applyAlignment="1">
      <alignment horizontal="left" vertical="center" wrapText="1"/>
    </xf>
    <xf numFmtId="2" fontId="9" fillId="0" borderId="1" xfId="0" applyNumberFormat="1" applyFont="1" applyBorder="1" applyAlignment="1">
      <alignment horizontal="center"/>
    </xf>
    <xf numFmtId="2" fontId="9" fillId="0" borderId="38" xfId="0" applyNumberFormat="1" applyFont="1" applyBorder="1" applyAlignment="1">
      <alignment horizontal="center"/>
    </xf>
    <xf numFmtId="0" fontId="9" fillId="2" borderId="46" xfId="0" applyFont="1" applyFill="1" applyBorder="1" applyAlignment="1">
      <alignment horizontal="right"/>
    </xf>
    <xf numFmtId="0" fontId="9" fillId="2" borderId="16" xfId="0" applyFont="1" applyFill="1" applyBorder="1" applyAlignment="1">
      <alignment horizontal="right"/>
    </xf>
    <xf numFmtId="0" fontId="12" fillId="2" borderId="13" xfId="0" applyFont="1" applyFill="1" applyBorder="1" applyAlignment="1">
      <alignment horizontal="center" vertical="center" textRotation="90"/>
    </xf>
    <xf numFmtId="0" fontId="12" fillId="2" borderId="14" xfId="0" applyFont="1" applyFill="1" applyBorder="1" applyAlignment="1">
      <alignment horizontal="center" vertical="center" textRotation="90"/>
    </xf>
    <xf numFmtId="2" fontId="9" fillId="0" borderId="17" xfId="0" applyNumberFormat="1" applyFont="1" applyBorder="1" applyAlignment="1">
      <alignment horizontal="center"/>
    </xf>
    <xf numFmtId="2" fontId="9" fillId="0" borderId="18" xfId="0" applyNumberFormat="1" applyFont="1" applyBorder="1" applyAlignment="1">
      <alignment horizontal="center"/>
    </xf>
    <xf numFmtId="2" fontId="9" fillId="0" borderId="35" xfId="0" applyNumberFormat="1" applyFont="1" applyBorder="1" applyAlignment="1">
      <alignment horizontal="center"/>
    </xf>
    <xf numFmtId="49" fontId="9" fillId="2" borderId="45" xfId="0" applyNumberFormat="1" applyFont="1" applyFill="1" applyBorder="1" applyAlignment="1">
      <alignment horizontal="right"/>
    </xf>
    <xf numFmtId="49" fontId="9" fillId="2" borderId="22" xfId="0" applyNumberFormat="1" applyFont="1" applyFill="1" applyBorder="1" applyAlignment="1">
      <alignment horizontal="right"/>
    </xf>
    <xf numFmtId="0" fontId="9" fillId="2" borderId="46" xfId="0" applyFont="1" applyFill="1" applyBorder="1" applyAlignment="1">
      <alignment horizontal="right" wrapText="1"/>
    </xf>
    <xf numFmtId="0" fontId="9" fillId="2" borderId="16" xfId="0" applyFont="1" applyFill="1" applyBorder="1" applyAlignment="1">
      <alignment horizontal="right" wrapText="1"/>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0" fillId="0" borderId="31" xfId="0" applyBorder="1" applyAlignment="1">
      <alignment vertical="center"/>
    </xf>
    <xf numFmtId="0" fontId="0" fillId="0" borderId="32" xfId="0" applyBorder="1" applyAlignment="1">
      <alignment vertical="center"/>
    </xf>
    <xf numFmtId="0" fontId="0" fillId="0" borderId="44" xfId="0" applyBorder="1" applyAlignment="1">
      <alignment vertical="center"/>
    </xf>
    <xf numFmtId="0" fontId="0" fillId="4" borderId="23" xfId="0" applyFill="1" applyBorder="1" applyAlignment="1"/>
    <xf numFmtId="0" fontId="0" fillId="4" borderId="24" xfId="0" applyFill="1" applyBorder="1" applyAlignment="1">
      <alignment horizontal="left"/>
    </xf>
    <xf numFmtId="0" fontId="0" fillId="4" borderId="25" xfId="0" applyFill="1" applyBorder="1" applyAlignment="1">
      <alignment horizontal="left"/>
    </xf>
    <xf numFmtId="0" fontId="0" fillId="0" borderId="1" xfId="0" applyBorder="1" applyAlignment="1">
      <alignment horizontal="left" vertical="center"/>
    </xf>
    <xf numFmtId="0" fontId="0" fillId="0" borderId="38" xfId="0" applyBorder="1" applyAlignment="1">
      <alignment horizontal="left"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0" fillId="0" borderId="1" xfId="0" applyBorder="1" applyAlignment="1">
      <alignment horizontal="left" vertical="top" wrapText="1"/>
    </xf>
    <xf numFmtId="0" fontId="0" fillId="0" borderId="38" xfId="0" applyBorder="1" applyAlignment="1">
      <alignment horizontal="left" vertical="top" wrapText="1"/>
    </xf>
    <xf numFmtId="0" fontId="0" fillId="0" borderId="19" xfId="0" applyBorder="1" applyAlignment="1">
      <alignment horizontal="left" vertical="center"/>
    </xf>
    <xf numFmtId="0" fontId="0" fillId="0" borderId="20" xfId="0" applyBorder="1" applyAlignment="1">
      <alignment horizontal="left" vertical="center"/>
    </xf>
    <xf numFmtId="0" fontId="0" fillId="0" borderId="39" xfId="0" applyBorder="1" applyAlignment="1">
      <alignment horizontal="left" vertical="center"/>
    </xf>
    <xf numFmtId="0" fontId="0" fillId="0" borderId="54" xfId="0" applyBorder="1" applyAlignment="1">
      <alignment horizontal="left"/>
    </xf>
    <xf numFmtId="0" fontId="0" fillId="0" borderId="51" xfId="0" applyBorder="1" applyAlignment="1">
      <alignment horizontal="left"/>
    </xf>
    <xf numFmtId="0" fontId="0" fillId="0" borderId="52" xfId="0" applyBorder="1" applyAlignment="1">
      <alignment horizontal="left"/>
    </xf>
    <xf numFmtId="0" fontId="19" fillId="0" borderId="47" xfId="0" applyFont="1" applyBorder="1" applyAlignment="1">
      <alignment horizontal="left" wrapText="1"/>
    </xf>
    <xf numFmtId="0" fontId="19" fillId="0" borderId="48" xfId="0" applyFont="1" applyBorder="1" applyAlignment="1">
      <alignment horizontal="left" wrapText="1"/>
    </xf>
    <xf numFmtId="0" fontId="19" fillId="0" borderId="53" xfId="0" applyFont="1" applyBorder="1" applyAlignment="1">
      <alignment horizontal="left" wrapText="1"/>
    </xf>
    <xf numFmtId="0" fontId="2" fillId="0" borderId="0" xfId="0" applyFont="1" applyAlignment="1">
      <alignment horizontal="left" wrapText="1"/>
    </xf>
    <xf numFmtId="0" fontId="2" fillId="0" borderId="7" xfId="0" applyFont="1" applyBorder="1" applyAlignment="1">
      <alignment horizontal="left" wrapText="1"/>
    </xf>
    <xf numFmtId="0" fontId="11" fillId="4" borderId="26"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0" fillId="0" borderId="17" xfId="0" applyBorder="1" applyAlignment="1">
      <alignment horizontal="left" wrapText="1"/>
    </xf>
    <xf numFmtId="0" fontId="0" fillId="0" borderId="18" xfId="0" applyBorder="1" applyAlignment="1">
      <alignment horizontal="left" wrapText="1"/>
    </xf>
    <xf numFmtId="0" fontId="0" fillId="0" borderId="35" xfId="0" applyBorder="1" applyAlignment="1">
      <alignment horizontal="left" wrapText="1"/>
    </xf>
    <xf numFmtId="0" fontId="9" fillId="2" borderId="25" xfId="0" applyFont="1" applyFill="1" applyBorder="1" applyAlignment="1">
      <alignment horizont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0" fillId="4" borderId="24" xfId="0" applyFill="1" applyBorder="1" applyAlignment="1"/>
    <xf numFmtId="0" fontId="0" fillId="4" borderId="25" xfId="0" applyFill="1" applyBorder="1" applyAlignment="1"/>
    <xf numFmtId="0" fontId="0" fillId="4" borderId="23" xfId="0" applyFill="1" applyBorder="1" applyAlignment="1">
      <alignment horizontal="right"/>
    </xf>
    <xf numFmtId="0" fontId="0" fillId="0" borderId="9" xfId="0" applyBorder="1" applyAlignment="1">
      <alignment horizontal="left" vertical="center" wrapText="1"/>
    </xf>
    <xf numFmtId="0" fontId="0" fillId="0" borderId="43" xfId="0"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6"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left" vertical="center" wrapText="1"/>
    </xf>
    <xf numFmtId="0" fontId="0" fillId="0" borderId="38" xfId="0" applyBorder="1" applyAlignment="1">
      <alignment horizontal="left" vertical="center" wrapText="1"/>
    </xf>
    <xf numFmtId="0" fontId="0" fillId="0" borderId="17" xfId="0" applyBorder="1" applyAlignment="1">
      <alignment horizontal="left" vertical="center"/>
    </xf>
    <xf numFmtId="0" fontId="0" fillId="0" borderId="18" xfId="0" applyBorder="1" applyAlignment="1">
      <alignment horizontal="left" vertical="center"/>
    </xf>
    <xf numFmtId="0" fontId="0" fillId="0" borderId="35" xfId="0" applyBorder="1" applyAlignment="1">
      <alignment horizontal="left"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25" xfId="0" applyFont="1" applyFill="1" applyBorder="1" applyAlignment="1">
      <alignment horizontal="center" vertical="center"/>
    </xf>
    <xf numFmtId="0" fontId="14" fillId="8" borderId="23" xfId="0" applyFont="1" applyFill="1" applyBorder="1" applyAlignment="1">
      <alignment horizontal="center"/>
    </xf>
    <xf numFmtId="0" fontId="14" fillId="8" borderId="24" xfId="0" applyFont="1" applyFill="1" applyBorder="1" applyAlignment="1">
      <alignment horizontal="center"/>
    </xf>
    <xf numFmtId="0" fontId="14" fillId="8" borderId="25" xfId="0" applyFont="1" applyFill="1" applyBorder="1" applyAlignment="1">
      <alignment horizontal="center"/>
    </xf>
    <xf numFmtId="0" fontId="0" fillId="6" borderId="1" xfId="0" applyFill="1" applyBorder="1" applyAlignment="1" applyProtection="1">
      <alignment horizontal="left" vertical="center"/>
      <protection locked="0"/>
    </xf>
    <xf numFmtId="0" fontId="0" fillId="6" borderId="38" xfId="0" applyFill="1" applyBorder="1" applyAlignment="1" applyProtection="1">
      <alignment horizontal="left" vertical="center"/>
      <protection locked="0"/>
    </xf>
    <xf numFmtId="0" fontId="0" fillId="6" borderId="2" xfId="0" applyFill="1" applyBorder="1" applyAlignment="1" applyProtection="1">
      <alignment horizontal="left" vertical="center"/>
      <protection locked="0"/>
    </xf>
    <xf numFmtId="0" fontId="0" fillId="6" borderId="42" xfId="0" applyFill="1" applyBorder="1" applyAlignment="1" applyProtection="1">
      <alignment horizontal="left" vertical="center"/>
      <protection locked="0"/>
    </xf>
    <xf numFmtId="0" fontId="0" fillId="6" borderId="17" xfId="0" applyFill="1" applyBorder="1" applyAlignment="1" applyProtection="1">
      <alignment horizontal="left" vertical="center" wrapText="1"/>
      <protection locked="0"/>
    </xf>
    <xf numFmtId="0" fontId="0" fillId="6" borderId="18" xfId="0" applyFill="1" applyBorder="1" applyAlignment="1" applyProtection="1">
      <alignment horizontal="left" vertical="center" wrapText="1"/>
      <protection locked="0"/>
    </xf>
    <xf numFmtId="0" fontId="0" fillId="6" borderId="35" xfId="0" applyFill="1" applyBorder="1" applyAlignment="1" applyProtection="1">
      <alignment horizontal="left" vertical="center" wrapText="1"/>
      <protection locked="0"/>
    </xf>
    <xf numFmtId="2" fontId="9" fillId="0" borderId="2" xfId="0" applyNumberFormat="1" applyFont="1" applyBorder="1" applyAlignment="1">
      <alignment horizontal="center"/>
    </xf>
    <xf numFmtId="2" fontId="9" fillId="0" borderId="42" xfId="0" applyNumberFormat="1" applyFont="1" applyBorder="1" applyAlignment="1">
      <alignment horizontal="center"/>
    </xf>
    <xf numFmtId="0" fontId="9" fillId="2" borderId="26" xfId="0" applyFont="1" applyFill="1" applyBorder="1" applyAlignment="1">
      <alignment horizontal="center" vertical="center"/>
    </xf>
    <xf numFmtId="0" fontId="9" fillId="2" borderId="11" xfId="0" applyFont="1" applyFill="1" applyBorder="1" applyAlignment="1">
      <alignment horizontal="center" vertical="center"/>
    </xf>
    <xf numFmtId="0" fontId="9" fillId="0" borderId="23" xfId="0" applyFont="1" applyBorder="1" applyAlignment="1">
      <alignment horizontal="center"/>
    </xf>
    <xf numFmtId="0" fontId="9" fillId="0" borderId="24" xfId="0" applyFont="1" applyBorder="1" applyAlignment="1">
      <alignment horizontal="center"/>
    </xf>
    <xf numFmtId="0" fontId="9" fillId="0" borderId="25" xfId="0" applyFont="1" applyBorder="1" applyAlignment="1">
      <alignment horizontal="center"/>
    </xf>
    <xf numFmtId="0" fontId="9" fillId="7" borderId="23"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0" fillId="6" borderId="19" xfId="0" applyFill="1" applyBorder="1" applyAlignment="1" applyProtection="1">
      <alignment horizontal="left" vertical="top" wrapText="1"/>
      <protection locked="0"/>
    </xf>
    <xf numFmtId="0" fontId="0" fillId="6" borderId="20" xfId="0" applyFill="1" applyBorder="1" applyAlignment="1" applyProtection="1">
      <alignment horizontal="left" vertical="top" wrapText="1"/>
      <protection locked="0"/>
    </xf>
    <xf numFmtId="0" fontId="0" fillId="6" borderId="39" xfId="0" applyFill="1" applyBorder="1" applyAlignment="1" applyProtection="1">
      <alignment horizontal="left" vertical="top" wrapText="1"/>
      <protection locked="0"/>
    </xf>
    <xf numFmtId="0" fontId="0" fillId="4" borderId="26"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18" fillId="2" borderId="50" xfId="0" applyFont="1" applyFill="1" applyBorder="1" applyAlignment="1">
      <alignment horizontal="left"/>
    </xf>
    <xf numFmtId="0" fontId="18" fillId="2" borderId="24" xfId="0" applyFont="1" applyFill="1" applyBorder="1" applyAlignment="1">
      <alignment horizontal="left"/>
    </xf>
    <xf numFmtId="0" fontId="18" fillId="2" borderId="25" xfId="0" applyFont="1" applyFill="1" applyBorder="1" applyAlignment="1">
      <alignment horizontal="left"/>
    </xf>
    <xf numFmtId="49" fontId="18" fillId="2" borderId="0" xfId="0" applyNumberFormat="1" applyFont="1" applyFill="1" applyAlignment="1">
      <alignment horizontal="left" vertical="center" wrapText="1"/>
    </xf>
    <xf numFmtId="49" fontId="18" fillId="2" borderId="7" xfId="0" applyNumberFormat="1" applyFont="1" applyFill="1" applyBorder="1" applyAlignment="1">
      <alignment horizontal="left" vertical="center" wrapText="1"/>
    </xf>
    <xf numFmtId="49" fontId="18" fillId="2" borderId="10" xfId="0" applyNumberFormat="1" applyFont="1" applyFill="1" applyBorder="1" applyAlignment="1">
      <alignment horizontal="left" vertical="center" wrapText="1"/>
    </xf>
    <xf numFmtId="49" fontId="18" fillId="2" borderId="11" xfId="0" applyNumberFormat="1" applyFont="1" applyFill="1" applyBorder="1" applyAlignment="1">
      <alignment horizontal="left" vertical="center" wrapText="1"/>
    </xf>
    <xf numFmtId="0" fontId="0" fillId="2" borderId="0" xfId="0" applyFill="1" applyAlignment="1">
      <alignment horizontal="center"/>
    </xf>
    <xf numFmtId="0" fontId="18" fillId="8" borderId="24" xfId="0" applyFont="1" applyFill="1" applyBorder="1" applyAlignment="1">
      <alignment horizontal="center"/>
    </xf>
    <xf numFmtId="0" fontId="18" fillId="8" borderId="25" xfId="0" applyFont="1" applyFill="1" applyBorder="1" applyAlignment="1">
      <alignment horizontal="center"/>
    </xf>
    <xf numFmtId="49" fontId="19" fillId="2" borderId="0" xfId="0" applyNumberFormat="1" applyFont="1" applyFill="1" applyAlignment="1">
      <alignment horizontal="left" wrapText="1"/>
    </xf>
    <xf numFmtId="49" fontId="19" fillId="2" borderId="7" xfId="0" applyNumberFormat="1" applyFont="1" applyFill="1" applyBorder="1" applyAlignment="1">
      <alignment horizontal="left" wrapText="1"/>
    </xf>
    <xf numFmtId="0" fontId="0" fillId="2" borderId="40" xfId="0" applyFill="1" applyBorder="1" applyAlignment="1">
      <alignment horizontal="left" vertical="top" wrapText="1"/>
    </xf>
    <xf numFmtId="0" fontId="0" fillId="2" borderId="0" xfId="0" applyFill="1" applyAlignment="1">
      <alignment horizontal="left" vertical="top" wrapText="1"/>
    </xf>
  </cellXfs>
  <cellStyles count="1">
    <cellStyle name="Normal" xfId="0" builtinId="0"/>
  </cellStyles>
  <dxfs count="7">
    <dxf>
      <fill>
        <patternFill>
          <bgColor rgb="FFFFFF99"/>
        </patternFill>
      </fill>
    </dxf>
    <dxf>
      <border>
        <left style="thin">
          <color auto="1"/>
        </left>
        <right style="thin">
          <color auto="1"/>
        </right>
        <top style="thin">
          <color auto="1"/>
        </top>
        <bottom style="thin">
          <color auto="1"/>
        </bottom>
        <vertical/>
        <horizontal/>
      </border>
    </dxf>
    <dxf>
      <font>
        <color theme="0"/>
      </font>
      <fill>
        <patternFill>
          <bgColor theme="0"/>
        </patternFill>
      </fill>
    </dxf>
    <dxf>
      <font>
        <b/>
        <i val="0"/>
        <color theme="0"/>
      </font>
      <fill>
        <patternFill>
          <bgColor rgb="FFFF0000"/>
        </patternFill>
      </fill>
    </dxf>
    <dxf>
      <font>
        <b/>
        <i val="0"/>
        <color theme="0"/>
      </font>
      <fill>
        <patternFill>
          <bgColor rgb="FFFF0000"/>
        </patternFill>
      </fill>
    </dxf>
    <dxf>
      <font>
        <color theme="0"/>
      </font>
      <fill>
        <patternFill>
          <bgColor theme="0"/>
        </patternFill>
      </fill>
    </dxf>
    <dxf>
      <font>
        <b/>
        <i val="0"/>
        <color theme="0"/>
      </font>
      <fill>
        <patternFill>
          <bgColor rgb="FFFF0000"/>
        </patternFill>
      </fill>
    </dxf>
  </dxfs>
  <tableStyles count="0" defaultTableStyle="TableStyleMedium2" defaultPivotStyle="PivotStyleLight16"/>
  <colors>
    <mruColors>
      <color rgb="FFFFFF99"/>
      <color rgb="FFFFD347"/>
      <color rgb="FFFFC047"/>
      <color rgb="FFC9D6ED"/>
      <color rgb="FFCC0000"/>
      <color rgb="FF00759E"/>
      <color rgb="FF990000"/>
      <color rgb="FFFFFFCC"/>
      <color rgb="FFFF99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423334</xdr:colOff>
      <xdr:row>18</xdr:row>
      <xdr:rowOff>65105</xdr:rowOff>
    </xdr:from>
    <xdr:to>
      <xdr:col>4</xdr:col>
      <xdr:colOff>107072</xdr:colOff>
      <xdr:row>31</xdr:row>
      <xdr:rowOff>137583</xdr:rowOff>
    </xdr:to>
    <xdr:grpSp>
      <xdr:nvGrpSpPr>
        <xdr:cNvPr id="3" name="Group 2">
          <a:extLst>
            <a:ext uri="{FF2B5EF4-FFF2-40B4-BE49-F238E27FC236}">
              <a16:creationId xmlns:a16="http://schemas.microsoft.com/office/drawing/2014/main" id="{529B1A97-2886-451B-97A3-F62B9AA08AAA}"/>
            </a:ext>
          </a:extLst>
        </xdr:cNvPr>
        <xdr:cNvGrpSpPr/>
      </xdr:nvGrpSpPr>
      <xdr:grpSpPr>
        <a:xfrm>
          <a:off x="804334" y="4894280"/>
          <a:ext cx="3731863" cy="2796628"/>
          <a:chOff x="10636250" y="6489188"/>
          <a:chExt cx="4139321" cy="2824145"/>
        </a:xfrm>
      </xdr:grpSpPr>
      <xdr:cxnSp macro="">
        <xdr:nvCxnSpPr>
          <xdr:cNvPr id="4" name="Straight Arrow Connector 3">
            <a:extLst>
              <a:ext uri="{FF2B5EF4-FFF2-40B4-BE49-F238E27FC236}">
                <a16:creationId xmlns:a16="http://schemas.microsoft.com/office/drawing/2014/main" id="{E0806228-CA6F-456F-0D9F-C428B78D6811}"/>
              </a:ext>
            </a:extLst>
          </xdr:cNvPr>
          <xdr:cNvCxnSpPr/>
        </xdr:nvCxnSpPr>
        <xdr:spPr>
          <a:xfrm>
            <a:off x="11831360" y="6510501"/>
            <a:ext cx="10319" cy="1390432"/>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grpSp>
        <xdr:nvGrpSpPr>
          <xdr:cNvPr id="5" name="Group 4">
            <a:extLst>
              <a:ext uri="{FF2B5EF4-FFF2-40B4-BE49-F238E27FC236}">
                <a16:creationId xmlns:a16="http://schemas.microsoft.com/office/drawing/2014/main" id="{20ED6FD2-2777-75D9-814D-C1E3EE25C86C}"/>
              </a:ext>
            </a:extLst>
          </xdr:cNvPr>
          <xdr:cNvGrpSpPr/>
        </xdr:nvGrpSpPr>
        <xdr:grpSpPr>
          <a:xfrm>
            <a:off x="10944551" y="7933778"/>
            <a:ext cx="1346638" cy="1357586"/>
            <a:chOff x="10313276" y="6656551"/>
            <a:chExt cx="1313793" cy="1248103"/>
          </a:xfrm>
        </xdr:grpSpPr>
        <xdr:sp macro="" textlink="">
          <xdr:nvSpPr>
            <xdr:cNvPr id="8" name="Oval 7">
              <a:extLst>
                <a:ext uri="{FF2B5EF4-FFF2-40B4-BE49-F238E27FC236}">
                  <a16:creationId xmlns:a16="http://schemas.microsoft.com/office/drawing/2014/main" id="{CE0EEA47-83DC-65C4-83FC-7053859F8B7C}"/>
                </a:ext>
              </a:extLst>
            </xdr:cNvPr>
            <xdr:cNvSpPr/>
          </xdr:nvSpPr>
          <xdr:spPr>
            <a:xfrm>
              <a:off x="10313276" y="6656551"/>
              <a:ext cx="1313793" cy="1248103"/>
            </a:xfrm>
            <a:prstGeom prst="ellipse">
              <a:avLst/>
            </a:prstGeom>
            <a:solidFill>
              <a:schemeClr val="bg1">
                <a:lumMod val="6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 name="Oval 8">
              <a:extLst>
                <a:ext uri="{FF2B5EF4-FFF2-40B4-BE49-F238E27FC236}">
                  <a16:creationId xmlns:a16="http://schemas.microsoft.com/office/drawing/2014/main" id="{99140013-05F5-129A-426E-B4A1737D3A06}"/>
                </a:ext>
              </a:extLst>
            </xdr:cNvPr>
            <xdr:cNvSpPr/>
          </xdr:nvSpPr>
          <xdr:spPr>
            <a:xfrm>
              <a:off x="10449253" y="6781579"/>
              <a:ext cx="1041838" cy="998046"/>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 name="Oval 9">
              <a:extLst>
                <a:ext uri="{FF2B5EF4-FFF2-40B4-BE49-F238E27FC236}">
                  <a16:creationId xmlns:a16="http://schemas.microsoft.com/office/drawing/2014/main" id="{9BFCE8F1-12F7-DEDE-D0A1-554C1A3B7D36}"/>
                </a:ext>
              </a:extLst>
            </xdr:cNvPr>
            <xdr:cNvSpPr/>
          </xdr:nvSpPr>
          <xdr:spPr>
            <a:xfrm>
              <a:off x="10552824" y="6880796"/>
              <a:ext cx="834697" cy="799612"/>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xnSp macro="">
        <xdr:nvCxnSpPr>
          <xdr:cNvPr id="6" name="Straight Arrow Connector 5">
            <a:extLst>
              <a:ext uri="{FF2B5EF4-FFF2-40B4-BE49-F238E27FC236}">
                <a16:creationId xmlns:a16="http://schemas.microsoft.com/office/drawing/2014/main" id="{DCA00613-8C07-C3D4-6133-FCE8283E1F93}"/>
              </a:ext>
            </a:extLst>
          </xdr:cNvPr>
          <xdr:cNvCxnSpPr/>
        </xdr:nvCxnSpPr>
        <xdr:spPr>
          <a:xfrm>
            <a:off x="14775571" y="6489188"/>
            <a:ext cx="0" cy="1215259"/>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Straight Arrow Connector 6">
            <a:extLst>
              <a:ext uri="{FF2B5EF4-FFF2-40B4-BE49-F238E27FC236}">
                <a16:creationId xmlns:a16="http://schemas.microsoft.com/office/drawing/2014/main" id="{93830551-3806-8FFB-921E-9F3D9AE70582}"/>
              </a:ext>
            </a:extLst>
          </xdr:cNvPr>
          <xdr:cNvCxnSpPr/>
        </xdr:nvCxnSpPr>
        <xdr:spPr>
          <a:xfrm>
            <a:off x="10636250" y="6508750"/>
            <a:ext cx="1" cy="2804583"/>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105833</xdr:colOff>
      <xdr:row>31</xdr:row>
      <xdr:rowOff>127000</xdr:rowOff>
    </xdr:from>
    <xdr:to>
      <xdr:col>4</xdr:col>
      <xdr:colOff>797296</xdr:colOff>
      <xdr:row>31</xdr:row>
      <xdr:rowOff>137583</xdr:rowOff>
    </xdr:to>
    <xdr:cxnSp macro="">
      <xdr:nvCxnSpPr>
        <xdr:cNvPr id="11" name="Straight Connector 10">
          <a:extLst>
            <a:ext uri="{FF2B5EF4-FFF2-40B4-BE49-F238E27FC236}">
              <a16:creationId xmlns:a16="http://schemas.microsoft.com/office/drawing/2014/main" id="{371191C3-02E1-41AC-8687-166D34CEA9F5}"/>
            </a:ext>
          </a:extLst>
        </xdr:cNvPr>
        <xdr:cNvCxnSpPr/>
      </xdr:nvCxnSpPr>
      <xdr:spPr>
        <a:xfrm flipV="1">
          <a:off x="13869458" y="10404475"/>
          <a:ext cx="5473013" cy="1058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42333</xdr:colOff>
      <xdr:row>18</xdr:row>
      <xdr:rowOff>84666</xdr:rowOff>
    </xdr:from>
    <xdr:to>
      <xdr:col>5</xdr:col>
      <xdr:colOff>592667</xdr:colOff>
      <xdr:row>18</xdr:row>
      <xdr:rowOff>84667</xdr:rowOff>
    </xdr:to>
    <xdr:cxnSp macro="">
      <xdr:nvCxnSpPr>
        <xdr:cNvPr id="12" name="Straight Connector 11">
          <a:extLst>
            <a:ext uri="{FF2B5EF4-FFF2-40B4-BE49-F238E27FC236}">
              <a16:creationId xmlns:a16="http://schemas.microsoft.com/office/drawing/2014/main" id="{6B190A60-B34B-4BFD-B8DD-2C817412606B}"/>
            </a:ext>
          </a:extLst>
        </xdr:cNvPr>
        <xdr:cNvCxnSpPr/>
      </xdr:nvCxnSpPr>
      <xdr:spPr>
        <a:xfrm>
          <a:off x="13805958" y="7637991"/>
          <a:ext cx="6198659"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592667</xdr:colOff>
      <xdr:row>25</xdr:row>
      <xdr:rowOff>10583</xdr:rowOff>
    </xdr:from>
    <xdr:to>
      <xdr:col>2</xdr:col>
      <xdr:colOff>582083</xdr:colOff>
      <xdr:row>25</xdr:row>
      <xdr:rowOff>21166</xdr:rowOff>
    </xdr:to>
    <xdr:cxnSp macro="">
      <xdr:nvCxnSpPr>
        <xdr:cNvPr id="13" name="Straight Connector 12">
          <a:extLst>
            <a:ext uri="{FF2B5EF4-FFF2-40B4-BE49-F238E27FC236}">
              <a16:creationId xmlns:a16="http://schemas.microsoft.com/office/drawing/2014/main" id="{03839CA1-1E3F-43F6-BD17-895BE7B51DC4}"/>
            </a:ext>
          </a:extLst>
        </xdr:cNvPr>
        <xdr:cNvCxnSpPr/>
      </xdr:nvCxnSpPr>
      <xdr:spPr>
        <a:xfrm flipV="1">
          <a:off x="14356292" y="9030758"/>
          <a:ext cx="2513541" cy="1058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772583</xdr:colOff>
      <xdr:row>24</xdr:row>
      <xdr:rowOff>0</xdr:rowOff>
    </xdr:from>
    <xdr:to>
      <xdr:col>4</xdr:col>
      <xdr:colOff>1058334</xdr:colOff>
      <xdr:row>24</xdr:row>
      <xdr:rowOff>0</xdr:rowOff>
    </xdr:to>
    <xdr:cxnSp macro="">
      <xdr:nvCxnSpPr>
        <xdr:cNvPr id="14" name="Straight Connector 13">
          <a:extLst>
            <a:ext uri="{FF2B5EF4-FFF2-40B4-BE49-F238E27FC236}">
              <a16:creationId xmlns:a16="http://schemas.microsoft.com/office/drawing/2014/main" id="{230DBCE9-6DBC-4020-AB68-A4FD9FA3AA54}"/>
            </a:ext>
          </a:extLst>
        </xdr:cNvPr>
        <xdr:cNvCxnSpPr/>
      </xdr:nvCxnSpPr>
      <xdr:spPr>
        <a:xfrm>
          <a:off x="17860433" y="8810625"/>
          <a:ext cx="155257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238126</xdr:colOff>
      <xdr:row>56</xdr:row>
      <xdr:rowOff>180443</xdr:rowOff>
    </xdr:from>
    <xdr:to>
      <xdr:col>4</xdr:col>
      <xdr:colOff>704850</xdr:colOff>
      <xdr:row>62</xdr:row>
      <xdr:rowOff>179303</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847726" y="9962618"/>
          <a:ext cx="5610224" cy="1141860"/>
        </a:xfrm>
        <a:prstGeom prst="rect">
          <a:avLst/>
        </a:prstGeom>
      </xdr:spPr>
    </xdr:pic>
    <xdr:clientData/>
  </xdr:twoCellAnchor>
  <xdr:twoCellAnchor editAs="oneCell">
    <xdr:from>
      <xdr:col>2</xdr:col>
      <xdr:colOff>642832</xdr:colOff>
      <xdr:row>48</xdr:row>
      <xdr:rowOff>46817</xdr:rowOff>
    </xdr:from>
    <xdr:to>
      <xdr:col>8</xdr:col>
      <xdr:colOff>161925</xdr:colOff>
      <xdr:row>56</xdr:row>
      <xdr:rowOff>27183</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stretch>
          <a:fillRect/>
        </a:stretch>
      </xdr:blipFill>
      <xdr:spPr>
        <a:xfrm>
          <a:off x="4967182" y="8304992"/>
          <a:ext cx="4872143" cy="1504366"/>
        </a:xfrm>
        <a:prstGeom prst="rect">
          <a:avLst/>
        </a:prstGeom>
      </xdr:spPr>
    </xdr:pic>
    <xdr:clientData/>
  </xdr:twoCellAnchor>
  <xdr:twoCellAnchor editAs="oneCell">
    <xdr:from>
      <xdr:col>2</xdr:col>
      <xdr:colOff>561975</xdr:colOff>
      <xdr:row>41</xdr:row>
      <xdr:rowOff>109718</xdr:rowOff>
    </xdr:from>
    <xdr:to>
      <xdr:col>8</xdr:col>
      <xdr:colOff>544769</xdr:colOff>
      <xdr:row>47</xdr:row>
      <xdr:rowOff>85726</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3"/>
        <a:stretch>
          <a:fillRect/>
        </a:stretch>
      </xdr:blipFill>
      <xdr:spPr>
        <a:xfrm>
          <a:off x="4886325" y="7034393"/>
          <a:ext cx="5335844" cy="1119008"/>
        </a:xfrm>
        <a:prstGeom prst="rect">
          <a:avLst/>
        </a:prstGeom>
      </xdr:spPr>
    </xdr:pic>
    <xdr:clientData/>
  </xdr:twoCellAnchor>
  <xdr:twoCellAnchor editAs="oneCell">
    <xdr:from>
      <xdr:col>1</xdr:col>
      <xdr:colOff>104775</xdr:colOff>
      <xdr:row>41</xdr:row>
      <xdr:rowOff>66675</xdr:rowOff>
    </xdr:from>
    <xdr:to>
      <xdr:col>2</xdr:col>
      <xdr:colOff>449224</xdr:colOff>
      <xdr:row>54</xdr:row>
      <xdr:rowOff>171451</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4"/>
        <a:stretch>
          <a:fillRect/>
        </a:stretch>
      </xdr:blipFill>
      <xdr:spPr>
        <a:xfrm>
          <a:off x="714375" y="6991350"/>
          <a:ext cx="4059199" cy="25812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698499</xdr:colOff>
      <xdr:row>20</xdr:row>
      <xdr:rowOff>127001</xdr:rowOff>
    </xdr:from>
    <xdr:to>
      <xdr:col>1</xdr:col>
      <xdr:colOff>2952750</xdr:colOff>
      <xdr:row>30</xdr:row>
      <xdr:rowOff>206183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r="3500" b="3000"/>
        <a:stretch/>
      </xdr:blipFill>
      <xdr:spPr>
        <a:xfrm>
          <a:off x="1079499" y="3884084"/>
          <a:ext cx="2254251" cy="2195849"/>
        </a:xfrm>
        <a:prstGeom prst="rect">
          <a:avLst/>
        </a:prstGeom>
      </xdr:spPr>
    </xdr:pic>
    <xdr:clientData/>
  </xdr:twoCellAnchor>
  <xdr:twoCellAnchor>
    <xdr:from>
      <xdr:col>9</xdr:col>
      <xdr:colOff>423334</xdr:colOff>
      <xdr:row>30</xdr:row>
      <xdr:rowOff>65105</xdr:rowOff>
    </xdr:from>
    <xdr:to>
      <xdr:col>12</xdr:col>
      <xdr:colOff>107072</xdr:colOff>
      <xdr:row>43</xdr:row>
      <xdr:rowOff>137583</xdr:rowOff>
    </xdr:to>
    <xdr:grpSp>
      <xdr:nvGrpSpPr>
        <xdr:cNvPr id="18" name="Group 17">
          <a:extLst>
            <a:ext uri="{FF2B5EF4-FFF2-40B4-BE49-F238E27FC236}">
              <a16:creationId xmlns:a16="http://schemas.microsoft.com/office/drawing/2014/main" id="{16F99D5E-A3E7-8837-50FB-F3E60DE31B07}"/>
            </a:ext>
          </a:extLst>
        </xdr:cNvPr>
        <xdr:cNvGrpSpPr/>
      </xdr:nvGrpSpPr>
      <xdr:grpSpPr>
        <a:xfrm>
          <a:off x="10453159" y="8847155"/>
          <a:ext cx="4465288" cy="2796628"/>
          <a:chOff x="10636250" y="6489188"/>
          <a:chExt cx="4139321" cy="2824145"/>
        </a:xfrm>
      </xdr:grpSpPr>
      <xdr:cxnSp macro="">
        <xdr:nvCxnSpPr>
          <xdr:cNvPr id="11" name="Straight Arrow Connector 10">
            <a:extLst>
              <a:ext uri="{FF2B5EF4-FFF2-40B4-BE49-F238E27FC236}">
                <a16:creationId xmlns:a16="http://schemas.microsoft.com/office/drawing/2014/main" id="{46733DA7-BD0F-42D4-BB55-2B465A07B70A}"/>
              </a:ext>
            </a:extLst>
          </xdr:cNvPr>
          <xdr:cNvCxnSpPr/>
        </xdr:nvCxnSpPr>
        <xdr:spPr>
          <a:xfrm>
            <a:off x="11831360" y="6510501"/>
            <a:ext cx="10319" cy="1390432"/>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grpSp>
        <xdr:nvGrpSpPr>
          <xdr:cNvPr id="12" name="Group 11">
            <a:extLst>
              <a:ext uri="{FF2B5EF4-FFF2-40B4-BE49-F238E27FC236}">
                <a16:creationId xmlns:a16="http://schemas.microsoft.com/office/drawing/2014/main" id="{4C8B91D1-7D4B-4034-8836-E295486A0889}"/>
              </a:ext>
            </a:extLst>
          </xdr:cNvPr>
          <xdr:cNvGrpSpPr/>
        </xdr:nvGrpSpPr>
        <xdr:grpSpPr>
          <a:xfrm>
            <a:off x="10944551" y="7933778"/>
            <a:ext cx="1346638" cy="1357586"/>
            <a:chOff x="10313276" y="6656551"/>
            <a:chExt cx="1313793" cy="1248103"/>
          </a:xfrm>
        </xdr:grpSpPr>
        <xdr:sp macro="" textlink="">
          <xdr:nvSpPr>
            <xdr:cNvPr id="13" name="Oval 12">
              <a:extLst>
                <a:ext uri="{FF2B5EF4-FFF2-40B4-BE49-F238E27FC236}">
                  <a16:creationId xmlns:a16="http://schemas.microsoft.com/office/drawing/2014/main" id="{C320CF23-0ADB-2B5D-3B0C-D8A12C6B8BA2}"/>
                </a:ext>
              </a:extLst>
            </xdr:cNvPr>
            <xdr:cNvSpPr/>
          </xdr:nvSpPr>
          <xdr:spPr>
            <a:xfrm>
              <a:off x="10313276" y="6656551"/>
              <a:ext cx="1313793" cy="1248103"/>
            </a:xfrm>
            <a:prstGeom prst="ellipse">
              <a:avLst/>
            </a:prstGeom>
            <a:solidFill>
              <a:schemeClr val="bg1">
                <a:lumMod val="6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Oval 13">
              <a:extLst>
                <a:ext uri="{FF2B5EF4-FFF2-40B4-BE49-F238E27FC236}">
                  <a16:creationId xmlns:a16="http://schemas.microsoft.com/office/drawing/2014/main" id="{C37D199F-43D2-61B7-3589-3592D8EEC975}"/>
                </a:ext>
              </a:extLst>
            </xdr:cNvPr>
            <xdr:cNvSpPr/>
          </xdr:nvSpPr>
          <xdr:spPr>
            <a:xfrm>
              <a:off x="10449253" y="6781579"/>
              <a:ext cx="1041838" cy="998046"/>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Oval 14">
              <a:extLst>
                <a:ext uri="{FF2B5EF4-FFF2-40B4-BE49-F238E27FC236}">
                  <a16:creationId xmlns:a16="http://schemas.microsoft.com/office/drawing/2014/main" id="{2A401F04-26B6-6235-C7D6-208FCD1EC2FB}"/>
                </a:ext>
              </a:extLst>
            </xdr:cNvPr>
            <xdr:cNvSpPr/>
          </xdr:nvSpPr>
          <xdr:spPr>
            <a:xfrm>
              <a:off x="10552824" y="6880796"/>
              <a:ext cx="834697" cy="799612"/>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xnSp macro="">
        <xdr:nvCxnSpPr>
          <xdr:cNvPr id="16" name="Straight Arrow Connector 15">
            <a:extLst>
              <a:ext uri="{FF2B5EF4-FFF2-40B4-BE49-F238E27FC236}">
                <a16:creationId xmlns:a16="http://schemas.microsoft.com/office/drawing/2014/main" id="{E2CAADF0-F828-4C1B-AA5F-750A1EC2D3BA}"/>
              </a:ext>
            </a:extLst>
          </xdr:cNvPr>
          <xdr:cNvCxnSpPr/>
        </xdr:nvCxnSpPr>
        <xdr:spPr>
          <a:xfrm>
            <a:off x="14775571" y="6489188"/>
            <a:ext cx="0" cy="1215259"/>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 name="Straight Arrow Connector 16">
            <a:extLst>
              <a:ext uri="{FF2B5EF4-FFF2-40B4-BE49-F238E27FC236}">
                <a16:creationId xmlns:a16="http://schemas.microsoft.com/office/drawing/2014/main" id="{409BB596-0E61-48E9-A3F3-CDB904517A4C}"/>
              </a:ext>
            </a:extLst>
          </xdr:cNvPr>
          <xdr:cNvCxnSpPr/>
        </xdr:nvCxnSpPr>
        <xdr:spPr>
          <a:xfrm>
            <a:off x="10636250" y="6508750"/>
            <a:ext cx="1" cy="2804583"/>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105833</xdr:colOff>
      <xdr:row>43</xdr:row>
      <xdr:rowOff>127000</xdr:rowOff>
    </xdr:from>
    <xdr:to>
      <xdr:col>12</xdr:col>
      <xdr:colOff>797296</xdr:colOff>
      <xdr:row>43</xdr:row>
      <xdr:rowOff>137583</xdr:rowOff>
    </xdr:to>
    <xdr:cxnSp macro="">
      <xdr:nvCxnSpPr>
        <xdr:cNvPr id="1030" name="Straight Connector 1029">
          <a:extLst>
            <a:ext uri="{FF2B5EF4-FFF2-40B4-BE49-F238E27FC236}">
              <a16:creationId xmlns:a16="http://schemas.microsoft.com/office/drawing/2014/main" id="{97A2D8C8-5ACB-439E-8C99-92445E9C5EB7}"/>
            </a:ext>
          </a:extLst>
        </xdr:cNvPr>
        <xdr:cNvCxnSpPr/>
      </xdr:nvCxnSpPr>
      <xdr:spPr>
        <a:xfrm flipV="1">
          <a:off x="10742083" y="9387417"/>
          <a:ext cx="5189380" cy="1058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42333</xdr:colOff>
      <xdr:row>30</xdr:row>
      <xdr:rowOff>84666</xdr:rowOff>
    </xdr:from>
    <xdr:to>
      <xdr:col>13</xdr:col>
      <xdr:colOff>592667</xdr:colOff>
      <xdr:row>30</xdr:row>
      <xdr:rowOff>84667</xdr:rowOff>
    </xdr:to>
    <xdr:cxnSp macro="">
      <xdr:nvCxnSpPr>
        <xdr:cNvPr id="1031" name="Straight Connector 1030">
          <a:extLst>
            <a:ext uri="{FF2B5EF4-FFF2-40B4-BE49-F238E27FC236}">
              <a16:creationId xmlns:a16="http://schemas.microsoft.com/office/drawing/2014/main" id="{FA29C133-5A87-4920-B182-E6F407A07E2C}"/>
            </a:ext>
          </a:extLst>
        </xdr:cNvPr>
        <xdr:cNvCxnSpPr/>
      </xdr:nvCxnSpPr>
      <xdr:spPr>
        <a:xfrm>
          <a:off x="10678583" y="6593416"/>
          <a:ext cx="5916084"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592667</xdr:colOff>
      <xdr:row>37</xdr:row>
      <xdr:rowOff>10583</xdr:rowOff>
    </xdr:from>
    <xdr:to>
      <xdr:col>10</xdr:col>
      <xdr:colOff>582083</xdr:colOff>
      <xdr:row>37</xdr:row>
      <xdr:rowOff>21166</xdr:rowOff>
    </xdr:to>
    <xdr:cxnSp macro="">
      <xdr:nvCxnSpPr>
        <xdr:cNvPr id="1032" name="Straight Connector 1031">
          <a:extLst>
            <a:ext uri="{FF2B5EF4-FFF2-40B4-BE49-F238E27FC236}">
              <a16:creationId xmlns:a16="http://schemas.microsoft.com/office/drawing/2014/main" id="{FCC724E3-B4C0-45C1-B0C5-BB202233594F}"/>
            </a:ext>
          </a:extLst>
        </xdr:cNvPr>
        <xdr:cNvCxnSpPr/>
      </xdr:nvCxnSpPr>
      <xdr:spPr>
        <a:xfrm flipV="1">
          <a:off x="11228917" y="8001000"/>
          <a:ext cx="2042583" cy="1058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772583</xdr:colOff>
      <xdr:row>36</xdr:row>
      <xdr:rowOff>0</xdr:rowOff>
    </xdr:from>
    <xdr:to>
      <xdr:col>12</xdr:col>
      <xdr:colOff>1058334</xdr:colOff>
      <xdr:row>36</xdr:row>
      <xdr:rowOff>0</xdr:rowOff>
    </xdr:to>
    <xdr:cxnSp macro="">
      <xdr:nvCxnSpPr>
        <xdr:cNvPr id="1035" name="Straight Connector 1034">
          <a:extLst>
            <a:ext uri="{FF2B5EF4-FFF2-40B4-BE49-F238E27FC236}">
              <a16:creationId xmlns:a16="http://schemas.microsoft.com/office/drawing/2014/main" id="{2881D13E-5E22-4962-80F0-F9603B4F2E8C}"/>
            </a:ext>
          </a:extLst>
        </xdr:cNvPr>
        <xdr:cNvCxnSpPr/>
      </xdr:nvCxnSpPr>
      <xdr:spPr>
        <a:xfrm>
          <a:off x="14509750" y="7778750"/>
          <a:ext cx="164041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47625</xdr:colOff>
      <xdr:row>22</xdr:row>
      <xdr:rowOff>76200</xdr:rowOff>
    </xdr:from>
    <xdr:to>
      <xdr:col>13</xdr:col>
      <xdr:colOff>229368</xdr:colOff>
      <xdr:row>29</xdr:row>
      <xdr:rowOff>171672</xdr:rowOff>
    </xdr:to>
    <xdr:pic>
      <xdr:nvPicPr>
        <xdr:cNvPr id="16" name="Picture 15">
          <a:extLst>
            <a:ext uri="{FF2B5EF4-FFF2-40B4-BE49-F238E27FC236}">
              <a16:creationId xmlns:a16="http://schemas.microsoft.com/office/drawing/2014/main" id="{77C9ADF8-05E4-46C8-8F80-1A587E10D34A}"/>
            </a:ext>
          </a:extLst>
        </xdr:cNvPr>
        <xdr:cNvPicPr>
          <a:picLocks noChangeAspect="1"/>
        </xdr:cNvPicPr>
      </xdr:nvPicPr>
      <xdr:blipFill>
        <a:blip xmlns:r="http://schemas.openxmlformats.org/officeDocument/2006/relationships" r:embed="rId1"/>
        <a:stretch>
          <a:fillRect/>
        </a:stretch>
      </xdr:blipFill>
      <xdr:spPr>
        <a:xfrm>
          <a:off x="5324475" y="4419600"/>
          <a:ext cx="5515743" cy="15908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152400</xdr:colOff>
      <xdr:row>21</xdr:row>
      <xdr:rowOff>95250</xdr:rowOff>
    </xdr:from>
    <xdr:to>
      <xdr:col>9</xdr:col>
      <xdr:colOff>571500</xdr:colOff>
      <xdr:row>29</xdr:row>
      <xdr:rowOff>171774</xdr:rowOff>
    </xdr:to>
    <xdr:grpSp>
      <xdr:nvGrpSpPr>
        <xdr:cNvPr id="24" name="Group 23">
          <a:extLst>
            <a:ext uri="{FF2B5EF4-FFF2-40B4-BE49-F238E27FC236}">
              <a16:creationId xmlns:a16="http://schemas.microsoft.com/office/drawing/2014/main" id="{3BFBA4FD-FFBF-5A2B-3850-586104B25B43}"/>
            </a:ext>
          </a:extLst>
        </xdr:cNvPr>
        <xdr:cNvGrpSpPr/>
      </xdr:nvGrpSpPr>
      <xdr:grpSpPr>
        <a:xfrm>
          <a:off x="7753350" y="4943475"/>
          <a:ext cx="3676650" cy="1771974"/>
          <a:chOff x="8305800" y="4179817"/>
          <a:chExt cx="4572000" cy="2297507"/>
        </a:xfrm>
      </xdr:grpSpPr>
      <xdr:grpSp>
        <xdr:nvGrpSpPr>
          <xdr:cNvPr id="21" name="Group 20">
            <a:extLst>
              <a:ext uri="{FF2B5EF4-FFF2-40B4-BE49-F238E27FC236}">
                <a16:creationId xmlns:a16="http://schemas.microsoft.com/office/drawing/2014/main" id="{12567DDC-F8F8-AD9F-764F-6ED7FAB5837E}"/>
              </a:ext>
            </a:extLst>
          </xdr:cNvPr>
          <xdr:cNvGrpSpPr/>
        </xdr:nvGrpSpPr>
        <xdr:grpSpPr>
          <a:xfrm>
            <a:off x="8305800" y="4179817"/>
            <a:ext cx="4572000" cy="2297507"/>
            <a:chOff x="8305800" y="3989317"/>
            <a:chExt cx="4572000" cy="2297507"/>
          </a:xfrm>
        </xdr:grpSpPr>
        <xdr:pic>
          <xdr:nvPicPr>
            <xdr:cNvPr id="10" name="Picture 9">
              <a:extLst>
                <a:ext uri="{FF2B5EF4-FFF2-40B4-BE49-F238E27FC236}">
                  <a16:creationId xmlns:a16="http://schemas.microsoft.com/office/drawing/2014/main" id="{8366DCE2-AAEB-246B-46B9-F4FB3418F520}"/>
                </a:ext>
              </a:extLst>
            </xdr:cNvPr>
            <xdr:cNvPicPr>
              <a:picLocks noChangeAspect="1"/>
            </xdr:cNvPicPr>
          </xdr:nvPicPr>
          <xdr:blipFill>
            <a:blip xmlns:r="http://schemas.openxmlformats.org/officeDocument/2006/relationships" r:embed="rId1"/>
            <a:stretch>
              <a:fillRect/>
            </a:stretch>
          </xdr:blipFill>
          <xdr:spPr>
            <a:xfrm>
              <a:off x="8305800" y="3989317"/>
              <a:ext cx="4572000" cy="2297507"/>
            </a:xfrm>
            <a:prstGeom prst="rect">
              <a:avLst/>
            </a:prstGeom>
          </xdr:spPr>
        </xdr:pic>
        <xdr:cxnSp macro="">
          <xdr:nvCxnSpPr>
            <xdr:cNvPr id="19" name="Straight Connector 18">
              <a:extLst>
                <a:ext uri="{FF2B5EF4-FFF2-40B4-BE49-F238E27FC236}">
                  <a16:creationId xmlns:a16="http://schemas.microsoft.com/office/drawing/2014/main" id="{9225F466-7EE2-C159-F7CE-DC51307046B6}"/>
                </a:ext>
              </a:extLst>
            </xdr:cNvPr>
            <xdr:cNvCxnSpPr/>
          </xdr:nvCxnSpPr>
          <xdr:spPr>
            <a:xfrm flipV="1">
              <a:off x="11534775" y="5448300"/>
              <a:ext cx="1019175" cy="9525"/>
            </a:xfrm>
            <a:prstGeom prst="line">
              <a:avLst/>
            </a:prstGeom>
          </xdr:spPr>
          <xdr:style>
            <a:lnRef idx="3">
              <a:schemeClr val="accent2"/>
            </a:lnRef>
            <a:fillRef idx="0">
              <a:schemeClr val="accent2"/>
            </a:fillRef>
            <a:effectRef idx="2">
              <a:schemeClr val="accent2"/>
            </a:effectRef>
            <a:fontRef idx="minor">
              <a:schemeClr val="tx1"/>
            </a:fontRef>
          </xdr:style>
        </xdr:cxnSp>
      </xdr:grpSp>
      <xdr:cxnSp macro="">
        <xdr:nvCxnSpPr>
          <xdr:cNvPr id="23" name="Straight Connector 22">
            <a:extLst>
              <a:ext uri="{FF2B5EF4-FFF2-40B4-BE49-F238E27FC236}">
                <a16:creationId xmlns:a16="http://schemas.microsoft.com/office/drawing/2014/main" id="{43A29269-0E84-D99A-3328-9922DF50A9C1}"/>
              </a:ext>
            </a:extLst>
          </xdr:cNvPr>
          <xdr:cNvCxnSpPr/>
        </xdr:nvCxnSpPr>
        <xdr:spPr>
          <a:xfrm>
            <a:off x="10944225" y="5648325"/>
            <a:ext cx="161925" cy="0"/>
          </a:xfrm>
          <a:prstGeom prst="line">
            <a:avLst/>
          </a:prstGeom>
        </xdr:spPr>
        <xdr:style>
          <a:lnRef idx="3">
            <a:schemeClr val="accent2"/>
          </a:lnRef>
          <a:fillRef idx="0">
            <a:schemeClr val="accent2"/>
          </a:fillRef>
          <a:effectRef idx="2">
            <a:schemeClr val="accent2"/>
          </a:effectRef>
          <a:fontRef idx="minor">
            <a:schemeClr val="tx1"/>
          </a:fontRef>
        </xdr:style>
      </xdr:cxnSp>
    </xdr:grpSp>
    <xdr:clientData/>
  </xdr:twoCellAnchor>
  <xdr:twoCellAnchor>
    <xdr:from>
      <xdr:col>1</xdr:col>
      <xdr:colOff>857249</xdr:colOff>
      <xdr:row>7</xdr:row>
      <xdr:rowOff>66675</xdr:rowOff>
    </xdr:from>
    <xdr:to>
      <xdr:col>1</xdr:col>
      <xdr:colOff>3257550</xdr:colOff>
      <xdr:row>16</xdr:row>
      <xdr:rowOff>85725</xdr:rowOff>
    </xdr:to>
    <xdr:grpSp>
      <xdr:nvGrpSpPr>
        <xdr:cNvPr id="26" name="Group 25">
          <a:extLst>
            <a:ext uri="{FF2B5EF4-FFF2-40B4-BE49-F238E27FC236}">
              <a16:creationId xmlns:a16="http://schemas.microsoft.com/office/drawing/2014/main" id="{495C1A18-D20E-168A-8FD0-2945CF9D06D0}"/>
            </a:ext>
          </a:extLst>
        </xdr:cNvPr>
        <xdr:cNvGrpSpPr/>
      </xdr:nvGrpSpPr>
      <xdr:grpSpPr>
        <a:xfrm>
          <a:off x="1466849" y="1676400"/>
          <a:ext cx="2400301" cy="2228850"/>
          <a:chOff x="1466849" y="1676400"/>
          <a:chExt cx="2465822" cy="2324100"/>
        </a:xfrm>
      </xdr:grpSpPr>
      <xdr:pic>
        <xdr:nvPicPr>
          <xdr:cNvPr id="2" name="Picture 1">
            <a:extLst>
              <a:ext uri="{FF2B5EF4-FFF2-40B4-BE49-F238E27FC236}">
                <a16:creationId xmlns:a16="http://schemas.microsoft.com/office/drawing/2014/main" id="{E916A267-E814-431C-B7AB-757D1B6E2588}"/>
              </a:ext>
            </a:extLst>
          </xdr:cNvPr>
          <xdr:cNvPicPr>
            <a:picLocks noChangeAspect="1"/>
          </xdr:cNvPicPr>
        </xdr:nvPicPr>
        <xdr:blipFill rotWithShape="1">
          <a:blip xmlns:r="http://schemas.openxmlformats.org/officeDocument/2006/relationships" r:embed="rId2"/>
          <a:srcRect r="3500" b="3000"/>
          <a:stretch/>
        </xdr:blipFill>
        <xdr:spPr>
          <a:xfrm>
            <a:off x="1466849" y="1676400"/>
            <a:ext cx="2385913" cy="2324100"/>
          </a:xfrm>
          <a:prstGeom prst="rect">
            <a:avLst/>
          </a:prstGeom>
        </xdr:spPr>
      </xdr:pic>
      <xdr:sp macro="" textlink="">
        <xdr:nvSpPr>
          <xdr:cNvPr id="25" name="TextBox 24">
            <a:extLst>
              <a:ext uri="{FF2B5EF4-FFF2-40B4-BE49-F238E27FC236}">
                <a16:creationId xmlns:a16="http://schemas.microsoft.com/office/drawing/2014/main" id="{A4CAB131-CAEA-6DE2-6391-9B15F75ABB3B}"/>
              </a:ext>
            </a:extLst>
          </xdr:cNvPr>
          <xdr:cNvSpPr txBox="1"/>
        </xdr:nvSpPr>
        <xdr:spPr>
          <a:xfrm>
            <a:off x="2581275" y="3286125"/>
            <a:ext cx="135139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or Dmin if deflected</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F0E60-CA21-4B14-B479-0A3DB0B9D9C5}">
  <sheetPr>
    <pageSetUpPr fitToPage="1"/>
  </sheetPr>
  <dimension ref="A1:O106"/>
  <sheetViews>
    <sheetView tabSelected="1" topLeftCell="A36" zoomScale="90" zoomScaleNormal="90" workbookViewId="0">
      <selection activeCell="N16" sqref="N16"/>
    </sheetView>
  </sheetViews>
  <sheetFormatPr defaultRowHeight="15"/>
  <cols>
    <col min="1" max="1" width="5.7109375" customWidth="1"/>
    <col min="2" max="2" width="32.42578125" customWidth="1"/>
    <col min="3" max="3" width="26.5703125" customWidth="1"/>
    <col min="4" max="4" width="1.7109375" customWidth="1"/>
    <col min="5" max="5" width="14.140625" customWidth="1"/>
    <col min="6" max="6" width="19.140625" customWidth="1"/>
    <col min="7" max="7" width="9" customWidth="1"/>
  </cols>
  <sheetData>
    <row r="1" spans="1:9" ht="21.75" thickBot="1">
      <c r="B1" s="212" t="s">
        <v>0</v>
      </c>
      <c r="C1" s="213"/>
      <c r="D1" s="214"/>
      <c r="E1" s="214"/>
      <c r="F1" s="214"/>
      <c r="G1" s="215"/>
    </row>
    <row r="2" spans="1:9" ht="22.5" customHeight="1" thickBot="1">
      <c r="A2" s="67"/>
      <c r="B2" s="164" t="s">
        <v>1</v>
      </c>
      <c r="C2" s="165">
        <f ca="1">NOW()</f>
        <v>45994.380674189815</v>
      </c>
      <c r="D2" s="90"/>
      <c r="E2" s="91"/>
      <c r="F2" s="91"/>
      <c r="G2" s="92"/>
    </row>
    <row r="3" spans="1:9" ht="15.75" customHeight="1" thickBot="1">
      <c r="A3" s="66"/>
      <c r="B3" s="219" t="s">
        <v>2</v>
      </c>
      <c r="C3" s="220"/>
      <c r="D3" s="221"/>
      <c r="E3" s="221"/>
      <c r="F3" s="221"/>
      <c r="G3" s="222"/>
    </row>
    <row r="4" spans="1:9" ht="17.100000000000001" customHeight="1">
      <c r="A4" s="66"/>
      <c r="B4" s="122" t="s">
        <v>3</v>
      </c>
      <c r="C4" s="223" t="str">
        <f>'Design Input Form'!C8</f>
        <v>xxxxx</v>
      </c>
      <c r="D4" s="223"/>
      <c r="E4" s="223"/>
      <c r="F4" s="223"/>
      <c r="G4" s="224"/>
    </row>
    <row r="5" spans="1:9" ht="17.100000000000001" customHeight="1">
      <c r="A5" s="66"/>
      <c r="B5" s="121" t="s">
        <v>4</v>
      </c>
      <c r="C5" s="225" t="str">
        <f>'Design Input Form'!C9</f>
        <v>xxxxx</v>
      </c>
      <c r="D5" s="225"/>
      <c r="E5" s="225"/>
      <c r="F5" s="225"/>
      <c r="G5" s="226"/>
    </row>
    <row r="6" spans="1:9" ht="17.100000000000001" customHeight="1">
      <c r="A6" s="66"/>
      <c r="B6" s="121" t="s">
        <v>5</v>
      </c>
      <c r="C6" s="227" t="str">
        <f>'Design Input Form'!C10</f>
        <v>xxxxx</v>
      </c>
      <c r="D6" s="228"/>
      <c r="E6" s="228"/>
      <c r="F6" s="228"/>
      <c r="G6" s="229"/>
    </row>
    <row r="7" spans="1:9" ht="33.950000000000003" customHeight="1" thickBot="1">
      <c r="A7" s="66"/>
      <c r="B7" s="60" t="s">
        <v>6</v>
      </c>
      <c r="C7" s="216" t="str">
        <f>'Design Input Form'!C11</f>
        <v>xxxxx</v>
      </c>
      <c r="D7" s="217"/>
      <c r="E7" s="217"/>
      <c r="F7" s="217"/>
      <c r="G7" s="218"/>
    </row>
    <row r="8" spans="1:9" ht="18" customHeight="1" thickBot="1">
      <c r="A8" s="67"/>
      <c r="B8" s="67"/>
      <c r="C8" s="146"/>
      <c r="D8" s="146"/>
      <c r="E8" s="146"/>
      <c r="F8" s="146"/>
      <c r="G8" s="68"/>
    </row>
    <row r="9" spans="1:9" ht="17.100000000000001" customHeight="1" thickBot="1">
      <c r="A9" s="66"/>
      <c r="B9" s="180" t="s">
        <v>7</v>
      </c>
      <c r="C9" s="181"/>
      <c r="D9" s="73"/>
      <c r="E9" s="182" t="s">
        <v>8</v>
      </c>
      <c r="F9" s="183"/>
      <c r="G9" s="184"/>
      <c r="I9" s="128" t="s">
        <v>9</v>
      </c>
    </row>
    <row r="10" spans="1:9" ht="17.100000000000001" customHeight="1" thickBot="1">
      <c r="A10" s="66"/>
      <c r="B10" s="114" t="s">
        <v>10</v>
      </c>
      <c r="C10" s="126">
        <f>'Design Input Form'!K6</f>
        <v>1</v>
      </c>
      <c r="D10" s="21"/>
      <c r="E10" s="185" t="s">
        <v>11</v>
      </c>
      <c r="F10" s="186"/>
      <c r="G10" s="69">
        <f>'Design Input Form'!L9</f>
        <v>6.4214285714285726</v>
      </c>
    </row>
    <row r="11" spans="1:9" ht="35.25" customHeight="1" thickBot="1">
      <c r="A11" s="66"/>
      <c r="B11" s="78"/>
      <c r="C11" s="2"/>
      <c r="D11" s="74"/>
      <c r="E11" s="187" t="str">
        <f>IF('Design Input Form'!C19="No","Factored Soil Dead Load (psi)=", "Soil Arch Factored Soil Dead Load (psi)=")</f>
        <v>Factored Soil Dead Load (psi)=</v>
      </c>
      <c r="F11" s="188"/>
      <c r="G11" s="69">
        <f>'Design Input Form'!L10</f>
        <v>4.5049999999999999</v>
      </c>
    </row>
    <row r="12" spans="1:9" ht="17.100000000000001" customHeight="1">
      <c r="A12" s="66"/>
      <c r="B12" s="79"/>
      <c r="C12" s="66"/>
      <c r="D12" s="73"/>
      <c r="E12" s="191" t="s">
        <v>12</v>
      </c>
      <c r="F12" s="192"/>
      <c r="G12" s="69">
        <f>'Design Input Form'!L11</f>
        <v>0</v>
      </c>
    </row>
    <row r="13" spans="1:9" ht="17.100000000000001" customHeight="1">
      <c r="A13" s="66"/>
      <c r="B13" s="195" t="s">
        <v>13</v>
      </c>
      <c r="C13" s="196"/>
      <c r="D13" s="75"/>
      <c r="E13" s="187" t="s">
        <v>14</v>
      </c>
      <c r="F13" s="188"/>
      <c r="G13" s="70">
        <f>'Design Input Form'!L12</f>
        <v>0</v>
      </c>
    </row>
    <row r="14" spans="1:9" ht="34.5" customHeight="1">
      <c r="A14" s="66"/>
      <c r="B14" s="195"/>
      <c r="C14" s="196"/>
      <c r="D14" s="21"/>
      <c r="E14" s="187" t="s">
        <v>15</v>
      </c>
      <c r="F14" s="188"/>
      <c r="G14" s="69">
        <f>'Design Input Form'!L13</f>
        <v>3.8133333333333335</v>
      </c>
    </row>
    <row r="15" spans="1:9" ht="17.100000000000001" customHeight="1">
      <c r="A15" s="66"/>
      <c r="B15" s="195" t="s">
        <v>16</v>
      </c>
      <c r="C15" s="196"/>
      <c r="D15" s="76"/>
      <c r="E15" s="193"/>
      <c r="F15" s="194"/>
      <c r="G15" s="71"/>
    </row>
    <row r="16" spans="1:9" ht="33.75" customHeight="1" thickBot="1">
      <c r="A16" s="66"/>
      <c r="B16" s="195"/>
      <c r="C16" s="196"/>
      <c r="D16" s="77"/>
      <c r="E16" s="189" t="s">
        <v>17</v>
      </c>
      <c r="F16" s="190"/>
      <c r="G16" s="72">
        <f>'Design Input Form'!L15</f>
        <v>14.739761904761906</v>
      </c>
    </row>
    <row r="17" spans="1:15" ht="17.100000000000001" customHeight="1">
      <c r="A17" s="66"/>
      <c r="B17" s="80"/>
      <c r="C17" s="55"/>
      <c r="E17" s="144"/>
      <c r="F17" s="7"/>
      <c r="G17" s="13"/>
    </row>
    <row r="18" spans="1:15" ht="17.100000000000001" customHeight="1">
      <c r="A18" s="66"/>
      <c r="B18" s="200" t="s">
        <v>18</v>
      </c>
      <c r="C18" s="201"/>
      <c r="D18" s="201"/>
      <c r="E18" s="201"/>
      <c r="G18" s="13"/>
    </row>
    <row r="19" spans="1:15" ht="17.100000000000001" customHeight="1">
      <c r="A19" s="66"/>
      <c r="B19" s="20"/>
      <c r="C19" s="56"/>
      <c r="D19" s="56"/>
      <c r="G19" s="13"/>
    </row>
    <row r="20" spans="1:15" ht="17.100000000000001" customHeight="1">
      <c r="A20" s="66"/>
      <c r="B20" s="12"/>
      <c r="D20" s="54" t="s">
        <v>19</v>
      </c>
      <c r="G20" s="13"/>
    </row>
    <row r="21" spans="1:15" ht="17.100000000000001" customHeight="1">
      <c r="A21" s="66"/>
      <c r="B21" s="22" t="s">
        <v>20</v>
      </c>
      <c r="C21" s="202">
        <f>'Design Input Form'!L33</f>
        <v>3.5</v>
      </c>
      <c r="D21" s="202"/>
      <c r="G21" s="13"/>
    </row>
    <row r="22" spans="1:15" ht="17.100000000000001" customHeight="1">
      <c r="A22" s="66"/>
      <c r="B22" s="14">
        <f>'Design Input Form'!J34</f>
        <v>5</v>
      </c>
      <c r="C22" s="57"/>
      <c r="D22" s="57"/>
      <c r="E22" s="2" t="s">
        <v>21</v>
      </c>
      <c r="G22" s="13"/>
    </row>
    <row r="23" spans="1:15" ht="17.100000000000001" customHeight="1">
      <c r="A23" s="66"/>
      <c r="B23" s="15" t="s">
        <v>22</v>
      </c>
      <c r="E23" s="2" t="s">
        <v>23</v>
      </c>
      <c r="G23" s="13"/>
    </row>
    <row r="24" spans="1:15" ht="17.100000000000001" customHeight="1">
      <c r="A24" s="66"/>
      <c r="B24" s="16">
        <f>'Design Input Form'!J36</f>
        <v>9</v>
      </c>
      <c r="G24" s="13"/>
    </row>
    <row r="25" spans="1:15" ht="17.100000000000001" customHeight="1">
      <c r="A25" s="66"/>
      <c r="B25" s="15"/>
      <c r="C25" s="3" t="s">
        <v>24</v>
      </c>
      <c r="G25" s="13"/>
    </row>
    <row r="26" spans="1:15" ht="17.100000000000001" customHeight="1">
      <c r="A26" s="66"/>
      <c r="B26" s="15"/>
      <c r="G26" s="81"/>
    </row>
    <row r="27" spans="1:15" ht="17.100000000000001" customHeight="1">
      <c r="A27" s="66"/>
      <c r="B27" s="15"/>
      <c r="D27" s="3" t="s">
        <v>25</v>
      </c>
      <c r="G27" s="81"/>
    </row>
    <row r="28" spans="1:15" ht="17.100000000000001" customHeight="1">
      <c r="B28" s="15"/>
      <c r="D28" s="53" t="s">
        <v>26</v>
      </c>
      <c r="E28" s="58">
        <f>'Design Input Form'!M40</f>
        <v>48</v>
      </c>
      <c r="F28" t="s">
        <v>27</v>
      </c>
      <c r="G28" s="13"/>
    </row>
    <row r="29" spans="1:15" ht="17.100000000000001" customHeight="1">
      <c r="A29" s="197"/>
      <c r="B29" s="15"/>
      <c r="D29" s="53" t="s">
        <v>28</v>
      </c>
      <c r="E29" s="59">
        <f>'Design Input Form'!M41</f>
        <v>0</v>
      </c>
      <c r="F29" t="s">
        <v>29</v>
      </c>
      <c r="G29" s="82"/>
    </row>
    <row r="30" spans="1:15" ht="17.100000000000001" customHeight="1">
      <c r="A30" s="197"/>
      <c r="B30" s="15"/>
      <c r="D30" s="53" t="s">
        <v>30</v>
      </c>
      <c r="E30" s="58">
        <f>'Design Input Form'!M42</f>
        <v>48</v>
      </c>
      <c r="F30" t="s">
        <v>27</v>
      </c>
      <c r="G30" s="83"/>
      <c r="O30" s="134"/>
    </row>
    <row r="31" spans="1:15" ht="17.100000000000001" customHeight="1">
      <c r="B31" s="15"/>
      <c r="C31" s="3" t="s">
        <v>31</v>
      </c>
      <c r="G31" s="13"/>
    </row>
    <row r="32" spans="1:15" ht="17.100000000000001" customHeight="1" thickBot="1">
      <c r="A32" s="66"/>
      <c r="B32" s="15"/>
      <c r="G32" s="82"/>
    </row>
    <row r="33" spans="1:7" ht="12.75" customHeight="1">
      <c r="A33" s="66"/>
      <c r="B33" s="203" t="s">
        <v>32</v>
      </c>
      <c r="C33" s="204"/>
      <c r="D33" s="204"/>
      <c r="E33" s="204"/>
      <c r="F33" s="204"/>
      <c r="G33" s="205"/>
    </row>
    <row r="34" spans="1:7" ht="17.100000000000001" customHeight="1">
      <c r="A34" s="66"/>
      <c r="B34" s="206"/>
      <c r="C34" s="207"/>
      <c r="D34" s="207"/>
      <c r="E34" s="207"/>
      <c r="F34" s="207"/>
      <c r="G34" s="208"/>
    </row>
    <row r="35" spans="1:7" ht="24.75" customHeight="1">
      <c r="B35" s="206"/>
      <c r="C35" s="207"/>
      <c r="D35" s="207"/>
      <c r="E35" s="207"/>
      <c r="F35" s="207"/>
      <c r="G35" s="208"/>
    </row>
    <row r="36" spans="1:7" ht="30" customHeight="1">
      <c r="B36" s="206"/>
      <c r="C36" s="207"/>
      <c r="D36" s="207"/>
      <c r="E36" s="207"/>
      <c r="F36" s="207"/>
      <c r="G36" s="208"/>
    </row>
    <row r="37" spans="1:7" ht="30" customHeight="1" thickBot="1">
      <c r="A37" s="197"/>
      <c r="B37" s="209"/>
      <c r="C37" s="210"/>
      <c r="D37" s="210"/>
      <c r="E37" s="210"/>
      <c r="F37" s="210"/>
      <c r="G37" s="211"/>
    </row>
    <row r="38" spans="1:7" ht="17.100000000000001" customHeight="1">
      <c r="A38" s="197"/>
      <c r="B38" s="62"/>
      <c r="C38" s="63"/>
      <c r="D38" s="65"/>
      <c r="E38" s="65"/>
      <c r="F38" s="65"/>
      <c r="G38" s="65"/>
    </row>
    <row r="39" spans="1:7" ht="17.100000000000001" customHeight="1">
      <c r="D39" s="65"/>
      <c r="E39" s="65"/>
      <c r="F39" s="65"/>
      <c r="G39" s="65"/>
    </row>
    <row r="40" spans="1:7" ht="17.100000000000001" customHeight="1">
      <c r="A40" s="66"/>
      <c r="B40" s="61"/>
      <c r="C40" s="61"/>
      <c r="D40" s="61"/>
      <c r="E40" s="61"/>
      <c r="F40" s="61"/>
      <c r="G40" s="61"/>
    </row>
    <row r="41" spans="1:7" ht="35.25" customHeight="1">
      <c r="A41" s="66"/>
      <c r="B41" s="62"/>
      <c r="C41" s="64"/>
      <c r="D41" s="65"/>
      <c r="E41" s="65"/>
      <c r="F41" s="65"/>
      <c r="G41" s="65"/>
    </row>
    <row r="42" spans="1:7" ht="17.100000000000001" customHeight="1">
      <c r="A42" s="66"/>
      <c r="B42" s="62"/>
      <c r="C42" s="64"/>
      <c r="D42" s="198"/>
      <c r="E42" s="198"/>
      <c r="F42" s="198"/>
      <c r="G42" s="198"/>
    </row>
    <row r="43" spans="1:7" ht="15.75" customHeight="1">
      <c r="A43" s="66"/>
      <c r="B43" s="199"/>
      <c r="C43" s="199"/>
      <c r="D43" s="199"/>
      <c r="E43" s="199"/>
      <c r="F43" s="199"/>
      <c r="G43" s="199"/>
    </row>
    <row r="47" spans="1:7">
      <c r="D47" s="9"/>
    </row>
    <row r="104" spans="4:4">
      <c r="D104">
        <v>0</v>
      </c>
    </row>
    <row r="106" spans="4:4">
      <c r="D106">
        <v>0</v>
      </c>
    </row>
  </sheetData>
  <mergeCells count="24">
    <mergeCell ref="B1:G1"/>
    <mergeCell ref="C7:G7"/>
    <mergeCell ref="B3:G3"/>
    <mergeCell ref="C4:G4"/>
    <mergeCell ref="C5:G5"/>
    <mergeCell ref="C6:G6"/>
    <mergeCell ref="A37:A38"/>
    <mergeCell ref="D42:G42"/>
    <mergeCell ref="B43:G43"/>
    <mergeCell ref="B18:E18"/>
    <mergeCell ref="A29:A30"/>
    <mergeCell ref="C21:D21"/>
    <mergeCell ref="B33:G37"/>
    <mergeCell ref="B9:C9"/>
    <mergeCell ref="E9:G9"/>
    <mergeCell ref="E10:F10"/>
    <mergeCell ref="E14:F14"/>
    <mergeCell ref="E16:F16"/>
    <mergeCell ref="E11:F11"/>
    <mergeCell ref="E12:F12"/>
    <mergeCell ref="E13:F13"/>
    <mergeCell ref="E15:F15"/>
    <mergeCell ref="B13:C14"/>
    <mergeCell ref="B15:C16"/>
  </mergeCells>
  <conditionalFormatting sqref="D14 G14">
    <cfRule type="expression" dxfId="6" priority="1">
      <formula>$D$14="Fill Height not enough for soil arching"</formula>
    </cfRule>
  </conditionalFormatting>
  <conditionalFormatting sqref="D15 G15">
    <cfRule type="expression" dxfId="5" priority="2">
      <formula>$C$15="No"</formula>
    </cfRule>
  </conditionalFormatting>
  <dataValidations disablePrompts="1" count="2">
    <dataValidation type="decimal" allowBlank="1" showInputMessage="1" showErrorMessage="1" error="Min=0%_x000a_Max=20%" prompt="Min=0%_x000a_Max=20%" sqref="C11" xr:uid="{5CBA28FF-C12A-48D8-95CE-D964CE998C28}">
      <formula1>0</formula1>
      <formula2>20</formula2>
    </dataValidation>
    <dataValidation operator="greaterThanOrEqual" allowBlank="1" showInputMessage="1" showErrorMessage="1" error="Must be &gt;=2.5" sqref="E15:F15" xr:uid="{22B806D2-BFA4-4A16-ABF6-53D58CA53B82}"/>
  </dataValidations>
  <pageMargins left="0.7" right="0.7" top="0.75" bottom="0.75" header="0.3" footer="0.3"/>
  <pageSetup scale="87" orientation="portrait" r:id="rId1"/>
  <headerFooter>
    <oddFooter>&amp;L&amp;D&amp;C&amp;A &amp;P of &amp;N&amp;R&amp;F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4F403-D0DF-4242-B54C-C976F8B4A246}">
  <sheetPr codeName="Sheet1">
    <pageSetUpPr fitToPage="1"/>
  </sheetPr>
  <dimension ref="B1:P78"/>
  <sheetViews>
    <sheetView topLeftCell="A20" workbookViewId="0">
      <selection activeCell="J8" sqref="J8:P8"/>
    </sheetView>
  </sheetViews>
  <sheetFormatPr defaultRowHeight="15"/>
  <cols>
    <col min="2" max="2" width="55.7109375" customWidth="1"/>
    <col min="3" max="4" width="10.7109375" customWidth="1"/>
    <col min="5" max="5" width="16.7109375" customWidth="1"/>
    <col min="6" max="6" width="10.7109375" customWidth="1"/>
    <col min="7" max="9" width="15.7109375" customWidth="1"/>
    <col min="10" max="10" width="12.42578125" customWidth="1"/>
    <col min="11" max="11" width="11.140625" customWidth="1"/>
    <col min="16" max="16" width="16.42578125" customWidth="1"/>
  </cols>
  <sheetData>
    <row r="1" spans="2:16" ht="15.75" thickBot="1">
      <c r="B1" s="233" t="s">
        <v>33</v>
      </c>
      <c r="C1" s="234"/>
      <c r="D1" s="234"/>
      <c r="E1" s="234"/>
      <c r="F1" s="234"/>
      <c r="G1" s="234"/>
      <c r="H1" s="234"/>
      <c r="I1" s="235"/>
    </row>
    <row r="2" spans="2:16">
      <c r="B2" s="172" t="s">
        <v>34</v>
      </c>
      <c r="C2" s="147" t="s">
        <v>35</v>
      </c>
      <c r="D2" s="147"/>
      <c r="E2" s="26"/>
      <c r="F2" s="26"/>
      <c r="G2" s="26"/>
      <c r="H2" s="26"/>
      <c r="I2" s="27"/>
      <c r="J2" s="8"/>
    </row>
    <row r="3" spans="2:16">
      <c r="B3" s="31" t="s">
        <v>36</v>
      </c>
      <c r="C3" s="29">
        <f>'Design Input Form'!C14</f>
        <v>48</v>
      </c>
      <c r="D3" s="26" t="s">
        <v>37</v>
      </c>
      <c r="E3" s="26"/>
      <c r="F3" s="26"/>
      <c r="G3" s="26"/>
      <c r="H3" s="26"/>
      <c r="I3" s="47"/>
      <c r="J3" s="232" t="s">
        <v>38</v>
      </c>
      <c r="K3" s="232"/>
      <c r="L3" s="232"/>
      <c r="M3" s="232"/>
      <c r="N3" s="232"/>
      <c r="O3" s="232"/>
      <c r="P3" s="232"/>
    </row>
    <row r="4" spans="2:16" ht="15" customHeight="1">
      <c r="B4" s="31" t="s">
        <v>39</v>
      </c>
      <c r="C4" s="29">
        <f>('Design Input Form'!C14-('Design Input Form'!C14*('Design Input Form'!C15)/100))</f>
        <v>48</v>
      </c>
      <c r="D4" s="231" t="s">
        <v>40</v>
      </c>
      <c r="E4" s="231"/>
      <c r="F4" s="231"/>
      <c r="G4" s="231"/>
      <c r="H4" s="26"/>
      <c r="I4" s="47"/>
      <c r="J4" s="230"/>
      <c r="K4" s="230"/>
      <c r="L4" s="230"/>
      <c r="M4" s="230"/>
      <c r="N4" s="230"/>
      <c r="O4" s="230"/>
      <c r="P4" s="230"/>
    </row>
    <row r="5" spans="2:16">
      <c r="B5" s="31" t="s">
        <v>41</v>
      </c>
      <c r="C5" s="29">
        <f>'Design Input Form'!C14+('Design Input Form'!C14*('Design Input Form'!C15)/100)</f>
        <v>48</v>
      </c>
      <c r="D5" s="231"/>
      <c r="E5" s="231"/>
      <c r="F5" s="231"/>
      <c r="G5" s="231"/>
      <c r="H5" s="26"/>
      <c r="I5" s="47"/>
      <c r="J5" s="230"/>
      <c r="K5" s="230"/>
      <c r="L5" s="230"/>
      <c r="M5" s="230"/>
      <c r="N5" s="230"/>
      <c r="O5" s="230"/>
      <c r="P5" s="230"/>
    </row>
    <row r="6" spans="2:16" ht="18" customHeight="1">
      <c r="B6" s="31" t="s">
        <v>42</v>
      </c>
      <c r="C6" s="32">
        <f>C5</f>
        <v>48</v>
      </c>
      <c r="D6" s="26" t="s">
        <v>43</v>
      </c>
      <c r="E6" s="26"/>
      <c r="F6" s="26"/>
      <c r="G6" s="26"/>
      <c r="H6" s="26"/>
      <c r="I6" s="27"/>
      <c r="J6" s="230"/>
      <c r="K6" s="230"/>
      <c r="L6" s="230"/>
      <c r="M6" s="230"/>
      <c r="N6" s="230"/>
      <c r="O6" s="230"/>
      <c r="P6" s="230"/>
    </row>
    <row r="7" spans="2:16" ht="24" customHeight="1">
      <c r="B7" s="31" t="s">
        <v>44</v>
      </c>
      <c r="C7" s="32">
        <f>C6/2</f>
        <v>24</v>
      </c>
      <c r="D7" s="26" t="s">
        <v>45</v>
      </c>
      <c r="E7" s="26"/>
      <c r="F7" s="26"/>
      <c r="G7" s="148" t="s">
        <v>46</v>
      </c>
      <c r="H7" s="149"/>
      <c r="I7" s="129"/>
      <c r="J7" s="230"/>
      <c r="K7" s="230"/>
      <c r="L7" s="230"/>
      <c r="M7" s="230"/>
      <c r="N7" s="230"/>
      <c r="O7" s="230"/>
      <c r="P7" s="230"/>
    </row>
    <row r="8" spans="2:16" ht="42" customHeight="1">
      <c r="B8" s="30"/>
      <c r="C8" s="26"/>
      <c r="D8" s="26"/>
      <c r="E8" s="26"/>
      <c r="F8" s="26"/>
      <c r="G8" s="238" t="s">
        <v>47</v>
      </c>
      <c r="H8" s="238"/>
      <c r="I8" s="239"/>
      <c r="J8" s="230"/>
      <c r="K8" s="230"/>
      <c r="L8" s="230"/>
      <c r="M8" s="230"/>
      <c r="N8" s="230"/>
      <c r="O8" s="230"/>
      <c r="P8" s="230"/>
    </row>
    <row r="9" spans="2:16" ht="15" customHeight="1">
      <c r="B9" s="25" t="s">
        <v>48</v>
      </c>
      <c r="C9" s="26"/>
      <c r="D9" s="26"/>
      <c r="E9" s="26"/>
      <c r="F9" s="26"/>
      <c r="G9" s="238" t="s">
        <v>49</v>
      </c>
      <c r="H9" s="238"/>
      <c r="I9" s="239"/>
    </row>
    <row r="10" spans="2:16" ht="36" customHeight="1">
      <c r="B10" s="28" t="s">
        <v>50</v>
      </c>
      <c r="C10" s="29">
        <f>'Design Input Form'!C36</f>
        <v>0.85</v>
      </c>
      <c r="D10" s="26" t="s">
        <v>51</v>
      </c>
      <c r="E10" s="26"/>
      <c r="F10" s="26"/>
      <c r="G10" s="238" t="s">
        <v>52</v>
      </c>
      <c r="H10" s="238"/>
      <c r="I10" s="239"/>
    </row>
    <row r="11" spans="2:16">
      <c r="B11" s="48"/>
      <c r="C11" s="179"/>
      <c r="D11" s="26"/>
      <c r="E11" s="26"/>
      <c r="F11" s="26"/>
      <c r="G11" s="26"/>
      <c r="H11" s="26"/>
      <c r="I11" s="27"/>
    </row>
    <row r="12" spans="2:16">
      <c r="B12" s="25" t="s">
        <v>53</v>
      </c>
      <c r="C12" s="26"/>
      <c r="D12" s="26"/>
      <c r="E12" s="26"/>
      <c r="F12" s="26"/>
      <c r="G12" s="26"/>
      <c r="H12" s="26"/>
      <c r="I12" s="27"/>
    </row>
    <row r="13" spans="2:16" ht="18">
      <c r="B13" s="28" t="s">
        <v>54</v>
      </c>
      <c r="C13" s="29">
        <f>'Design Input Form'!C39</f>
        <v>1.6</v>
      </c>
      <c r="D13" s="26" t="s">
        <v>55</v>
      </c>
      <c r="E13" s="26"/>
      <c r="F13" s="26"/>
      <c r="G13" s="26"/>
      <c r="H13" s="26"/>
      <c r="I13" s="27"/>
    </row>
    <row r="14" spans="2:16" ht="18">
      <c r="B14" s="28" t="s">
        <v>56</v>
      </c>
      <c r="C14" s="29">
        <f>'Design Input Form'!C40</f>
        <v>1.2</v>
      </c>
      <c r="D14" s="26" t="s">
        <v>57</v>
      </c>
      <c r="E14" s="26"/>
      <c r="F14" s="26"/>
      <c r="G14" s="26"/>
      <c r="H14" s="26"/>
      <c r="I14" s="27"/>
    </row>
    <row r="15" spans="2:16" ht="21">
      <c r="B15" s="28" t="s">
        <v>58</v>
      </c>
      <c r="C15" s="29">
        <f>'Design Input Form'!C41</f>
        <v>1.6</v>
      </c>
      <c r="D15" s="26" t="s">
        <v>59</v>
      </c>
      <c r="E15" s="26"/>
      <c r="F15" s="26"/>
      <c r="G15" s="26"/>
      <c r="H15" s="26"/>
      <c r="I15" s="27"/>
      <c r="K15" s="128" t="s">
        <v>9</v>
      </c>
    </row>
    <row r="16" spans="2:16">
      <c r="B16" s="30"/>
      <c r="C16" s="26"/>
      <c r="D16" s="26"/>
      <c r="E16" s="26"/>
      <c r="F16" s="26"/>
      <c r="G16" s="26"/>
      <c r="H16" s="26"/>
      <c r="I16" s="27"/>
    </row>
    <row r="17" spans="2:11">
      <c r="B17" s="172" t="s">
        <v>60</v>
      </c>
      <c r="C17" s="26"/>
      <c r="D17" s="26"/>
      <c r="E17" s="26"/>
      <c r="F17" s="26"/>
      <c r="G17" s="26"/>
      <c r="H17" s="26"/>
      <c r="I17" s="27"/>
    </row>
    <row r="18" spans="2:11" ht="18">
      <c r="B18" s="28" t="s">
        <v>61</v>
      </c>
      <c r="C18" s="49">
        <f>'Design Input Form'!C44</f>
        <v>1100</v>
      </c>
      <c r="D18" s="26" t="s">
        <v>62</v>
      </c>
      <c r="E18" s="26"/>
      <c r="F18" s="26"/>
      <c r="G18" s="26"/>
      <c r="H18" s="26"/>
      <c r="I18" s="27"/>
    </row>
    <row r="19" spans="2:11">
      <c r="B19" s="28" t="s">
        <v>63</v>
      </c>
      <c r="C19" s="29">
        <f>C18*C10</f>
        <v>935</v>
      </c>
      <c r="D19" s="26" t="s">
        <v>64</v>
      </c>
      <c r="E19" s="26"/>
      <c r="F19" s="26"/>
      <c r="G19" s="26"/>
      <c r="H19" s="26"/>
      <c r="I19" s="27"/>
    </row>
    <row r="20" spans="2:11">
      <c r="B20" s="28"/>
      <c r="C20" s="150"/>
      <c r="D20" s="26"/>
      <c r="E20" s="26"/>
      <c r="F20" s="26"/>
      <c r="G20" s="26"/>
      <c r="H20" s="26"/>
      <c r="I20" s="27"/>
    </row>
    <row r="21" spans="2:11">
      <c r="B21" s="172" t="s">
        <v>65</v>
      </c>
      <c r="C21" s="26"/>
      <c r="D21" s="26"/>
      <c r="E21" s="26"/>
      <c r="F21" s="26"/>
      <c r="G21" s="26"/>
      <c r="H21" s="26"/>
      <c r="I21" s="27"/>
    </row>
    <row r="22" spans="2:11" ht="18">
      <c r="B22" s="31" t="s">
        <v>66</v>
      </c>
      <c r="C22" s="32">
        <f>'Dead and Hydraulic Load'!C28</f>
        <v>4.5049999999999999</v>
      </c>
      <c r="D22" s="26" t="s">
        <v>67</v>
      </c>
      <c r="E22" s="26"/>
      <c r="F22" s="26"/>
      <c r="G22" s="26"/>
      <c r="H22" s="26"/>
      <c r="I22" s="27"/>
    </row>
    <row r="23" spans="2:11">
      <c r="B23" s="31"/>
      <c r="C23" s="179"/>
      <c r="D23" s="26"/>
      <c r="E23" s="26"/>
      <c r="F23" s="26"/>
      <c r="G23" s="26"/>
      <c r="H23" s="26"/>
      <c r="I23" s="27"/>
    </row>
    <row r="24" spans="2:11">
      <c r="B24" s="172" t="s">
        <v>68</v>
      </c>
      <c r="C24" s="26"/>
      <c r="D24" s="26"/>
      <c r="E24" s="26"/>
      <c r="F24" s="26"/>
      <c r="G24" s="26"/>
      <c r="H24" s="26"/>
      <c r="I24" s="27"/>
    </row>
    <row r="25" spans="2:11" ht="18">
      <c r="B25" s="31" t="s">
        <v>69</v>
      </c>
      <c r="C25" s="32">
        <f>'Dead and Hydraulic Load'!C34</f>
        <v>3.8133333333333335</v>
      </c>
      <c r="D25" s="26" t="s">
        <v>70</v>
      </c>
      <c r="E25" s="26"/>
      <c r="F25" s="26"/>
      <c r="G25" s="26"/>
      <c r="H25" s="26"/>
      <c r="I25" s="27"/>
    </row>
    <row r="26" spans="2:11">
      <c r="B26" s="30"/>
      <c r="C26" s="33"/>
      <c r="D26" s="26"/>
      <c r="E26" s="26"/>
      <c r="F26" s="26"/>
      <c r="G26" s="26"/>
      <c r="H26" s="26"/>
      <c r="I26" s="27"/>
    </row>
    <row r="27" spans="2:11">
      <c r="B27" s="172" t="s">
        <v>71</v>
      </c>
      <c r="C27" s="26"/>
      <c r="D27" s="26"/>
      <c r="E27" s="26"/>
      <c r="F27" s="26"/>
      <c r="G27" s="26"/>
      <c r="H27" s="26"/>
      <c r="I27" s="27"/>
    </row>
    <row r="28" spans="2:11" ht="18">
      <c r="B28" s="31" t="s">
        <v>72</v>
      </c>
      <c r="C28" s="32">
        <f>'Live Load'!C30</f>
        <v>6.4214285714285726</v>
      </c>
      <c r="D28" s="26" t="s">
        <v>73</v>
      </c>
      <c r="E28" s="26"/>
      <c r="F28" s="42"/>
      <c r="G28" s="179"/>
      <c r="H28" s="179"/>
      <c r="I28" s="43"/>
      <c r="J28" s="2"/>
      <c r="K28" s="2"/>
    </row>
    <row r="29" spans="2:11">
      <c r="B29" s="30"/>
      <c r="C29" s="26"/>
      <c r="D29" s="26"/>
      <c r="E29" s="26"/>
      <c r="F29" s="26"/>
      <c r="G29" s="26"/>
      <c r="H29" s="26"/>
      <c r="I29" s="27"/>
    </row>
    <row r="30" spans="2:11">
      <c r="B30" s="172" t="s">
        <v>74</v>
      </c>
      <c r="C30" s="26"/>
      <c r="D30" s="26"/>
      <c r="E30" s="26"/>
      <c r="F30" s="26"/>
      <c r="G30" s="26"/>
      <c r="H30" s="26"/>
      <c r="I30" s="27"/>
    </row>
    <row r="31" spans="2:11" ht="18.75" thickBot="1">
      <c r="B31" s="152" t="s">
        <v>75</v>
      </c>
      <c r="C31" s="153">
        <f>'Dead and Hydraulic Load'!C28+'Dead and Hydraulic Load'!C34+'Live Load'!C30</f>
        <v>14.739761904761906</v>
      </c>
      <c r="D31" s="36" t="s">
        <v>76</v>
      </c>
      <c r="E31" s="36"/>
      <c r="F31" s="36"/>
      <c r="G31" s="36"/>
      <c r="H31" s="36"/>
      <c r="I31" s="37"/>
    </row>
    <row r="40" spans="2:9" ht="15.75" thickBot="1"/>
    <row r="41" spans="2:9" ht="15.75" thickBot="1">
      <c r="B41" s="233" t="s">
        <v>77</v>
      </c>
      <c r="C41" s="234"/>
      <c r="D41" s="234"/>
      <c r="E41" s="234"/>
      <c r="F41" s="234"/>
      <c r="G41" s="234"/>
      <c r="H41" s="234"/>
      <c r="I41" s="235"/>
    </row>
    <row r="42" spans="2:9">
      <c r="B42" s="137"/>
      <c r="C42" s="138"/>
      <c r="D42" s="138"/>
      <c r="E42" s="138"/>
      <c r="F42" s="138"/>
      <c r="G42" s="138"/>
      <c r="H42" s="26"/>
      <c r="I42" s="27"/>
    </row>
    <row r="43" spans="2:9">
      <c r="B43" s="137"/>
      <c r="C43" s="138"/>
      <c r="D43" s="138"/>
      <c r="E43" s="138"/>
      <c r="F43" s="138"/>
      <c r="G43" s="138"/>
      <c r="H43" s="26"/>
      <c r="I43" s="27"/>
    </row>
    <row r="44" spans="2:9">
      <c r="B44" s="137"/>
      <c r="C44" s="138"/>
      <c r="D44" s="138"/>
      <c r="E44" s="138"/>
      <c r="F44" s="138"/>
      <c r="G44" s="138"/>
      <c r="H44" s="26"/>
      <c r="I44" s="27"/>
    </row>
    <row r="45" spans="2:9">
      <c r="B45" s="137"/>
      <c r="C45" s="138"/>
      <c r="D45" s="138"/>
      <c r="E45" s="138"/>
      <c r="F45" s="138"/>
      <c r="G45" s="138"/>
      <c r="H45" s="26"/>
      <c r="I45" s="27"/>
    </row>
    <row r="46" spans="2:9">
      <c r="B46" s="30"/>
      <c r="C46" s="26"/>
      <c r="D46" s="26"/>
      <c r="E46" s="26"/>
      <c r="F46" s="26"/>
      <c r="G46" s="26"/>
      <c r="H46" s="26"/>
      <c r="I46" s="27"/>
    </row>
    <row r="47" spans="2:9">
      <c r="B47" s="30"/>
      <c r="C47" s="26"/>
      <c r="D47" s="26"/>
      <c r="E47" s="26"/>
      <c r="F47" s="26"/>
      <c r="G47" s="26"/>
      <c r="H47" s="26"/>
      <c r="I47" s="27"/>
    </row>
    <row r="48" spans="2:9">
      <c r="B48" s="30"/>
      <c r="C48" s="26"/>
      <c r="D48" s="26"/>
      <c r="E48" s="26"/>
      <c r="F48" s="26"/>
      <c r="G48" s="26"/>
      <c r="H48" s="26"/>
      <c r="I48" s="27"/>
    </row>
    <row r="49" spans="2:9">
      <c r="B49" s="30"/>
      <c r="C49" s="26"/>
      <c r="D49" s="26"/>
      <c r="E49" s="26"/>
      <c r="F49" s="26"/>
      <c r="G49" s="26"/>
      <c r="H49" s="26"/>
      <c r="I49" s="27"/>
    </row>
    <row r="50" spans="2:9">
      <c r="B50" s="30"/>
      <c r="C50" s="26"/>
      <c r="D50" s="26"/>
      <c r="E50" s="26"/>
      <c r="F50" s="26"/>
      <c r="G50" s="26"/>
      <c r="H50" s="26"/>
      <c r="I50" s="27"/>
    </row>
    <row r="51" spans="2:9">
      <c r="B51" s="30"/>
      <c r="C51" s="26"/>
      <c r="D51" s="26"/>
      <c r="E51" s="26"/>
      <c r="F51" s="26"/>
      <c r="G51" s="26"/>
      <c r="H51" s="26"/>
      <c r="I51" s="27"/>
    </row>
    <row r="52" spans="2:9">
      <c r="B52" s="30"/>
      <c r="C52" s="26"/>
      <c r="D52" s="26"/>
      <c r="E52" s="26"/>
      <c r="F52" s="26"/>
      <c r="G52" s="26"/>
      <c r="H52" s="26"/>
      <c r="I52" s="27"/>
    </row>
    <row r="53" spans="2:9">
      <c r="B53" s="30"/>
      <c r="C53" s="26"/>
      <c r="D53" s="26"/>
      <c r="E53" s="26"/>
      <c r="F53" s="26"/>
      <c r="G53" s="26"/>
      <c r="H53" s="26"/>
      <c r="I53" s="27"/>
    </row>
    <row r="54" spans="2:9">
      <c r="B54" s="30"/>
      <c r="C54" s="26"/>
      <c r="D54" s="26"/>
      <c r="E54" s="26"/>
      <c r="F54" s="26"/>
      <c r="G54" s="26"/>
      <c r="H54" s="26"/>
      <c r="I54" s="27"/>
    </row>
    <row r="55" spans="2:9">
      <c r="B55" s="30"/>
      <c r="C55" s="26"/>
      <c r="D55" s="26"/>
      <c r="E55" s="26"/>
      <c r="F55" s="26"/>
      <c r="G55" s="26"/>
      <c r="H55" s="26"/>
      <c r="I55" s="27"/>
    </row>
    <row r="56" spans="2:9">
      <c r="B56" s="30"/>
      <c r="C56" s="26"/>
      <c r="D56" s="26"/>
      <c r="E56" s="26"/>
      <c r="F56" s="26"/>
      <c r="G56" s="26"/>
      <c r="H56" s="26"/>
      <c r="I56" s="27"/>
    </row>
    <row r="57" spans="2:9">
      <c r="B57" s="30"/>
      <c r="C57" s="26"/>
      <c r="D57" s="26"/>
      <c r="E57" s="26"/>
      <c r="F57" s="26"/>
      <c r="G57" s="26"/>
      <c r="H57" s="26"/>
      <c r="I57" s="27"/>
    </row>
    <row r="58" spans="2:9">
      <c r="B58" s="30"/>
      <c r="C58" s="26"/>
      <c r="D58" s="26"/>
      <c r="E58" s="26"/>
      <c r="F58" s="26"/>
      <c r="G58" s="26"/>
      <c r="H58" s="26"/>
      <c r="I58" s="27"/>
    </row>
    <row r="59" spans="2:9">
      <c r="B59" s="30"/>
      <c r="C59" s="26"/>
      <c r="D59" s="26"/>
      <c r="E59" s="26"/>
      <c r="F59" s="26"/>
      <c r="G59" s="26"/>
      <c r="H59" s="26"/>
      <c r="I59" s="27"/>
    </row>
    <row r="60" spans="2:9">
      <c r="B60" s="30"/>
      <c r="C60" s="26"/>
      <c r="D60" s="26"/>
      <c r="E60" s="26"/>
      <c r="F60" s="26"/>
      <c r="G60" s="26"/>
      <c r="H60" s="26"/>
      <c r="I60" s="27"/>
    </row>
    <row r="61" spans="2:9">
      <c r="B61" s="30"/>
      <c r="C61" s="26"/>
      <c r="D61" s="26"/>
      <c r="E61" s="26"/>
      <c r="F61" s="26"/>
      <c r="G61" s="26"/>
      <c r="H61" s="26"/>
      <c r="I61" s="27"/>
    </row>
    <row r="62" spans="2:9">
      <c r="B62" s="30"/>
      <c r="C62" s="26"/>
      <c r="D62" s="26"/>
      <c r="E62" s="26"/>
      <c r="F62" s="26"/>
      <c r="G62" s="26"/>
      <c r="H62" s="26"/>
      <c r="I62" s="27"/>
    </row>
    <row r="63" spans="2:9">
      <c r="B63" s="30"/>
      <c r="C63" s="26"/>
      <c r="D63" s="26"/>
      <c r="E63" s="26"/>
      <c r="F63" s="26"/>
      <c r="G63" s="26"/>
      <c r="H63" s="26"/>
      <c r="I63" s="27"/>
    </row>
    <row r="64" spans="2:9">
      <c r="B64" s="30"/>
      <c r="C64" s="26"/>
      <c r="D64" s="26"/>
      <c r="E64" s="26"/>
      <c r="F64" s="26"/>
      <c r="G64" s="26"/>
      <c r="H64" s="26"/>
      <c r="I64" s="27"/>
    </row>
    <row r="65" spans="2:9" ht="15.75" thickBot="1">
      <c r="B65" s="236" t="s">
        <v>78</v>
      </c>
      <c r="C65" s="237"/>
      <c r="D65" s="26"/>
      <c r="E65" s="26"/>
      <c r="F65" s="26"/>
      <c r="G65" s="26"/>
      <c r="H65" s="26"/>
      <c r="I65" s="27"/>
    </row>
    <row r="66" spans="2:9" ht="15.75" thickBot="1">
      <c r="B66" s="31"/>
      <c r="C66" s="38" t="s">
        <v>79</v>
      </c>
      <c r="D66" s="34">
        <f>IF(C31&gt;145,0,SQRT((0.0744*C31*(C7^2))/C19))</f>
        <v>0.82193436417202781</v>
      </c>
      <c r="E66" s="26" t="s">
        <v>80</v>
      </c>
      <c r="F66" s="26"/>
      <c r="G66" s="26"/>
      <c r="H66" s="26"/>
      <c r="I66" s="27"/>
    </row>
    <row r="67" spans="2:9">
      <c r="B67" s="31"/>
      <c r="C67" s="38"/>
      <c r="D67" s="26"/>
      <c r="E67" s="26"/>
      <c r="F67" s="26"/>
      <c r="G67" s="26"/>
      <c r="H67" s="26"/>
      <c r="I67" s="27"/>
    </row>
    <row r="68" spans="2:9" ht="15.75" thickBot="1">
      <c r="B68" s="236" t="s">
        <v>81</v>
      </c>
      <c r="C68" s="237"/>
      <c r="D68" s="26"/>
      <c r="E68" s="26"/>
      <c r="F68" s="26"/>
      <c r="G68" s="26"/>
      <c r="H68" s="26"/>
      <c r="I68" s="27"/>
    </row>
    <row r="69" spans="2:9" ht="15.75" thickBot="1">
      <c r="B69" s="30"/>
      <c r="C69" s="38" t="s">
        <v>79</v>
      </c>
      <c r="D69" s="34">
        <f>1/(((-0.8232*C31*C7)+SQRT(((0.8232*C31*C7)^2)+(4*C18*C10*0.0372*C31*C5*C5/4)))/(2*0.0372*C31*C5*C5/4))</f>
        <v>0.75742442304173063</v>
      </c>
      <c r="E69" s="26" t="s">
        <v>80</v>
      </c>
      <c r="F69" s="26"/>
      <c r="G69" s="26"/>
      <c r="H69" s="26"/>
      <c r="I69" s="27"/>
    </row>
    <row r="70" spans="2:9" ht="15.75" thickBot="1">
      <c r="B70" s="35"/>
      <c r="C70" s="50"/>
      <c r="D70" s="51"/>
      <c r="E70" s="36"/>
      <c r="F70" s="36"/>
      <c r="G70" s="36"/>
      <c r="H70" s="36"/>
      <c r="I70" s="37"/>
    </row>
    <row r="71" spans="2:9">
      <c r="C71" s="5"/>
      <c r="D71" s="4"/>
      <c r="E71" s="7"/>
    </row>
    <row r="73" spans="2:9">
      <c r="D73" s="4"/>
    </row>
    <row r="74" spans="2:9">
      <c r="D74" s="4"/>
    </row>
    <row r="75" spans="2:9">
      <c r="C75" s="23"/>
      <c r="D75" s="6"/>
    </row>
    <row r="76" spans="2:9">
      <c r="C76" s="5"/>
      <c r="E76" s="7"/>
    </row>
    <row r="77" spans="2:9">
      <c r="D77" s="24"/>
    </row>
    <row r="78" spans="2:9">
      <c r="D78" s="10"/>
    </row>
  </sheetData>
  <mergeCells count="14">
    <mergeCell ref="B1:I1"/>
    <mergeCell ref="B41:I41"/>
    <mergeCell ref="B65:C65"/>
    <mergeCell ref="B68:C68"/>
    <mergeCell ref="G8:I8"/>
    <mergeCell ref="G9:I9"/>
    <mergeCell ref="G10:I10"/>
    <mergeCell ref="J7:P7"/>
    <mergeCell ref="J8:P8"/>
    <mergeCell ref="D4:G5"/>
    <mergeCell ref="J3:P3"/>
    <mergeCell ref="J4:P4"/>
    <mergeCell ref="J5:P5"/>
    <mergeCell ref="J6:P6"/>
  </mergeCells>
  <pageMargins left="0.7" right="0.7" top="0.75" bottom="0.75" header="0.3" footer="0.3"/>
  <pageSetup scale="80" orientation="landscape" r:id="rId1"/>
  <headerFooter>
    <oddFooter>&amp;L&amp;D&amp;C&amp;A &amp;P of &amp;N&amp;R&amp;F</oddFooter>
  </headerFooter>
  <rowBreaks count="1" manualBreakCount="1">
    <brk id="4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60D52-D2D3-4493-93DF-E486D53DD80B}">
  <sheetPr codeName="Sheet5">
    <pageSetUpPr fitToPage="1"/>
  </sheetPr>
  <dimension ref="A1:P112"/>
  <sheetViews>
    <sheetView topLeftCell="B1" zoomScale="90" zoomScaleNormal="90" workbookViewId="0">
      <selection activeCell="D22" sqref="D22"/>
    </sheetView>
  </sheetViews>
  <sheetFormatPr defaultRowHeight="15"/>
  <cols>
    <col min="1" max="1" width="5.7109375" customWidth="1"/>
    <col min="2" max="2" width="51.28515625" customWidth="1"/>
    <col min="3" max="3" width="26.5703125" customWidth="1"/>
    <col min="4" max="4" width="27.85546875" customWidth="1"/>
    <col min="5" max="5" width="10.7109375" customWidth="1"/>
    <col min="6" max="6" width="15" customWidth="1"/>
    <col min="7" max="7" width="5.7109375" customWidth="1"/>
    <col min="8" max="8" width="1.85546875" customWidth="1"/>
    <col min="9" max="9" width="5.7109375" customWidth="1"/>
    <col min="10" max="10" width="37.85546875" customWidth="1"/>
    <col min="11" max="11" width="12" customWidth="1"/>
    <col min="12" max="12" width="21.85546875" customWidth="1"/>
    <col min="13" max="13" width="13" customWidth="1"/>
    <col min="14" max="14" width="24.5703125" customWidth="1"/>
  </cols>
  <sheetData>
    <row r="1" spans="1:16" ht="21.75" thickBot="1">
      <c r="A1" s="311" t="s">
        <v>82</v>
      </c>
      <c r="B1" s="312"/>
      <c r="C1" s="312"/>
      <c r="D1" s="312"/>
      <c r="E1" s="312"/>
      <c r="F1" s="312"/>
      <c r="G1" s="313"/>
      <c r="H1" s="161"/>
      <c r="I1" s="311" t="s">
        <v>83</v>
      </c>
      <c r="J1" s="312"/>
      <c r="K1" s="312"/>
      <c r="L1" s="312"/>
      <c r="M1" s="312"/>
      <c r="N1" s="313"/>
    </row>
    <row r="2" spans="1:16" ht="19.5" customHeight="1" thickBot="1">
      <c r="A2" s="30"/>
      <c r="B2" s="156" t="s">
        <v>84</v>
      </c>
      <c r="C2" s="337" t="s">
        <v>6</v>
      </c>
      <c r="D2" s="338"/>
      <c r="E2" s="338"/>
      <c r="F2" s="338"/>
      <c r="G2" s="339"/>
      <c r="H2" s="160"/>
      <c r="I2" s="253">
        <v>7</v>
      </c>
      <c r="J2" s="323" t="s">
        <v>7</v>
      </c>
      <c r="K2" s="220"/>
      <c r="L2" s="220"/>
      <c r="M2" s="220"/>
      <c r="N2" s="324"/>
    </row>
    <row r="3" spans="1:16" ht="39" customHeight="1" thickBot="1">
      <c r="A3" s="30"/>
      <c r="B3" s="154" t="s">
        <v>85</v>
      </c>
      <c r="C3" s="340" t="s">
        <v>86</v>
      </c>
      <c r="D3" s="340"/>
      <c r="E3" s="340"/>
      <c r="F3" s="340"/>
      <c r="G3" s="341"/>
      <c r="H3" s="160"/>
      <c r="I3" s="254"/>
      <c r="J3" s="86"/>
      <c r="K3" s="87"/>
      <c r="L3" s="174"/>
      <c r="M3" s="175"/>
      <c r="N3" s="176"/>
    </row>
    <row r="4" spans="1:16" ht="31.5" customHeight="1" thickBot="1">
      <c r="A4" s="30"/>
      <c r="B4" s="154" t="s">
        <v>87</v>
      </c>
      <c r="C4" s="340" t="s">
        <v>88</v>
      </c>
      <c r="D4" s="340"/>
      <c r="E4" s="340"/>
      <c r="F4" s="340"/>
      <c r="G4" s="341"/>
      <c r="H4" s="160"/>
      <c r="I4" s="254"/>
      <c r="J4" s="86" t="s">
        <v>89</v>
      </c>
      <c r="K4" s="87">
        <f>MAX('Thickness Calcs'!D66,'Thickness Calcs'!D69)</f>
        <v>0.82193436417202781</v>
      </c>
      <c r="L4" s="325" t="s">
        <v>90</v>
      </c>
      <c r="M4" s="326"/>
      <c r="N4" s="327"/>
    </row>
    <row r="5" spans="1:16" ht="30.75" customHeight="1" thickBot="1">
      <c r="A5" s="35"/>
      <c r="B5" s="155" t="s">
        <v>9</v>
      </c>
      <c r="C5" s="342" t="s">
        <v>91</v>
      </c>
      <c r="D5" s="342"/>
      <c r="E5" s="342"/>
      <c r="F5" s="342"/>
      <c r="G5" s="343"/>
      <c r="H5" s="160"/>
      <c r="I5" s="254"/>
      <c r="J5" s="88"/>
      <c r="K5" s="89"/>
      <c r="L5" s="90"/>
      <c r="M5" s="91"/>
      <c r="N5" s="92"/>
    </row>
    <row r="6" spans="1:16" ht="30.75" customHeight="1" thickBot="1">
      <c r="A6" s="334"/>
      <c r="B6" s="335"/>
      <c r="C6" s="335"/>
      <c r="D6" s="335"/>
      <c r="E6" s="335"/>
      <c r="F6" s="335"/>
      <c r="G6" s="336"/>
      <c r="H6" s="160"/>
      <c r="I6" s="255"/>
      <c r="J6" s="114" t="s">
        <v>10</v>
      </c>
      <c r="K6" s="115">
        <f>IF(ROUNDUP(K4,1)&gt;(IF(C14&lt;54,1,IF(AND(C14&gt;=54,C14&lt;96),1.5,2))),ROUNDUP(K4,1),IF(C14&lt;54,1,IF(AND(C14&gt;=54,C14&lt;96),1.5,2)))</f>
        <v>1</v>
      </c>
      <c r="L6" s="328" t="s">
        <v>92</v>
      </c>
      <c r="M6" s="329"/>
      <c r="N6" s="330"/>
    </row>
    <row r="7" spans="1:16" ht="15.75" customHeight="1" thickBot="1">
      <c r="A7" s="253">
        <v>1</v>
      </c>
      <c r="B7" s="180" t="s">
        <v>2</v>
      </c>
      <c r="C7" s="181"/>
      <c r="D7" s="181"/>
      <c r="E7" s="181"/>
      <c r="F7" s="181"/>
      <c r="G7" s="285"/>
      <c r="H7" s="160"/>
      <c r="I7" s="21"/>
      <c r="J7" s="160"/>
      <c r="K7" s="160"/>
      <c r="L7" s="160"/>
      <c r="M7" s="160"/>
      <c r="N7" s="136"/>
    </row>
    <row r="8" spans="1:16" ht="17.100000000000001" customHeight="1" thickBot="1">
      <c r="A8" s="254"/>
      <c r="B8" s="122" t="s">
        <v>3</v>
      </c>
      <c r="C8" s="316" t="s">
        <v>93</v>
      </c>
      <c r="D8" s="316"/>
      <c r="E8" s="316"/>
      <c r="F8" s="316"/>
      <c r="G8" s="317"/>
      <c r="H8" s="160"/>
      <c r="I8" s="219" t="s">
        <v>8</v>
      </c>
      <c r="J8" s="221"/>
      <c r="K8" s="221"/>
      <c r="L8" s="221"/>
      <c r="M8" s="221"/>
      <c r="N8" s="222"/>
    </row>
    <row r="9" spans="1:16" ht="17.100000000000001" customHeight="1">
      <c r="A9" s="254"/>
      <c r="B9" s="121" t="s">
        <v>94</v>
      </c>
      <c r="C9" s="314" t="s">
        <v>93</v>
      </c>
      <c r="D9" s="314"/>
      <c r="E9" s="314"/>
      <c r="F9" s="314"/>
      <c r="G9" s="315"/>
      <c r="H9" s="160"/>
      <c r="I9" s="244" t="s">
        <v>95</v>
      </c>
      <c r="J9" s="249" t="s">
        <v>11</v>
      </c>
      <c r="K9" s="250"/>
      <c r="L9" s="321">
        <f>'Live Load'!C25</f>
        <v>6.4214285714285726</v>
      </c>
      <c r="M9" s="321"/>
      <c r="N9" s="322"/>
    </row>
    <row r="10" spans="1:16" ht="17.100000000000001" customHeight="1">
      <c r="A10" s="254"/>
      <c r="B10" s="121" t="s">
        <v>5</v>
      </c>
      <c r="C10" s="318" t="s">
        <v>93</v>
      </c>
      <c r="D10" s="319"/>
      <c r="E10" s="319"/>
      <c r="F10" s="319"/>
      <c r="G10" s="320"/>
      <c r="H10" s="160"/>
      <c r="I10" s="244"/>
      <c r="J10" s="242" t="str">
        <f>IF(C19="No","Factored Soil Dead Load (psi)=","Soil Arch Factored Soil Dead Load (psi)=")</f>
        <v>Factored Soil Dead Load (psi)=</v>
      </c>
      <c r="K10" s="243"/>
      <c r="L10" s="240">
        <f>'Dead and Hydraulic Load'!C24</f>
        <v>4.5049999999999999</v>
      </c>
      <c r="M10" s="240"/>
      <c r="N10" s="241"/>
    </row>
    <row r="11" spans="1:16" ht="45.75" customHeight="1" thickBot="1">
      <c r="A11" s="255"/>
      <c r="B11" s="60" t="s">
        <v>6</v>
      </c>
      <c r="C11" s="331" t="s">
        <v>93</v>
      </c>
      <c r="D11" s="332"/>
      <c r="E11" s="332"/>
      <c r="F11" s="332"/>
      <c r="G11" s="333"/>
      <c r="H11" s="160"/>
      <c r="I11" s="244"/>
      <c r="J11" s="242" t="s">
        <v>12</v>
      </c>
      <c r="K11" s="243"/>
      <c r="L11" s="240">
        <f>'Live Load'!C27</f>
        <v>0</v>
      </c>
      <c r="M11" s="240"/>
      <c r="N11" s="241"/>
    </row>
    <row r="12" spans="1:16" ht="18" customHeight="1" thickBot="1">
      <c r="A12" s="279"/>
      <c r="B12" s="280"/>
      <c r="C12" s="280"/>
      <c r="D12" s="280"/>
      <c r="E12" s="280"/>
      <c r="F12" s="280"/>
      <c r="G12" s="281"/>
      <c r="H12" s="160"/>
      <c r="I12" s="244"/>
      <c r="J12" s="251" t="s">
        <v>14</v>
      </c>
      <c r="K12" s="252"/>
      <c r="L12" s="240">
        <f>'Dead and Hydraulic Load'!C26</f>
        <v>0</v>
      </c>
      <c r="M12" s="240"/>
      <c r="N12" s="241"/>
    </row>
    <row r="13" spans="1:16" ht="17.100000000000001" customHeight="1" thickBot="1">
      <c r="A13" s="253">
        <v>2</v>
      </c>
      <c r="B13" s="221" t="s">
        <v>96</v>
      </c>
      <c r="C13" s="221"/>
      <c r="D13" s="264"/>
      <c r="E13" s="264"/>
      <c r="F13" s="264"/>
      <c r="G13" s="265"/>
      <c r="H13" s="160"/>
      <c r="I13" s="244"/>
      <c r="J13" s="242" t="s">
        <v>15</v>
      </c>
      <c r="K13" s="243"/>
      <c r="L13" s="240">
        <f>'Dead and Hydraulic Load'!C34</f>
        <v>3.8133333333333335</v>
      </c>
      <c r="M13" s="240"/>
      <c r="N13" s="241"/>
    </row>
    <row r="14" spans="1:16" ht="33.75" customHeight="1">
      <c r="A14" s="254"/>
      <c r="B14" s="157" t="s">
        <v>97</v>
      </c>
      <c r="C14" s="110">
        <v>48</v>
      </c>
      <c r="D14" s="266" t="s">
        <v>98</v>
      </c>
      <c r="E14" s="266"/>
      <c r="F14" s="266"/>
      <c r="G14" s="267"/>
      <c r="H14" s="160"/>
      <c r="I14" s="244"/>
      <c r="J14" s="177"/>
      <c r="K14" s="178"/>
      <c r="L14" s="246"/>
      <c r="M14" s="247"/>
      <c r="N14" s="248"/>
    </row>
    <row r="15" spans="1:16" ht="33.75" customHeight="1">
      <c r="A15" s="254"/>
      <c r="B15" s="54" t="s">
        <v>99</v>
      </c>
      <c r="C15" s="111">
        <v>0</v>
      </c>
      <c r="D15" s="282" t="s">
        <v>100</v>
      </c>
      <c r="E15" s="283"/>
      <c r="F15" s="283"/>
      <c r="G15" s="284"/>
      <c r="H15" s="160"/>
      <c r="I15" s="244"/>
      <c r="J15" s="242" t="s">
        <v>17</v>
      </c>
      <c r="K15" s="243"/>
      <c r="L15" s="240">
        <f>L9+L10+L11+L12+L13+L14</f>
        <v>14.739761904761906</v>
      </c>
      <c r="M15" s="240"/>
      <c r="N15" s="241"/>
    </row>
    <row r="16" spans="1:16" ht="17.100000000000001" customHeight="1" thickBot="1">
      <c r="A16" s="254"/>
      <c r="B16" s="94"/>
      <c r="C16" s="116" t="s">
        <v>101</v>
      </c>
      <c r="D16" s="95"/>
      <c r="E16" s="95"/>
      <c r="F16" s="95"/>
      <c r="G16" s="96"/>
      <c r="H16" s="160"/>
      <c r="I16" s="245"/>
      <c r="J16" s="97" t="str">
        <f>IF(L15&gt;=145,"Exceeds Pressure-Design Not Valid","")</f>
        <v/>
      </c>
      <c r="K16" s="98"/>
      <c r="L16" s="98"/>
      <c r="M16" s="98"/>
      <c r="N16" s="99"/>
      <c r="P16" s="128" t="s">
        <v>9</v>
      </c>
    </row>
    <row r="17" spans="1:14" ht="17.100000000000001" customHeight="1" thickBot="1">
      <c r="A17" s="254"/>
      <c r="B17" s="221"/>
      <c r="C17" s="221"/>
      <c r="D17" s="264"/>
      <c r="E17" s="264"/>
      <c r="F17" s="264"/>
      <c r="G17" s="265"/>
      <c r="H17" s="160"/>
    </row>
    <row r="18" spans="1:14" ht="42" customHeight="1">
      <c r="A18" s="254"/>
      <c r="B18" s="157" t="s">
        <v>102</v>
      </c>
      <c r="C18" s="125">
        <v>5</v>
      </c>
      <c r="D18" s="271" t="str">
        <f>IF(OR(C19="No",AND(C19="Yes",C18&gt;(3*(C14/12)))),"Depth is from Original Design","Fill Height not enough for soil arching")</f>
        <v>Depth is from Original Design</v>
      </c>
      <c r="E18" s="272"/>
      <c r="F18" s="272"/>
      <c r="G18" s="273"/>
      <c r="H18" s="160"/>
      <c r="J18" s="55" t="s">
        <v>13</v>
      </c>
    </row>
    <row r="19" spans="1:14" ht="32.25" customHeight="1">
      <c r="A19" s="254"/>
      <c r="B19" s="93" t="s">
        <v>103</v>
      </c>
      <c r="C19" s="107" t="s">
        <v>104</v>
      </c>
      <c r="D19" s="54" t="s">
        <v>105</v>
      </c>
      <c r="E19" s="166">
        <v>2.5</v>
      </c>
      <c r="F19" s="277" t="s">
        <v>106</v>
      </c>
      <c r="G19" s="278"/>
      <c r="H19" s="160"/>
      <c r="J19" t="s">
        <v>16</v>
      </c>
    </row>
    <row r="20" spans="1:14" ht="33" customHeight="1">
      <c r="A20" s="254"/>
      <c r="B20" s="100" t="s">
        <v>107</v>
      </c>
      <c r="C20" s="107">
        <v>3.5</v>
      </c>
      <c r="D20" s="274" t="s">
        <v>108</v>
      </c>
      <c r="E20" s="275"/>
      <c r="F20" s="275"/>
      <c r="G20" s="276"/>
      <c r="H20" s="160"/>
    </row>
    <row r="21" spans="1:14" ht="17.100000000000001" customHeight="1">
      <c r="A21" s="254"/>
      <c r="C21" s="7"/>
      <c r="G21" s="13"/>
      <c r="H21" s="160"/>
    </row>
    <row r="22" spans="1:14" ht="17.100000000000001" customHeight="1">
      <c r="A22" s="254"/>
      <c r="C22" t="s">
        <v>109</v>
      </c>
      <c r="G22" s="13"/>
      <c r="H22" s="160"/>
    </row>
    <row r="23" spans="1:14" ht="17.100000000000001" customHeight="1" thickBot="1">
      <c r="A23" s="254"/>
      <c r="E23" s="144"/>
      <c r="F23" s="7"/>
      <c r="G23" s="13"/>
      <c r="H23" s="160"/>
    </row>
    <row r="24" spans="1:14" ht="17.100000000000001" customHeight="1">
      <c r="A24" s="254"/>
      <c r="C24" s="145" t="s">
        <v>110</v>
      </c>
      <c r="D24" s="145"/>
      <c r="E24" s="123">
        <f>IF((C18-1.5)&lt;0,0,(C18-1.5))</f>
        <v>3.5</v>
      </c>
      <c r="F24" s="162" t="s">
        <v>111</v>
      </c>
      <c r="G24" s="13"/>
      <c r="H24" s="160"/>
    </row>
    <row r="25" spans="1:14" ht="17.100000000000001" customHeight="1" thickBot="1">
      <c r="A25" s="254"/>
      <c r="C25" s="145" t="s">
        <v>112</v>
      </c>
      <c r="D25" s="145"/>
      <c r="E25" s="124">
        <f>IF((C18+(C14/12)-5)&lt;0,0,(C18+(C14/12)-5))</f>
        <v>4</v>
      </c>
      <c r="F25" s="162" t="s">
        <v>111</v>
      </c>
      <c r="G25" s="13"/>
      <c r="H25" s="160"/>
    </row>
    <row r="26" spans="1:14" ht="17.100000000000001" customHeight="1">
      <c r="A26" s="254"/>
      <c r="G26" s="13"/>
      <c r="H26" s="160"/>
    </row>
    <row r="27" spans="1:14" ht="17.100000000000001" customHeight="1">
      <c r="A27" s="254"/>
      <c r="G27" s="13"/>
      <c r="H27" s="160"/>
    </row>
    <row r="28" spans="1:14" ht="17.100000000000001" customHeight="1">
      <c r="A28" s="254"/>
      <c r="C28" s="163" t="s">
        <v>113</v>
      </c>
      <c r="D28" s="145"/>
      <c r="E28" s="145"/>
      <c r="F28" s="145"/>
      <c r="G28" s="13"/>
      <c r="H28" s="160"/>
    </row>
    <row r="29" spans="1:14" ht="17.100000000000001" customHeight="1" thickBot="1">
      <c r="A29" s="254"/>
      <c r="C29" s="163"/>
      <c r="D29" s="145"/>
      <c r="E29" s="145"/>
      <c r="F29" s="145"/>
      <c r="G29" s="13"/>
      <c r="H29" s="160"/>
    </row>
    <row r="30" spans="1:14" ht="17.100000000000001" customHeight="1">
      <c r="A30" s="254"/>
      <c r="G30" s="13"/>
      <c r="H30" s="160"/>
      <c r="J30" s="84" t="s">
        <v>18</v>
      </c>
      <c r="K30" s="85"/>
      <c r="L30" s="85"/>
      <c r="M30" s="85"/>
      <c r="N30" s="11"/>
    </row>
    <row r="31" spans="1:14" ht="17.100000000000001" customHeight="1">
      <c r="A31" s="254"/>
      <c r="G31" s="13"/>
      <c r="H31" s="160"/>
      <c r="J31" s="20"/>
      <c r="K31" s="56"/>
      <c r="L31" s="56"/>
      <c r="N31" s="13"/>
    </row>
    <row r="32" spans="1:14" ht="17.100000000000001" customHeight="1">
      <c r="A32" s="254"/>
      <c r="B32" s="101" t="s">
        <v>114</v>
      </c>
      <c r="C32" s="112">
        <v>62.4</v>
      </c>
      <c r="D32" s="262" t="s">
        <v>115</v>
      </c>
      <c r="E32" s="262"/>
      <c r="F32" s="262"/>
      <c r="G32" s="263"/>
      <c r="H32" s="160"/>
      <c r="J32" s="12"/>
      <c r="L32" s="54" t="s">
        <v>19</v>
      </c>
      <c r="N32" s="13"/>
    </row>
    <row r="33" spans="1:14" ht="17.100000000000001" customHeight="1" thickBot="1">
      <c r="A33" s="255"/>
      <c r="B33" s="143" t="s">
        <v>116</v>
      </c>
      <c r="C33" s="113">
        <v>120</v>
      </c>
      <c r="D33" s="268" t="s">
        <v>117</v>
      </c>
      <c r="E33" s="269"/>
      <c r="F33" s="269"/>
      <c r="G33" s="270"/>
      <c r="H33" s="160"/>
      <c r="J33" s="22" t="s">
        <v>20</v>
      </c>
      <c r="K33" s="57"/>
      <c r="L33" s="170">
        <f>C20</f>
        <v>3.5</v>
      </c>
      <c r="N33" s="13"/>
    </row>
    <row r="34" spans="1:14" ht="17.100000000000001" customHeight="1" thickBot="1">
      <c r="A34" s="259"/>
      <c r="B34" s="260"/>
      <c r="C34" s="260"/>
      <c r="D34" s="260"/>
      <c r="E34" s="260"/>
      <c r="F34" s="260"/>
      <c r="G34" s="261"/>
      <c r="H34" s="160"/>
      <c r="J34" s="14">
        <f>C18</f>
        <v>5</v>
      </c>
      <c r="K34" s="57"/>
      <c r="L34" s="57"/>
      <c r="M34" s="2" t="s">
        <v>21</v>
      </c>
      <c r="N34" s="13"/>
    </row>
    <row r="35" spans="1:14" ht="17.100000000000001" customHeight="1" thickBot="1">
      <c r="A35" s="253">
        <v>3</v>
      </c>
      <c r="B35" s="219" t="s">
        <v>118</v>
      </c>
      <c r="C35" s="221"/>
      <c r="D35" s="264"/>
      <c r="E35" s="264"/>
      <c r="F35" s="264"/>
      <c r="G35" s="265"/>
      <c r="H35" s="160"/>
      <c r="J35" s="15" t="s">
        <v>22</v>
      </c>
      <c r="M35" s="2" t="s">
        <v>23</v>
      </c>
      <c r="N35" s="13"/>
    </row>
    <row r="36" spans="1:14" ht="17.100000000000001" customHeight="1" thickBot="1">
      <c r="A36" s="255"/>
      <c r="B36" s="159" t="s">
        <v>119</v>
      </c>
      <c r="C36" s="158">
        <v>0.85</v>
      </c>
      <c r="D36" s="292" t="s">
        <v>120</v>
      </c>
      <c r="E36" s="292"/>
      <c r="F36" s="292"/>
      <c r="G36" s="293"/>
      <c r="H36" s="160"/>
      <c r="J36" s="16">
        <f>C18+(C14/12)</f>
        <v>9</v>
      </c>
      <c r="N36" s="13"/>
    </row>
    <row r="37" spans="1:14" ht="17.100000000000001" customHeight="1" thickBot="1">
      <c r="A37" s="291"/>
      <c r="B37" s="260"/>
      <c r="C37" s="260"/>
      <c r="D37" s="260"/>
      <c r="E37" s="260"/>
      <c r="F37" s="260"/>
      <c r="G37" s="261"/>
      <c r="H37" s="160"/>
      <c r="J37" s="15"/>
      <c r="K37" s="3" t="s">
        <v>24</v>
      </c>
      <c r="N37" s="13"/>
    </row>
    <row r="38" spans="1:14" ht="17.100000000000001" customHeight="1" thickBot="1">
      <c r="A38" s="253">
        <v>4</v>
      </c>
      <c r="B38" s="219" t="s">
        <v>53</v>
      </c>
      <c r="C38" s="221"/>
      <c r="D38" s="221"/>
      <c r="E38" s="221"/>
      <c r="F38" s="221"/>
      <c r="G38" s="222"/>
      <c r="H38" s="160"/>
      <c r="J38" s="15"/>
      <c r="N38" s="13"/>
    </row>
    <row r="39" spans="1:14" ht="17.100000000000001" customHeight="1">
      <c r="A39" s="254"/>
      <c r="B39" s="102" t="s">
        <v>121</v>
      </c>
      <c r="C39" s="112">
        <v>1.6</v>
      </c>
      <c r="D39" s="256" t="s">
        <v>122</v>
      </c>
      <c r="E39" s="257"/>
      <c r="F39" s="257"/>
      <c r="G39" s="258"/>
      <c r="H39" s="160"/>
      <c r="J39" s="15"/>
      <c r="L39" s="3" t="s">
        <v>25</v>
      </c>
      <c r="N39" s="13"/>
    </row>
    <row r="40" spans="1:14" ht="17.100000000000001" customHeight="1">
      <c r="A40" s="254"/>
      <c r="B40" s="102" t="s">
        <v>123</v>
      </c>
      <c r="C40" s="112">
        <v>1.2</v>
      </c>
      <c r="D40" s="302" t="s">
        <v>124</v>
      </c>
      <c r="E40" s="303"/>
      <c r="F40" s="303"/>
      <c r="G40" s="304"/>
      <c r="H40" s="160"/>
      <c r="J40" s="15"/>
      <c r="L40" s="53" t="s">
        <v>26</v>
      </c>
      <c r="M40" s="58">
        <f>C14</f>
        <v>48</v>
      </c>
      <c r="N40" s="13" t="s">
        <v>27</v>
      </c>
    </row>
    <row r="41" spans="1:14" ht="17.100000000000001" customHeight="1" thickBot="1">
      <c r="A41" s="255"/>
      <c r="B41" s="103" t="s">
        <v>125</v>
      </c>
      <c r="C41" s="113">
        <v>1.6</v>
      </c>
      <c r="D41" s="268" t="s">
        <v>126</v>
      </c>
      <c r="E41" s="269"/>
      <c r="F41" s="269"/>
      <c r="G41" s="270"/>
      <c r="H41" s="160"/>
      <c r="J41" s="15"/>
      <c r="L41" s="53" t="s">
        <v>28</v>
      </c>
      <c r="M41" s="59">
        <f>C15</f>
        <v>0</v>
      </c>
      <c r="N41" s="13" t="s">
        <v>29</v>
      </c>
    </row>
    <row r="42" spans="1:14" ht="17.100000000000001" customHeight="1" thickBot="1">
      <c r="A42" s="259"/>
      <c r="B42" s="289"/>
      <c r="C42" s="289"/>
      <c r="D42" s="289"/>
      <c r="E42" s="289"/>
      <c r="F42" s="289"/>
      <c r="G42" s="290"/>
      <c r="H42" s="160"/>
      <c r="J42" s="15"/>
      <c r="L42" s="53" t="s">
        <v>30</v>
      </c>
      <c r="M42" s="58">
        <f>'Thickness Calcs'!C5</f>
        <v>48</v>
      </c>
      <c r="N42" s="13" t="s">
        <v>27</v>
      </c>
    </row>
    <row r="43" spans="1:14" ht="17.100000000000001" customHeight="1" thickBot="1">
      <c r="A43" s="253">
        <v>5</v>
      </c>
      <c r="B43" s="308" t="s">
        <v>127</v>
      </c>
      <c r="C43" s="309"/>
      <c r="D43" s="309"/>
      <c r="E43" s="309"/>
      <c r="F43" s="309"/>
      <c r="G43" s="310"/>
      <c r="H43" s="160"/>
      <c r="J43" s="15"/>
      <c r="K43" s="3" t="s">
        <v>31</v>
      </c>
      <c r="N43" s="13"/>
    </row>
    <row r="44" spans="1:14" ht="17.100000000000001" customHeight="1" thickBot="1">
      <c r="A44" s="255"/>
      <c r="B44" s="104" t="s">
        <v>128</v>
      </c>
      <c r="C44" s="109">
        <v>1100</v>
      </c>
      <c r="D44" s="294" t="s">
        <v>129</v>
      </c>
      <c r="E44" s="295"/>
      <c r="F44" s="295"/>
      <c r="G44" s="296"/>
      <c r="H44" s="160"/>
      <c r="J44" s="17"/>
      <c r="K44" s="18"/>
      <c r="L44" s="18"/>
      <c r="M44" s="18"/>
      <c r="N44" s="19"/>
    </row>
    <row r="45" spans="1:14" ht="17.100000000000001" customHeight="1" thickBot="1">
      <c r="A45" s="135"/>
      <c r="B45" s="168"/>
      <c r="C45" s="169"/>
      <c r="D45" s="297"/>
      <c r="E45" s="298"/>
      <c r="F45" s="298"/>
      <c r="G45" s="299"/>
      <c r="H45" s="160"/>
    </row>
    <row r="46" spans="1:14" ht="17.100000000000001" customHeight="1">
      <c r="A46" s="253">
        <v>6</v>
      </c>
      <c r="B46" s="305" t="s">
        <v>130</v>
      </c>
      <c r="C46" s="306"/>
      <c r="D46" s="306"/>
      <c r="E46" s="306"/>
      <c r="F46" s="306"/>
      <c r="G46" s="307"/>
      <c r="H46" s="160"/>
    </row>
    <row r="47" spans="1:14" ht="33.950000000000003" customHeight="1">
      <c r="A47" s="254"/>
      <c r="B47" s="105" t="s">
        <v>131</v>
      </c>
      <c r="C47" s="107">
        <v>0</v>
      </c>
      <c r="D47" s="300" t="s">
        <v>132</v>
      </c>
      <c r="E47" s="300"/>
      <c r="F47" s="300"/>
      <c r="G47" s="301"/>
      <c r="H47" s="160"/>
    </row>
    <row r="48" spans="1:14" ht="17.100000000000001" customHeight="1" thickBot="1">
      <c r="A48" s="254"/>
      <c r="B48" s="106" t="s">
        <v>133</v>
      </c>
      <c r="C48" s="108">
        <v>0</v>
      </c>
      <c r="D48" s="292" t="s">
        <v>134</v>
      </c>
      <c r="E48" s="292"/>
      <c r="F48" s="292"/>
      <c r="G48" s="293"/>
      <c r="H48" s="160"/>
    </row>
    <row r="49" spans="1:8" ht="15.75" thickBot="1">
      <c r="A49" s="255"/>
      <c r="B49" s="286" t="s">
        <v>135</v>
      </c>
      <c r="C49" s="287"/>
      <c r="D49" s="287"/>
      <c r="E49" s="287"/>
      <c r="F49" s="287"/>
      <c r="G49" s="288"/>
      <c r="H49" s="160"/>
    </row>
    <row r="53" spans="1:8">
      <c r="D53" s="9"/>
    </row>
    <row r="110" spans="4:4">
      <c r="D110">
        <v>0</v>
      </c>
    </row>
    <row r="112" spans="4:4">
      <c r="D112">
        <v>0</v>
      </c>
    </row>
  </sheetData>
  <mergeCells count="62">
    <mergeCell ref="C11:G11"/>
    <mergeCell ref="A1:G1"/>
    <mergeCell ref="A6:G6"/>
    <mergeCell ref="C2:G2"/>
    <mergeCell ref="C4:G4"/>
    <mergeCell ref="C3:G3"/>
    <mergeCell ref="C5:G5"/>
    <mergeCell ref="I1:N1"/>
    <mergeCell ref="C9:G9"/>
    <mergeCell ref="C8:G8"/>
    <mergeCell ref="C10:G10"/>
    <mergeCell ref="L9:N9"/>
    <mergeCell ref="L10:N10"/>
    <mergeCell ref="I2:I6"/>
    <mergeCell ref="J2:N2"/>
    <mergeCell ref="L4:N4"/>
    <mergeCell ref="L6:N6"/>
    <mergeCell ref="I8:N8"/>
    <mergeCell ref="B49:G49"/>
    <mergeCell ref="A46:A49"/>
    <mergeCell ref="A42:G42"/>
    <mergeCell ref="A37:G37"/>
    <mergeCell ref="A35:A36"/>
    <mergeCell ref="D36:G36"/>
    <mergeCell ref="B35:G35"/>
    <mergeCell ref="D44:G45"/>
    <mergeCell ref="D48:G48"/>
    <mergeCell ref="D47:G47"/>
    <mergeCell ref="B38:G38"/>
    <mergeCell ref="D40:G40"/>
    <mergeCell ref="D41:G41"/>
    <mergeCell ref="B46:G46"/>
    <mergeCell ref="A43:A44"/>
    <mergeCell ref="B43:G43"/>
    <mergeCell ref="A38:A41"/>
    <mergeCell ref="D39:G39"/>
    <mergeCell ref="A34:G34"/>
    <mergeCell ref="A7:A11"/>
    <mergeCell ref="D32:G32"/>
    <mergeCell ref="B13:G13"/>
    <mergeCell ref="B17:G17"/>
    <mergeCell ref="D14:G14"/>
    <mergeCell ref="D33:G33"/>
    <mergeCell ref="D18:G18"/>
    <mergeCell ref="D20:G20"/>
    <mergeCell ref="F19:G19"/>
    <mergeCell ref="A13:A33"/>
    <mergeCell ref="A12:G12"/>
    <mergeCell ref="D15:G15"/>
    <mergeCell ref="B7:G7"/>
    <mergeCell ref="L15:N15"/>
    <mergeCell ref="J15:K15"/>
    <mergeCell ref="I9:I16"/>
    <mergeCell ref="L12:N12"/>
    <mergeCell ref="L13:N13"/>
    <mergeCell ref="L14:N14"/>
    <mergeCell ref="J9:K9"/>
    <mergeCell ref="J10:K10"/>
    <mergeCell ref="J11:K11"/>
    <mergeCell ref="J13:K13"/>
    <mergeCell ref="J12:K12"/>
    <mergeCell ref="L11:N11"/>
  </mergeCells>
  <conditionalFormatting sqref="C19">
    <cfRule type="expression" dxfId="4" priority="7">
      <formula>"D15=""Soil Arching not Feasible"""</formula>
    </cfRule>
  </conditionalFormatting>
  <conditionalFormatting sqref="D18:G18">
    <cfRule type="expression" dxfId="3" priority="3">
      <formula>$D$18="Fill Height not enough for soil arching"</formula>
    </cfRule>
  </conditionalFormatting>
  <conditionalFormatting sqref="D19:G19">
    <cfRule type="expression" dxfId="2" priority="4">
      <formula>$C$19="No"</formula>
    </cfRule>
  </conditionalFormatting>
  <conditionalFormatting sqref="E19">
    <cfRule type="expression" dxfId="1" priority="1">
      <formula>$C$19="Yes"</formula>
    </cfRule>
    <cfRule type="expression" dxfId="0" priority="2">
      <formula>$C$19="Yes"</formula>
    </cfRule>
  </conditionalFormatting>
  <dataValidations count="8">
    <dataValidation type="decimal" allowBlank="1" showInputMessage="1" showErrorMessage="1" error="Min=36 inches_x000a_Max=119 inches" prompt="Min=36 inches_x000a_Max=119 inches" sqref="C14" xr:uid="{E0962BC2-254C-4C8C-B5CF-BB14CE6EDD13}">
      <formula1>36</formula1>
      <formula2>119</formula2>
    </dataValidation>
    <dataValidation type="decimal" allowBlank="1" showInputMessage="1" showErrorMessage="1" sqref="C20" xr:uid="{7B4EAB68-6263-437C-BD0F-B77F88CAB4B2}">
      <formula1>-10</formula1>
      <formula2>200</formula2>
    </dataValidation>
    <dataValidation type="decimal" allowBlank="1" showInputMessage="1" showErrorMessage="1" error="Min=0%_x000a_Max=20%" prompt="Min=0%_x000a_Max=20%" sqref="C15" xr:uid="{315B67E2-41FA-41C9-8386-EA5807EC9C2B}">
      <formula1>0</formula1>
      <formula2>20</formula2>
    </dataValidation>
    <dataValidation type="list" allowBlank="1" showInputMessage="1" showErrorMessage="1" prompt="Used for deeply buried pipes (approx. 3 times the max span) when the soil is stable, settled, no voids are present in the backfill, and permitted by the design specifications.  " sqref="C19" xr:uid="{ED5F1C35-A9E6-41CE-B564-B2807D41DED3}">
      <formula1>"Yes, No"</formula1>
    </dataValidation>
    <dataValidation type="decimal" operator="greaterThanOrEqual" allowBlank="1" showInputMessage="1" showErrorMessage="1" error="Must be &gt;=2.5" sqref="E19" xr:uid="{11D3C60C-EF26-46DC-ACA2-F66387AAA402}">
      <formula1>2.5</formula1>
    </dataValidation>
    <dataValidation type="decimal" operator="greaterThanOrEqual" allowBlank="1" showInputMessage="1" showErrorMessage="1" error="Must be greater than 1.0" sqref="C39:C41" xr:uid="{28566843-D728-48F5-B2FB-39D6F29284D0}">
      <formula1>1</formula1>
    </dataValidation>
    <dataValidation type="decimal" operator="lessThan" allowBlank="1" showInputMessage="1" showErrorMessage="1" error="Must be less than 1.0" sqref="C36" xr:uid="{A9AE6D97-FFA3-433C-9100-105645545AD5}">
      <formula1>1</formula1>
    </dataValidation>
    <dataValidation type="decimal" operator="greaterThanOrEqual" allowBlank="1" showInputMessage="1" showErrorMessage="1" error="Must be Greater than or equal to 1.0 feet." prompt="Must be Greater than or equal to 1.0 feet." sqref="C18" xr:uid="{F17E21E7-0668-45F1-A0FE-351E138481C5}">
      <formula1>1</formula1>
    </dataValidation>
  </dataValidations>
  <pageMargins left="0.7" right="0.7" top="0.75" bottom="0.75" header="0.3" footer="0.3"/>
  <pageSetup scale="63" orientation="portrait" r:id="rId1"/>
  <headerFooter>
    <oddFooter>&amp;L&amp;D&amp;C&amp;A &amp;P of &amp;N&amp;R&amp;F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888D1-76E4-420C-B6E5-44D612A0B419}">
  <sheetPr>
    <pageSetUpPr fitToPage="1"/>
  </sheetPr>
  <dimension ref="B1:P53"/>
  <sheetViews>
    <sheetView workbookViewId="0">
      <selection activeCell="K22" sqref="K22"/>
    </sheetView>
  </sheetViews>
  <sheetFormatPr defaultRowHeight="15"/>
  <cols>
    <col min="2" max="2" width="16.42578125" customWidth="1"/>
    <col min="3" max="3" width="25.42578125" customWidth="1"/>
    <col min="4" max="4" width="13.140625" customWidth="1"/>
    <col min="5" max="5" width="16.7109375" customWidth="1"/>
    <col min="6" max="9" width="9.7109375" customWidth="1"/>
    <col min="10" max="13" width="12.7109375" customWidth="1"/>
    <col min="18" max="18" width="16.42578125" customWidth="1"/>
  </cols>
  <sheetData>
    <row r="1" spans="2:15" ht="15.75" thickBot="1">
      <c r="B1" s="233" t="s">
        <v>136</v>
      </c>
      <c r="C1" s="345"/>
      <c r="D1" s="345"/>
      <c r="E1" s="345"/>
      <c r="F1" s="345"/>
      <c r="G1" s="345"/>
      <c r="H1" s="345"/>
      <c r="I1" s="345"/>
      <c r="J1" s="345"/>
      <c r="K1" s="345"/>
      <c r="L1" s="345"/>
      <c r="M1" s="345"/>
      <c r="N1" s="346"/>
    </row>
    <row r="2" spans="2:15">
      <c r="B2" s="30"/>
      <c r="C2" s="26"/>
      <c r="D2" s="26"/>
      <c r="E2" s="26"/>
      <c r="F2" s="26"/>
      <c r="G2" s="26"/>
      <c r="H2" s="26"/>
      <c r="I2" s="26"/>
      <c r="J2" s="26"/>
      <c r="K2" s="26"/>
      <c r="L2" s="26"/>
      <c r="M2" s="26"/>
      <c r="N2" s="27"/>
    </row>
    <row r="3" spans="2:15">
      <c r="B3" s="25" t="s">
        <v>53</v>
      </c>
      <c r="C3" s="44"/>
      <c r="D3" s="26"/>
      <c r="E3" s="26"/>
      <c r="F3" s="26"/>
      <c r="G3" s="26"/>
      <c r="H3" s="26"/>
      <c r="I3" s="26"/>
      <c r="J3" s="26"/>
      <c r="K3" s="26"/>
      <c r="L3" s="26"/>
      <c r="M3" s="26"/>
      <c r="N3" s="27"/>
    </row>
    <row r="4" spans="2:15" ht="18">
      <c r="B4" s="28" t="s">
        <v>58</v>
      </c>
      <c r="C4" s="29">
        <f>'Design Input Form'!C41</f>
        <v>1.6</v>
      </c>
      <c r="D4" s="26" t="s">
        <v>59</v>
      </c>
      <c r="E4" s="26"/>
      <c r="F4" s="26"/>
      <c r="G4" s="26"/>
      <c r="H4" s="26"/>
      <c r="I4" s="118" t="s">
        <v>137</v>
      </c>
      <c r="J4" s="117"/>
      <c r="K4" s="117"/>
      <c r="L4" s="117"/>
      <c r="M4" s="117"/>
      <c r="N4" s="27"/>
    </row>
    <row r="5" spans="2:15">
      <c r="B5" s="30"/>
      <c r="C5" s="26"/>
      <c r="D5" s="26"/>
      <c r="E5" s="26"/>
      <c r="F5" s="26"/>
      <c r="G5" s="26"/>
      <c r="H5" s="26"/>
      <c r="I5" s="119" t="s">
        <v>138</v>
      </c>
      <c r="J5" s="119"/>
      <c r="K5" s="119"/>
      <c r="L5" s="119"/>
      <c r="M5" s="119"/>
      <c r="N5" s="27"/>
    </row>
    <row r="6" spans="2:15" ht="28.5" customHeight="1">
      <c r="B6" s="30"/>
      <c r="C6" s="45" t="s">
        <v>139</v>
      </c>
      <c r="D6" s="45"/>
      <c r="E6" s="45"/>
      <c r="F6" s="26"/>
      <c r="G6" s="26"/>
      <c r="H6" s="26"/>
      <c r="I6" s="347" t="s">
        <v>140</v>
      </c>
      <c r="J6" s="347"/>
      <c r="K6" s="347"/>
      <c r="L6" s="347"/>
      <c r="M6" s="347"/>
      <c r="N6" s="27"/>
      <c r="O6" s="46"/>
    </row>
    <row r="7" spans="2:15">
      <c r="B7" s="30"/>
      <c r="C7" s="26"/>
      <c r="D7" s="38"/>
      <c r="E7" s="179"/>
      <c r="F7" s="26"/>
      <c r="G7" s="26"/>
      <c r="H7" s="26"/>
      <c r="I7" s="119" t="s">
        <v>141</v>
      </c>
      <c r="J7" s="117"/>
      <c r="K7" s="117"/>
      <c r="L7" s="117"/>
      <c r="M7" s="117"/>
      <c r="N7" s="27"/>
    </row>
    <row r="8" spans="2:15">
      <c r="B8" s="30"/>
      <c r="C8" s="26"/>
      <c r="D8" s="38" t="s">
        <v>142</v>
      </c>
      <c r="E8" s="29">
        <v>1</v>
      </c>
      <c r="F8" s="26" t="s">
        <v>143</v>
      </c>
      <c r="G8" s="26"/>
      <c r="H8" s="26"/>
      <c r="I8" s="26"/>
      <c r="J8" s="26"/>
      <c r="K8" s="26"/>
      <c r="L8" s="26"/>
      <c r="M8" s="26"/>
      <c r="N8" s="27"/>
    </row>
    <row r="9" spans="2:15">
      <c r="B9" s="30"/>
      <c r="C9" s="26"/>
      <c r="D9" s="38" t="s">
        <v>144</v>
      </c>
      <c r="E9" s="29">
        <v>14</v>
      </c>
      <c r="F9" s="26" t="s">
        <v>111</v>
      </c>
      <c r="G9" s="26"/>
      <c r="H9" s="26"/>
      <c r="I9" s="26"/>
      <c r="J9" s="26"/>
      <c r="K9" s="26"/>
      <c r="L9" s="26"/>
      <c r="M9" s="26"/>
      <c r="N9" s="27"/>
    </row>
    <row r="10" spans="2:15">
      <c r="B10" s="30"/>
      <c r="C10" s="26"/>
      <c r="D10" s="38" t="s">
        <v>145</v>
      </c>
      <c r="E10" s="29">
        <v>30</v>
      </c>
      <c r="F10" s="26" t="s">
        <v>146</v>
      </c>
      <c r="G10" s="26"/>
      <c r="H10" s="26"/>
      <c r="I10" s="26"/>
      <c r="J10" s="26"/>
      <c r="K10" s="26"/>
      <c r="L10" s="26"/>
      <c r="M10" s="26"/>
      <c r="N10" s="27"/>
    </row>
    <row r="11" spans="2:15">
      <c r="B11" s="30"/>
      <c r="C11" s="26"/>
      <c r="D11" s="38" t="s">
        <v>147</v>
      </c>
      <c r="E11" s="29">
        <v>4</v>
      </c>
      <c r="F11" s="26" t="s">
        <v>148</v>
      </c>
      <c r="G11" s="26"/>
      <c r="H11" s="26"/>
      <c r="I11" s="26"/>
      <c r="J11" s="26"/>
      <c r="K11" s="26"/>
      <c r="L11" s="26"/>
      <c r="M11" s="26"/>
      <c r="N11" s="27"/>
    </row>
    <row r="12" spans="2:15">
      <c r="B12" s="30"/>
      <c r="C12" s="26"/>
      <c r="D12" s="26"/>
      <c r="E12" s="179"/>
      <c r="F12" s="26"/>
      <c r="G12" s="26"/>
      <c r="H12" s="117"/>
      <c r="I12" s="26"/>
      <c r="J12" s="26"/>
      <c r="K12" s="26"/>
      <c r="L12" s="26"/>
      <c r="M12" s="26"/>
      <c r="N12" s="27"/>
    </row>
    <row r="13" spans="2:15" ht="18">
      <c r="B13" s="30"/>
      <c r="C13" s="26"/>
      <c r="D13" s="38" t="s">
        <v>149</v>
      </c>
      <c r="E13" s="32">
        <f>20/12</f>
        <v>1.6666666666666667</v>
      </c>
      <c r="F13" s="26" t="s">
        <v>150</v>
      </c>
      <c r="G13" s="26"/>
      <c r="H13" s="26"/>
      <c r="I13" s="26"/>
      <c r="J13" s="26"/>
      <c r="K13" s="26"/>
      <c r="L13" s="26"/>
      <c r="M13" s="26"/>
      <c r="N13" s="27"/>
    </row>
    <row r="14" spans="2:15" ht="18">
      <c r="B14" s="30"/>
      <c r="C14" s="26"/>
      <c r="D14" s="38" t="s">
        <v>151</v>
      </c>
      <c r="E14" s="32">
        <f>10/12</f>
        <v>0.83333333333333337</v>
      </c>
      <c r="F14" s="26" t="s">
        <v>152</v>
      </c>
      <c r="G14" s="26"/>
      <c r="H14" s="26"/>
      <c r="I14" s="26"/>
      <c r="J14" s="26"/>
      <c r="K14" s="26"/>
      <c r="L14" s="26"/>
      <c r="M14" s="26"/>
      <c r="N14" s="27"/>
    </row>
    <row r="15" spans="2:15">
      <c r="B15" s="30"/>
      <c r="C15" s="26"/>
      <c r="D15" s="26"/>
      <c r="E15" s="26"/>
      <c r="F15" s="26"/>
      <c r="G15" s="26"/>
      <c r="H15" s="26"/>
      <c r="I15" s="26"/>
      <c r="J15" s="26"/>
      <c r="K15" s="26"/>
      <c r="L15" s="26"/>
      <c r="M15" s="26"/>
      <c r="N15" s="27"/>
    </row>
    <row r="16" spans="2:15">
      <c r="B16" s="30"/>
      <c r="C16" s="26"/>
      <c r="D16" s="38"/>
      <c r="E16" s="26"/>
      <c r="F16" s="26"/>
      <c r="G16" s="26"/>
      <c r="H16" s="344" t="s">
        <v>153</v>
      </c>
      <c r="I16" s="344"/>
      <c r="J16" s="26"/>
      <c r="K16" s="26"/>
      <c r="L16" s="26"/>
      <c r="M16" s="26"/>
      <c r="N16" s="27"/>
    </row>
    <row r="17" spans="2:16">
      <c r="B17" s="31"/>
      <c r="C17" s="26"/>
      <c r="D17" s="120" t="s">
        <v>154</v>
      </c>
      <c r="E17" s="26"/>
      <c r="F17" s="26"/>
      <c r="G17" s="26"/>
      <c r="H17" s="179" t="s">
        <v>155</v>
      </c>
      <c r="I17" s="179" t="s">
        <v>156</v>
      </c>
      <c r="J17" s="179" t="s">
        <v>157</v>
      </c>
      <c r="K17" s="179" t="s">
        <v>158</v>
      </c>
      <c r="L17" s="26"/>
      <c r="M17" s="26" t="s">
        <v>159</v>
      </c>
      <c r="N17" s="27"/>
    </row>
    <row r="18" spans="2:16" ht="21">
      <c r="B18" s="30"/>
      <c r="C18" s="39"/>
      <c r="D18" s="171" t="s">
        <v>160</v>
      </c>
      <c r="E18" s="29" t="s">
        <v>161</v>
      </c>
      <c r="F18" s="127" t="s">
        <v>162</v>
      </c>
      <c r="G18" s="127" t="s">
        <v>163</v>
      </c>
      <c r="H18" s="127" t="s">
        <v>164</v>
      </c>
      <c r="I18" s="127" t="s">
        <v>165</v>
      </c>
      <c r="J18" s="127" t="s">
        <v>166</v>
      </c>
      <c r="K18" s="127" t="s">
        <v>167</v>
      </c>
      <c r="L18" s="127" t="s">
        <v>168</v>
      </c>
      <c r="M18" s="127" t="s">
        <v>169</v>
      </c>
      <c r="N18" s="27"/>
      <c r="P18" s="128" t="s">
        <v>9</v>
      </c>
    </row>
    <row r="19" spans="2:16">
      <c r="B19" s="30"/>
      <c r="C19" s="39"/>
      <c r="D19" s="40" t="s">
        <v>170</v>
      </c>
      <c r="E19" s="29" t="s">
        <v>171</v>
      </c>
      <c r="F19" s="41">
        <f>'Design Input Form'!C18</f>
        <v>5</v>
      </c>
      <c r="G19" s="29">
        <v>16000</v>
      </c>
      <c r="H19" s="32">
        <f>E13+E8*F19</f>
        <v>6.666666666666667</v>
      </c>
      <c r="I19" s="32">
        <f>E14+E8*F19</f>
        <v>5.833333333333333</v>
      </c>
      <c r="J19" s="32">
        <f>H19*I19*144</f>
        <v>5600</v>
      </c>
      <c r="K19" s="32">
        <f>G19/J19</f>
        <v>2.8571428571428572</v>
      </c>
      <c r="L19" s="32">
        <f>0.33*(1-0.125*F19)</f>
        <v>0.12375</v>
      </c>
      <c r="M19" s="32">
        <f>K19*((1+L19))</f>
        <v>3.2107142857142859</v>
      </c>
      <c r="N19" s="27"/>
    </row>
    <row r="20" spans="2:16">
      <c r="B20" s="30"/>
      <c r="C20" s="39"/>
      <c r="D20" s="40" t="s">
        <v>172</v>
      </c>
      <c r="E20" s="29" t="s">
        <v>173</v>
      </c>
      <c r="F20" s="41">
        <f>F19</f>
        <v>5</v>
      </c>
      <c r="G20" s="29">
        <v>32000</v>
      </c>
      <c r="H20" s="32">
        <f>E13+4+E8*F20</f>
        <v>10.666666666666668</v>
      </c>
      <c r="I20" s="32">
        <f>E14+E8*F20</f>
        <v>5.833333333333333</v>
      </c>
      <c r="J20" s="32">
        <f t="shared" ref="J20:J21" si="0">H20*I20*144</f>
        <v>8960</v>
      </c>
      <c r="K20" s="32">
        <f t="shared" ref="K20:K21" si="1">G20/J20</f>
        <v>3.5714285714285716</v>
      </c>
      <c r="L20" s="32">
        <f>0.33*(1-0.125*F20)</f>
        <v>0.12375</v>
      </c>
      <c r="M20" s="32">
        <f>K20*((1+L20))</f>
        <v>4.0133928571428577</v>
      </c>
      <c r="N20" s="27"/>
    </row>
    <row r="21" spans="2:16">
      <c r="B21" s="30"/>
      <c r="C21" s="39"/>
      <c r="D21" s="40" t="s">
        <v>174</v>
      </c>
      <c r="E21" s="29" t="s">
        <v>175</v>
      </c>
      <c r="F21" s="41">
        <f>F19</f>
        <v>5</v>
      </c>
      <c r="G21" s="29">
        <v>50000</v>
      </c>
      <c r="H21" s="32">
        <f>E13+4+E8*F21</f>
        <v>10.666666666666668</v>
      </c>
      <c r="I21" s="32">
        <f>E14+4+E8*F21</f>
        <v>9.8333333333333321</v>
      </c>
      <c r="J21" s="32">
        <f t="shared" si="0"/>
        <v>15104</v>
      </c>
      <c r="K21" s="32">
        <f t="shared" si="1"/>
        <v>3.3103813559322033</v>
      </c>
      <c r="L21" s="32">
        <f>0.33*(1-0.125*F21)</f>
        <v>0.12375</v>
      </c>
      <c r="M21" s="32">
        <f>K21*((1+L21))</f>
        <v>3.7200410487288136</v>
      </c>
      <c r="N21" s="27"/>
    </row>
    <row r="22" spans="2:16">
      <c r="B22" s="30"/>
      <c r="C22" s="39"/>
      <c r="D22" s="40" t="s">
        <v>176</v>
      </c>
      <c r="E22" s="29"/>
      <c r="F22" s="29"/>
      <c r="G22" s="29"/>
      <c r="H22" s="32"/>
      <c r="I22" s="32"/>
      <c r="J22" s="32"/>
      <c r="K22" s="32"/>
      <c r="L22" s="32"/>
      <c r="M22" s="32">
        <f>MAX(M19:M21)</f>
        <v>4.0133928571428577</v>
      </c>
      <c r="N22" s="27"/>
    </row>
    <row r="23" spans="2:16">
      <c r="B23" s="30"/>
      <c r="C23" s="26"/>
      <c r="D23" s="38"/>
      <c r="E23" s="179"/>
      <c r="F23" s="179"/>
      <c r="G23" s="179"/>
      <c r="H23" s="33"/>
      <c r="I23" s="33"/>
      <c r="J23" s="33"/>
      <c r="K23" s="33"/>
      <c r="L23" s="33"/>
      <c r="M23" s="33"/>
      <c r="N23" s="27"/>
    </row>
    <row r="24" spans="2:16" ht="18">
      <c r="B24" s="31" t="s">
        <v>177</v>
      </c>
      <c r="C24" s="32">
        <f>IF(M22&lt;0,0,M22)</f>
        <v>4.0133928571428577</v>
      </c>
      <c r="D24" s="26" t="s">
        <v>178</v>
      </c>
      <c r="E24" s="26"/>
      <c r="F24" s="42"/>
      <c r="G24" s="179"/>
      <c r="H24" s="179"/>
      <c r="I24" s="179"/>
      <c r="J24" s="179"/>
      <c r="K24" s="179"/>
      <c r="L24" s="179"/>
      <c r="M24" s="179"/>
      <c r="N24" s="27"/>
    </row>
    <row r="25" spans="2:16" ht="18">
      <c r="B25" s="31" t="s">
        <v>179</v>
      </c>
      <c r="C25" s="32">
        <f>C24*C4</f>
        <v>6.4214285714285726</v>
      </c>
      <c r="D25" s="26" t="s">
        <v>180</v>
      </c>
      <c r="E25" s="26"/>
      <c r="F25" s="42"/>
      <c r="G25" s="179"/>
      <c r="H25" s="179"/>
      <c r="I25" s="179"/>
      <c r="J25" s="179"/>
      <c r="K25" s="179"/>
      <c r="L25" s="179"/>
      <c r="M25" s="179"/>
      <c r="N25" s="27"/>
    </row>
    <row r="26" spans="2:16" ht="18">
      <c r="B26" s="31" t="s">
        <v>181</v>
      </c>
      <c r="C26" s="32">
        <f>'Design Input Form'!C48</f>
        <v>0</v>
      </c>
      <c r="D26" s="26" t="s">
        <v>182</v>
      </c>
      <c r="E26" s="26"/>
      <c r="F26" s="42"/>
      <c r="G26" s="179"/>
      <c r="H26" s="179"/>
      <c r="I26" s="179"/>
      <c r="J26" s="179"/>
      <c r="K26" s="179"/>
      <c r="L26" s="179"/>
      <c r="M26" s="179"/>
      <c r="N26" s="27"/>
    </row>
    <row r="27" spans="2:16" ht="18">
      <c r="B27" s="31" t="s">
        <v>183</v>
      </c>
      <c r="C27" s="32">
        <f>C26*C4</f>
        <v>0</v>
      </c>
      <c r="D27" s="26" t="s">
        <v>184</v>
      </c>
      <c r="E27" s="179"/>
      <c r="F27" s="179"/>
      <c r="G27" s="179"/>
      <c r="H27" s="179"/>
      <c r="I27" s="179"/>
      <c r="J27" s="179"/>
      <c r="K27" s="179"/>
      <c r="L27" s="179"/>
      <c r="M27" s="179"/>
      <c r="N27" s="27"/>
    </row>
    <row r="28" spans="2:16">
      <c r="B28" s="30"/>
      <c r="C28" s="26"/>
      <c r="D28" s="26"/>
      <c r="E28" s="26"/>
      <c r="F28" s="26"/>
      <c r="G28" s="26"/>
      <c r="H28" s="26"/>
      <c r="I28" s="26"/>
      <c r="J28" s="26"/>
      <c r="K28" s="26"/>
      <c r="L28" s="26"/>
      <c r="M28" s="26"/>
      <c r="N28" s="27"/>
    </row>
    <row r="29" spans="2:16" ht="15.75" thickBot="1">
      <c r="B29" s="30"/>
      <c r="C29" s="26"/>
      <c r="D29" s="26"/>
      <c r="E29" s="26"/>
      <c r="F29" s="26"/>
      <c r="G29" s="26"/>
      <c r="H29" s="26"/>
      <c r="I29" s="26"/>
      <c r="J29" s="26"/>
      <c r="K29" s="26"/>
      <c r="L29" s="26"/>
      <c r="M29" s="26"/>
      <c r="N29" s="27"/>
    </row>
    <row r="30" spans="2:16" ht="15.75" thickBot="1">
      <c r="B30" s="31" t="s">
        <v>185</v>
      </c>
      <c r="C30" s="34">
        <f>C25+C27</f>
        <v>6.4214285714285726</v>
      </c>
      <c r="D30" s="26" t="s">
        <v>73</v>
      </c>
      <c r="E30" s="26"/>
      <c r="F30" s="26"/>
      <c r="G30" s="26"/>
      <c r="H30" s="26"/>
      <c r="I30" s="26"/>
      <c r="J30" s="26"/>
      <c r="K30" s="26"/>
      <c r="L30" s="26"/>
      <c r="M30" s="26"/>
      <c r="N30" s="27"/>
    </row>
    <row r="31" spans="2:16">
      <c r="B31" s="30"/>
      <c r="C31" s="26"/>
      <c r="D31" s="26"/>
      <c r="E31" s="26"/>
      <c r="F31" s="26"/>
      <c r="G31" s="26"/>
      <c r="H31" s="26"/>
      <c r="I31" s="26"/>
      <c r="J31" s="26"/>
      <c r="K31" s="26"/>
      <c r="L31" s="26"/>
      <c r="M31" s="26"/>
      <c r="N31" s="27"/>
    </row>
    <row r="32" spans="2:16">
      <c r="B32" s="30"/>
      <c r="C32" s="26"/>
      <c r="D32" s="26"/>
      <c r="E32" s="26"/>
      <c r="F32" s="26"/>
      <c r="G32" s="26"/>
      <c r="H32" s="26"/>
      <c r="I32" s="26"/>
      <c r="J32" s="26"/>
      <c r="K32" s="26"/>
      <c r="L32" s="26"/>
      <c r="M32" s="26"/>
      <c r="N32" s="27"/>
    </row>
    <row r="33" spans="2:14">
      <c r="B33" s="137"/>
      <c r="C33" s="138"/>
      <c r="D33" s="138"/>
      <c r="E33" s="138"/>
      <c r="F33" s="138"/>
      <c r="G33" s="138"/>
      <c r="H33" s="26"/>
      <c r="I33" s="26"/>
      <c r="J33" s="26"/>
      <c r="K33" s="26"/>
      <c r="L33" s="26"/>
      <c r="M33" s="26"/>
      <c r="N33" s="27"/>
    </row>
    <row r="34" spans="2:14">
      <c r="B34" s="137"/>
      <c r="C34" s="138"/>
      <c r="D34" s="138"/>
      <c r="E34" s="138"/>
      <c r="F34" s="138"/>
      <c r="G34" s="138"/>
      <c r="H34" s="26"/>
      <c r="I34" s="26"/>
      <c r="J34" s="26"/>
      <c r="K34" s="26"/>
      <c r="L34" s="26"/>
      <c r="M34" s="26"/>
      <c r="N34" s="27"/>
    </row>
    <row r="35" spans="2:14">
      <c r="B35" s="137"/>
      <c r="C35" s="138"/>
      <c r="D35" s="138"/>
      <c r="E35" s="138"/>
      <c r="F35" s="138"/>
      <c r="G35" s="138"/>
      <c r="H35" s="26"/>
      <c r="I35" s="26"/>
      <c r="J35" s="26"/>
      <c r="K35" s="26"/>
      <c r="L35" s="26"/>
      <c r="M35" s="26"/>
      <c r="N35" s="27"/>
    </row>
    <row r="36" spans="2:14">
      <c r="B36" s="137"/>
      <c r="C36" s="138"/>
      <c r="D36" s="138"/>
      <c r="E36" s="138"/>
      <c r="F36" s="138"/>
      <c r="G36" s="138"/>
      <c r="H36" s="26"/>
      <c r="I36" s="26"/>
      <c r="J36" s="26"/>
      <c r="K36" s="26"/>
      <c r="L36" s="26"/>
      <c r="M36" s="26"/>
      <c r="N36" s="27"/>
    </row>
    <row r="37" spans="2:14">
      <c r="B37" s="137"/>
      <c r="C37" s="138"/>
      <c r="D37" s="138"/>
      <c r="E37" s="138"/>
      <c r="F37" s="138"/>
      <c r="G37" s="138"/>
      <c r="H37" s="26"/>
      <c r="I37" s="26"/>
      <c r="J37" s="26"/>
      <c r="K37" s="26"/>
      <c r="L37" s="26"/>
      <c r="M37" s="26"/>
      <c r="N37" s="27"/>
    </row>
    <row r="38" spans="2:14" ht="15.75" thickBot="1">
      <c r="B38" s="35"/>
      <c r="C38" s="36"/>
      <c r="D38" s="36"/>
      <c r="E38" s="36"/>
      <c r="F38" s="36"/>
      <c r="G38" s="36"/>
      <c r="H38" s="36"/>
      <c r="I38" s="36"/>
      <c r="J38" s="36"/>
      <c r="K38" s="36"/>
      <c r="L38" s="36"/>
      <c r="M38" s="36"/>
      <c r="N38" s="37"/>
    </row>
    <row r="45" spans="2:14">
      <c r="C45" s="1"/>
      <c r="D45" s="6"/>
    </row>
    <row r="46" spans="2:14">
      <c r="C46" s="5"/>
      <c r="D46" s="4"/>
      <c r="E46" s="7"/>
    </row>
    <row r="47" spans="2:14">
      <c r="K47" s="3"/>
    </row>
    <row r="48" spans="2:14">
      <c r="D48" s="4"/>
    </row>
    <row r="49" spans="3:5">
      <c r="D49" s="4"/>
    </row>
    <row r="50" spans="3:5">
      <c r="C50" s="23"/>
      <c r="D50" s="6"/>
    </row>
    <row r="51" spans="3:5">
      <c r="C51" s="5"/>
      <c r="E51" s="7"/>
    </row>
    <row r="52" spans="3:5">
      <c r="D52" s="24"/>
    </row>
    <row r="53" spans="3:5">
      <c r="D53" s="10"/>
    </row>
  </sheetData>
  <mergeCells count="3">
    <mergeCell ref="H16:I16"/>
    <mergeCell ref="B1:N1"/>
    <mergeCell ref="I6:M6"/>
  </mergeCells>
  <pageMargins left="0.7" right="0.7" top="0.75" bottom="0.75" header="0.3" footer="0.3"/>
  <pageSetup scale="71" orientation="landscape" r:id="rId1"/>
  <headerFooter>
    <oddFooter>&amp;L&amp;D&amp;C&amp;A &amp;P of &amp;N&amp;R&amp;F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8817D-823B-478C-BF4C-F2825056A098}">
  <sheetPr>
    <pageSetUpPr fitToPage="1"/>
  </sheetPr>
  <dimension ref="B1:L63"/>
  <sheetViews>
    <sheetView workbookViewId="0">
      <selection activeCell="L27" sqref="L27"/>
    </sheetView>
  </sheetViews>
  <sheetFormatPr defaultRowHeight="15"/>
  <cols>
    <col min="2" max="2" width="57.7109375" customWidth="1"/>
    <col min="3" max="3" width="10.7109375" customWidth="1"/>
    <col min="4" max="4" width="19.7109375" customWidth="1"/>
    <col min="5" max="5" width="16.7109375" customWidth="1"/>
    <col min="7" max="7" width="10.7109375" customWidth="1"/>
    <col min="8" max="8" width="17.7109375" customWidth="1"/>
    <col min="9" max="9" width="11.28515625" customWidth="1"/>
    <col min="10" max="10" width="12.28515625" customWidth="1"/>
    <col min="11" max="11" width="12.42578125" customWidth="1"/>
    <col min="12" max="12" width="11.140625" customWidth="1"/>
    <col min="17" max="17" width="16.42578125" customWidth="1"/>
  </cols>
  <sheetData>
    <row r="1" spans="2:12" ht="15.75" thickBot="1">
      <c r="B1" s="233" t="s">
        <v>186</v>
      </c>
      <c r="C1" s="234"/>
      <c r="D1" s="234"/>
      <c r="E1" s="234"/>
      <c r="F1" s="234"/>
      <c r="G1" s="234"/>
      <c r="H1" s="234"/>
      <c r="I1" s="234"/>
      <c r="J1" s="235"/>
    </row>
    <row r="2" spans="2:12">
      <c r="B2" s="25" t="s">
        <v>53</v>
      </c>
      <c r="C2" s="26"/>
      <c r="D2" s="26"/>
      <c r="E2" s="26"/>
      <c r="F2" s="26"/>
      <c r="G2" s="26"/>
      <c r="H2" s="26"/>
      <c r="I2" s="26"/>
      <c r="J2" s="27"/>
    </row>
    <row r="3" spans="2:12" ht="18">
      <c r="B3" s="28" t="s">
        <v>54</v>
      </c>
      <c r="C3" s="29">
        <f>'Design Input Form'!C39</f>
        <v>1.6</v>
      </c>
      <c r="D3" s="26" t="s">
        <v>55</v>
      </c>
      <c r="E3" s="26"/>
      <c r="F3" s="26"/>
      <c r="G3" s="26"/>
      <c r="H3" s="26"/>
      <c r="I3" s="26"/>
      <c r="J3" s="27"/>
    </row>
    <row r="4" spans="2:12" ht="15" customHeight="1">
      <c r="B4" s="28" t="s">
        <v>56</v>
      </c>
      <c r="C4" s="29">
        <f>'Design Input Form'!C40</f>
        <v>1.2</v>
      </c>
      <c r="D4" s="26" t="s">
        <v>57</v>
      </c>
      <c r="E4" s="26"/>
      <c r="F4" s="26"/>
      <c r="G4" s="118" t="s">
        <v>137</v>
      </c>
      <c r="H4" s="117"/>
      <c r="I4" s="117"/>
      <c r="J4" s="132"/>
    </row>
    <row r="5" spans="2:12" ht="33" customHeight="1">
      <c r="B5" s="30"/>
      <c r="C5" s="26"/>
      <c r="D5" s="26"/>
      <c r="E5" s="26"/>
      <c r="F5" s="26"/>
      <c r="G5" s="347" t="s">
        <v>187</v>
      </c>
      <c r="H5" s="347"/>
      <c r="I5" s="347"/>
      <c r="J5" s="348"/>
      <c r="K5" s="173"/>
      <c r="L5" s="173"/>
    </row>
    <row r="6" spans="2:12">
      <c r="B6" s="30"/>
      <c r="C6" s="26"/>
      <c r="D6" s="26"/>
      <c r="E6" s="26"/>
      <c r="F6" s="26"/>
      <c r="G6" s="119" t="s">
        <v>138</v>
      </c>
      <c r="H6" s="119"/>
      <c r="I6" s="119"/>
      <c r="J6" s="133"/>
    </row>
    <row r="7" spans="2:12">
      <c r="B7" s="172" t="s">
        <v>188</v>
      </c>
      <c r="C7" s="26"/>
      <c r="D7" s="26"/>
      <c r="E7" s="26"/>
      <c r="F7" s="26"/>
      <c r="G7" s="26"/>
      <c r="H7" s="26"/>
      <c r="I7" s="26"/>
      <c r="J7" s="27"/>
    </row>
    <row r="8" spans="2:12" ht="18">
      <c r="B8" s="167" t="s">
        <v>189</v>
      </c>
      <c r="C8" s="29">
        <f>'Design Input Form'!C32</f>
        <v>62.4</v>
      </c>
      <c r="D8" s="26" t="s">
        <v>190</v>
      </c>
      <c r="E8" s="26"/>
      <c r="F8" s="26"/>
      <c r="G8" s="26"/>
      <c r="H8" s="26"/>
      <c r="I8" s="26"/>
      <c r="J8" s="27"/>
    </row>
    <row r="9" spans="2:12" ht="18">
      <c r="B9" s="167" t="s">
        <v>191</v>
      </c>
      <c r="C9" s="29">
        <f>'Design Input Form'!C33</f>
        <v>120</v>
      </c>
      <c r="D9" s="26" t="s">
        <v>192</v>
      </c>
      <c r="E9" s="26"/>
      <c r="F9" s="26"/>
      <c r="G9" s="26"/>
      <c r="H9" s="26"/>
      <c r="I9" s="26"/>
      <c r="J9" s="27"/>
    </row>
    <row r="10" spans="2:12" ht="22.5" customHeight="1">
      <c r="B10" s="31" t="s">
        <v>193</v>
      </c>
      <c r="C10" s="32">
        <f>'Design Input Form'!C18</f>
        <v>5</v>
      </c>
      <c r="D10" s="26" t="s">
        <v>194</v>
      </c>
      <c r="E10" s="26"/>
      <c r="F10" s="26"/>
      <c r="G10" s="26"/>
      <c r="H10" s="26"/>
      <c r="I10" s="26"/>
      <c r="J10" s="27"/>
    </row>
    <row r="11" spans="2:12" ht="31.5" customHeight="1">
      <c r="B11" s="31" t="s">
        <v>195</v>
      </c>
      <c r="C11" s="32">
        <f>IF('Design Input Form'!C19="No",'Design Input Form'!C18,C18)</f>
        <v>5</v>
      </c>
      <c r="D11" s="349" t="s">
        <v>196</v>
      </c>
      <c r="E11" s="350"/>
      <c r="F11" s="350"/>
      <c r="G11" s="350"/>
      <c r="H11" s="350"/>
      <c r="I11" s="130"/>
      <c r="J11" s="52"/>
    </row>
    <row r="12" spans="2:12" ht="18">
      <c r="B12" s="31" t="s">
        <v>197</v>
      </c>
      <c r="C12" s="29">
        <f>'Design Input Form'!C20</f>
        <v>3.5</v>
      </c>
      <c r="D12" s="26" t="s">
        <v>198</v>
      </c>
      <c r="E12" s="26"/>
      <c r="F12" s="26"/>
      <c r="G12" s="26"/>
      <c r="H12" s="131"/>
      <c r="I12" s="26"/>
      <c r="J12" s="27"/>
    </row>
    <row r="13" spans="2:12" ht="18">
      <c r="B13" s="31" t="s">
        <v>199</v>
      </c>
      <c r="C13" s="32">
        <f>1-0.33*(C14/C11)</f>
        <v>0.90100000000000002</v>
      </c>
      <c r="D13" s="26" t="s">
        <v>200</v>
      </c>
      <c r="E13" s="26"/>
      <c r="F13" s="26"/>
      <c r="G13" s="26"/>
      <c r="H13" s="26"/>
      <c r="I13" s="26"/>
      <c r="J13" s="27"/>
    </row>
    <row r="14" spans="2:12" ht="18">
      <c r="B14" s="31" t="s">
        <v>201</v>
      </c>
      <c r="C14" s="32">
        <f>C10-C12</f>
        <v>1.5</v>
      </c>
      <c r="D14" s="26" t="s">
        <v>202</v>
      </c>
      <c r="E14" s="26"/>
      <c r="F14" s="26"/>
      <c r="G14" s="26"/>
      <c r="H14" s="26"/>
      <c r="I14" s="26"/>
      <c r="J14" s="27"/>
    </row>
    <row r="15" spans="2:12">
      <c r="B15" s="30"/>
      <c r="C15" s="26"/>
      <c r="D15" s="26"/>
      <c r="E15" s="26"/>
      <c r="F15" s="26"/>
      <c r="G15" s="26"/>
      <c r="H15" s="26"/>
      <c r="I15" s="26"/>
      <c r="J15" s="27"/>
    </row>
    <row r="16" spans="2:12">
      <c r="B16" s="172"/>
      <c r="C16" s="32" t="str">
        <f>IF('Design Input Form'!C19="Yes",'Design Input Form'!E19,"N/A")</f>
        <v>N/A</v>
      </c>
      <c r="D16" s="26" t="s">
        <v>203</v>
      </c>
      <c r="E16" s="26"/>
      <c r="F16" s="26"/>
      <c r="G16" s="26"/>
      <c r="H16" s="26"/>
      <c r="I16" s="26"/>
      <c r="J16" s="27"/>
    </row>
    <row r="17" spans="2:12">
      <c r="B17" s="172"/>
      <c r="C17" s="32" t="str">
        <f>IF('Design Input Form'!C19="Yes",'Thickness Calcs'!C5/12,"N/A")</f>
        <v>N/A</v>
      </c>
      <c r="D17" s="26" t="s">
        <v>204</v>
      </c>
      <c r="E17" s="26"/>
      <c r="F17" s="26"/>
      <c r="G17" s="26"/>
      <c r="H17" s="26"/>
      <c r="I17" s="26"/>
      <c r="J17" s="27"/>
    </row>
    <row r="18" spans="2:12" ht="21">
      <c r="B18" s="172"/>
      <c r="C18" s="32" t="str">
        <f>IF('Design Input Form'!C19="Yes",C17*C16,"N/A")</f>
        <v>N/A</v>
      </c>
      <c r="D18" s="26" t="s">
        <v>205</v>
      </c>
      <c r="E18" s="26"/>
      <c r="F18" s="26"/>
      <c r="G18" s="26"/>
      <c r="H18" s="26"/>
      <c r="I18" s="26"/>
      <c r="J18" s="27"/>
      <c r="L18" s="128" t="s">
        <v>9</v>
      </c>
    </row>
    <row r="19" spans="2:12">
      <c r="B19" s="28"/>
      <c r="C19" s="26"/>
      <c r="D19" s="26"/>
      <c r="E19" s="26"/>
      <c r="F19" s="26"/>
      <c r="G19" s="26"/>
      <c r="H19" s="26"/>
      <c r="I19" s="26"/>
      <c r="J19" s="27"/>
    </row>
    <row r="20" spans="2:12">
      <c r="B20" s="28"/>
      <c r="C20" s="26"/>
      <c r="D20" s="26"/>
      <c r="E20" s="26"/>
      <c r="F20" s="26"/>
      <c r="G20" s="26"/>
      <c r="H20" s="26"/>
      <c r="I20" s="26"/>
      <c r="J20" s="27"/>
    </row>
    <row r="21" spans="2:12">
      <c r="B21" s="31"/>
      <c r="C21" s="26"/>
      <c r="D21" s="26"/>
      <c r="E21" s="26"/>
      <c r="F21" s="26"/>
      <c r="G21" s="26"/>
      <c r="H21" s="26"/>
      <c r="I21" s="26"/>
      <c r="J21" s="27"/>
    </row>
    <row r="22" spans="2:12">
      <c r="B22" s="172" t="s">
        <v>206</v>
      </c>
      <c r="C22" s="26"/>
      <c r="D22" s="26"/>
      <c r="E22" s="26"/>
      <c r="F22" s="26"/>
      <c r="G22" s="26"/>
      <c r="H22" s="26"/>
      <c r="I22" s="26"/>
      <c r="J22" s="27"/>
    </row>
    <row r="23" spans="2:12" ht="18">
      <c r="B23" s="31" t="s">
        <v>207</v>
      </c>
      <c r="C23" s="32">
        <f>C9*C11*C13/144</f>
        <v>3.7541666666666669</v>
      </c>
      <c r="D23" s="26" t="s">
        <v>208</v>
      </c>
      <c r="E23" s="26"/>
      <c r="F23" s="26"/>
      <c r="G23" s="26"/>
      <c r="H23" s="26"/>
      <c r="I23" s="26"/>
      <c r="J23" s="27"/>
    </row>
    <row r="24" spans="2:12" ht="18">
      <c r="B24" s="31" t="s">
        <v>209</v>
      </c>
      <c r="C24" s="32">
        <f>C23*C4</f>
        <v>4.5049999999999999</v>
      </c>
      <c r="D24" s="26" t="s">
        <v>210</v>
      </c>
      <c r="E24" s="26"/>
      <c r="F24" s="26"/>
      <c r="G24" s="26"/>
      <c r="H24" s="26"/>
      <c r="I24" s="26"/>
      <c r="J24" s="27"/>
    </row>
    <row r="25" spans="2:12" ht="18">
      <c r="B25" s="31" t="s">
        <v>211</v>
      </c>
      <c r="C25" s="32">
        <f>'Design Input Form'!C47</f>
        <v>0</v>
      </c>
      <c r="D25" s="26" t="s">
        <v>212</v>
      </c>
      <c r="E25" s="26"/>
      <c r="F25" s="26"/>
      <c r="G25" s="26"/>
      <c r="H25" s="26"/>
      <c r="I25" s="26"/>
      <c r="J25" s="27"/>
    </row>
    <row r="26" spans="2:12" ht="18">
      <c r="B26" s="31" t="s">
        <v>213</v>
      </c>
      <c r="C26" s="32">
        <f>C25*C4</f>
        <v>0</v>
      </c>
      <c r="D26" s="26" t="s">
        <v>214</v>
      </c>
      <c r="E26" s="26"/>
      <c r="F26" s="26"/>
      <c r="G26" s="26"/>
      <c r="H26" s="26"/>
      <c r="I26" s="26"/>
      <c r="J26" s="27"/>
    </row>
    <row r="27" spans="2:12" ht="15.75" thickBot="1">
      <c r="B27" s="31"/>
      <c r="C27" s="33"/>
      <c r="D27" s="26"/>
      <c r="E27" s="26"/>
      <c r="F27" s="26"/>
      <c r="G27" s="26"/>
      <c r="H27" s="26"/>
      <c r="I27" s="26"/>
      <c r="J27" s="27"/>
    </row>
    <row r="28" spans="2:12" ht="15.75" thickBot="1">
      <c r="B28" s="31" t="s">
        <v>215</v>
      </c>
      <c r="C28" s="34">
        <f>C24+C26</f>
        <v>4.5049999999999999</v>
      </c>
      <c r="D28" s="26" t="s">
        <v>67</v>
      </c>
      <c r="E28" s="26"/>
      <c r="F28" s="26"/>
      <c r="G28" s="26"/>
      <c r="H28" s="26"/>
      <c r="I28" s="26"/>
      <c r="J28" s="27"/>
    </row>
    <row r="29" spans="2:12">
      <c r="B29" s="31"/>
      <c r="C29" s="33"/>
      <c r="D29" s="26"/>
      <c r="E29" s="26"/>
      <c r="F29" s="26"/>
      <c r="G29" s="26"/>
      <c r="H29" s="26"/>
      <c r="I29" s="26"/>
      <c r="J29" s="27"/>
    </row>
    <row r="30" spans="2:12">
      <c r="B30" s="31"/>
      <c r="C30" s="33"/>
      <c r="D30" s="26"/>
      <c r="E30" s="26"/>
      <c r="F30" s="26"/>
      <c r="G30" s="26"/>
      <c r="H30" s="26"/>
      <c r="I30" s="26"/>
      <c r="J30" s="27"/>
    </row>
    <row r="31" spans="2:12">
      <c r="B31" s="31"/>
      <c r="C31" s="179"/>
      <c r="D31" s="26"/>
      <c r="E31" s="26"/>
      <c r="F31" s="26"/>
      <c r="G31" s="26"/>
      <c r="H31" s="26"/>
      <c r="I31" s="26"/>
      <c r="J31" s="27"/>
    </row>
    <row r="32" spans="2:12">
      <c r="B32" s="172" t="s">
        <v>216</v>
      </c>
      <c r="C32" s="26"/>
      <c r="D32" s="26"/>
      <c r="E32" s="26"/>
      <c r="F32" s="26"/>
      <c r="G32" s="26"/>
      <c r="H32" s="26"/>
      <c r="I32" s="26"/>
      <c r="J32" s="27"/>
    </row>
    <row r="33" spans="2:10" ht="15.75" thickBot="1">
      <c r="B33" s="31" t="s">
        <v>217</v>
      </c>
      <c r="C33" s="151">
        <f>IF(C8*(C14+(('Design Input Form'!C14-('Design Input Form'!C14*('Design Input Form'!C15)/100))/12))/144&lt;0,0,C8*(C14+(('Design Input Form'!C14-('Design Input Form'!C14*('Design Input Form'!C15)/100))/12))/144)</f>
        <v>2.3833333333333333</v>
      </c>
      <c r="D33" s="138" t="s">
        <v>218</v>
      </c>
      <c r="E33" s="138"/>
      <c r="F33" s="138"/>
      <c r="G33" s="138"/>
      <c r="H33" s="26"/>
      <c r="I33" s="26"/>
      <c r="J33" s="27"/>
    </row>
    <row r="34" spans="2:10" ht="18.75" thickBot="1">
      <c r="B34" s="31" t="s">
        <v>69</v>
      </c>
      <c r="C34" s="34">
        <f>C33*C3</f>
        <v>3.8133333333333335</v>
      </c>
      <c r="D34" s="138" t="s">
        <v>70</v>
      </c>
      <c r="E34" s="138"/>
      <c r="F34" s="138"/>
      <c r="G34" s="138"/>
      <c r="H34" s="26"/>
      <c r="I34" s="26"/>
      <c r="J34" s="27"/>
    </row>
    <row r="35" spans="2:10" ht="15.75" thickBot="1">
      <c r="B35" s="139"/>
      <c r="C35" s="140"/>
      <c r="D35" s="141"/>
      <c r="E35" s="141"/>
      <c r="F35" s="141"/>
      <c r="G35" s="141"/>
      <c r="H35" s="36"/>
      <c r="I35" s="36"/>
      <c r="J35" s="37"/>
    </row>
    <row r="36" spans="2:10">
      <c r="B36" s="142"/>
      <c r="C36" s="142"/>
      <c r="D36" s="142"/>
      <c r="E36" s="142"/>
      <c r="F36" s="142"/>
      <c r="G36" s="142"/>
    </row>
    <row r="37" spans="2:10">
      <c r="B37" s="142"/>
      <c r="C37" s="142"/>
      <c r="D37" s="142"/>
      <c r="E37" s="142"/>
      <c r="F37" s="142"/>
      <c r="G37" s="142"/>
    </row>
    <row r="58" spans="3:5">
      <c r="D58" s="4"/>
    </row>
    <row r="59" spans="3:5">
      <c r="D59" s="4"/>
    </row>
    <row r="60" spans="3:5">
      <c r="C60" s="23"/>
      <c r="D60" s="6"/>
    </row>
    <row r="61" spans="3:5">
      <c r="C61" s="5"/>
      <c r="E61" s="7"/>
    </row>
    <row r="62" spans="3:5">
      <c r="D62" s="24"/>
    </row>
    <row r="63" spans="3:5">
      <c r="D63" s="10"/>
    </row>
  </sheetData>
  <mergeCells count="3">
    <mergeCell ref="B1:J1"/>
    <mergeCell ref="G5:J5"/>
    <mergeCell ref="D11:H11"/>
  </mergeCells>
  <pageMargins left="0.7" right="0.7" top="0.75" bottom="0.75" header="0.3" footer="0.3"/>
  <pageSetup scale="73" orientation="landscape" r:id="rId1"/>
  <headerFooter>
    <oddFooter>&amp;L&amp;D&amp;C&amp;A &amp;P of &amp;N&amp;R&amp;F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y F U n V 6 / a 7 D 2 k A A A A 9 g A A A B I A H A B D b 2 5 m a W c v U G F j a 2 F n Z S 5 4 b W w g o h g A K K A U A A A A A A A A A A A A A A A A A A A A A A A A A A A A h Y + 9 D o I w G E V f h X S n P 8 i g p J T B V R I T o n F t S o V G + D C 0 W N 7 N w U f y F c Q o 6 u Z 4 z z 3 D v f f r j W d j 2 w Q X 3 V v T Q Y o Y p i j Q o L r S Q J W i w R 3 D J c o E 3 0 p 1 k p U O J h l s M t o y R b V z 5 4 Q Q 7 z 3 2 C 9 z 1 F Y k o Z e S Q b w p V 6 1 a i j 2 z + y 6 E B 6 y Q o j Q T f v 8 a I C D O 2 w j G N M e V k h j w 3 8 B W i a e + z / Y F 8 P T R u 6 L X Q E O 4 K T u b I y f u D e A B Q S w M E F A A C A A g A y F U n 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h V J 1 c o i k e 4 D g A A A B E A A A A T A B w A R m 9 y b X V s Y X M v U 2 V j d G l v b j E u b S C i G A A o o B Q A A A A A A A A A A A A A A A A A A A A A A A A A A A A r T k 0 u y c z P U w i G 0 I b W A F B L A Q I t A B Q A A g A I A M h V J 1 e v 2 u w 9 p A A A A P Y A A A A S A A A A A A A A A A A A A A A A A A A A A A B D b 2 5 m a W c v U G F j a 2 F n Z S 5 4 b W x Q S w E C L Q A U A A I A C A D I V S d X D 8 r p q 6 Q A A A D p A A A A E w A A A A A A A A A A A A A A A A D w A A A A W 0 N v b n R l b n R f V H l w Z X N d L n h t b F B L A Q I t A B Q A A g A I A M h V J 1 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k 7 D 5 n j O p U R J l Y q 7 C C Z U W r A A A A A A I A A A A A A A N m A A D A A A A A E A A A A I N u 7 B V + E n T W J 9 k c K g A Z r 5 E A A A A A B I A A A K A A A A A Q A A A A D N u 2 P P M l 2 / j y K + z n 6 0 D u W l A A A A A E K L C i b W 2 J S K X A g E K T 2 Q u e o x M H M + m V j B Y 6 7 y o R g Q 4 8 c 1 q Y 9 V A 6 A f n p 4 c 0 n X K G q a 2 L 7 r 0 y w r c t U + E y c r 6 K L O y n K L X / P r + / O i d Y D X + 0 / H U L 2 7 h Q A A A B Z S k a + P l b b G L + V K H C a I Y J Z N H x 7 1 A = = < / D a t a M a s h u p > 
</file>

<file path=customXml/itemProps1.xml><?xml version="1.0" encoding="utf-8"?>
<ds:datastoreItem xmlns:ds="http://schemas.openxmlformats.org/officeDocument/2006/customXml" ds:itemID="{3E038EED-0072-4BE6-92E4-534B28B20973}"/>
</file>

<file path=docMetadata/LabelInfo.xml><?xml version="1.0" encoding="utf-8"?>
<clbl:labelList xmlns:clbl="http://schemas.microsoft.com/office/2020/mipLabelMetadata">
  <clbl:label id="{f920f5b4-f35a-4bd1-ab57-79db69ad10fb}" enabled="1" method="Standard" siteId="{50f8fcc4-94d8-4f07-84eb-36ed57c7c8a2}"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Russ, Andrew</dc:creator>
  <cp:keywords/>
  <dc:description/>
  <cp:lastModifiedBy>Brandon, Kyle</cp:lastModifiedBy>
  <cp:revision/>
  <dcterms:created xsi:type="dcterms:W3CDTF">2022-09-30T13:51:46Z</dcterms:created>
  <dcterms:modified xsi:type="dcterms:W3CDTF">2025-12-03T14:08:28Z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ies>
</file>