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44972\"/>
    </mc:Choice>
  </mc:AlternateContent>
  <xr:revisionPtr revIDLastSave="0" documentId="13_ncr:1_{248245E0-F5E8-40DB-B33E-6F971948B08F}" xr6:coauthVersionLast="47" xr6:coauthVersionMax="47" xr10:uidLastSave="{00000000-0000-0000-0000-000000000000}"/>
  <bookViews>
    <workbookView xWindow="-120" yWindow="-120" windowWidth="29040" windowHeight="15720" tabRatio="867" activeTab="1" xr2:uid="{00000000-000D-0000-FFFF-FFFF00000000}"/>
  </bookViews>
  <sheets>
    <sheet name="CC-1" sheetId="32" r:id="rId1"/>
    <sheet name="POWER SERVICE DATA" sheetId="33" r:id="rId2"/>
  </sheets>
  <definedNames>
    <definedName name="_xlnm.Print_Area" localSheetId="0">'CC-1'!$A$1:$L$53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32" l="1"/>
  <c r="K8" i="32"/>
  <c r="H43" i="32"/>
  <c r="C40" i="32"/>
  <c r="C39" i="32"/>
  <c r="C38" i="32"/>
  <c r="C34" i="32"/>
  <c r="C32" i="32"/>
  <c r="C30" i="32"/>
  <c r="C29" i="32"/>
  <c r="C26" i="32"/>
  <c r="C23" i="32"/>
  <c r="C19" i="32"/>
  <c r="J6" i="32"/>
  <c r="C37" i="32"/>
  <c r="C33" i="32"/>
  <c r="C31" i="32"/>
  <c r="C20" i="32"/>
  <c r="C25" i="32"/>
  <c r="C24" i="32"/>
  <c r="C16" i="32"/>
  <c r="C18" i="32" l="1"/>
  <c r="C17" i="32"/>
  <c r="E43" i="32"/>
  <c r="E39" i="32" l="1"/>
  <c r="E40" i="32"/>
  <c r="E38" i="32"/>
  <c r="E30" i="32"/>
  <c r="E29" i="32"/>
  <c r="F29" i="32" s="1"/>
  <c r="E26" i="32"/>
  <c r="E23" i="32"/>
  <c r="F23" i="32" s="1"/>
  <c r="G23" i="32" s="1"/>
  <c r="I23" i="32" s="1"/>
  <c r="E19" i="32"/>
  <c r="E20" i="32"/>
  <c r="E34" i="32"/>
  <c r="C53" i="32"/>
  <c r="E37" i="32"/>
  <c r="F37" i="32" s="1"/>
  <c r="E17" i="32"/>
  <c r="E33" i="32"/>
  <c r="E32" i="32"/>
  <c r="E31" i="32"/>
  <c r="E18" i="32"/>
  <c r="E24" i="32"/>
  <c r="E25" i="32"/>
  <c r="F16" i="32"/>
  <c r="G16" i="32" s="1"/>
  <c r="I16" i="32" s="1"/>
  <c r="F38" i="32" l="1"/>
  <c r="F39" i="32" s="1"/>
  <c r="G37" i="32"/>
  <c r="I37" i="32" s="1"/>
  <c r="F24" i="32"/>
  <c r="F30" i="32"/>
  <c r="G29" i="32"/>
  <c r="I29" i="32" s="1"/>
  <c r="F17" i="32"/>
  <c r="F40" i="32" l="1"/>
  <c r="G39" i="32"/>
  <c r="I39" i="32" s="1"/>
  <c r="G38" i="32"/>
  <c r="I38" i="32" s="1"/>
  <c r="G30" i="32"/>
  <c r="I30" i="32" s="1"/>
  <c r="F31" i="32"/>
  <c r="F18" i="32"/>
  <c r="F19" i="32" s="1"/>
  <c r="F20" i="32" s="1"/>
  <c r="H47" i="32" s="1"/>
  <c r="G17" i="32"/>
  <c r="I17" i="32" s="1"/>
  <c r="G24" i="32"/>
  <c r="I24" i="32" s="1"/>
  <c r="F25" i="32"/>
  <c r="F26" i="32" s="1"/>
  <c r="G26" i="32" s="1"/>
  <c r="G18" i="32" l="1"/>
  <c r="I18" i="32" s="1"/>
  <c r="F32" i="32"/>
  <c r="G32" i="32" s="1"/>
  <c r="G31" i="32"/>
  <c r="I31" i="32" s="1"/>
  <c r="G20" i="32"/>
  <c r="I20" i="32" s="1"/>
  <c r="G25" i="32"/>
  <c r="I25" i="32"/>
  <c r="G19" i="32"/>
  <c r="I19" i="32" s="1"/>
  <c r="G40" i="32" l="1"/>
  <c r="I40" i="32" s="1"/>
  <c r="J40" i="32" s="1"/>
  <c r="J39" i="32" s="1"/>
  <c r="H50" i="32"/>
  <c r="F33" i="32"/>
  <c r="I32" i="32"/>
  <c r="I26" i="32"/>
  <c r="J26" i="32" s="1"/>
  <c r="J25" i="32" s="1"/>
  <c r="H48" i="32"/>
  <c r="K39" i="32" l="1"/>
  <c r="J38" i="32"/>
  <c r="K40" i="32"/>
  <c r="F34" i="32"/>
  <c r="G33" i="32"/>
  <c r="I33" i="32" s="1"/>
  <c r="J24" i="32"/>
  <c r="J23" i="32" s="1"/>
  <c r="K23" i="32" s="1"/>
  <c r="K25" i="32"/>
  <c r="K26" i="32"/>
  <c r="J20" i="32"/>
  <c r="J19" i="32" s="1"/>
  <c r="I50" i="32"/>
  <c r="I49" i="32"/>
  <c r="I48" i="32"/>
  <c r="J48" i="32" s="1"/>
  <c r="K24" i="32" l="1"/>
  <c r="H49" i="32"/>
  <c r="G53" i="32" s="1"/>
  <c r="J53" i="32" s="1"/>
  <c r="G34" i="32"/>
  <c r="I34" i="32" s="1"/>
  <c r="J34" i="32" s="1"/>
  <c r="J33" i="32" s="1"/>
  <c r="J18" i="32"/>
  <c r="K19" i="32"/>
  <c r="K20" i="32"/>
  <c r="J37" i="32" l="1"/>
  <c r="K37" i="32" s="1"/>
  <c r="K38" i="32"/>
  <c r="K34" i="32"/>
  <c r="J17" i="32"/>
  <c r="K18" i="32"/>
  <c r="I47" i="32"/>
  <c r="J32" i="32" l="1"/>
  <c r="K33" i="32"/>
  <c r="J16" i="32"/>
  <c r="K16" i="32" s="1"/>
  <c r="K17" i="32"/>
  <c r="J49" i="32"/>
  <c r="J31" i="32" l="1"/>
  <c r="K32" i="32"/>
  <c r="J47" i="32"/>
  <c r="J30" i="32" l="1"/>
  <c r="K31" i="32"/>
  <c r="J50" i="32"/>
  <c r="K30" i="32" l="1"/>
  <c r="J29" i="32"/>
  <c r="K29" i="32" s="1"/>
  <c r="C56" i="32"/>
  <c r="H56" i="32" s="1"/>
</calcChain>
</file>

<file path=xl/sharedStrings.xml><?xml version="1.0" encoding="utf-8"?>
<sst xmlns="http://schemas.openxmlformats.org/spreadsheetml/2006/main" count="130" uniqueCount="88">
  <si>
    <t>VOLTAGE DROP IN A SECTION  = AMPS IN AND BEYOND SECTION (A) X SECTION LENGTH (FT) X WIRE FACTOR</t>
  </si>
  <si>
    <t>AWG</t>
  </si>
  <si>
    <t>Watts</t>
  </si>
  <si>
    <t>Volts</t>
  </si>
  <si>
    <t>Lamp Loss</t>
  </si>
  <si>
    <t xml:space="preserve">CONNECTED LOAD = </t>
  </si>
  <si>
    <t>(LINE VOLTAGE X TOTAL CURRENT)/1000</t>
  </si>
  <si>
    <t>x</t>
  </si>
  <si>
    <t>=</t>
  </si>
  <si>
    <t>ENCLOSURE RATING=</t>
  </si>
  <si>
    <t>(SUM OF CIRCUIT LOAD/0.8)=</t>
  </si>
  <si>
    <t>(USE STANDARD 60, 100, OR 200)</t>
  </si>
  <si>
    <t>KVA</t>
  </si>
  <si>
    <t>/0.8</t>
  </si>
  <si>
    <t>Amps</t>
  </si>
  <si>
    <t>Min Rating</t>
  </si>
  <si>
    <t>S. Factor</t>
  </si>
  <si>
    <t xml:space="preserve">LIGHT FIXTURES =   </t>
  </si>
  <si>
    <t>AMPS/FIXTURE - Conventional</t>
  </si>
  <si>
    <t>PB-3</t>
  </si>
  <si>
    <t>Recommended Fuse</t>
  </si>
  <si>
    <t>WIRE FACTOR USED (THREE - NO. 4 AWG WIRES)</t>
  </si>
  <si>
    <t>WATTS</t>
  </si>
  <si>
    <t>VOLTS</t>
  </si>
  <si>
    <t>LAMP LOSS</t>
  </si>
  <si>
    <t>AMPS/FIXTURE</t>
  </si>
  <si>
    <t>OHMS/FT/1000 FROM TEM-FIGURE 1198-12</t>
  </si>
  <si>
    <t>SECTION</t>
  </si>
  <si>
    <t>AMPERES</t>
  </si>
  <si>
    <t>AMPERE FEET</t>
  </si>
  <si>
    <t>VOLTAGE DROP</t>
  </si>
  <si>
    <t>% DROP</t>
  </si>
  <si>
    <t>AT POINT</t>
  </si>
  <si>
    <t>FROM</t>
  </si>
  <si>
    <t>TO</t>
  </si>
  <si>
    <t>FEET</t>
  </si>
  <si>
    <t>ACCUM.</t>
  </si>
  <si>
    <t>IN SECTION</t>
  </si>
  <si>
    <t>FIXTURES</t>
  </si>
  <si>
    <t>TOTAL</t>
  </si>
  <si>
    <t>CIRCUIT 2-NAP</t>
  </si>
  <si>
    <t>VOLTAGE:240</t>
  </si>
  <si>
    <t>CC</t>
  </si>
  <si>
    <t>CIRCUIT 1-WAP</t>
  </si>
  <si>
    <t>CIRCUIT 3-EAP</t>
  </si>
  <si>
    <t>CIRCUIT 4-SAP</t>
  </si>
  <si>
    <t>2*Wire Resistance (2*0.31)</t>
  </si>
  <si>
    <t>TOTAL AMPS OF CIRCUIT 1(WAP)=</t>
  </si>
  <si>
    <t>TOTAL AMPS OF CIRCUIT 2 (NAP) =</t>
  </si>
  <si>
    <t>TOTAL AMPS OF CIRCUIT 3 (EAP)=</t>
  </si>
  <si>
    <t>TOTAL AMPS OF CIRCUIT 4 (SAP) =</t>
  </si>
  <si>
    <t>VOLTAGE DROP CALCULATIONS - SR 117 AND SR 501/S WAPAK ROAD</t>
  </si>
  <si>
    <t>WAP-4</t>
  </si>
  <si>
    <t>WAP-3</t>
  </si>
  <si>
    <t>WAP-2</t>
  </si>
  <si>
    <t>WAP-1</t>
  </si>
  <si>
    <t>NAP-3</t>
  </si>
  <si>
    <t>NAP-2</t>
  </si>
  <si>
    <t>NAP-1</t>
  </si>
  <si>
    <t>PB-4</t>
  </si>
  <si>
    <t>EAP-4</t>
  </si>
  <si>
    <t>PB-6</t>
  </si>
  <si>
    <t>EAP-3</t>
  </si>
  <si>
    <t>EAP-2</t>
  </si>
  <si>
    <t>EAP-1</t>
  </si>
  <si>
    <t>PB-5</t>
  </si>
  <si>
    <t>SAP-3</t>
  </si>
  <si>
    <t>SAP-2</t>
  </si>
  <si>
    <t>SAP-1</t>
  </si>
  <si>
    <t>PB-7</t>
  </si>
  <si>
    <t>POWER SERVICE DATA</t>
  </si>
  <si>
    <t>CONNECTED
LOAD (kVA)</t>
  </si>
  <si>
    <t>LINE VOLTAGE 
(VOLTS)</t>
  </si>
  <si>
    <t>POWER
SERVICE</t>
  </si>
  <si>
    <t>SERVICE ENTRANCE
CABLE (AWG)</t>
  </si>
  <si>
    <t>ENCLOSURE
RATING (AMPS)</t>
  </si>
  <si>
    <t>CIRCUIT
NO.</t>
  </si>
  <si>
    <t>CIRCUIT
LOAD
(AMPS)</t>
  </si>
  <si>
    <t>CIRCUIT
FUSE SIZE
(AMPS)</t>
  </si>
  <si>
    <t>CIRCUIT
CABLE SIZE
(AWG)</t>
  </si>
  <si>
    <t>MAINTAINING
AGENCY</t>
  </si>
  <si>
    <t>WAP</t>
  </si>
  <si>
    <t>NAP</t>
  </si>
  <si>
    <t>EAP</t>
  </si>
  <si>
    <t>SAP</t>
  </si>
  <si>
    <t>ODOT</t>
  </si>
  <si>
    <t>LIGHT FIXTURE (WORST CASE WATTAGE OF THE 2 FIXTURES)</t>
  </si>
  <si>
    <t>120/240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</si>
</sst>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1" x14ac:knownFonts="1">
    <font>
      <sz val="10"/>
      <name val="Arial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i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0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4" fontId="6" fillId="0" borderId="1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quotePrefix="1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7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2" fontId="6" fillId="2" borderId="13" xfId="0" applyNumberFormat="1" applyFont="1" applyFill="1" applyBorder="1" applyAlignment="1">
      <alignment horizontal="center"/>
    </xf>
    <xf numFmtId="2" fontId="6" fillId="2" borderId="11" xfId="0" applyNumberFormat="1" applyFont="1" applyFill="1" applyBorder="1" applyAlignment="1">
      <alignment horizontal="center"/>
    </xf>
    <xf numFmtId="2" fontId="6" fillId="2" borderId="12" xfId="0" applyNumberFormat="1" applyFont="1" applyFill="1" applyBorder="1" applyAlignment="1">
      <alignment horizontal="center"/>
    </xf>
    <xf numFmtId="1" fontId="6" fillId="2" borderId="11" xfId="0" applyNumberFormat="1" applyFont="1" applyFill="1" applyBorder="1" applyAlignment="1">
      <alignment horizontal="center"/>
    </xf>
    <xf numFmtId="1" fontId="6" fillId="2" borderId="12" xfId="0" applyNumberFormat="1" applyFont="1" applyFill="1" applyBorder="1" applyAlignment="1">
      <alignment horizontal="center"/>
    </xf>
    <xf numFmtId="0" fontId="6" fillId="0" borderId="13" xfId="0" applyFont="1" applyBorder="1"/>
    <xf numFmtId="0" fontId="7" fillId="0" borderId="13" xfId="0" applyFont="1" applyBorder="1"/>
    <xf numFmtId="0" fontId="6" fillId="0" borderId="26" xfId="0" applyFont="1" applyBorder="1"/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0" borderId="15" xfId="0" applyFont="1" applyBorder="1"/>
    <xf numFmtId="2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/>
    <xf numFmtId="0" fontId="7" fillId="0" borderId="0" xfId="0" applyFont="1" applyBorder="1" applyAlignment="1">
      <alignment horizontal="center" wrapText="1"/>
    </xf>
    <xf numFmtId="0" fontId="7" fillId="0" borderId="1" xfId="0" applyFont="1" applyBorder="1"/>
    <xf numFmtId="0" fontId="6" fillId="0" borderId="0" xfId="0" quotePrefix="1" applyFont="1" applyBorder="1"/>
    <xf numFmtId="0" fontId="6" fillId="0" borderId="0" xfId="0" applyFont="1" applyFill="1" applyBorder="1"/>
    <xf numFmtId="2" fontId="7" fillId="0" borderId="0" xfId="0" applyNumberFormat="1" applyFont="1" applyBorder="1" applyAlignment="1">
      <alignment horizontal="center"/>
    </xf>
    <xf numFmtId="165" fontId="6" fillId="0" borderId="0" xfId="0" applyNumberFormat="1" applyFont="1" applyBorder="1"/>
    <xf numFmtId="0" fontId="7" fillId="0" borderId="2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N57"/>
  <sheetViews>
    <sheetView zoomScale="55" zoomScaleNormal="55" zoomScaleSheetLayoutView="70" zoomScalePageLayoutView="150" workbookViewId="0">
      <selection activeCell="I31" sqref="I31"/>
    </sheetView>
  </sheetViews>
  <sheetFormatPr defaultColWidth="8.7109375" defaultRowHeight="12.75" x14ac:dyDescent="0.2"/>
  <cols>
    <col min="1" max="1" width="15" style="3" customWidth="1"/>
    <col min="2" max="2" width="12.5703125" style="3" customWidth="1"/>
    <col min="3" max="3" width="8.7109375" style="3"/>
    <col min="4" max="4" width="10.28515625" style="3" customWidth="1"/>
    <col min="5" max="5" width="8.7109375" style="3"/>
    <col min="6" max="6" width="16.7109375" style="3" customWidth="1"/>
    <col min="7" max="7" width="8.7109375" style="3"/>
    <col min="8" max="8" width="6.7109375" style="3" customWidth="1"/>
    <col min="9" max="9" width="11.42578125" style="3" customWidth="1"/>
    <col min="10" max="10" width="8.7109375" style="3"/>
    <col min="11" max="11" width="9.140625" style="3" customWidth="1"/>
    <col min="12" max="12" width="23.140625" style="3" customWidth="1"/>
    <col min="13" max="13" width="46.42578125" style="3" customWidth="1"/>
    <col min="14" max="16384" width="8.7109375" style="3"/>
  </cols>
  <sheetData>
    <row r="2" spans="1:14" ht="21" thickBot="1" x14ac:dyDescent="0.35">
      <c r="A2" s="2"/>
    </row>
    <row r="3" spans="1:14" ht="15.75" thickBot="1" x14ac:dyDescent="0.25">
      <c r="A3" s="72" t="s">
        <v>51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4"/>
    </row>
    <row r="4" spans="1:14" x14ac:dyDescent="0.2">
      <c r="A4" s="31" t="s">
        <v>41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3"/>
    </row>
    <row r="5" spans="1:14" x14ac:dyDescent="0.2">
      <c r="A5" s="19"/>
      <c r="B5" s="17"/>
      <c r="C5" s="17"/>
      <c r="D5" s="17"/>
      <c r="E5" s="17"/>
      <c r="F5" s="17"/>
      <c r="G5" s="17"/>
      <c r="H5" s="17"/>
      <c r="I5" s="17"/>
      <c r="J5" s="20" t="s">
        <v>26</v>
      </c>
      <c r="K5" s="21"/>
      <c r="L5" s="22"/>
    </row>
    <row r="6" spans="1:14" x14ac:dyDescent="0.2">
      <c r="A6" s="19"/>
      <c r="B6" s="76" t="s">
        <v>21</v>
      </c>
      <c r="C6" s="76"/>
      <c r="D6" s="76"/>
      <c r="E6" s="76"/>
      <c r="F6" s="76"/>
      <c r="G6" s="76"/>
      <c r="H6" s="76"/>
      <c r="I6" s="76"/>
      <c r="J6" s="23">
        <f>2*0.31</f>
        <v>0.62</v>
      </c>
      <c r="K6" s="24" t="s">
        <v>46</v>
      </c>
      <c r="L6" s="18"/>
      <c r="M6" s="5"/>
      <c r="N6" s="4"/>
    </row>
    <row r="7" spans="1:14" x14ac:dyDescent="0.2">
      <c r="A7" s="16"/>
      <c r="B7" s="17"/>
      <c r="C7" s="17"/>
      <c r="D7" s="17"/>
      <c r="E7" s="17"/>
      <c r="F7" s="17"/>
      <c r="G7" s="23" t="s">
        <v>22</v>
      </c>
      <c r="H7" s="23" t="s">
        <v>23</v>
      </c>
      <c r="I7" s="23" t="s">
        <v>24</v>
      </c>
      <c r="J7" s="25"/>
      <c r="K7" s="17"/>
      <c r="L7" s="18"/>
    </row>
    <row r="8" spans="1:14" x14ac:dyDescent="0.2">
      <c r="A8" s="16"/>
      <c r="B8" s="76" t="s">
        <v>86</v>
      </c>
      <c r="C8" s="76"/>
      <c r="D8" s="76"/>
      <c r="E8" s="76"/>
      <c r="F8" s="76"/>
      <c r="G8" s="23">
        <v>135</v>
      </c>
      <c r="H8" s="26">
        <v>240</v>
      </c>
      <c r="I8" s="23">
        <v>1</v>
      </c>
      <c r="J8" s="23" t="s">
        <v>8</v>
      </c>
      <c r="K8" s="27">
        <f>(G8/H8)*I8</f>
        <v>0.5625</v>
      </c>
      <c r="L8" s="18" t="s">
        <v>25</v>
      </c>
    </row>
    <row r="9" spans="1:14" x14ac:dyDescent="0.2">
      <c r="A9" s="16"/>
      <c r="B9" s="17"/>
      <c r="C9" s="17"/>
      <c r="D9" s="17"/>
      <c r="E9" s="17"/>
      <c r="F9" s="17"/>
      <c r="G9" s="17"/>
      <c r="H9" s="17"/>
      <c r="I9" s="17"/>
      <c r="J9" s="17"/>
      <c r="K9" s="23"/>
      <c r="L9" s="18"/>
    </row>
    <row r="10" spans="1:14" x14ac:dyDescent="0.2">
      <c r="A10" s="16" t="s">
        <v>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8"/>
    </row>
    <row r="11" spans="1:14" ht="13.5" thickBot="1" x14ac:dyDescent="0.25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6"/>
    </row>
    <row r="12" spans="1:14" ht="12.75" customHeight="1" thickBot="1" x14ac:dyDescent="0.25">
      <c r="A12" s="70" t="s">
        <v>27</v>
      </c>
      <c r="B12" s="75"/>
      <c r="C12" s="77"/>
      <c r="D12" s="70" t="s">
        <v>28</v>
      </c>
      <c r="E12" s="75"/>
      <c r="F12" s="75"/>
      <c r="G12" s="78" t="s">
        <v>29</v>
      </c>
      <c r="H12" s="80" t="s">
        <v>1</v>
      </c>
      <c r="I12" s="70" t="s">
        <v>30</v>
      </c>
      <c r="J12" s="75"/>
      <c r="K12" s="80" t="s">
        <v>31</v>
      </c>
      <c r="L12" s="80" t="s">
        <v>32</v>
      </c>
    </row>
    <row r="13" spans="1:14" ht="13.5" thickBot="1" x14ac:dyDescent="0.25">
      <c r="A13" s="38" t="s">
        <v>33</v>
      </c>
      <c r="B13" s="38" t="s">
        <v>34</v>
      </c>
      <c r="C13" s="38" t="s">
        <v>35</v>
      </c>
      <c r="D13" s="70" t="s">
        <v>32</v>
      </c>
      <c r="E13" s="71"/>
      <c r="F13" s="38" t="s">
        <v>36</v>
      </c>
      <c r="G13" s="79"/>
      <c r="H13" s="81"/>
      <c r="I13" s="37" t="s">
        <v>37</v>
      </c>
      <c r="J13" s="38" t="s">
        <v>36</v>
      </c>
      <c r="K13" s="81"/>
      <c r="L13" s="81"/>
    </row>
    <row r="14" spans="1:14" ht="13.5" thickBot="1" x14ac:dyDescent="0.25">
      <c r="A14" s="40"/>
      <c r="B14" s="40"/>
      <c r="C14" s="40"/>
      <c r="D14" s="46" t="s">
        <v>38</v>
      </c>
      <c r="E14" s="39" t="s">
        <v>39</v>
      </c>
      <c r="F14" s="40"/>
      <c r="G14" s="40"/>
      <c r="H14" s="53"/>
      <c r="I14" s="54"/>
      <c r="J14" s="40"/>
      <c r="K14" s="53"/>
      <c r="L14" s="55"/>
    </row>
    <row r="15" spans="1:14" x14ac:dyDescent="0.2">
      <c r="A15" s="41" t="s">
        <v>43</v>
      </c>
      <c r="B15" s="44"/>
      <c r="C15" s="42"/>
      <c r="D15" s="47"/>
      <c r="E15" s="48"/>
      <c r="F15" s="49"/>
      <c r="G15" s="51"/>
      <c r="H15" s="42"/>
      <c r="I15" s="49"/>
      <c r="J15" s="49"/>
      <c r="K15" s="49"/>
      <c r="L15" s="56"/>
    </row>
    <row r="16" spans="1:14" x14ac:dyDescent="0.2">
      <c r="A16" s="42" t="s">
        <v>52</v>
      </c>
      <c r="B16" s="44" t="s">
        <v>53</v>
      </c>
      <c r="C16" s="42">
        <f>5+169+5</f>
        <v>179</v>
      </c>
      <c r="D16" s="42">
        <v>1</v>
      </c>
      <c r="E16" s="49">
        <f>D16*$K$8</f>
        <v>0.5625</v>
      </c>
      <c r="F16" s="49">
        <f>E16</f>
        <v>0.5625</v>
      </c>
      <c r="G16" s="51">
        <f>C16*F16</f>
        <v>100.6875</v>
      </c>
      <c r="H16" s="42">
        <v>4</v>
      </c>
      <c r="I16" s="49">
        <f>(G16*$J$6)/(1000)</f>
        <v>6.2426249999999996E-2</v>
      </c>
      <c r="J16" s="49">
        <f>J17+I16</f>
        <v>0.45442125</v>
      </c>
      <c r="K16" s="49">
        <f>(J16/$H$8)*100</f>
        <v>0.18934218749999998</v>
      </c>
      <c r="L16" s="56" t="s">
        <v>52</v>
      </c>
    </row>
    <row r="17" spans="1:12" x14ac:dyDescent="0.2">
      <c r="A17" s="42" t="s">
        <v>53</v>
      </c>
      <c r="B17" s="44" t="s">
        <v>54</v>
      </c>
      <c r="C17" s="42">
        <f>5+167+5</f>
        <v>177</v>
      </c>
      <c r="D17" s="42">
        <v>1</v>
      </c>
      <c r="E17" s="49">
        <f>D17*$K$8</f>
        <v>0.5625</v>
      </c>
      <c r="F17" s="49">
        <f>F16+E17</f>
        <v>1.125</v>
      </c>
      <c r="G17" s="51">
        <f>C17*F17</f>
        <v>199.125</v>
      </c>
      <c r="H17" s="42">
        <v>4</v>
      </c>
      <c r="I17" s="49">
        <f>(G17*$J$6)/(1000)</f>
        <v>0.1234575</v>
      </c>
      <c r="J17" s="49">
        <f>J18+I17</f>
        <v>0.39199499999999998</v>
      </c>
      <c r="K17" s="49">
        <f>(J17/$H$8)*100</f>
        <v>0.16333125000000001</v>
      </c>
      <c r="L17" s="56" t="s">
        <v>53</v>
      </c>
    </row>
    <row r="18" spans="1:12" x14ac:dyDescent="0.2">
      <c r="A18" s="42" t="s">
        <v>54</v>
      </c>
      <c r="B18" s="44" t="s">
        <v>55</v>
      </c>
      <c r="C18" s="42">
        <f>5+116+5</f>
        <v>126</v>
      </c>
      <c r="D18" s="42">
        <v>1</v>
      </c>
      <c r="E18" s="49">
        <f>D18*$K$8</f>
        <v>0.5625</v>
      </c>
      <c r="F18" s="49">
        <f>F17+E18</f>
        <v>1.6875</v>
      </c>
      <c r="G18" s="51">
        <f>C18*F18</f>
        <v>212.625</v>
      </c>
      <c r="H18" s="42">
        <v>4</v>
      </c>
      <c r="I18" s="49">
        <f>(G18*$J$6)/(1000)</f>
        <v>0.13182749999999999</v>
      </c>
      <c r="J18" s="49">
        <f>J19+I18</f>
        <v>0.26853749999999998</v>
      </c>
      <c r="K18" s="49">
        <f>(J18/$H$8)*100</f>
        <v>0.11189062499999999</v>
      </c>
      <c r="L18" s="56" t="s">
        <v>54</v>
      </c>
    </row>
    <row r="19" spans="1:12" x14ac:dyDescent="0.2">
      <c r="A19" s="42" t="s">
        <v>55</v>
      </c>
      <c r="B19" s="44" t="s">
        <v>19</v>
      </c>
      <c r="C19" s="42">
        <f>5+37+5</f>
        <v>47</v>
      </c>
      <c r="D19" s="42">
        <v>1</v>
      </c>
      <c r="E19" s="49">
        <f>D19*$K$8</f>
        <v>0.5625</v>
      </c>
      <c r="F19" s="49">
        <f>F18+E19</f>
        <v>2.25</v>
      </c>
      <c r="G19" s="51">
        <f>C19*F19</f>
        <v>105.75</v>
      </c>
      <c r="H19" s="42">
        <v>4</v>
      </c>
      <c r="I19" s="49">
        <f>(G19*$J$6)/(1000)</f>
        <v>6.5564999999999998E-2</v>
      </c>
      <c r="J19" s="49">
        <f>J20+I19</f>
        <v>0.13671</v>
      </c>
      <c r="K19" s="49">
        <f>(J19/$H$8)*100</f>
        <v>5.6962500000000006E-2</v>
      </c>
      <c r="L19" s="56" t="s">
        <v>55</v>
      </c>
    </row>
    <row r="20" spans="1:12" x14ac:dyDescent="0.2">
      <c r="A20" s="42" t="s">
        <v>19</v>
      </c>
      <c r="B20" s="44" t="s">
        <v>42</v>
      </c>
      <c r="C20" s="42">
        <f>5+23+5+5+8+5</f>
        <v>51</v>
      </c>
      <c r="D20" s="42">
        <v>0</v>
      </c>
      <c r="E20" s="49">
        <f>D20*$K$8</f>
        <v>0</v>
      </c>
      <c r="F20" s="49">
        <f>F19+E20</f>
        <v>2.25</v>
      </c>
      <c r="G20" s="51">
        <f>C20*F20</f>
        <v>114.75</v>
      </c>
      <c r="H20" s="42">
        <v>4</v>
      </c>
      <c r="I20" s="49">
        <f>(G20*$J$6)/(1000)</f>
        <v>7.1145E-2</v>
      </c>
      <c r="J20" s="49">
        <f>I20</f>
        <v>7.1145E-2</v>
      </c>
      <c r="K20" s="49">
        <f>(J20/$H$8)*100</f>
        <v>2.964375E-2</v>
      </c>
      <c r="L20" s="56" t="s">
        <v>19</v>
      </c>
    </row>
    <row r="21" spans="1:12" x14ac:dyDescent="0.2">
      <c r="A21" s="42"/>
      <c r="B21" s="44"/>
      <c r="C21" s="42"/>
      <c r="D21" s="42"/>
      <c r="E21" s="49"/>
      <c r="F21" s="49"/>
      <c r="G21" s="51"/>
      <c r="H21" s="42"/>
      <c r="I21" s="49"/>
      <c r="J21" s="49"/>
      <c r="K21" s="49"/>
      <c r="L21" s="56"/>
    </row>
    <row r="22" spans="1:12" x14ac:dyDescent="0.2">
      <c r="A22" s="41" t="s">
        <v>40</v>
      </c>
      <c r="B22" s="44"/>
      <c r="C22" s="42"/>
      <c r="D22" s="42"/>
      <c r="E22" s="49"/>
      <c r="F22" s="49"/>
      <c r="G22" s="51"/>
      <c r="H22" s="42"/>
      <c r="I22" s="49"/>
      <c r="J22" s="49"/>
      <c r="K22" s="49"/>
      <c r="L22" s="56"/>
    </row>
    <row r="23" spans="1:12" x14ac:dyDescent="0.2">
      <c r="A23" s="42" t="s">
        <v>56</v>
      </c>
      <c r="B23" s="44" t="s">
        <v>57</v>
      </c>
      <c r="C23" s="42">
        <f>5+168+5</f>
        <v>178</v>
      </c>
      <c r="D23" s="42">
        <v>1</v>
      </c>
      <c r="E23" s="49">
        <f>D23*$K$8</f>
        <v>0.5625</v>
      </c>
      <c r="F23" s="49">
        <f>E23</f>
        <v>0.5625</v>
      </c>
      <c r="G23" s="51">
        <f>C23*F23</f>
        <v>100.125</v>
      </c>
      <c r="H23" s="42">
        <v>4</v>
      </c>
      <c r="I23" s="49">
        <f>(G23*$J$6)/(1000)</f>
        <v>6.2077500000000001E-2</v>
      </c>
      <c r="J23" s="49">
        <f>J24+I23</f>
        <v>0.38397375</v>
      </c>
      <c r="K23" s="49">
        <f>(J23/$H$8)*100</f>
        <v>0.1599890625</v>
      </c>
      <c r="L23" s="56" t="s">
        <v>56</v>
      </c>
    </row>
    <row r="24" spans="1:12" x14ac:dyDescent="0.2">
      <c r="A24" s="42" t="s">
        <v>57</v>
      </c>
      <c r="B24" s="44" t="s">
        <v>58</v>
      </c>
      <c r="C24" s="42">
        <f>5+126+5</f>
        <v>136</v>
      </c>
      <c r="D24" s="42">
        <v>1</v>
      </c>
      <c r="E24" s="49">
        <f>D24*$K$8</f>
        <v>0.5625</v>
      </c>
      <c r="F24" s="49">
        <f>F23+E24</f>
        <v>1.125</v>
      </c>
      <c r="G24" s="51">
        <f>C24*F24</f>
        <v>153</v>
      </c>
      <c r="H24" s="42">
        <v>4</v>
      </c>
      <c r="I24" s="49">
        <f>(G24*$J$6)/(1000)</f>
        <v>9.486E-2</v>
      </c>
      <c r="J24" s="49">
        <f>J25+I24</f>
        <v>0.32189624999999999</v>
      </c>
      <c r="K24" s="49">
        <f t="shared" ref="K24:K25" si="0">(J24/$H$8)*100</f>
        <v>0.1341234375</v>
      </c>
      <c r="L24" s="56" t="s">
        <v>57</v>
      </c>
    </row>
    <row r="25" spans="1:12" x14ac:dyDescent="0.2">
      <c r="A25" s="42" t="s">
        <v>58</v>
      </c>
      <c r="B25" s="44" t="s">
        <v>59</v>
      </c>
      <c r="C25" s="42">
        <f>5+12+5</f>
        <v>22</v>
      </c>
      <c r="D25" s="42">
        <v>1</v>
      </c>
      <c r="E25" s="49">
        <f>D25*$K$8</f>
        <v>0.5625</v>
      </c>
      <c r="F25" s="49">
        <f>F24+E25</f>
        <v>1.6875</v>
      </c>
      <c r="G25" s="51">
        <f>C25*F25</f>
        <v>37.125</v>
      </c>
      <c r="H25" s="42">
        <v>4</v>
      </c>
      <c r="I25" s="49">
        <f>(G25*$J$6)/(1000)</f>
        <v>2.30175E-2</v>
      </c>
      <c r="J25" s="49">
        <f>J26+I25</f>
        <v>0.22703625</v>
      </c>
      <c r="K25" s="49">
        <f t="shared" si="0"/>
        <v>9.4598437499999993E-2</v>
      </c>
      <c r="L25" s="56" t="s">
        <v>58</v>
      </c>
    </row>
    <row r="26" spans="1:12" x14ac:dyDescent="0.2">
      <c r="A26" s="42" t="s">
        <v>59</v>
      </c>
      <c r="B26" s="44" t="s">
        <v>42</v>
      </c>
      <c r="C26" s="42">
        <f>5+101+5+5+56+5+5+8+5</f>
        <v>195</v>
      </c>
      <c r="D26" s="42">
        <v>0</v>
      </c>
      <c r="E26" s="49">
        <f>D26*$K$8</f>
        <v>0</v>
      </c>
      <c r="F26" s="49">
        <f>F25+E26</f>
        <v>1.6875</v>
      </c>
      <c r="G26" s="51">
        <f>C26*F26</f>
        <v>329.0625</v>
      </c>
      <c r="H26" s="42">
        <v>4</v>
      </c>
      <c r="I26" s="49">
        <f>(G26*$J$6)/(1000)</f>
        <v>0.20401875</v>
      </c>
      <c r="J26" s="49">
        <f>I26</f>
        <v>0.20401875</v>
      </c>
      <c r="K26" s="49">
        <f>(J26/$H$8)*100</f>
        <v>8.5007812500000002E-2</v>
      </c>
      <c r="L26" s="56" t="s">
        <v>59</v>
      </c>
    </row>
    <row r="27" spans="1:12" x14ac:dyDescent="0.2">
      <c r="A27" s="42"/>
      <c r="B27" s="44"/>
      <c r="C27" s="42"/>
      <c r="D27" s="42"/>
      <c r="E27" s="49"/>
      <c r="F27" s="49"/>
      <c r="G27" s="51"/>
      <c r="H27" s="42"/>
      <c r="I27" s="49"/>
      <c r="J27" s="49"/>
      <c r="K27" s="49"/>
      <c r="L27" s="56"/>
    </row>
    <row r="28" spans="1:12" x14ac:dyDescent="0.2">
      <c r="A28" s="41" t="s">
        <v>44</v>
      </c>
      <c r="B28" s="44"/>
      <c r="C28" s="42"/>
      <c r="D28" s="42"/>
      <c r="E28" s="49"/>
      <c r="F28" s="49"/>
      <c r="G28" s="51"/>
      <c r="H28" s="42"/>
      <c r="I28" s="49"/>
      <c r="J28" s="49"/>
      <c r="K28" s="58"/>
      <c r="L28" s="56"/>
    </row>
    <row r="29" spans="1:12" x14ac:dyDescent="0.2">
      <c r="A29" s="42" t="s">
        <v>60</v>
      </c>
      <c r="B29" s="44" t="s">
        <v>61</v>
      </c>
      <c r="C29" s="42">
        <f>5+22+5</f>
        <v>32</v>
      </c>
      <c r="D29" s="42">
        <v>1</v>
      </c>
      <c r="E29" s="49">
        <f t="shared" ref="E29:E34" si="1">D29*$K$8</f>
        <v>0.5625</v>
      </c>
      <c r="F29" s="49">
        <f>E29</f>
        <v>0.5625</v>
      </c>
      <c r="G29" s="51">
        <f t="shared" ref="G29:G34" si="2">C29*F29</f>
        <v>18</v>
      </c>
      <c r="H29" s="42">
        <v>4</v>
      </c>
      <c r="I29" s="49">
        <f t="shared" ref="I29:I34" si="3">(G29*$J$6)/(1000)</f>
        <v>1.116E-2</v>
      </c>
      <c r="J29" s="49">
        <f>J30+I29</f>
        <v>0.73795500000000003</v>
      </c>
      <c r="K29" s="49">
        <f>(J29/$H$8)*100</f>
        <v>0.30748125000000004</v>
      </c>
      <c r="L29" s="56" t="s">
        <v>60</v>
      </c>
    </row>
    <row r="30" spans="1:12" x14ac:dyDescent="0.2">
      <c r="A30" s="42" t="s">
        <v>61</v>
      </c>
      <c r="B30" s="44" t="s">
        <v>62</v>
      </c>
      <c r="C30" s="42">
        <f>5+132+5</f>
        <v>142</v>
      </c>
      <c r="D30" s="42">
        <v>0</v>
      </c>
      <c r="E30" s="49">
        <f t="shared" si="1"/>
        <v>0</v>
      </c>
      <c r="F30" s="49">
        <f>F29+E30</f>
        <v>0.5625</v>
      </c>
      <c r="G30" s="51">
        <f t="shared" si="2"/>
        <v>79.875</v>
      </c>
      <c r="H30" s="42">
        <v>4</v>
      </c>
      <c r="I30" s="49">
        <f t="shared" si="3"/>
        <v>4.9522500000000004E-2</v>
      </c>
      <c r="J30" s="49">
        <f>J31+I30</f>
        <v>0.72679500000000008</v>
      </c>
      <c r="K30" s="49">
        <f t="shared" ref="K30:K34" si="4">(J30/$H$8)*100</f>
        <v>0.30283125</v>
      </c>
      <c r="L30" s="56" t="s">
        <v>61</v>
      </c>
    </row>
    <row r="31" spans="1:12" x14ac:dyDescent="0.2">
      <c r="A31" s="42" t="s">
        <v>62</v>
      </c>
      <c r="B31" s="44" t="s">
        <v>63</v>
      </c>
      <c r="C31" s="42">
        <f>5+155+5</f>
        <v>165</v>
      </c>
      <c r="D31" s="42">
        <v>1</v>
      </c>
      <c r="E31" s="49">
        <f t="shared" si="1"/>
        <v>0.5625</v>
      </c>
      <c r="F31" s="49">
        <f>F30+E31</f>
        <v>1.125</v>
      </c>
      <c r="G31" s="51">
        <f t="shared" si="2"/>
        <v>185.625</v>
      </c>
      <c r="H31" s="42">
        <v>4</v>
      </c>
      <c r="I31" s="49">
        <f t="shared" si="3"/>
        <v>0.11508750000000001</v>
      </c>
      <c r="J31" s="49">
        <f>J32+I31</f>
        <v>0.67727250000000006</v>
      </c>
      <c r="K31" s="49">
        <f t="shared" si="4"/>
        <v>0.28219687500000001</v>
      </c>
      <c r="L31" s="56" t="s">
        <v>62</v>
      </c>
    </row>
    <row r="32" spans="1:12" x14ac:dyDescent="0.2">
      <c r="A32" s="42" t="s">
        <v>63</v>
      </c>
      <c r="B32" s="44" t="s">
        <v>64</v>
      </c>
      <c r="C32" s="42">
        <f>5+78+5</f>
        <v>88</v>
      </c>
      <c r="D32" s="42">
        <v>1</v>
      </c>
      <c r="E32" s="49">
        <f t="shared" si="1"/>
        <v>0.5625</v>
      </c>
      <c r="F32" s="49">
        <f>F31+E32</f>
        <v>1.6875</v>
      </c>
      <c r="G32" s="51">
        <f t="shared" si="2"/>
        <v>148.5</v>
      </c>
      <c r="H32" s="42">
        <v>4</v>
      </c>
      <c r="I32" s="49">
        <f t="shared" si="3"/>
        <v>9.2069999999999999E-2</v>
      </c>
      <c r="J32" s="49">
        <f>J33+I32</f>
        <v>0.56218500000000005</v>
      </c>
      <c r="K32" s="49">
        <f t="shared" si="4"/>
        <v>0.23424375000000003</v>
      </c>
      <c r="L32" s="56" t="s">
        <v>63</v>
      </c>
    </row>
    <row r="33" spans="1:12" x14ac:dyDescent="0.2">
      <c r="A33" s="42" t="s">
        <v>64</v>
      </c>
      <c r="B33" s="44" t="s">
        <v>65</v>
      </c>
      <c r="C33" s="42">
        <f>5+6+5</f>
        <v>16</v>
      </c>
      <c r="D33" s="42">
        <v>1</v>
      </c>
      <c r="E33" s="49">
        <f t="shared" si="1"/>
        <v>0.5625</v>
      </c>
      <c r="F33" s="49">
        <f>F32+E33</f>
        <v>2.25</v>
      </c>
      <c r="G33" s="51">
        <f t="shared" si="2"/>
        <v>36</v>
      </c>
      <c r="H33" s="42">
        <v>4</v>
      </c>
      <c r="I33" s="49">
        <f t="shared" si="3"/>
        <v>2.232E-2</v>
      </c>
      <c r="J33" s="49">
        <f>J34+I33</f>
        <v>0.47011500000000001</v>
      </c>
      <c r="K33" s="49">
        <f t="shared" si="4"/>
        <v>0.19588125000000001</v>
      </c>
      <c r="L33" s="56" t="s">
        <v>64</v>
      </c>
    </row>
    <row r="34" spans="1:12" x14ac:dyDescent="0.2">
      <c r="A34" s="42" t="s">
        <v>65</v>
      </c>
      <c r="B34" s="44" t="s">
        <v>42</v>
      </c>
      <c r="C34" s="42">
        <f>5+116+5+5+101+5+5+56+5+5+8+5</f>
        <v>321</v>
      </c>
      <c r="D34" s="42">
        <v>0</v>
      </c>
      <c r="E34" s="49">
        <f t="shared" si="1"/>
        <v>0</v>
      </c>
      <c r="F34" s="49">
        <f>F33+E34</f>
        <v>2.25</v>
      </c>
      <c r="G34" s="51">
        <f t="shared" si="2"/>
        <v>722.25</v>
      </c>
      <c r="H34" s="42">
        <v>4</v>
      </c>
      <c r="I34" s="49">
        <f t="shared" si="3"/>
        <v>0.447795</v>
      </c>
      <c r="J34" s="49">
        <f>I34</f>
        <v>0.447795</v>
      </c>
      <c r="K34" s="49">
        <f t="shared" si="4"/>
        <v>0.18658125</v>
      </c>
      <c r="L34" s="56" t="s">
        <v>65</v>
      </c>
    </row>
    <row r="35" spans="1:12" x14ac:dyDescent="0.2">
      <c r="A35" s="42"/>
      <c r="B35" s="44"/>
      <c r="C35" s="42"/>
      <c r="D35" s="42"/>
      <c r="E35" s="49"/>
      <c r="F35" s="49"/>
      <c r="G35" s="51"/>
      <c r="H35" s="42"/>
      <c r="I35" s="49"/>
      <c r="J35" s="49"/>
      <c r="K35" s="49"/>
      <c r="L35" s="56"/>
    </row>
    <row r="36" spans="1:12" x14ac:dyDescent="0.2">
      <c r="A36" s="41" t="s">
        <v>45</v>
      </c>
      <c r="B36" s="44"/>
      <c r="C36" s="42"/>
      <c r="D36" s="42"/>
      <c r="E36" s="49"/>
      <c r="F36" s="49"/>
      <c r="G36" s="51"/>
      <c r="H36" s="42"/>
      <c r="I36" s="49"/>
      <c r="J36" s="49"/>
      <c r="K36" s="49"/>
      <c r="L36" s="56"/>
    </row>
    <row r="37" spans="1:12" x14ac:dyDescent="0.2">
      <c r="A37" s="42" t="s">
        <v>66</v>
      </c>
      <c r="B37" s="44" t="s">
        <v>67</v>
      </c>
      <c r="C37" s="42">
        <f>5+158+5</f>
        <v>168</v>
      </c>
      <c r="D37" s="42">
        <v>1</v>
      </c>
      <c r="E37" s="49">
        <f>D37*$K$8</f>
        <v>0.5625</v>
      </c>
      <c r="F37" s="49">
        <f>E37</f>
        <v>0.5625</v>
      </c>
      <c r="G37" s="51">
        <f>C37*F37</f>
        <v>94.5</v>
      </c>
      <c r="H37" s="42">
        <v>4</v>
      </c>
      <c r="I37" s="49">
        <f>(G37*$J$6)/(1000)</f>
        <v>5.8589999999999996E-2</v>
      </c>
      <c r="J37" s="49">
        <f>J38+I37</f>
        <v>0.35816624999999996</v>
      </c>
      <c r="K37" s="49">
        <f>(J37/$H$8)*100</f>
        <v>0.14923593749999997</v>
      </c>
      <c r="L37" s="56" t="s">
        <v>66</v>
      </c>
    </row>
    <row r="38" spans="1:12" x14ac:dyDescent="0.2">
      <c r="A38" s="42" t="s">
        <v>67</v>
      </c>
      <c r="B38" s="44" t="s">
        <v>69</v>
      </c>
      <c r="C38" s="42">
        <f>5+64+5</f>
        <v>74</v>
      </c>
      <c r="D38" s="42">
        <v>1</v>
      </c>
      <c r="E38" s="49">
        <f>D38*$K$8</f>
        <v>0.5625</v>
      </c>
      <c r="F38" s="49">
        <f>F37+E38</f>
        <v>1.125</v>
      </c>
      <c r="G38" s="51">
        <f>C38*F38</f>
        <v>83.25</v>
      </c>
      <c r="H38" s="42">
        <v>4</v>
      </c>
      <c r="I38" s="49">
        <f>(G38*$J$6)/(1000)</f>
        <v>5.1615000000000001E-2</v>
      </c>
      <c r="J38" s="49">
        <f>J39+I38</f>
        <v>0.29957624999999999</v>
      </c>
      <c r="K38" s="49">
        <f t="shared" ref="K38:K40" si="5">(J38/$H$8)*100</f>
        <v>0.1248234375</v>
      </c>
      <c r="L38" s="56" t="s">
        <v>67</v>
      </c>
    </row>
    <row r="39" spans="1:12" x14ac:dyDescent="0.2">
      <c r="A39" s="42" t="s">
        <v>68</v>
      </c>
      <c r="B39" s="44" t="s">
        <v>69</v>
      </c>
      <c r="C39" s="42">
        <f>5+83+5</f>
        <v>93</v>
      </c>
      <c r="D39" s="42">
        <v>1</v>
      </c>
      <c r="E39" s="49">
        <f>D39*$K$8</f>
        <v>0.5625</v>
      </c>
      <c r="F39" s="49">
        <f>F38+E39</f>
        <v>1.6875</v>
      </c>
      <c r="G39" s="51">
        <f>C39*F39</f>
        <v>156.9375</v>
      </c>
      <c r="H39" s="42">
        <v>4</v>
      </c>
      <c r="I39" s="49">
        <f>(G39*$J$6)/(1000)</f>
        <v>9.7301249999999992E-2</v>
      </c>
      <c r="J39" s="49">
        <f>J40+I39</f>
        <v>0.24796124999999997</v>
      </c>
      <c r="K39" s="49">
        <f>(J39/$H$8)*100</f>
        <v>0.10331718749999998</v>
      </c>
      <c r="L39" s="56" t="s">
        <v>68</v>
      </c>
    </row>
    <row r="40" spans="1:12" ht="13.5" thickBot="1" x14ac:dyDescent="0.25">
      <c r="A40" s="43" t="s">
        <v>69</v>
      </c>
      <c r="B40" s="45" t="s">
        <v>42</v>
      </c>
      <c r="C40" s="43">
        <f>5+83+5+5+23+5+5+8+5</f>
        <v>144</v>
      </c>
      <c r="D40" s="43">
        <v>0</v>
      </c>
      <c r="E40" s="50">
        <f>D40*$K$8</f>
        <v>0</v>
      </c>
      <c r="F40" s="50">
        <f>F39+E40</f>
        <v>1.6875</v>
      </c>
      <c r="G40" s="52">
        <f>C40*F40</f>
        <v>243</v>
      </c>
      <c r="H40" s="43">
        <v>4</v>
      </c>
      <c r="I40" s="50">
        <f>(G40*$J$6)/(1000)</f>
        <v>0.15065999999999999</v>
      </c>
      <c r="J40" s="50">
        <f>I40</f>
        <v>0.15065999999999999</v>
      </c>
      <c r="K40" s="50">
        <f t="shared" si="5"/>
        <v>6.2774999999999997E-2</v>
      </c>
      <c r="L40" s="57" t="s">
        <v>69</v>
      </c>
    </row>
    <row r="41" spans="1:12" x14ac:dyDescent="0.2">
      <c r="A41" s="28"/>
      <c r="B41" s="29"/>
      <c r="C41" s="29"/>
      <c r="D41" s="59"/>
      <c r="E41" s="59"/>
      <c r="F41" s="60"/>
      <c r="G41" s="29"/>
      <c r="H41" s="29"/>
      <c r="I41" s="29"/>
      <c r="J41" s="61"/>
      <c r="K41" s="60"/>
      <c r="L41" s="30"/>
    </row>
    <row r="42" spans="1:12" x14ac:dyDescent="0.2">
      <c r="A42" s="28"/>
      <c r="B42" s="29"/>
      <c r="C42" s="26" t="s">
        <v>2</v>
      </c>
      <c r="D42" s="26"/>
      <c r="E42" s="26" t="s">
        <v>3</v>
      </c>
      <c r="F42" s="26" t="s">
        <v>4</v>
      </c>
      <c r="G42" s="29"/>
      <c r="H42" s="29"/>
      <c r="I42" s="29"/>
      <c r="J42" s="29"/>
      <c r="K42" s="29"/>
      <c r="L42" s="30"/>
    </row>
    <row r="43" spans="1:12" x14ac:dyDescent="0.2">
      <c r="A43" s="62" t="s">
        <v>17</v>
      </c>
      <c r="B43" s="29"/>
      <c r="C43" s="26">
        <v>135</v>
      </c>
      <c r="D43" s="26"/>
      <c r="E43" s="26">
        <f>H8</f>
        <v>240</v>
      </c>
      <c r="F43" s="26">
        <v>1</v>
      </c>
      <c r="G43" s="63" t="s">
        <v>8</v>
      </c>
      <c r="H43" s="59">
        <f>C43/E43*F43</f>
        <v>0.5625</v>
      </c>
      <c r="I43" s="29" t="s">
        <v>18</v>
      </c>
      <c r="J43" s="29"/>
      <c r="K43" s="29"/>
      <c r="L43" s="30"/>
    </row>
    <row r="44" spans="1:12" x14ac:dyDescent="0.2">
      <c r="A44" s="62"/>
      <c r="B44" s="29"/>
      <c r="C44" s="26"/>
      <c r="D44" s="26"/>
      <c r="E44" s="26"/>
      <c r="F44" s="26"/>
      <c r="G44" s="63"/>
      <c r="H44" s="59"/>
      <c r="I44" s="29"/>
      <c r="J44" s="29"/>
      <c r="K44" s="29"/>
      <c r="L44" s="30"/>
    </row>
    <row r="45" spans="1:12" x14ac:dyDescent="0.2">
      <c r="A45" s="62"/>
      <c r="B45" s="29"/>
      <c r="C45" s="26"/>
      <c r="D45" s="26"/>
      <c r="E45" s="26"/>
      <c r="F45" s="26"/>
      <c r="G45" s="63"/>
      <c r="H45" s="59"/>
      <c r="I45" s="29"/>
      <c r="J45" s="29"/>
      <c r="K45" s="29"/>
      <c r="L45" s="30"/>
    </row>
    <row r="46" spans="1:12" x14ac:dyDescent="0.2">
      <c r="A46" s="62"/>
      <c r="B46" s="29"/>
      <c r="C46" s="26"/>
      <c r="D46" s="26"/>
      <c r="E46" s="26"/>
      <c r="F46" s="26"/>
      <c r="G46" s="63"/>
      <c r="H46" s="64"/>
      <c r="I46" s="64" t="s">
        <v>16</v>
      </c>
      <c r="J46" s="29" t="s">
        <v>15</v>
      </c>
      <c r="K46" s="29"/>
      <c r="L46" s="30" t="s">
        <v>20</v>
      </c>
    </row>
    <row r="47" spans="1:12" x14ac:dyDescent="0.2">
      <c r="A47" s="28"/>
      <c r="B47" s="29"/>
      <c r="C47" s="29" t="s">
        <v>47</v>
      </c>
      <c r="D47" s="29"/>
      <c r="E47" s="29"/>
      <c r="F47" s="29"/>
      <c r="G47" s="29"/>
      <c r="H47" s="65">
        <f>F20</f>
        <v>2.25</v>
      </c>
      <c r="I47" s="23">
        <f>1/0.8</f>
        <v>1.25</v>
      </c>
      <c r="J47" s="66">
        <f>+H47*I47</f>
        <v>2.8125</v>
      </c>
      <c r="K47" s="29"/>
      <c r="L47" s="67">
        <v>10</v>
      </c>
    </row>
    <row r="48" spans="1:12" x14ac:dyDescent="0.2">
      <c r="A48" s="28"/>
      <c r="B48" s="29"/>
      <c r="C48" s="29" t="s">
        <v>48</v>
      </c>
      <c r="D48" s="29"/>
      <c r="E48" s="29"/>
      <c r="F48" s="29"/>
      <c r="G48" s="29"/>
      <c r="H48" s="65">
        <f>F26</f>
        <v>1.6875</v>
      </c>
      <c r="I48" s="23">
        <f>1/0.8</f>
        <v>1.25</v>
      </c>
      <c r="J48" s="66">
        <f>+H48*I48</f>
        <v>2.109375</v>
      </c>
      <c r="K48" s="29"/>
      <c r="L48" s="67">
        <v>10</v>
      </c>
    </row>
    <row r="49" spans="1:13" x14ac:dyDescent="0.2">
      <c r="A49" s="28"/>
      <c r="B49" s="29"/>
      <c r="C49" s="29" t="s">
        <v>49</v>
      </c>
      <c r="D49" s="29"/>
      <c r="E49" s="29"/>
      <c r="F49" s="29"/>
      <c r="G49" s="29"/>
      <c r="H49" s="65">
        <f>F34</f>
        <v>2.25</v>
      </c>
      <c r="I49" s="23">
        <f>1/0.8</f>
        <v>1.25</v>
      </c>
      <c r="J49" s="66">
        <f>+H49*I49</f>
        <v>2.8125</v>
      </c>
      <c r="K49" s="29"/>
      <c r="L49" s="67">
        <v>10</v>
      </c>
    </row>
    <row r="50" spans="1:13" x14ac:dyDescent="0.2">
      <c r="A50" s="28"/>
      <c r="B50" s="29"/>
      <c r="C50" s="29" t="s">
        <v>50</v>
      </c>
      <c r="D50" s="29"/>
      <c r="E50" s="29"/>
      <c r="F50" s="29"/>
      <c r="G50" s="29"/>
      <c r="H50" s="65">
        <f>F40</f>
        <v>1.6875</v>
      </c>
      <c r="I50" s="23">
        <f>1/0.8</f>
        <v>1.25</v>
      </c>
      <c r="J50" s="66">
        <f>+H50*I50</f>
        <v>2.109375</v>
      </c>
      <c r="K50" s="29"/>
      <c r="L50" s="67">
        <v>10</v>
      </c>
    </row>
    <row r="51" spans="1:13" x14ac:dyDescent="0.2">
      <c r="A51" s="28"/>
      <c r="B51" s="29"/>
      <c r="C51" s="29"/>
      <c r="D51" s="29"/>
      <c r="E51" s="29"/>
      <c r="F51" s="29"/>
      <c r="G51" s="29"/>
      <c r="H51" s="65"/>
      <c r="I51" s="23"/>
      <c r="J51" s="29"/>
      <c r="K51" s="29"/>
      <c r="L51" s="67"/>
    </row>
    <row r="52" spans="1:13" x14ac:dyDescent="0.2">
      <c r="A52" s="62" t="s">
        <v>5</v>
      </c>
      <c r="B52" s="68"/>
      <c r="C52" s="29" t="s">
        <v>6</v>
      </c>
      <c r="D52" s="29"/>
      <c r="E52" s="29"/>
      <c r="F52" s="29"/>
      <c r="G52" s="29"/>
      <c r="H52" s="29"/>
      <c r="I52" s="63"/>
      <c r="J52" s="29"/>
      <c r="K52" s="29"/>
      <c r="L52" s="30"/>
      <c r="M52" s="1"/>
    </row>
    <row r="53" spans="1:13" x14ac:dyDescent="0.2">
      <c r="A53" s="28"/>
      <c r="B53" s="29"/>
      <c r="C53" s="29">
        <f>+E43</f>
        <v>240</v>
      </c>
      <c r="D53" s="29"/>
      <c r="E53" s="29"/>
      <c r="F53" s="26" t="s">
        <v>7</v>
      </c>
      <c r="G53" s="60">
        <f>SUM(H47:H50)</f>
        <v>7.875</v>
      </c>
      <c r="H53" s="29"/>
      <c r="I53" s="29"/>
      <c r="J53" s="69">
        <f>+C53*G53/1000</f>
        <v>1.89</v>
      </c>
      <c r="K53" s="29" t="s">
        <v>12</v>
      </c>
      <c r="L53" s="30"/>
      <c r="M53" s="1"/>
    </row>
    <row r="54" spans="1:13" x14ac:dyDescent="0.2">
      <c r="A54" s="28"/>
      <c r="B54" s="29"/>
      <c r="C54" s="29"/>
      <c r="D54" s="29"/>
      <c r="E54" s="29"/>
      <c r="F54" s="29"/>
      <c r="G54" s="29"/>
      <c r="H54" s="29"/>
      <c r="I54" s="29"/>
      <c r="J54" s="29"/>
      <c r="K54" s="69"/>
      <c r="L54" s="30"/>
      <c r="M54" s="1"/>
    </row>
    <row r="55" spans="1:13" x14ac:dyDescent="0.2">
      <c r="A55" s="62" t="s">
        <v>9</v>
      </c>
      <c r="B55" s="68"/>
      <c r="C55" s="29" t="s">
        <v>10</v>
      </c>
      <c r="D55" s="29"/>
      <c r="E55" s="29"/>
      <c r="F55" s="29"/>
      <c r="G55" s="29"/>
      <c r="H55" s="29"/>
      <c r="I55" s="29"/>
      <c r="J55" s="26"/>
      <c r="K55" s="29"/>
      <c r="L55" s="30"/>
      <c r="M55" s="1"/>
    </row>
    <row r="56" spans="1:13" x14ac:dyDescent="0.2">
      <c r="A56" s="28"/>
      <c r="B56" s="29"/>
      <c r="C56" s="60">
        <f>+G53</f>
        <v>7.875</v>
      </c>
      <c r="D56" s="60"/>
      <c r="E56" s="60"/>
      <c r="F56" s="63" t="s">
        <v>13</v>
      </c>
      <c r="G56" s="63" t="s">
        <v>8</v>
      </c>
      <c r="H56" s="29">
        <f>+C56/0.8</f>
        <v>9.84375</v>
      </c>
      <c r="I56" s="29" t="s">
        <v>14</v>
      </c>
      <c r="J56" s="69">
        <v>60</v>
      </c>
      <c r="K56" s="29" t="s">
        <v>11</v>
      </c>
      <c r="L56" s="30"/>
      <c r="M56" s="1"/>
    </row>
    <row r="57" spans="1:13" ht="13.5" thickBot="1" x14ac:dyDescent="0.25">
      <c r="A57" s="34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6"/>
    </row>
  </sheetData>
  <mergeCells count="11">
    <mergeCell ref="D13:E13"/>
    <mergeCell ref="A3:L3"/>
    <mergeCell ref="D12:F12"/>
    <mergeCell ref="B8:F8"/>
    <mergeCell ref="B6:I6"/>
    <mergeCell ref="A12:C12"/>
    <mergeCell ref="G12:G13"/>
    <mergeCell ref="H12:H13"/>
    <mergeCell ref="I12:J12"/>
    <mergeCell ref="K12:K13"/>
    <mergeCell ref="L12:L13"/>
  </mergeCells>
  <phoneticPr fontId="5" type="noConversion"/>
  <pageMargins left="0.75" right="0" top="1" bottom="0.5" header="0.5" footer="0.5"/>
  <pageSetup scale="72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A8A25-164E-482E-BC02-BBD3889D5675}">
  <dimension ref="A1:J7"/>
  <sheetViews>
    <sheetView tabSelected="1" zoomScale="115" zoomScaleNormal="115" workbookViewId="0">
      <selection activeCell="D21" sqref="D21"/>
    </sheetView>
  </sheetViews>
  <sheetFormatPr defaultRowHeight="12.75" x14ac:dyDescent="0.2"/>
  <cols>
    <col min="1" max="1" width="9.7109375" style="8" bestFit="1" customWidth="1"/>
    <col min="2" max="2" width="15" style="8" customWidth="1"/>
    <col min="3" max="3" width="13.42578125" style="8" bestFit="1" customWidth="1"/>
    <col min="4" max="4" width="20.7109375" style="8" bestFit="1" customWidth="1"/>
    <col min="5" max="5" width="16.28515625" style="8" bestFit="1" customWidth="1"/>
    <col min="6" max="6" width="9.28515625" style="8" bestFit="1" customWidth="1"/>
    <col min="7" max="7" width="11.5703125" style="8" customWidth="1"/>
    <col min="8" max="8" width="11.7109375" style="8" customWidth="1"/>
    <col min="9" max="9" width="12" style="8" customWidth="1"/>
    <col min="10" max="10" width="18.7109375" style="8" customWidth="1"/>
  </cols>
  <sheetData>
    <row r="1" spans="1:10" s="6" customFormat="1" ht="19.5" thickBot="1" x14ac:dyDescent="0.35">
      <c r="A1" s="82" t="s">
        <v>70</v>
      </c>
      <c r="B1" s="83"/>
      <c r="C1" s="83"/>
      <c r="D1" s="83"/>
      <c r="E1" s="83"/>
      <c r="F1" s="83"/>
      <c r="G1" s="83"/>
      <c r="H1" s="83"/>
      <c r="I1" s="83"/>
      <c r="J1" s="84"/>
    </row>
    <row r="2" spans="1:10" s="6" customFormat="1" ht="51.75" thickBot="1" x14ac:dyDescent="0.25">
      <c r="A2" s="9" t="s">
        <v>73</v>
      </c>
      <c r="B2" s="10" t="s">
        <v>72</v>
      </c>
      <c r="C2" s="11" t="s">
        <v>71</v>
      </c>
      <c r="D2" s="11" t="s">
        <v>74</v>
      </c>
      <c r="E2" s="11" t="s">
        <v>75</v>
      </c>
      <c r="F2" s="11" t="s">
        <v>76</v>
      </c>
      <c r="G2" s="11" t="s">
        <v>77</v>
      </c>
      <c r="H2" s="11" t="s">
        <v>78</v>
      </c>
      <c r="I2" s="11" t="s">
        <v>79</v>
      </c>
      <c r="J2" s="12" t="s">
        <v>80</v>
      </c>
    </row>
    <row r="3" spans="1:10" s="6" customFormat="1" x14ac:dyDescent="0.2">
      <c r="A3" s="85" t="s">
        <v>42</v>
      </c>
      <c r="B3" s="85" t="s">
        <v>87</v>
      </c>
      <c r="C3" s="85">
        <v>1.89</v>
      </c>
      <c r="D3" s="85">
        <v>4</v>
      </c>
      <c r="E3" s="85">
        <v>60</v>
      </c>
      <c r="F3" s="15" t="s">
        <v>81</v>
      </c>
      <c r="G3" s="15">
        <v>2.25</v>
      </c>
      <c r="H3" s="15">
        <v>10</v>
      </c>
      <c r="I3" s="15">
        <v>4</v>
      </c>
      <c r="J3" s="88" t="s">
        <v>85</v>
      </c>
    </row>
    <row r="4" spans="1:10" s="6" customFormat="1" x14ac:dyDescent="0.2">
      <c r="A4" s="86"/>
      <c r="B4" s="86"/>
      <c r="C4" s="86"/>
      <c r="D4" s="86"/>
      <c r="E4" s="86"/>
      <c r="F4" s="13" t="s">
        <v>82</v>
      </c>
      <c r="G4" s="13">
        <v>1.69</v>
      </c>
      <c r="H4" s="13">
        <v>10</v>
      </c>
      <c r="I4" s="13">
        <v>4</v>
      </c>
      <c r="J4" s="89"/>
    </row>
    <row r="5" spans="1:10" s="6" customFormat="1" x14ac:dyDescent="0.2">
      <c r="A5" s="86"/>
      <c r="B5" s="86"/>
      <c r="C5" s="86"/>
      <c r="D5" s="86"/>
      <c r="E5" s="86"/>
      <c r="F5" s="13" t="s">
        <v>83</v>
      </c>
      <c r="G5" s="13">
        <v>2.25</v>
      </c>
      <c r="H5" s="13">
        <v>10</v>
      </c>
      <c r="I5" s="13">
        <v>4</v>
      </c>
      <c r="J5" s="89"/>
    </row>
    <row r="6" spans="1:10" s="6" customFormat="1" ht="13.5" thickBot="1" x14ac:dyDescent="0.25">
      <c r="A6" s="87"/>
      <c r="B6" s="87"/>
      <c r="C6" s="87"/>
      <c r="D6" s="87"/>
      <c r="E6" s="87"/>
      <c r="F6" s="14" t="s">
        <v>84</v>
      </c>
      <c r="G6" s="14">
        <v>1.69</v>
      </c>
      <c r="H6" s="14">
        <v>10</v>
      </c>
      <c r="I6" s="14">
        <v>4</v>
      </c>
      <c r="J6" s="90"/>
    </row>
    <row r="7" spans="1:10" s="6" customFormat="1" x14ac:dyDescent="0.2">
      <c r="A7" s="7"/>
      <c r="B7" s="7"/>
      <c r="C7" s="7"/>
      <c r="D7" s="7"/>
      <c r="E7" s="7"/>
      <c r="F7" s="7"/>
      <c r="G7" s="7"/>
      <c r="H7" s="7"/>
      <c r="I7" s="7"/>
      <c r="J7" s="7"/>
    </row>
  </sheetData>
  <mergeCells count="7">
    <mergeCell ref="A1:J1"/>
    <mergeCell ref="A3:A6"/>
    <mergeCell ref="B3:B6"/>
    <mergeCell ref="C3:C6"/>
    <mergeCell ref="D3:D6"/>
    <mergeCell ref="E3:E6"/>
    <mergeCell ref="J3: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CC-1</vt:lpstr>
      <vt:lpstr>POWER SERVICE DATA</vt:lpstr>
      <vt:lpstr>'CC-1'!Print_Area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Houdeshell, Sam</cp:lastModifiedBy>
  <cp:lastPrinted>2017-10-26T17:55:14Z</cp:lastPrinted>
  <dcterms:created xsi:type="dcterms:W3CDTF">2005-03-09T04:24:02Z</dcterms:created>
  <dcterms:modified xsi:type="dcterms:W3CDTF">2025-09-15T13:19:45Z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2025-01-29T21:52:21Z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8d2d2b7e-9b7a-4aa2-9d9b-6f5fd9f49d14</vt:lpwstr>
  </property>
  <property fmtid="{D5CDD505-2E9C-101B-9397-08002B2CF9AE}" pid="8" name="MSIP_Label_7d95f39c-8218-4425-a791-63c9e13c8708_ContentBits">
    <vt:lpwstr>0</vt:lpwstr>
  </property>
</Properties>
</file>