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2E8C2CFD-D8E0-4F5E-A137-547CD33E307D}" xr6:coauthVersionLast="47" xr6:coauthVersionMax="47" xr10:uidLastSave="{00000000-0000-0000-0000-000000000000}"/>
  <bookViews>
    <workbookView xWindow="34260" yWindow="4440" windowWidth="17280" windowHeight="9030" firstSheet="7" activeTab="10" xr2:uid="{00000000-000D-0000-FFFF-FFFF00000000}"/>
  </bookViews>
  <sheets>
    <sheet name="OLD_Sheet1" sheetId="1" state="hidden" r:id="rId1"/>
    <sheet name="Earthwork - XS001_SR682_S" sheetId="17" r:id="rId2"/>
    <sheet name="Earthwork - XS002_RNDABT_S" sheetId="12" r:id="rId3"/>
    <sheet name="Earthwork - XS003_XSR682" sheetId="18" r:id="rId4"/>
    <sheet name="Earthwork - XS004_RNDABT_N" sheetId="19" r:id="rId5"/>
    <sheet name="Earthwork - XS005_SR682_N" sheetId="20" r:id="rId6"/>
    <sheet name="Earthwork - XS006_SUNSET_LN" sheetId="21" r:id="rId7"/>
    <sheet name="Earthwork - XS007_TR_662" sheetId="22" r:id="rId8"/>
    <sheet name="Earthwork - XS008_RAMP_A" sheetId="23" r:id="rId9"/>
    <sheet name="Earthwork - XS009_RAMP_B" sheetId="24" r:id="rId10"/>
    <sheet name="SEEDING AND MULCHING" sheetId="29" r:id="rId11"/>
    <sheet name="Earthwork - XS010_RAMP_C" sheetId="25" r:id="rId12"/>
    <sheet name="Earthwork - XS011_RAMP_D" sheetId="26" r:id="rId13"/>
    <sheet name="Earthwork - Total" sheetId="28" r:id="rId14"/>
  </sheets>
  <externalReferences>
    <externalReference r:id="rId15"/>
  </externalReferences>
  <definedNames>
    <definedName name="ITEM">[1]!QryItem2[[#All],[ITEM]]</definedName>
    <definedName name="_xlnm.Print_Area" localSheetId="13">'Earthwork - Total'!$A$1:$I$70</definedName>
    <definedName name="_xlnm.Print_Area" localSheetId="1">'Earthwork - XS001_SR682_S'!$A$1:$I$57</definedName>
    <definedName name="_xlnm.Print_Area" localSheetId="2">'Earthwork - XS002_RNDABT_S'!$A$1:$I$121</definedName>
    <definedName name="_xlnm.Print_Area" localSheetId="3">'Earthwork - XS003_XSR682'!$A$1:$I$43</definedName>
    <definedName name="_xlnm.Print_Area" localSheetId="4">'Earthwork - XS004_RNDABT_N'!$A$1:$I$63</definedName>
    <definedName name="_xlnm.Print_Area" localSheetId="5">'Earthwork - XS005_SR682_N'!$A$1:$I$45</definedName>
    <definedName name="_xlnm.Print_Area" localSheetId="6">'Earthwork - XS006_SUNSET_LN'!$A$1:$I$35</definedName>
    <definedName name="_xlnm.Print_Area" localSheetId="7">'Earthwork - XS007_TR_662'!$A$1:$I$43</definedName>
    <definedName name="_xlnm.Print_Area" localSheetId="8">'Earthwork - XS008_RAMP_A'!$A$1:$I$62</definedName>
    <definedName name="_xlnm.Print_Area" localSheetId="9">'Earthwork - XS009_RAMP_B'!$A$1:$I$42</definedName>
    <definedName name="_xlnm.Print_Area" localSheetId="11">'Earthwork - XS010_RAMP_C'!$A$1:$I$40</definedName>
    <definedName name="_xlnm.Print_Area" localSheetId="12">'Earthwork - XS011_RAMP_D'!$A$1:$I$44</definedName>
    <definedName name="_xlnm.Print_Area" localSheetId="0">OLD_Sheet1!$A$1:$J$48</definedName>
    <definedName name="QryItemNamed">[1]!QryItem2[#All]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8" i="29" l="1"/>
  <c r="G48" i="29" s="1"/>
  <c r="G49" i="29" l="1"/>
  <c r="E12" i="29"/>
  <c r="E112" i="12"/>
  <c r="E66" i="12"/>
  <c r="E64" i="12"/>
  <c r="E106" i="12"/>
  <c r="E98" i="12"/>
  <c r="E96" i="12"/>
  <c r="E90" i="12"/>
  <c r="E88" i="12"/>
  <c r="E80" i="12"/>
  <c r="C75" i="12"/>
  <c r="C71" i="12"/>
  <c r="C73" i="12"/>
  <c r="E60" i="19"/>
  <c r="F60" i="19"/>
  <c r="F58" i="19"/>
  <c r="E58" i="19"/>
  <c r="F58" i="12"/>
  <c r="E58" i="12"/>
  <c r="E74" i="12" l="1"/>
  <c r="E68" i="12"/>
  <c r="E72" i="12"/>
  <c r="E100" i="12"/>
  <c r="E92" i="12"/>
  <c r="E82" i="12"/>
  <c r="E84" i="12" s="1"/>
  <c r="F37" i="28"/>
  <c r="E37" i="28"/>
  <c r="F35" i="28"/>
  <c r="E35" i="28"/>
  <c r="F29" i="28"/>
  <c r="E29" i="28"/>
  <c r="F27" i="28"/>
  <c r="E27" i="28"/>
  <c r="F17" i="28"/>
  <c r="E17" i="28"/>
  <c r="F42" i="26"/>
  <c r="E42" i="26"/>
  <c r="F30" i="18"/>
  <c r="E30" i="18"/>
  <c r="F28" i="18"/>
  <c r="E28" i="18"/>
  <c r="F26" i="18"/>
  <c r="E26" i="18"/>
  <c r="B44" i="29"/>
  <c r="G44" i="29" s="1"/>
  <c r="E38" i="26"/>
  <c r="F38" i="26"/>
  <c r="E40" i="26"/>
  <c r="F40" i="26"/>
  <c r="F36" i="26"/>
  <c r="E36" i="26"/>
  <c r="F34" i="26"/>
  <c r="E34" i="26"/>
  <c r="F32" i="26"/>
  <c r="E32" i="26"/>
  <c r="F30" i="26"/>
  <c r="E30" i="26"/>
  <c r="F28" i="26"/>
  <c r="E28" i="26"/>
  <c r="F26" i="26"/>
  <c r="E26" i="26"/>
  <c r="F24" i="26"/>
  <c r="E24" i="26"/>
  <c r="F22" i="26"/>
  <c r="E22" i="26"/>
  <c r="F20" i="26"/>
  <c r="E20" i="26"/>
  <c r="F18" i="26"/>
  <c r="E18" i="26"/>
  <c r="F34" i="25"/>
  <c r="E34" i="25"/>
  <c r="F32" i="25"/>
  <c r="E32" i="25"/>
  <c r="F30" i="25"/>
  <c r="E30" i="25"/>
  <c r="F28" i="25"/>
  <c r="E28" i="25"/>
  <c r="F26" i="25"/>
  <c r="E26" i="25"/>
  <c r="F24" i="25"/>
  <c r="E24" i="25"/>
  <c r="F22" i="25"/>
  <c r="E22" i="25"/>
  <c r="F20" i="25"/>
  <c r="E20" i="25"/>
  <c r="F18" i="25"/>
  <c r="E18" i="25"/>
  <c r="F36" i="24"/>
  <c r="E36" i="24"/>
  <c r="F34" i="24"/>
  <c r="E34" i="24"/>
  <c r="F32" i="24"/>
  <c r="E32" i="24"/>
  <c r="E38" i="24" s="1"/>
  <c r="E33" i="28" s="1"/>
  <c r="F30" i="24"/>
  <c r="E30" i="24"/>
  <c r="F28" i="24"/>
  <c r="E28" i="24"/>
  <c r="F26" i="24"/>
  <c r="E26" i="24"/>
  <c r="F24" i="24"/>
  <c r="E24" i="24"/>
  <c r="F22" i="24"/>
  <c r="E22" i="24"/>
  <c r="F20" i="24"/>
  <c r="E20" i="24"/>
  <c r="F18" i="24"/>
  <c r="E18" i="24"/>
  <c r="E52" i="23"/>
  <c r="F52" i="23"/>
  <c r="E54" i="23"/>
  <c r="F54" i="23"/>
  <c r="E56" i="23"/>
  <c r="F56" i="23"/>
  <c r="E42" i="23"/>
  <c r="F42" i="23"/>
  <c r="E44" i="23"/>
  <c r="F44" i="23"/>
  <c r="E46" i="23"/>
  <c r="F46" i="23"/>
  <c r="E48" i="23"/>
  <c r="F48" i="23"/>
  <c r="E50" i="23"/>
  <c r="F50" i="23"/>
  <c r="F40" i="23"/>
  <c r="E40" i="23"/>
  <c r="F38" i="23"/>
  <c r="E38" i="23"/>
  <c r="F36" i="23"/>
  <c r="E36" i="23"/>
  <c r="F34" i="23"/>
  <c r="E34" i="23"/>
  <c r="F32" i="23"/>
  <c r="E32" i="23"/>
  <c r="F30" i="23"/>
  <c r="E30" i="23"/>
  <c r="F28" i="23"/>
  <c r="E28" i="23"/>
  <c r="F26" i="23"/>
  <c r="E26" i="23"/>
  <c r="F24" i="23"/>
  <c r="E24" i="23"/>
  <c r="F22" i="23"/>
  <c r="E22" i="23"/>
  <c r="F20" i="23"/>
  <c r="E20" i="23"/>
  <c r="F18" i="23"/>
  <c r="E18" i="23"/>
  <c r="F38" i="22"/>
  <c r="E38" i="22"/>
  <c r="F36" i="22"/>
  <c r="E36" i="22"/>
  <c r="F34" i="22"/>
  <c r="E34" i="22"/>
  <c r="F32" i="22"/>
  <c r="E32" i="22"/>
  <c r="F30" i="22"/>
  <c r="E30" i="22"/>
  <c r="F28" i="22"/>
  <c r="E28" i="22"/>
  <c r="F26" i="22"/>
  <c r="E26" i="22"/>
  <c r="F24" i="22"/>
  <c r="E24" i="22"/>
  <c r="F22" i="22"/>
  <c r="E22" i="22"/>
  <c r="F20" i="22"/>
  <c r="E20" i="22"/>
  <c r="F18" i="22"/>
  <c r="E18" i="22"/>
  <c r="F30" i="21"/>
  <c r="E30" i="21"/>
  <c r="F28" i="21"/>
  <c r="E28" i="21"/>
  <c r="F26" i="21"/>
  <c r="E26" i="21"/>
  <c r="F24" i="21"/>
  <c r="E24" i="21"/>
  <c r="F22" i="21"/>
  <c r="E22" i="21"/>
  <c r="F20" i="21"/>
  <c r="E20" i="21"/>
  <c r="F18" i="21"/>
  <c r="E18" i="21"/>
  <c r="F40" i="20"/>
  <c r="E40" i="20"/>
  <c r="F38" i="20"/>
  <c r="E38" i="20"/>
  <c r="F36" i="20"/>
  <c r="E36" i="20"/>
  <c r="F34" i="20"/>
  <c r="E34" i="20"/>
  <c r="F32" i="20"/>
  <c r="E32" i="20"/>
  <c r="F30" i="20"/>
  <c r="E30" i="20"/>
  <c r="F28" i="20"/>
  <c r="E28" i="20"/>
  <c r="F26" i="20"/>
  <c r="E26" i="20"/>
  <c r="F24" i="20"/>
  <c r="E24" i="20"/>
  <c r="F22" i="20"/>
  <c r="E22" i="20"/>
  <c r="F20" i="20"/>
  <c r="E20" i="20"/>
  <c r="F18" i="20"/>
  <c r="E18" i="20"/>
  <c r="F56" i="19"/>
  <c r="E56" i="19"/>
  <c r="F54" i="19"/>
  <c r="E54" i="19"/>
  <c r="F52" i="19"/>
  <c r="E52" i="19"/>
  <c r="F50" i="19"/>
  <c r="E50" i="19"/>
  <c r="F48" i="19"/>
  <c r="E48" i="19"/>
  <c r="F46" i="19"/>
  <c r="E46" i="19"/>
  <c r="F44" i="19"/>
  <c r="E44" i="19"/>
  <c r="F42" i="19"/>
  <c r="E42" i="19"/>
  <c r="F40" i="19"/>
  <c r="E40" i="19"/>
  <c r="F38" i="19"/>
  <c r="E38" i="19"/>
  <c r="F36" i="19"/>
  <c r="E36" i="19"/>
  <c r="F34" i="19"/>
  <c r="E34" i="19"/>
  <c r="F32" i="19"/>
  <c r="E32" i="19"/>
  <c r="F30" i="19"/>
  <c r="E30" i="19"/>
  <c r="F28" i="19"/>
  <c r="E28" i="19"/>
  <c r="F26" i="19"/>
  <c r="E26" i="19"/>
  <c r="F24" i="19"/>
  <c r="E24" i="19"/>
  <c r="F22" i="19"/>
  <c r="E22" i="19"/>
  <c r="F20" i="19"/>
  <c r="E20" i="19"/>
  <c r="F18" i="19"/>
  <c r="E18" i="19"/>
  <c r="F38" i="18"/>
  <c r="E38" i="18"/>
  <c r="F36" i="18"/>
  <c r="E36" i="18"/>
  <c r="F34" i="18"/>
  <c r="E34" i="18"/>
  <c r="F32" i="18"/>
  <c r="E32" i="18"/>
  <c r="F24" i="18"/>
  <c r="E24" i="18"/>
  <c r="F22" i="18"/>
  <c r="E22" i="18"/>
  <c r="F20" i="18"/>
  <c r="E20" i="18"/>
  <c r="F18" i="18"/>
  <c r="E18" i="18"/>
  <c r="E56" i="12"/>
  <c r="F56" i="12"/>
  <c r="E52" i="12"/>
  <c r="F52" i="12"/>
  <c r="E54" i="12"/>
  <c r="F54" i="12"/>
  <c r="F50" i="17"/>
  <c r="E50" i="17"/>
  <c r="F48" i="17"/>
  <c r="E48" i="17"/>
  <c r="F46" i="17"/>
  <c r="E46" i="17"/>
  <c r="F44" i="17"/>
  <c r="E44" i="17"/>
  <c r="F42" i="17"/>
  <c r="E42" i="17"/>
  <c r="F40" i="17"/>
  <c r="E40" i="17"/>
  <c r="F38" i="17"/>
  <c r="E38" i="17"/>
  <c r="F36" i="17"/>
  <c r="E36" i="17"/>
  <c r="F34" i="17"/>
  <c r="E34" i="17"/>
  <c r="F32" i="17"/>
  <c r="E32" i="17"/>
  <c r="F30" i="17"/>
  <c r="E30" i="17"/>
  <c r="F28" i="17"/>
  <c r="E28" i="17"/>
  <c r="F26" i="17"/>
  <c r="E26" i="17"/>
  <c r="F24" i="17"/>
  <c r="E24" i="17"/>
  <c r="F22" i="17"/>
  <c r="E22" i="17"/>
  <c r="F20" i="17"/>
  <c r="E20" i="17"/>
  <c r="F18" i="17"/>
  <c r="E18" i="17"/>
  <c r="F40" i="12"/>
  <c r="E40" i="12"/>
  <c r="E76" i="12" l="1"/>
  <c r="F36" i="25"/>
  <c r="E36" i="25"/>
  <c r="F38" i="24"/>
  <c r="F33" i="28" s="1"/>
  <c r="F58" i="23"/>
  <c r="F31" i="28" s="1"/>
  <c r="E58" i="23"/>
  <c r="E31" i="28" s="1"/>
  <c r="F40" i="22"/>
  <c r="E40" i="22"/>
  <c r="E32" i="21"/>
  <c r="F32" i="21"/>
  <c r="F42" i="20"/>
  <c r="F25" i="28" s="1"/>
  <c r="E42" i="20"/>
  <c r="E25" i="28" s="1"/>
  <c r="F23" i="28"/>
  <c r="E23" i="28"/>
  <c r="F40" i="18"/>
  <c r="F21" i="28" s="1"/>
  <c r="E40" i="18"/>
  <c r="E21" i="28" s="1"/>
  <c r="E52" i="17"/>
  <c r="F52" i="17"/>
  <c r="G14" i="29"/>
  <c r="B18" i="29"/>
  <c r="G18" i="29" s="1"/>
  <c r="G21" i="29" s="1"/>
  <c r="B25" i="29"/>
  <c r="E25" i="29" s="1"/>
  <c r="A31" i="29"/>
  <c r="E31" i="29" s="1"/>
  <c r="G33" i="29" s="1"/>
  <c r="B37" i="29"/>
  <c r="G37" i="29" s="1"/>
  <c r="A40" i="29"/>
  <c r="G40" i="29" s="1"/>
  <c r="B27" i="29"/>
  <c r="E27" i="29" s="1"/>
  <c r="G27" i="29" s="1"/>
  <c r="A33" i="29"/>
  <c r="E33" i="29" s="1"/>
  <c r="E42" i="12"/>
  <c r="F50" i="12"/>
  <c r="E50" i="12"/>
  <c r="F48" i="12"/>
  <c r="F46" i="12"/>
  <c r="F44" i="12"/>
  <c r="F42" i="12"/>
  <c r="E48" i="12"/>
  <c r="E46" i="12"/>
  <c r="E44" i="12"/>
  <c r="F38" i="12"/>
  <c r="E38" i="12"/>
  <c r="F36" i="12"/>
  <c r="E36" i="12"/>
  <c r="F34" i="12"/>
  <c r="E34" i="12"/>
  <c r="F32" i="12"/>
  <c r="E32" i="12"/>
  <c r="F30" i="12"/>
  <c r="E30" i="12"/>
  <c r="F28" i="12"/>
  <c r="E28" i="12"/>
  <c r="F26" i="12"/>
  <c r="E26" i="12"/>
  <c r="F24" i="12"/>
  <c r="E24" i="12"/>
  <c r="F22" i="12"/>
  <c r="E22" i="12"/>
  <c r="F20" i="12"/>
  <c r="E20" i="12"/>
  <c r="F18" i="12"/>
  <c r="E18" i="12"/>
  <c r="E60" i="12" l="1"/>
  <c r="E19" i="28" s="1"/>
  <c r="E38" i="28" s="1"/>
  <c r="F60" i="12"/>
  <c r="F19" i="28" s="1"/>
  <c r="F38" i="28" s="1"/>
  <c r="D14" i="1"/>
  <c r="D12" i="1"/>
  <c r="B35" i="1"/>
  <c r="D36" i="1" s="1"/>
  <c r="A35" i="1"/>
  <c r="C36" i="1" s="1"/>
  <c r="B33" i="1"/>
  <c r="A33" i="1"/>
  <c r="B31" i="1"/>
  <c r="D32" i="1" s="1"/>
  <c r="A31" i="1"/>
  <c r="C32" i="1" s="1"/>
  <c r="B29" i="1"/>
  <c r="A29" i="1"/>
  <c r="B27" i="1"/>
  <c r="A27" i="1"/>
  <c r="B25" i="1"/>
  <c r="D24" i="1" s="1"/>
  <c r="A25" i="1"/>
  <c r="A23" i="1"/>
  <c r="C24" i="1" s="1"/>
  <c r="B19" i="1"/>
  <c r="B17" i="1"/>
  <c r="A17" i="1"/>
  <c r="C18" i="1" s="1"/>
  <c r="A15" i="1"/>
  <c r="A13" i="1"/>
  <c r="C12" i="1" s="1"/>
  <c r="J12" i="1"/>
  <c r="J36" i="1"/>
  <c r="I36" i="1"/>
  <c r="J34" i="1"/>
  <c r="I34" i="1"/>
  <c r="J32" i="1"/>
  <c r="I32" i="1"/>
  <c r="J30" i="1"/>
  <c r="I30" i="1"/>
  <c r="J28" i="1"/>
  <c r="I28" i="1"/>
  <c r="J26" i="1"/>
  <c r="I26" i="1"/>
  <c r="J24" i="1"/>
  <c r="I24" i="1"/>
  <c r="J18" i="1"/>
  <c r="I18" i="1"/>
  <c r="J16" i="1"/>
  <c r="I16" i="1"/>
  <c r="J14" i="1"/>
  <c r="I14" i="1"/>
  <c r="I12" i="1"/>
  <c r="J2" i="1"/>
  <c r="E12" i="1" l="1"/>
  <c r="C28" i="1"/>
  <c r="C16" i="1"/>
  <c r="E36" i="1"/>
  <c r="C34" i="1"/>
  <c r="D34" i="1"/>
  <c r="E34" i="1" s="1"/>
  <c r="D18" i="1"/>
  <c r="E18" i="1" s="1"/>
  <c r="D30" i="1"/>
  <c r="C14" i="1"/>
  <c r="E14" i="1" s="1"/>
  <c r="E32" i="1"/>
  <c r="E24" i="1"/>
  <c r="C26" i="1"/>
  <c r="D26" i="1"/>
  <c r="D16" i="1"/>
  <c r="E16" i="1" s="1"/>
  <c r="D28" i="1"/>
  <c r="E28" i="1" s="1"/>
  <c r="C30" i="1"/>
  <c r="E30" i="1" l="1"/>
  <c r="E26" i="1"/>
  <c r="E39" i="1" s="1"/>
</calcChain>
</file>

<file path=xl/sharedStrings.xml><?xml version="1.0" encoding="utf-8"?>
<sst xmlns="http://schemas.openxmlformats.org/spreadsheetml/2006/main" count="423" uniqueCount="112">
  <si>
    <t>Earthwork and Seeding and Muching Calcs</t>
  </si>
  <si>
    <t>Version 1.0, January 2009</t>
  </si>
  <si>
    <t>Made By:</t>
  </si>
  <si>
    <t>Date:</t>
  </si>
  <si>
    <t>Project:</t>
  </si>
  <si>
    <t>HAS-342-0397</t>
  </si>
  <si>
    <t>PID:</t>
  </si>
  <si>
    <t>Chk'd By:</t>
  </si>
  <si>
    <t>Seeding and Muching</t>
  </si>
  <si>
    <t>Station</t>
  </si>
  <si>
    <t>Earthwork</t>
  </si>
  <si>
    <t>End Width</t>
  </si>
  <si>
    <t>Area</t>
  </si>
  <si>
    <t>End Area</t>
  </si>
  <si>
    <t>Volume</t>
  </si>
  <si>
    <t>LT</t>
  </si>
  <si>
    <t>RT</t>
  </si>
  <si>
    <t>Total</t>
  </si>
  <si>
    <t>Cut</t>
  </si>
  <si>
    <t>Fill</t>
  </si>
  <si>
    <t>Suspend EW</t>
  </si>
  <si>
    <t>WOOLPERT, INC.</t>
  </si>
  <si>
    <t>1203 Walnut St</t>
  </si>
  <si>
    <t>Cincinnati, OH 45202</t>
  </si>
  <si>
    <t>Phone: 513.272.8300</t>
  </si>
  <si>
    <t>Fax: 937.461.0743</t>
  </si>
  <si>
    <t xml:space="preserve">Project: </t>
  </si>
  <si>
    <t>ATH-682-6.07</t>
  </si>
  <si>
    <t>MD</t>
  </si>
  <si>
    <t xml:space="preserve">Location: </t>
  </si>
  <si>
    <t>AKA</t>
  </si>
  <si>
    <t>Item 203 - Excavation</t>
  </si>
  <si>
    <t>Item 203 - Embankment</t>
  </si>
  <si>
    <t>Earthwork - SR 682 South</t>
  </si>
  <si>
    <t>End Area (SF)</t>
  </si>
  <si>
    <t>Volume (CY)</t>
  </si>
  <si>
    <t>TOTALS</t>
  </si>
  <si>
    <t xml:space="preserve"> </t>
  </si>
  <si>
    <t>Earthwork - Roundabout South</t>
  </si>
  <si>
    <t>ITEM 203 - EMBANKMENT, AS PER PLAN</t>
  </si>
  <si>
    <t>CY</t>
  </si>
  <si>
    <t>ITEM 203 - GRANULAR EMBANKMENT (NO 8 AGGREGATE)</t>
  </si>
  <si>
    <t xml:space="preserve">ITEM 203 - GRANULAR MATERIAL TYPE C </t>
  </si>
  <si>
    <t>ITEM 601 - DUMPED ROCK FILL, TYPE C</t>
  </si>
  <si>
    <t>ITEM 690 - GEOTEXTILE FABRIC, TYPE A (712.09)</t>
  </si>
  <si>
    <t>SY</t>
  </si>
  <si>
    <t xml:space="preserve">ITEM 611 - 6" CONDUIT, TYPE E </t>
  </si>
  <si>
    <t>LEGNTH</t>
  </si>
  <si>
    <t>EA</t>
  </si>
  <si>
    <t>FT</t>
  </si>
  <si>
    <t>ITEM 611 - 6" CONDUIT, TYPE F</t>
  </si>
  <si>
    <t>ITEM 611 - PRECAST REINFORCED CONCRETE OUTLET</t>
  </si>
  <si>
    <t>Earthwork - SR 682</t>
  </si>
  <si>
    <t>Earthwork - Roundabout North</t>
  </si>
  <si>
    <t>Earthwork - SR 682 North</t>
  </si>
  <si>
    <t>Earthwork - Sunset Lane</t>
  </si>
  <si>
    <t>Earthwork - TR 662</t>
  </si>
  <si>
    <t>Earthwork - RAMP A</t>
  </si>
  <si>
    <t>Earthwork - RAMP B</t>
  </si>
  <si>
    <t>Project: ATH-682-6.07</t>
  </si>
  <si>
    <t>Location: Athens County, Ohio</t>
  </si>
  <si>
    <t>The calculations shown below are as described in the ODOT Seeding and Mulching designer note.</t>
  </si>
  <si>
    <t>Enter Area to be Seeded and Mulched</t>
  </si>
  <si>
    <t>ITEM 659 SEEDING AND MULCHING</t>
  </si>
  <si>
    <t>ITEM 659 TOPSOIL</t>
  </si>
  <si>
    <t xml:space="preserve">  111 CY PER 1000 SY OF PERMANENT SEEDING</t>
  </si>
  <si>
    <t xml:space="preserve">  111 X</t>
  </si>
  <si>
    <t>/1000=</t>
  </si>
  <si>
    <t>ITEM 659 SOIL ANALYSIS TEST</t>
  </si>
  <si>
    <t xml:space="preserve">  ONE TEST PER 10000 CY TOPSOIL, WITH A MINIMUM OF TWO </t>
  </si>
  <si>
    <t>EACH</t>
  </si>
  <si>
    <t>ITEM 659 COMMERCIAL FERTILIZER</t>
  </si>
  <si>
    <t xml:space="preserve">  30 LBS PER 1000 SF OF PERMANENT SEEDING</t>
  </si>
  <si>
    <t xml:space="preserve">  30 X</t>
  </si>
  <si>
    <t>X 9 / 1000 / 2000 =</t>
  </si>
  <si>
    <t xml:space="preserve">  20 LBS PER 1000 SF OF INTER SEEDING</t>
  </si>
  <si>
    <t xml:space="preserve">  20 X</t>
  </si>
  <si>
    <t>TONS</t>
  </si>
  <si>
    <t>ITEM 659 WATER</t>
  </si>
  <si>
    <t xml:space="preserve">  2 APPLICATIONS AT 300 GALLONS PER 1000 SF (PERMANENT)</t>
  </si>
  <si>
    <t>X 9 / 1000 X (2 X 300) / 1000 =</t>
  </si>
  <si>
    <t xml:space="preserve"> MGAL</t>
  </si>
  <si>
    <t xml:space="preserve">  1 APPLICATIONS AT 300 GALLONS PER 1000 SF (INTER SEEDING)</t>
  </si>
  <si>
    <t>X 9 / 1000 X 300 / 1000 =</t>
  </si>
  <si>
    <t>MGAL</t>
  </si>
  <si>
    <t>ITEM 659 INTER SEEDING</t>
  </si>
  <si>
    <t xml:space="preserve">  5% OF PERMANENT SEEDING AND MULCHING</t>
  </si>
  <si>
    <t xml:space="preserve">  5% X</t>
  </si>
  <si>
    <t>=</t>
  </si>
  <si>
    <t>ITEM 659 LIME</t>
  </si>
  <si>
    <t>X 9 / 43560 =</t>
  </si>
  <si>
    <t>ACRES</t>
  </si>
  <si>
    <t>ITEM 659 REPAIR SEEDING AND MULCHING</t>
  </si>
  <si>
    <t>Earthwork - RAMP C</t>
  </si>
  <si>
    <t>Earthwork - RAMP D</t>
  </si>
  <si>
    <t>Section</t>
  </si>
  <si>
    <t>Earthwork - Total</t>
  </si>
  <si>
    <t>SR682_S</t>
  </si>
  <si>
    <t>RNDABT_S</t>
  </si>
  <si>
    <t>XSR682</t>
  </si>
  <si>
    <t>RNDABT_N</t>
  </si>
  <si>
    <t>SR682_N</t>
  </si>
  <si>
    <t>SUNSET_LN</t>
  </si>
  <si>
    <t>TR_662</t>
  </si>
  <si>
    <t>RAMP_A</t>
  </si>
  <si>
    <t>RAMP_B</t>
  </si>
  <si>
    <t>RAMP_C</t>
  </si>
  <si>
    <t>RAMP_D</t>
  </si>
  <si>
    <t>ITEM 659 MOWING</t>
  </si>
  <si>
    <t>PERMANENT SEEDING AND MULCHING AREA IN MSF</t>
  </si>
  <si>
    <t>X9/1000000</t>
  </si>
  <si>
    <t>MSF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</si>
</sst>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+00.00"/>
    <numFmt numFmtId="165" formatCode="0.000"/>
  </numFmts>
  <fonts count="17">
    <font>
      <sz val="11"/>
      <color theme="1"/>
      <name val="Calibri"/>
      <family val="2"/>
      <scheme val="minor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name val="Arial"/>
      <family val="2"/>
    </font>
    <font>
      <b/>
      <sz val="8"/>
      <name val="BernhardFashion BT"/>
      <family val="5"/>
    </font>
    <font>
      <sz val="10"/>
      <name val="Arial"/>
      <family val="2"/>
    </font>
    <font>
      <b/>
      <sz val="10"/>
      <color rgb="FF3F3F76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0"/>
      <name val="BernhardFashion BT"/>
      <family val="5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14" fontId="4" fillId="0" borderId="3" xfId="0" applyNumberFormat="1" applyFont="1" applyBorder="1" applyProtection="1">
      <protection locked="0"/>
    </xf>
    <xf numFmtId="0" fontId="4" fillId="0" borderId="0" xfId="0" applyFont="1" applyAlignment="1">
      <alignment horizontal="right"/>
    </xf>
    <xf numFmtId="0" fontId="6" fillId="0" borderId="0" xfId="0" applyFont="1" applyProtection="1">
      <protection locked="0"/>
    </xf>
    <xf numFmtId="0" fontId="4" fillId="0" borderId="3" xfId="0" applyFont="1" applyBorder="1" applyProtection="1">
      <protection locked="0"/>
    </xf>
    <xf numFmtId="0" fontId="7" fillId="3" borderId="1" xfId="2" applyFont="1" applyAlignment="1" applyProtection="1">
      <alignment horizontal="left"/>
      <protection locked="0"/>
    </xf>
    <xf numFmtId="0" fontId="7" fillId="3" borderId="1" xfId="2" applyFont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4" fontId="2" fillId="3" borderId="1" xfId="2" applyNumberFormat="1" applyAlignment="1">
      <alignment horizontal="center"/>
    </xf>
    <xf numFmtId="0" fontId="1" fillId="2" borderId="4" xfId="1" applyBorder="1" applyAlignment="1">
      <alignment horizontal="center"/>
    </xf>
    <xf numFmtId="0" fontId="3" fillId="4" borderId="2" xfId="3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/>
    </xf>
    <xf numFmtId="0" fontId="8" fillId="7" borderId="4" xfId="0" applyFont="1" applyFill="1" applyBorder="1"/>
    <xf numFmtId="0" fontId="11" fillId="0" borderId="4" xfId="0" applyFont="1" applyBorder="1" applyAlignment="1">
      <alignment horizontal="center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right"/>
      <protection locked="0"/>
    </xf>
    <xf numFmtId="0" fontId="13" fillId="0" borderId="3" xfId="0" applyFont="1" applyBorder="1" applyProtection="1">
      <protection locked="0"/>
    </xf>
    <xf numFmtId="14" fontId="13" fillId="0" borderId="3" xfId="0" applyNumberFormat="1" applyFont="1" applyBorder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0" fontId="11" fillId="9" borderId="4" xfId="3" applyFont="1" applyFill="1" applyBorder="1" applyAlignment="1">
      <alignment horizontal="center"/>
    </xf>
    <xf numFmtId="0" fontId="11" fillId="8" borderId="4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164" fontId="11" fillId="8" borderId="4" xfId="2" applyNumberFormat="1" applyFont="1" applyFill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3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3" fontId="0" fillId="8" borderId="26" xfId="0" applyNumberFormat="1" applyFill="1" applyBorder="1"/>
    <xf numFmtId="0" fontId="0" fillId="0" borderId="27" xfId="0" applyBorder="1"/>
    <xf numFmtId="3" fontId="0" fillId="0" borderId="0" xfId="0" applyNumberFormat="1"/>
    <xf numFmtId="3" fontId="4" fillId="9" borderId="26" xfId="0" applyNumberFormat="1" applyFont="1" applyFill="1" applyBorder="1"/>
    <xf numFmtId="0" fontId="4" fillId="0" borderId="27" xfId="0" applyFont="1" applyBorder="1"/>
    <xf numFmtId="3" fontId="0" fillId="10" borderId="0" xfId="0" applyNumberFormat="1" applyFill="1"/>
    <xf numFmtId="0" fontId="0" fillId="0" borderId="0" xfId="0" quotePrefix="1"/>
    <xf numFmtId="1" fontId="4" fillId="9" borderId="26" xfId="0" applyNumberFormat="1" applyFont="1" applyFill="1" applyBorder="1"/>
    <xf numFmtId="0" fontId="4" fillId="9" borderId="26" xfId="0" applyFont="1" applyFill="1" applyBorder="1"/>
    <xf numFmtId="2" fontId="0" fillId="0" borderId="0" xfId="0" applyNumberFormat="1"/>
    <xf numFmtId="2" fontId="4" fillId="9" borderId="26" xfId="0" applyNumberFormat="1" applyFont="1" applyFill="1" applyBorder="1"/>
    <xf numFmtId="1" fontId="0" fillId="0" borderId="0" xfId="0" applyNumberFormat="1"/>
    <xf numFmtId="1" fontId="0" fillId="10" borderId="0" xfId="0" applyNumberFormat="1" applyFill="1"/>
    <xf numFmtId="3" fontId="11" fillId="8" borderId="4" xfId="1" applyNumberFormat="1" applyFont="1" applyFill="1" applyBorder="1" applyAlignment="1">
      <alignment horizontal="center"/>
    </xf>
    <xf numFmtId="164" fontId="11" fillId="8" borderId="28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12" fillId="0" borderId="26" xfId="0" applyNumberFormat="1" applyFont="1" applyBorder="1" applyAlignment="1">
      <alignment horizontal="center"/>
    </xf>
    <xf numFmtId="3" fontId="12" fillId="0" borderId="27" xfId="0" applyNumberFormat="1" applyFont="1" applyBorder="1" applyAlignment="1">
      <alignment horizontal="center"/>
    </xf>
    <xf numFmtId="0" fontId="11" fillId="8" borderId="26" xfId="1" applyFont="1" applyFill="1" applyBorder="1" applyAlignment="1">
      <alignment horizontal="center"/>
    </xf>
    <xf numFmtId="0" fontId="11" fillId="8" borderId="27" xfId="1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1" fillId="9" borderId="26" xfId="3" applyFont="1" applyFill="1" applyBorder="1" applyAlignment="1">
      <alignment horizontal="center"/>
    </xf>
    <xf numFmtId="0" fontId="11" fillId="9" borderId="27" xfId="3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64" fontId="11" fillId="8" borderId="4" xfId="2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164" fontId="11" fillId="8" borderId="26" xfId="2" applyNumberFormat="1" applyFont="1" applyFill="1" applyBorder="1" applyAlignment="1">
      <alignment horizontal="center"/>
    </xf>
    <xf numFmtId="164" fontId="11" fillId="8" borderId="27" xfId="2" applyNumberFormat="1" applyFont="1" applyFill="1" applyBorder="1" applyAlignment="1">
      <alignment horizontal="center"/>
    </xf>
    <xf numFmtId="165" fontId="4" fillId="9" borderId="26" xfId="0" applyNumberFormat="1" applyFont="1" applyFill="1" applyBorder="1"/>
  </cellXfs>
  <cellStyles count="4">
    <cellStyle name="Input" xfId="2" builtinId="20"/>
    <cellStyle name="Neutral" xfId="1" builtinId="28"/>
    <cellStyle name="Normal" xfId="0" builtinId="0"/>
    <cellStyle name="Output" xfId="3" builtinId="2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85724</xdr:rowOff>
    </xdr:from>
    <xdr:to>
      <xdr:col>1</xdr:col>
      <xdr:colOff>489272</xdr:colOff>
      <xdr:row>4</xdr:row>
      <xdr:rowOff>136293</xdr:rowOff>
    </xdr:to>
    <xdr:pic>
      <xdr:nvPicPr>
        <xdr:cNvPr id="2" name="Picture 1" descr="odotpin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199" y="85724"/>
          <a:ext cx="965523" cy="812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1B9CA-B443-42F1-ABD5-7BCA30A164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558712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1C6018-8EDF-4857-A539-FF1EB383D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783626" cy="7848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BD5C1-5917-4F27-8E96-21D28BC0CA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674035</xdr:colOff>
      <xdr:row>4</xdr:row>
      <xdr:rowOff>103615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DF60F-4BE3-4743-A7D3-2530634673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666415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DBD78C-8FF7-4F2C-94B1-78B56055D0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A8A258-9234-4068-A727-C27D4CCC0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4A1716-AB80-4AF4-BA74-E9DFAEF1E9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2007534" cy="816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53D206-FA9C-4426-9315-5D8F1C3231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22BCD6-7EF1-4A27-9A93-D5BA48CE54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5016AF-2065-4193-A16E-0D29A42709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CA08DC-F8E1-4A6A-9EF4-D77691F5B6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674035</xdr:colOff>
      <xdr:row>4</xdr:row>
      <xdr:rowOff>103615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A7BC62-0A96-4AB7-9EEF-6A4B5F29E0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681655</xdr:colOff>
      <xdr:row>4</xdr:row>
      <xdr:rowOff>111235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50DA13-B60D-4BA2-BC94-0B95371277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95" t="1" b="-3275"/>
        <a:stretch/>
      </xdr:blipFill>
      <xdr:spPr>
        <a:xfrm>
          <a:off x="1" y="0"/>
          <a:ext cx="1988484" cy="854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/Clients/ODOT/079059_WAR-48-1154/100816/Design/Roadway/EngData/WAR-48-1154-100816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QryItem2"/>
      <sheetName val="Estimate"/>
      <sheetName val="Lists"/>
      <sheetName val="Store"/>
      <sheetName val="StoreProjectInfo"/>
      <sheetName val="Bridge"/>
      <sheetName val="WAR-48-1154-100816-GEN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9"/>
  <sheetViews>
    <sheetView zoomScaleNormal="100" zoomScaleSheetLayoutView="100" workbookViewId="0">
      <pane ySplit="9" topLeftCell="A10" activePane="bottomLeft" state="frozen"/>
      <selection pane="bottomLeft" activeCell="E12" sqref="E12:E39"/>
    </sheetView>
  </sheetViews>
  <sheetFormatPr defaultRowHeight="14.4"/>
  <cols>
    <col min="1" max="2" width="8.33203125" customWidth="1"/>
    <col min="3" max="5" width="8.6640625" customWidth="1"/>
    <col min="6" max="6" width="15.6640625" customWidth="1"/>
  </cols>
  <sheetData>
    <row r="1" spans="1:10">
      <c r="A1" s="72"/>
      <c r="B1" s="72"/>
      <c r="C1" s="1" t="s">
        <v>0</v>
      </c>
    </row>
    <row r="2" spans="1:10">
      <c r="A2" s="72"/>
      <c r="B2" s="72"/>
      <c r="C2" s="2" t="s">
        <v>1</v>
      </c>
      <c r="F2" s="3" t="s">
        <v>2</v>
      </c>
      <c r="G2" s="61"/>
      <c r="H2" s="61"/>
      <c r="I2" s="3" t="s">
        <v>3</v>
      </c>
      <c r="J2" s="4">
        <f ca="1">TODAY()</f>
        <v>45587</v>
      </c>
    </row>
    <row r="3" spans="1:10">
      <c r="A3" s="72"/>
      <c r="B3" s="72"/>
      <c r="C3" s="5" t="s">
        <v>4</v>
      </c>
      <c r="D3" s="9" t="s">
        <v>5</v>
      </c>
      <c r="E3" s="9"/>
      <c r="F3" s="6"/>
      <c r="G3" s="6"/>
      <c r="H3" s="6"/>
      <c r="I3" s="6"/>
      <c r="J3" s="6"/>
    </row>
    <row r="4" spans="1:10">
      <c r="A4" s="72"/>
      <c r="B4" s="72"/>
      <c r="C4" s="5" t="s">
        <v>6</v>
      </c>
      <c r="D4" s="8">
        <v>82001</v>
      </c>
      <c r="F4" s="3" t="s">
        <v>7</v>
      </c>
      <c r="G4" s="62"/>
      <c r="H4" s="62"/>
      <c r="I4" s="3" t="s">
        <v>3</v>
      </c>
      <c r="J4" s="7"/>
    </row>
    <row r="5" spans="1:10">
      <c r="A5" s="72"/>
      <c r="B5" s="72"/>
    </row>
    <row r="6" spans="1:10" ht="15" thickBot="1"/>
    <row r="7" spans="1:10" ht="15" thickBot="1">
      <c r="A7" s="75" t="s">
        <v>8</v>
      </c>
      <c r="B7" s="76"/>
      <c r="C7" s="76"/>
      <c r="D7" s="76"/>
      <c r="E7" s="77"/>
      <c r="F7" s="69" t="s">
        <v>9</v>
      </c>
      <c r="G7" s="66" t="s">
        <v>10</v>
      </c>
      <c r="H7" s="67"/>
      <c r="I7" s="67"/>
      <c r="J7" s="68"/>
    </row>
    <row r="8" spans="1:10">
      <c r="A8" s="73" t="s">
        <v>11</v>
      </c>
      <c r="B8" s="74"/>
      <c r="C8" s="73" t="s">
        <v>12</v>
      </c>
      <c r="D8" s="69"/>
      <c r="E8" s="74"/>
      <c r="F8" s="70"/>
      <c r="G8" s="63" t="s">
        <v>13</v>
      </c>
      <c r="H8" s="65"/>
      <c r="I8" s="63" t="s">
        <v>14</v>
      </c>
      <c r="J8" s="64"/>
    </row>
    <row r="9" spans="1:10" ht="15" thickBot="1">
      <c r="A9" s="15" t="s">
        <v>15</v>
      </c>
      <c r="B9" s="18" t="s">
        <v>16</v>
      </c>
      <c r="C9" s="15" t="s">
        <v>15</v>
      </c>
      <c r="D9" s="16" t="s">
        <v>16</v>
      </c>
      <c r="E9" s="17" t="s">
        <v>17</v>
      </c>
      <c r="F9" s="71"/>
      <c r="G9" s="11" t="s">
        <v>18</v>
      </c>
      <c r="H9" s="19" t="s">
        <v>19</v>
      </c>
      <c r="I9" s="11" t="s">
        <v>18</v>
      </c>
      <c r="J9" s="10" t="s">
        <v>19</v>
      </c>
    </row>
    <row r="11" spans="1:10">
      <c r="A11" s="13">
        <v>0</v>
      </c>
      <c r="B11" s="13">
        <v>0</v>
      </c>
      <c r="F11" s="12">
        <v>20880</v>
      </c>
      <c r="G11" s="13">
        <v>1.6</v>
      </c>
      <c r="H11" s="13">
        <v>0</v>
      </c>
    </row>
    <row r="12" spans="1:10">
      <c r="C12" s="14">
        <f>ROUND((A11+A13/2)*($F13-$F11)*(1/9),0)</f>
        <v>13</v>
      </c>
      <c r="D12" s="14">
        <f>ROUND((B11+B13/2)*($F13-$F11)*(1/9),0)</f>
        <v>0</v>
      </c>
      <c r="E12" s="14">
        <f>C12+D12</f>
        <v>13</v>
      </c>
      <c r="I12" s="14">
        <f>ROUND(((G11+G13)/2)*($F13-$F11)*(1/27),0)</f>
        <v>1</v>
      </c>
      <c r="J12" s="14">
        <f>ROUND(((H11+H13)/2)*($F13-$F11)*(1/27),0)</f>
        <v>0</v>
      </c>
    </row>
    <row r="13" spans="1:10">
      <c r="A13" s="13">
        <f>2+10</f>
        <v>12</v>
      </c>
      <c r="B13" s="13">
        <v>0</v>
      </c>
      <c r="F13" s="12">
        <v>20900</v>
      </c>
      <c r="G13" s="13">
        <v>1.8</v>
      </c>
      <c r="H13" s="13">
        <v>0.2</v>
      </c>
    </row>
    <row r="14" spans="1:10">
      <c r="C14" s="14">
        <f>ROUND((A13+A15/2)*($F15-$F13)*(1/9),0)</f>
        <v>50</v>
      </c>
      <c r="D14" s="14">
        <f>ROUND((B13+B15/2)*($F15-$F13)*(1/9),0)</f>
        <v>0</v>
      </c>
      <c r="E14" s="14">
        <f>C14+D14</f>
        <v>50</v>
      </c>
      <c r="I14" s="14">
        <f>ROUND(((G13+G15)/2)*($F15-$F13)*(1/27),0)</f>
        <v>15</v>
      </c>
      <c r="J14" s="14">
        <f>ROUND(((H13+H15)/2)*($F15-$F13)*(1/27),0)</f>
        <v>1</v>
      </c>
    </row>
    <row r="15" spans="1:10">
      <c r="A15" s="13">
        <f>1.98+10</f>
        <v>11.98</v>
      </c>
      <c r="B15" s="13">
        <v>0</v>
      </c>
      <c r="F15" s="12">
        <v>20925</v>
      </c>
      <c r="G15" s="13">
        <v>30.1</v>
      </c>
      <c r="H15" s="13">
        <v>1.8</v>
      </c>
    </row>
    <row r="16" spans="1:10">
      <c r="C16" s="14">
        <f>ROUND((A15+A17/2)*($F17-$F15)*(1/9),0)</f>
        <v>143</v>
      </c>
      <c r="D16" s="14">
        <f>ROUND((B15+B17/2)*($F17-$F15)*(1/9),0)</f>
        <v>24</v>
      </c>
      <c r="E16" s="14">
        <f>C16+D16</f>
        <v>167</v>
      </c>
      <c r="I16" s="14">
        <f>ROUND(((G15+G17)/2)*($F17-$F15)*(1/27),0)</f>
        <v>171</v>
      </c>
      <c r="J16" s="14">
        <f>ROUND(((H15+H17)/2)*($F17-$F15)*(1/27),0)</f>
        <v>177</v>
      </c>
    </row>
    <row r="17" spans="1:10">
      <c r="A17" s="13">
        <f>10+43.8</f>
        <v>53.8</v>
      </c>
      <c r="B17" s="13">
        <f>10+3</f>
        <v>13</v>
      </c>
      <c r="F17" s="12">
        <v>20958</v>
      </c>
      <c r="G17" s="13">
        <v>249.8</v>
      </c>
      <c r="H17" s="13">
        <v>287.5</v>
      </c>
    </row>
    <row r="18" spans="1:10">
      <c r="C18" s="14">
        <f>ROUND((A17+A19/2)*($F19-$F17)*(1/9),0)</f>
        <v>179</v>
      </c>
      <c r="D18" s="14">
        <f>ROUND((B17+B19/2)*($F19-$F17)*(1/9),0)</f>
        <v>92</v>
      </c>
      <c r="E18" s="14">
        <f>C18+D18</f>
        <v>271</v>
      </c>
      <c r="I18" s="14">
        <f>ROUND(((G17+G19)/2)*($F19-$F17)*(1/27),0)</f>
        <v>175</v>
      </c>
      <c r="J18" s="14">
        <f>ROUND(((H17+H19)/2)*($F19-$F17)*(1/27),0)</f>
        <v>206</v>
      </c>
    </row>
    <row r="19" spans="1:10">
      <c r="A19" s="13">
        <v>0</v>
      </c>
      <c r="B19" s="13">
        <f>19.3+10</f>
        <v>29.3</v>
      </c>
      <c r="F19" s="12">
        <v>20988</v>
      </c>
      <c r="G19" s="13">
        <v>65.099999999999994</v>
      </c>
      <c r="H19" s="13">
        <v>82.8</v>
      </c>
    </row>
    <row r="21" spans="1:10">
      <c r="F21" s="12" t="s">
        <v>20</v>
      </c>
      <c r="G21" s="13"/>
      <c r="H21" s="13"/>
    </row>
    <row r="23" spans="1:10">
      <c r="A23" s="13">
        <f>45.9+10</f>
        <v>55.9</v>
      </c>
      <c r="B23" s="13">
        <v>0</v>
      </c>
      <c r="F23" s="12">
        <v>21193</v>
      </c>
      <c r="G23" s="13">
        <v>196.3</v>
      </c>
      <c r="H23" s="13">
        <v>251.5</v>
      </c>
    </row>
    <row r="24" spans="1:10">
      <c r="C24" s="14">
        <f>ROUND((A23+A25/2)*($F25-$F23)*(1/9),0)</f>
        <v>231</v>
      </c>
      <c r="D24" s="14">
        <f>ROUND((B23+B25/2)*($F25-$F23)*(1/9),0)</f>
        <v>41</v>
      </c>
      <c r="E24" s="14">
        <f>C24+D24</f>
        <v>272</v>
      </c>
      <c r="I24" s="14">
        <f>ROUND(((G23+G25)/2)*($F25-$F23)*(1/27),0)</f>
        <v>188</v>
      </c>
      <c r="J24" s="14">
        <f>ROUND(((H23+H25)/2)*($F25-$F23)*(1/27),0)</f>
        <v>233</v>
      </c>
    </row>
    <row r="25" spans="1:10">
      <c r="A25" s="13">
        <f>16.6+10</f>
        <v>26.6</v>
      </c>
      <c r="B25" s="13">
        <f>14.7+10</f>
        <v>24.7</v>
      </c>
      <c r="F25" s="12">
        <v>21223</v>
      </c>
      <c r="G25" s="13">
        <v>141.30000000000001</v>
      </c>
      <c r="H25" s="13">
        <v>168</v>
      </c>
    </row>
    <row r="26" spans="1:10">
      <c r="C26" s="14">
        <f>ROUND((A25+A27/2)*($F27-$F25)*(1/9),0)</f>
        <v>120</v>
      </c>
      <c r="D26" s="14">
        <f>ROUND((B25+B27/2)*($F27-$F25)*(1/9),0)</f>
        <v>97</v>
      </c>
      <c r="E26" s="14">
        <f>C26+D26</f>
        <v>217</v>
      </c>
      <c r="I26" s="14">
        <f>ROUND(((G25+G27)/2)*($F27-$F25)*(1/27),0)</f>
        <v>116</v>
      </c>
      <c r="J26" s="14">
        <f>ROUND(((H25+H27)/2)*($F27-$F25)*(1/27),0)</f>
        <v>122</v>
      </c>
    </row>
    <row r="27" spans="1:10">
      <c r="A27" s="13">
        <f>16.7+10</f>
        <v>26.7</v>
      </c>
      <c r="B27" s="13">
        <f>10+5.4</f>
        <v>15.4</v>
      </c>
      <c r="F27" s="12">
        <v>21250</v>
      </c>
      <c r="G27" s="13">
        <v>90.7</v>
      </c>
      <c r="H27" s="13">
        <v>76.7</v>
      </c>
    </row>
    <row r="28" spans="1:10">
      <c r="C28" s="14">
        <f>ROUND((A27+A29/2)*($F29-$F27)*(1/9),0)</f>
        <v>201</v>
      </c>
      <c r="D28" s="14">
        <f>ROUND((B27+B29/2)*($F29-$F27)*(1/9),0)</f>
        <v>151</v>
      </c>
      <c r="E28" s="14">
        <f>C28+D28</f>
        <v>352</v>
      </c>
      <c r="I28" s="14">
        <f>ROUND(((G27+G29)/2)*($F29-$F27)*(1/27),0)</f>
        <v>152</v>
      </c>
      <c r="J28" s="14">
        <f>ROUND(((H27+H29)/2)*($F29-$F27)*(1/27),0)</f>
        <v>128</v>
      </c>
    </row>
    <row r="29" spans="1:10">
      <c r="A29" s="13">
        <f>9+10</f>
        <v>19</v>
      </c>
      <c r="B29" s="13">
        <f>13.4+10</f>
        <v>23.4</v>
      </c>
      <c r="F29" s="12">
        <v>21300</v>
      </c>
      <c r="G29" s="13">
        <v>73.7</v>
      </c>
      <c r="H29" s="13">
        <v>62</v>
      </c>
    </row>
    <row r="30" spans="1:10">
      <c r="C30" s="14">
        <f>ROUND((A29+A31/2)*($F31-$F29)*(1/9),0)</f>
        <v>78</v>
      </c>
      <c r="D30" s="14">
        <f>ROUND((B29+B31/2)*($F31-$F29)*(1/9),0)</f>
        <v>99</v>
      </c>
      <c r="E30" s="14">
        <f>C30+D30</f>
        <v>177</v>
      </c>
      <c r="I30" s="14">
        <f>ROUND(((G29+G31)/2)*($F31-$F29)*(1/27),0)</f>
        <v>59</v>
      </c>
      <c r="J30" s="14">
        <f>ROUND(((H29+H31)/2)*($F31-$F29)*(1/27),0)</f>
        <v>46</v>
      </c>
    </row>
    <row r="31" spans="1:10">
      <c r="A31" s="13">
        <f>10+8.3</f>
        <v>18.3</v>
      </c>
      <c r="B31" s="13">
        <f>14.6+10</f>
        <v>24.6</v>
      </c>
      <c r="F31" s="12">
        <v>21325</v>
      </c>
      <c r="G31" s="13">
        <v>54.4</v>
      </c>
      <c r="H31" s="13">
        <v>38.4</v>
      </c>
    </row>
    <row r="32" spans="1:10">
      <c r="C32" s="14">
        <f>ROUND((A31+A33/2)*($F33-$F31)*(1/9),0)</f>
        <v>75</v>
      </c>
      <c r="D32" s="14">
        <f>ROUND((B31+B33/2)*($F33-$F31)*(1/9),0)</f>
        <v>93</v>
      </c>
      <c r="E32" s="14">
        <f>C32+D32</f>
        <v>168</v>
      </c>
      <c r="I32" s="14">
        <f>ROUND(((G31+G33)/2)*($F33-$F31)*(1/27),0)</f>
        <v>38</v>
      </c>
      <c r="J32" s="14">
        <f>ROUND(((H31+H33)/2)*($F33-$F31)*(1/27),0)</f>
        <v>20</v>
      </c>
    </row>
    <row r="33" spans="1:10">
      <c r="A33" s="13">
        <f>7.7+10</f>
        <v>17.7</v>
      </c>
      <c r="B33" s="13">
        <f>7.5+10</f>
        <v>17.5</v>
      </c>
      <c r="F33" s="12">
        <v>21350</v>
      </c>
      <c r="G33" s="13">
        <v>27.4</v>
      </c>
      <c r="H33" s="13">
        <v>5.8</v>
      </c>
    </row>
    <row r="34" spans="1:10">
      <c r="C34" s="14">
        <f>ROUND((A33+A35/2)*($F35-$F33)*(1/9),0)</f>
        <v>79</v>
      </c>
      <c r="D34" s="14">
        <f>ROUND((B33+B35/2)*($F35-$F33)*(1/9),0)</f>
        <v>74</v>
      </c>
      <c r="E34" s="14">
        <f>C34+D34</f>
        <v>153</v>
      </c>
      <c r="I34" s="14">
        <f>ROUND(((G33+G35)/2)*($F35-$F33)*(1/27),0)</f>
        <v>26</v>
      </c>
      <c r="J34" s="14">
        <f>ROUND(((H33+H35)/2)*($F35-$F33)*(1/27),0)</f>
        <v>6</v>
      </c>
    </row>
    <row r="35" spans="1:10">
      <c r="A35" s="13">
        <f>11.47+10</f>
        <v>21.47</v>
      </c>
      <c r="B35" s="13">
        <f>8.1+10</f>
        <v>18.100000000000001</v>
      </c>
      <c r="F35" s="12">
        <v>21375</v>
      </c>
      <c r="G35" s="13">
        <v>27.7</v>
      </c>
      <c r="H35" s="13">
        <v>8.1</v>
      </c>
    </row>
    <row r="36" spans="1:10">
      <c r="C36" s="14">
        <f>ROUND((A35+A37/2)*($F37-$F35)*(1/9),0)</f>
        <v>60</v>
      </c>
      <c r="D36" s="14">
        <f>ROUND((B35+B37/2)*($F37-$F35)*(1/9),0)</f>
        <v>50</v>
      </c>
      <c r="E36" s="14">
        <f>C36+D36</f>
        <v>110</v>
      </c>
      <c r="I36" s="14">
        <f>ROUND(((G35+G37)/2)*($F37-$F35)*(1/27),0)</f>
        <v>13</v>
      </c>
      <c r="J36" s="14">
        <f>ROUND(((H35+H37)/2)*($F37-$F35)*(1/27),0)</f>
        <v>4</v>
      </c>
    </row>
    <row r="37" spans="1:10">
      <c r="A37" s="13">
        <v>0</v>
      </c>
      <c r="B37" s="13">
        <v>0</v>
      </c>
      <c r="F37" s="12">
        <v>21400</v>
      </c>
      <c r="G37" s="13">
        <v>0</v>
      </c>
      <c r="H37" s="13">
        <v>0</v>
      </c>
    </row>
    <row r="39" spans="1:10">
      <c r="E39">
        <f>SUM(E12:E38)</f>
        <v>1950</v>
      </c>
    </row>
  </sheetData>
  <mergeCells count="10">
    <mergeCell ref="F7:F9"/>
    <mergeCell ref="A1:B5"/>
    <mergeCell ref="A8:B8"/>
    <mergeCell ref="A7:E7"/>
    <mergeCell ref="C8:E8"/>
    <mergeCell ref="G2:H2"/>
    <mergeCell ref="G4:H4"/>
    <mergeCell ref="I8:J8"/>
    <mergeCell ref="G8:H8"/>
    <mergeCell ref="G7:J7"/>
  </mergeCells>
  <pageMargins left="0.5" right="0.5" top="0.5" bottom="0.5" header="0.5" footer="0.5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ECEF1-0D24-4FA4-B3E4-E6C5A18E3770}">
  <dimension ref="A1:I38"/>
  <sheetViews>
    <sheetView view="pageBreakPreview" topLeftCell="A24" zoomScale="120" zoomScaleNormal="100" zoomScaleSheetLayoutView="120" workbookViewId="0">
      <selection activeCell="H35" sqref="H35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58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5470</v>
      </c>
      <c r="C17" s="34">
        <v>35</v>
      </c>
      <c r="D17" s="34">
        <v>0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36</v>
      </c>
      <c r="F18" s="33">
        <f>IF(B19="x",0,ROUND((AVERAGE(D19,D17))*($B19-$B17)*(1/27),0))</f>
        <v>0</v>
      </c>
      <c r="G18"/>
    </row>
    <row r="19" spans="2:7">
      <c r="B19" s="38">
        <v>5500</v>
      </c>
      <c r="C19" s="34">
        <v>30</v>
      </c>
      <c r="D19" s="34">
        <v>0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29</v>
      </c>
      <c r="F20" s="33">
        <f>IF(B21="x",0,ROUND((AVERAGE(D21,D19))*($B21-$B19)*(1/27),0))</f>
        <v>0</v>
      </c>
      <c r="G20"/>
    </row>
    <row r="21" spans="2:7">
      <c r="B21" s="38">
        <v>5525</v>
      </c>
      <c r="C21" s="34">
        <v>33</v>
      </c>
      <c r="D21" s="34">
        <v>0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22</v>
      </c>
      <c r="F22" s="33">
        <f>IF(B23="x",0,ROUND((AVERAGE(D23,D21))*($B23-$B21)*(1/27),0))</f>
        <v>0</v>
      </c>
      <c r="G22"/>
    </row>
    <row r="23" spans="2:7">
      <c r="B23" s="38">
        <v>5550</v>
      </c>
      <c r="C23" s="34">
        <v>14</v>
      </c>
      <c r="D23" s="34">
        <v>0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13</v>
      </c>
      <c r="F24" s="33">
        <f>IF(B25="x",0,ROUND((AVERAGE(D25,D23))*($B25-$B23)*(1/27),0))</f>
        <v>1</v>
      </c>
      <c r="G24"/>
    </row>
    <row r="25" spans="2:7">
      <c r="B25" s="38">
        <v>5575</v>
      </c>
      <c r="C25" s="34">
        <v>14</v>
      </c>
      <c r="D25" s="34">
        <v>3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15</v>
      </c>
      <c r="F26" s="33">
        <f>IF(B27="x",0,ROUND((AVERAGE(D27,D25))*($B27-B25)*(1/27),0))</f>
        <v>3</v>
      </c>
      <c r="G26"/>
    </row>
    <row r="27" spans="2:7">
      <c r="B27" s="38">
        <v>5600</v>
      </c>
      <c r="C27" s="34">
        <v>19</v>
      </c>
      <c r="D27" s="34">
        <v>3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18</v>
      </c>
      <c r="F28" s="33">
        <f>IF(B29="x",0,ROUND((AVERAGE(D29,D27))*($B29-B27)*(1/27),0))</f>
        <v>5</v>
      </c>
      <c r="G28"/>
    </row>
    <row r="29" spans="2:7">
      <c r="B29" s="38">
        <v>5625</v>
      </c>
      <c r="C29" s="34">
        <v>19</v>
      </c>
      <c r="D29" s="34">
        <v>8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14</v>
      </c>
      <c r="F30" s="33">
        <f>IF(B31="x",0,ROUND((AVERAGE(D31,D29))*($B31-B29)*(1/27),0))</f>
        <v>36</v>
      </c>
      <c r="G30"/>
    </row>
    <row r="31" spans="2:7">
      <c r="B31" s="38">
        <v>5650</v>
      </c>
      <c r="C31" s="34">
        <v>12</v>
      </c>
      <c r="D31" s="34">
        <v>70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85</v>
      </c>
      <c r="F32" s="33">
        <f>IF(B33="x",0,ROUND((AVERAGE(D33,D31))*($B33-B31)*(1/27),0))</f>
        <v>188</v>
      </c>
      <c r="G32"/>
    </row>
    <row r="33" spans="1:9">
      <c r="B33" s="38">
        <v>5675</v>
      </c>
      <c r="C33" s="34">
        <v>172</v>
      </c>
      <c r="D33" s="34">
        <v>337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81</v>
      </c>
      <c r="F34" s="33">
        <f>IF(B35="x",0,ROUND((AVERAGE(D35,D33))*($B35-B33)*(1/27),0))</f>
        <v>213</v>
      </c>
      <c r="G34"/>
    </row>
    <row r="35" spans="1:9">
      <c r="B35" s="38">
        <v>5700</v>
      </c>
      <c r="C35" s="34">
        <v>2</v>
      </c>
      <c r="D35" s="34">
        <v>124</v>
      </c>
      <c r="E35" s="24"/>
      <c r="F35" s="24"/>
    </row>
    <row r="36" spans="1:9">
      <c r="B36" s="23"/>
      <c r="C36" s="23"/>
      <c r="D36" s="23"/>
      <c r="E36" s="33">
        <f>IF(B37="x",0,ROUND((AVERAGE(C37,C35))*($B37-B35)*(1/27),0))</f>
        <v>14</v>
      </c>
      <c r="F36" s="33">
        <f>IF(B37="x",0,ROUND((AVERAGE(D37,D35))*($B37-B35)*(1/27),0))</f>
        <v>177</v>
      </c>
      <c r="G36"/>
    </row>
    <row r="37" spans="1:9">
      <c r="B37" s="38">
        <v>5725</v>
      </c>
      <c r="C37" s="34">
        <v>28</v>
      </c>
      <c r="D37" s="34">
        <v>259</v>
      </c>
      <c r="E37" s="24"/>
      <c r="F37" s="24"/>
      <c r="G37"/>
    </row>
    <row r="38" spans="1:9" s="20" customFormat="1">
      <c r="A38"/>
      <c r="C38" s="78" t="s">
        <v>36</v>
      </c>
      <c r="D38" s="78"/>
      <c r="E38" s="39">
        <f>SUM(E18:E37)</f>
        <v>327</v>
      </c>
      <c r="F38" s="39">
        <f>SUM(F18:F37)</f>
        <v>623</v>
      </c>
      <c r="H38"/>
      <c r="I38"/>
    </row>
  </sheetData>
  <mergeCells count="7">
    <mergeCell ref="C38:D38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8C70A-4C6A-499E-AE51-E419580E3088}">
  <dimension ref="A1:I49"/>
  <sheetViews>
    <sheetView tabSelected="1" topLeftCell="A6" workbookViewId="0">
      <selection activeCell="M13" sqref="M13"/>
    </sheetView>
  </sheetViews>
  <sheetFormatPr defaultRowHeight="14.4"/>
  <cols>
    <col min="9" max="9" width="9.109375" bestFit="1" customWidth="1"/>
  </cols>
  <sheetData>
    <row r="1" spans="1:9" ht="15">
      <c r="B1" s="20"/>
      <c r="D1" s="40" t="s">
        <v>21</v>
      </c>
      <c r="E1" s="20"/>
      <c r="F1" s="20"/>
    </row>
    <row r="2" spans="1:9" ht="15">
      <c r="B2" s="20"/>
      <c r="D2" s="41" t="s">
        <v>22</v>
      </c>
      <c r="E2" s="20"/>
      <c r="F2" s="20"/>
    </row>
    <row r="3" spans="1:9" ht="15">
      <c r="B3" s="20"/>
      <c r="C3" s="20"/>
      <c r="D3" s="41" t="s">
        <v>23</v>
      </c>
    </row>
    <row r="4" spans="1:9" ht="15">
      <c r="B4" s="20"/>
      <c r="C4" s="20"/>
      <c r="D4" s="41" t="s">
        <v>24</v>
      </c>
    </row>
    <row r="5" spans="1:9" ht="15">
      <c r="B5" s="20"/>
      <c r="C5" s="20"/>
      <c r="D5" s="41" t="s">
        <v>25</v>
      </c>
    </row>
    <row r="6" spans="1:9">
      <c r="B6" s="20"/>
      <c r="C6" s="20"/>
    </row>
    <row r="7" spans="1:9" ht="15">
      <c r="B7" s="1" t="s">
        <v>59</v>
      </c>
      <c r="C7" s="40"/>
      <c r="D7" s="40"/>
      <c r="E7" s="40"/>
      <c r="F7" s="3" t="s">
        <v>2</v>
      </c>
      <c r="G7" s="42" t="s">
        <v>30</v>
      </c>
      <c r="H7" s="3" t="s">
        <v>3</v>
      </c>
      <c r="I7" s="4">
        <v>45342</v>
      </c>
    </row>
    <row r="8" spans="1:9" ht="15">
      <c r="B8" s="1" t="s">
        <v>60</v>
      </c>
      <c r="C8" s="40"/>
      <c r="D8" s="40"/>
      <c r="E8" s="40"/>
      <c r="F8" s="43"/>
      <c r="G8" s="6"/>
      <c r="H8" s="6"/>
      <c r="I8" s="6"/>
    </row>
    <row r="9" spans="1:9">
      <c r="B9" s="20"/>
      <c r="F9" s="3" t="s">
        <v>7</v>
      </c>
      <c r="G9" s="7"/>
      <c r="H9" s="3" t="s">
        <v>3</v>
      </c>
      <c r="I9" s="4"/>
    </row>
    <row r="10" spans="1:9">
      <c r="B10" s="20"/>
      <c r="F10" s="20"/>
      <c r="G10" s="20"/>
    </row>
    <row r="11" spans="1:9">
      <c r="A11" t="s">
        <v>61</v>
      </c>
    </row>
    <row r="12" spans="1:9">
      <c r="A12" t="s">
        <v>62</v>
      </c>
      <c r="E12" s="44">
        <f>282112/9</f>
        <v>31345.777777777777</v>
      </c>
      <c r="F12" s="45" t="s">
        <v>45</v>
      </c>
    </row>
    <row r="13" spans="1:9">
      <c r="D13" s="46"/>
    </row>
    <row r="14" spans="1:9">
      <c r="A14" s="2" t="s">
        <v>63</v>
      </c>
      <c r="G14" s="47">
        <f>E12</f>
        <v>31345.777777777777</v>
      </c>
      <c r="H14" s="48" t="s">
        <v>45</v>
      </c>
    </row>
    <row r="15" spans="1:9">
      <c r="G15" s="20"/>
    </row>
    <row r="16" spans="1:9">
      <c r="A16" s="2" t="s">
        <v>64</v>
      </c>
    </row>
    <row r="17" spans="1:8">
      <c r="A17" t="s">
        <v>65</v>
      </c>
    </row>
    <row r="18" spans="1:8">
      <c r="A18" t="s">
        <v>66</v>
      </c>
      <c r="B18" s="49">
        <f>E12</f>
        <v>31345.777777777777</v>
      </c>
      <c r="C18" s="50" t="s">
        <v>67</v>
      </c>
      <c r="G18" s="51">
        <f>111*B18/1000</f>
        <v>3479.3813333333337</v>
      </c>
      <c r="H18" s="48" t="s">
        <v>40</v>
      </c>
    </row>
    <row r="20" spans="1:8">
      <c r="A20" s="2" t="s">
        <v>68</v>
      </c>
    </row>
    <row r="21" spans="1:8">
      <c r="A21" t="s">
        <v>69</v>
      </c>
      <c r="G21" s="52">
        <f>IF(G18&lt;20000,2,ROUNDUP(G18/10000,0))</f>
        <v>2</v>
      </c>
      <c r="H21" s="48" t="s">
        <v>70</v>
      </c>
    </row>
    <row r="23" spans="1:8">
      <c r="A23" s="2" t="s">
        <v>71</v>
      </c>
    </row>
    <row r="24" spans="1:8">
      <c r="A24" t="s">
        <v>72</v>
      </c>
    </row>
    <row r="25" spans="1:8">
      <c r="A25" t="s">
        <v>73</v>
      </c>
      <c r="B25" s="49">
        <f>E12</f>
        <v>31345.777777777777</v>
      </c>
      <c r="C25" s="50" t="s">
        <v>74</v>
      </c>
      <c r="E25" s="53">
        <f>30*B25*9/1000/2000</f>
        <v>4.2316799999999999</v>
      </c>
    </row>
    <row r="26" spans="1:8">
      <c r="A26" t="s">
        <v>75</v>
      </c>
    </row>
    <row r="27" spans="1:8">
      <c r="A27" t="s">
        <v>76</v>
      </c>
      <c r="B27" s="49">
        <f>G37</f>
        <v>1567.288888888889</v>
      </c>
      <c r="C27" s="50" t="s">
        <v>74</v>
      </c>
      <c r="E27" s="53">
        <f>20*B27*9/1000/2000</f>
        <v>0.14105600000000001</v>
      </c>
      <c r="G27" s="54">
        <f>E25+E27</f>
        <v>4.3727359999999997</v>
      </c>
      <c r="H27" s="48" t="s">
        <v>77</v>
      </c>
    </row>
    <row r="29" spans="1:8">
      <c r="A29" s="2" t="s">
        <v>78</v>
      </c>
    </row>
    <row r="30" spans="1:8">
      <c r="A30" t="s">
        <v>79</v>
      </c>
    </row>
    <row r="31" spans="1:8">
      <c r="A31" s="49">
        <f>E12</f>
        <v>31345.777777777777</v>
      </c>
      <c r="B31" t="s">
        <v>80</v>
      </c>
      <c r="E31" s="55">
        <f>A31*9/1000*2*300/1000</f>
        <v>169.2672</v>
      </c>
      <c r="F31" t="s">
        <v>81</v>
      </c>
    </row>
    <row r="32" spans="1:8">
      <c r="A32" t="s">
        <v>82</v>
      </c>
    </row>
    <row r="33" spans="1:8">
      <c r="A33" s="56">
        <f>G37</f>
        <v>1567.288888888889</v>
      </c>
      <c r="B33" t="s">
        <v>83</v>
      </c>
      <c r="E33" s="55">
        <f>A33*9/1000*300/1000</f>
        <v>4.2316799999999999</v>
      </c>
      <c r="F33" t="s">
        <v>81</v>
      </c>
      <c r="G33" s="51">
        <f>E31+E33</f>
        <v>173.49888000000001</v>
      </c>
      <c r="H33" s="48" t="s">
        <v>84</v>
      </c>
    </row>
    <row r="35" spans="1:8">
      <c r="A35" s="2" t="s">
        <v>85</v>
      </c>
    </row>
    <row r="36" spans="1:8">
      <c r="A36" t="s">
        <v>86</v>
      </c>
    </row>
    <row r="37" spans="1:8">
      <c r="A37" t="s">
        <v>87</v>
      </c>
      <c r="B37" s="49">
        <f>E12</f>
        <v>31345.777777777777</v>
      </c>
      <c r="C37" t="s">
        <v>88</v>
      </c>
      <c r="G37" s="51">
        <f>0.05*B37</f>
        <v>1567.288888888889</v>
      </c>
      <c r="H37" s="48" t="s">
        <v>45</v>
      </c>
    </row>
    <row r="39" spans="1:8">
      <c r="A39" s="2" t="s">
        <v>89</v>
      </c>
    </row>
    <row r="40" spans="1:8">
      <c r="A40" s="49">
        <f>E12</f>
        <v>31345.777777777777</v>
      </c>
      <c r="B40" t="s">
        <v>90</v>
      </c>
      <c r="G40" s="54">
        <f>A40*9/43560</f>
        <v>6.4764003673094583</v>
      </c>
      <c r="H40" s="48" t="s">
        <v>91</v>
      </c>
    </row>
    <row r="42" spans="1:8">
      <c r="A42" s="2" t="s">
        <v>92</v>
      </c>
    </row>
    <row r="43" spans="1:8">
      <c r="A43" t="s">
        <v>86</v>
      </c>
    </row>
    <row r="44" spans="1:8">
      <c r="A44" t="s">
        <v>87</v>
      </c>
      <c r="B44" s="49">
        <f>E12</f>
        <v>31345.777777777777</v>
      </c>
      <c r="C44" t="s">
        <v>88</v>
      </c>
      <c r="G44" s="51">
        <f>0.05*B44</f>
        <v>1567.288888888889</v>
      </c>
      <c r="H44" s="48" t="s">
        <v>45</v>
      </c>
    </row>
    <row r="46" spans="1:8">
      <c r="A46" s="2" t="s">
        <v>108</v>
      </c>
    </row>
    <row r="47" spans="1:8">
      <c r="A47" t="s">
        <v>109</v>
      </c>
    </row>
    <row r="48" spans="1:8">
      <c r="A48" s="49">
        <f>E12</f>
        <v>31345.777777777777</v>
      </c>
      <c r="B48" t="s">
        <v>110</v>
      </c>
      <c r="G48" s="103">
        <f>A48*9/1000000</f>
        <v>0.28211199999999997</v>
      </c>
      <c r="H48" s="48" t="s">
        <v>111</v>
      </c>
    </row>
    <row r="49" spans="7:7">
      <c r="G49">
        <f>E12/2000</f>
        <v>15.672888888888888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5A8BA-0F19-4283-A830-9375FA92A3B3}">
  <dimension ref="A1:I36"/>
  <sheetViews>
    <sheetView view="pageBreakPreview" topLeftCell="A23" zoomScale="120" zoomScaleNormal="100" zoomScaleSheetLayoutView="120" workbookViewId="0">
      <selection activeCell="H33" sqref="H32:H33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93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2150</v>
      </c>
      <c r="C17" s="34">
        <v>10</v>
      </c>
      <c r="D17" s="34">
        <v>399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8</v>
      </c>
      <c r="F18" s="33">
        <f>IF(B19="x",0,ROUND((AVERAGE(D19,D17))*($B19-$B17)*(1/27),0))</f>
        <v>347</v>
      </c>
      <c r="G18"/>
    </row>
    <row r="19" spans="2:7">
      <c r="B19" s="38">
        <v>2175</v>
      </c>
      <c r="C19" s="34">
        <v>8</v>
      </c>
      <c r="D19" s="34">
        <v>351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13</v>
      </c>
      <c r="F20" s="33">
        <f>IF(B21="x",0,ROUND((AVERAGE(D21,D19))*($B21-$B19)*(1/27),0))</f>
        <v>269</v>
      </c>
      <c r="G20"/>
    </row>
    <row r="21" spans="2:7">
      <c r="B21" s="38">
        <v>2200</v>
      </c>
      <c r="C21" s="34">
        <v>21</v>
      </c>
      <c r="D21" s="34">
        <v>229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53</v>
      </c>
      <c r="F22" s="33">
        <f>IF(B23="x",0,ROUND((AVERAGE(D23,D21))*($B23-$B21)*(1/27),0))</f>
        <v>188</v>
      </c>
      <c r="G22"/>
    </row>
    <row r="23" spans="2:7">
      <c r="B23" s="38">
        <v>2225</v>
      </c>
      <c r="C23" s="34">
        <v>94</v>
      </c>
      <c r="D23" s="34">
        <v>176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94</v>
      </c>
      <c r="F24" s="33">
        <f>IF(B25="x",0,ROUND((AVERAGE(D25,D23))*($B25-$B23)*(1/27),0))</f>
        <v>142</v>
      </c>
      <c r="G24"/>
    </row>
    <row r="25" spans="2:7">
      <c r="B25" s="38">
        <v>2250</v>
      </c>
      <c r="C25" s="34">
        <v>110</v>
      </c>
      <c r="D25" s="34">
        <v>130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118</v>
      </c>
      <c r="F26" s="33">
        <f>IF(B27="x",0,ROUND((AVERAGE(D27,D25))*($B27-B25)*(1/27),0))</f>
        <v>128</v>
      </c>
      <c r="G26"/>
    </row>
    <row r="27" spans="2:7">
      <c r="B27" s="38">
        <v>2275</v>
      </c>
      <c r="C27" s="34">
        <v>144</v>
      </c>
      <c r="D27" s="34">
        <v>147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81</v>
      </c>
      <c r="F28" s="33">
        <f>IF(B29="x",0,ROUND((AVERAGE(D29,D27))*($B29-B27)*(1/27),0))</f>
        <v>69</v>
      </c>
      <c r="G28"/>
    </row>
    <row r="29" spans="2:7">
      <c r="B29" s="38">
        <v>2300</v>
      </c>
      <c r="C29" s="34">
        <v>31</v>
      </c>
      <c r="D29" s="34">
        <v>1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28</v>
      </c>
      <c r="F30" s="33">
        <f>IF(B31="x",0,ROUND((AVERAGE(D31,D29))*($B31-B29)*(1/27),0))</f>
        <v>0</v>
      </c>
      <c r="G30"/>
    </row>
    <row r="31" spans="2:7">
      <c r="B31" s="38">
        <v>2325</v>
      </c>
      <c r="C31" s="34">
        <v>30</v>
      </c>
      <c r="D31" s="34">
        <v>0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27</v>
      </c>
      <c r="F32" s="33">
        <f>IF(B33="x",0,ROUND((AVERAGE(D33,D31))*($B33-B31)*(1/27),0))</f>
        <v>0</v>
      </c>
      <c r="G32"/>
    </row>
    <row r="33" spans="1:9">
      <c r="B33" s="38">
        <v>2350</v>
      </c>
      <c r="C33" s="34">
        <v>28</v>
      </c>
      <c r="D33" s="34">
        <v>1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29</v>
      </c>
      <c r="F34" s="33">
        <f>IF(B35="x",0,ROUND((AVERAGE(D35,D33))*($B35-B33)*(1/27),0))</f>
        <v>5</v>
      </c>
      <c r="G34"/>
    </row>
    <row r="35" spans="1:9">
      <c r="B35" s="38">
        <v>2380</v>
      </c>
      <c r="C35" s="34">
        <v>25</v>
      </c>
      <c r="D35" s="34">
        <v>8</v>
      </c>
      <c r="E35" s="24"/>
      <c r="F35" s="24"/>
    </row>
    <row r="36" spans="1:9" s="20" customFormat="1">
      <c r="A36"/>
      <c r="C36" s="78" t="s">
        <v>36</v>
      </c>
      <c r="D36" s="78"/>
      <c r="E36" s="39">
        <f>SUM(E18:E35)</f>
        <v>451</v>
      </c>
      <c r="F36" s="39">
        <f>SUM(F18:F35)</f>
        <v>1148</v>
      </c>
      <c r="H36"/>
      <c r="I36"/>
    </row>
  </sheetData>
  <mergeCells count="7">
    <mergeCell ref="C36:D36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F3473-5155-4889-B099-9D8F72C2BF9F}">
  <dimension ref="A1:I42"/>
  <sheetViews>
    <sheetView view="pageBreakPreview" topLeftCell="A33" zoomScale="120" zoomScaleNormal="100" zoomScaleSheetLayoutView="120" workbookViewId="0">
      <selection activeCell="H18" sqref="H18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94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6200</v>
      </c>
      <c r="C17" s="34">
        <v>44</v>
      </c>
      <c r="D17" s="34">
        <v>282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30</v>
      </c>
      <c r="F18" s="33">
        <f>IF(B19="x",0,ROUND((AVERAGE(D19,D17))*($B19-$B17)*(1/27),0))</f>
        <v>268</v>
      </c>
      <c r="G18"/>
    </row>
    <row r="19" spans="2:7">
      <c r="B19" s="38">
        <v>6225</v>
      </c>
      <c r="C19" s="34">
        <v>21</v>
      </c>
      <c r="D19" s="34">
        <v>297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18</v>
      </c>
      <c r="F20" s="33">
        <f>IF(B21="x",0,ROUND((AVERAGE(D21,D19))*($B21-$B19)*(1/27),0))</f>
        <v>246</v>
      </c>
      <c r="G20"/>
    </row>
    <row r="21" spans="2:7">
      <c r="B21" s="38">
        <v>6250</v>
      </c>
      <c r="C21" s="34">
        <v>17</v>
      </c>
      <c r="D21" s="34">
        <v>235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18</v>
      </c>
      <c r="F22" s="33">
        <f>IF(B23="x",0,ROUND((AVERAGE(D23,D21))*($B23-$B21)*(1/27),0))</f>
        <v>181</v>
      </c>
      <c r="G22"/>
    </row>
    <row r="23" spans="2:7">
      <c r="B23" s="38">
        <v>6275</v>
      </c>
      <c r="C23" s="34">
        <v>22</v>
      </c>
      <c r="D23" s="34">
        <v>156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26</v>
      </c>
      <c r="F24" s="33">
        <f>IF(B25="x",0,ROUND((AVERAGE(D25,D23))*($B25-$B23)*(1/27),0))</f>
        <v>101</v>
      </c>
      <c r="G24"/>
    </row>
    <row r="25" spans="2:7">
      <c r="B25" s="38">
        <v>6300</v>
      </c>
      <c r="C25" s="34">
        <v>35</v>
      </c>
      <c r="D25" s="34">
        <v>63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36</v>
      </c>
      <c r="F26" s="33">
        <f>IF(B27="x",0,ROUND((AVERAGE(D27,D25))*($B27-B25)*(1/27),0))</f>
        <v>41</v>
      </c>
      <c r="G26"/>
    </row>
    <row r="27" spans="2:7">
      <c r="B27" s="38">
        <v>6325</v>
      </c>
      <c r="C27" s="34">
        <v>43</v>
      </c>
      <c r="D27" s="34">
        <v>26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38</v>
      </c>
      <c r="F28" s="33">
        <f>IF(B29="x",0,ROUND((AVERAGE(D29,D27))*($B29-B27)*(1/27),0))</f>
        <v>19</v>
      </c>
      <c r="G28"/>
    </row>
    <row r="29" spans="2:7">
      <c r="B29" s="38">
        <v>6350</v>
      </c>
      <c r="C29" s="34">
        <v>39</v>
      </c>
      <c r="D29" s="34">
        <v>16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26</v>
      </c>
      <c r="F30" s="33">
        <f>IF(B31="x",0,ROUND((AVERAGE(D31,D29))*($B31-B29)*(1/27),0))</f>
        <v>16</v>
      </c>
      <c r="G30"/>
    </row>
    <row r="31" spans="2:7">
      <c r="B31" s="38">
        <v>6375</v>
      </c>
      <c r="C31" s="34">
        <v>17</v>
      </c>
      <c r="D31" s="34">
        <v>19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14</v>
      </c>
      <c r="F32" s="33">
        <f>IF(B33="x",0,ROUND((AVERAGE(D33,D31))*($B33-B31)*(1/27),0))</f>
        <v>14</v>
      </c>
      <c r="G32"/>
    </row>
    <row r="33" spans="1:9">
      <c r="B33" s="38">
        <v>6400</v>
      </c>
      <c r="C33" s="34">
        <v>14</v>
      </c>
      <c r="D33" s="34">
        <v>12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13</v>
      </c>
      <c r="F34" s="33">
        <f>IF(B35="x",0,ROUND((AVERAGE(D35,D33))*($B35-B33)*(1/27),0))</f>
        <v>10</v>
      </c>
      <c r="G34"/>
    </row>
    <row r="35" spans="1:9">
      <c r="B35" s="38">
        <v>6425</v>
      </c>
      <c r="C35" s="34">
        <v>15</v>
      </c>
      <c r="D35" s="34">
        <v>9</v>
      </c>
      <c r="E35" s="24"/>
      <c r="F35" s="24"/>
    </row>
    <row r="36" spans="1:9">
      <c r="B36" s="23"/>
      <c r="C36" s="23"/>
      <c r="D36" s="23"/>
      <c r="E36" s="33">
        <f>IF(B37="x",0,ROUND((AVERAGE(C37,C35))*($B37-B35)*(1/27),0))</f>
        <v>14</v>
      </c>
      <c r="F36" s="33">
        <f>IF(B37="x",0,ROUND((AVERAGE(D37,D35))*($B37-B35)*(1/27),0))</f>
        <v>51</v>
      </c>
      <c r="G36"/>
    </row>
    <row r="37" spans="1:9">
      <c r="B37" s="38">
        <v>6450</v>
      </c>
      <c r="C37" s="34">
        <v>16</v>
      </c>
      <c r="D37" s="34">
        <v>101</v>
      </c>
      <c r="E37" s="24"/>
      <c r="F37" s="24"/>
      <c r="G37"/>
    </row>
    <row r="38" spans="1:9" s="20" customFormat="1">
      <c r="A38"/>
      <c r="B38" s="23"/>
      <c r="C38" s="23"/>
      <c r="D38" s="23"/>
      <c r="E38" s="33">
        <f t="shared" ref="E38" si="0">IF(B39="x",0,ROUND((AVERAGE(C39,C37))*($B39-B37)*(1/27),0))</f>
        <v>16</v>
      </c>
      <c r="F38" s="33">
        <f t="shared" ref="F38" si="1">IF(B39="x",0,ROUND((AVERAGE(D39,D37))*($B39-B37)*(1/27),0))</f>
        <v>94</v>
      </c>
      <c r="H38"/>
      <c r="I38"/>
    </row>
    <row r="39" spans="1:9">
      <c r="B39" s="38">
        <v>6475</v>
      </c>
      <c r="C39" s="34">
        <v>19</v>
      </c>
      <c r="D39" s="34">
        <v>103</v>
      </c>
      <c r="E39" s="24"/>
      <c r="F39" s="24"/>
    </row>
    <row r="40" spans="1:9">
      <c r="B40" s="23"/>
      <c r="C40" s="23"/>
      <c r="D40" s="23"/>
      <c r="E40" s="33">
        <f t="shared" ref="E40" si="2">IF(B41="x",0,ROUND((AVERAGE(C41,C39))*($B41-B39)*(1/27),0))</f>
        <v>19</v>
      </c>
      <c r="F40" s="33">
        <f t="shared" ref="F40" si="3">IF(B41="x",0,ROUND((AVERAGE(D41,D39))*($B41-B39)*(1/27),0))</f>
        <v>49</v>
      </c>
    </row>
    <row r="41" spans="1:9">
      <c r="B41" s="38">
        <v>6500</v>
      </c>
      <c r="C41" s="34">
        <v>21</v>
      </c>
      <c r="D41" s="34">
        <v>2</v>
      </c>
      <c r="E41" s="24"/>
      <c r="F41" s="24"/>
    </row>
    <row r="42" spans="1:9">
      <c r="C42" s="78" t="s">
        <v>36</v>
      </c>
      <c r="D42" s="78"/>
      <c r="E42" s="39">
        <f>SUM(E18:E40)</f>
        <v>268</v>
      </c>
      <c r="F42" s="39">
        <f>SUM(F18:F40)</f>
        <v>1090</v>
      </c>
    </row>
  </sheetData>
  <mergeCells count="7">
    <mergeCell ref="C42:D42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980D-171F-4CC9-9369-49B9D780267E}">
  <dimension ref="A1:I41"/>
  <sheetViews>
    <sheetView view="pageBreakPreview" topLeftCell="A21" zoomScale="120" zoomScaleNormal="100" zoomScaleSheetLayoutView="120" workbookViewId="0">
      <selection activeCell="H35" sqref="H35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C14" s="80" t="s">
        <v>95</v>
      </c>
      <c r="D14" s="80"/>
      <c r="E14" s="99" t="s">
        <v>96</v>
      </c>
      <c r="F14" s="100"/>
      <c r="G14" s="21"/>
    </row>
    <row r="15" spans="2:9" ht="15.75" customHeight="1">
      <c r="C15" s="80"/>
      <c r="D15" s="80"/>
      <c r="E15" s="97" t="s">
        <v>35</v>
      </c>
      <c r="F15" s="98"/>
      <c r="G15"/>
    </row>
    <row r="16" spans="2:9">
      <c r="C16" s="80"/>
      <c r="D16" s="80"/>
      <c r="E16" s="37" t="s">
        <v>18</v>
      </c>
      <c r="F16" s="37" t="s">
        <v>19</v>
      </c>
      <c r="G16"/>
    </row>
    <row r="17" spans="3:7">
      <c r="C17" s="96" t="s">
        <v>97</v>
      </c>
      <c r="D17" s="96"/>
      <c r="E17" s="57">
        <f>'Earthwork - XS001_SR682_S'!E52</f>
        <v>426</v>
      </c>
      <c r="F17" s="57">
        <f>'Earthwork - XS001_SR682_S'!F52</f>
        <v>793</v>
      </c>
      <c r="G17"/>
    </row>
    <row r="18" spans="3:7">
      <c r="C18" s="92"/>
      <c r="D18" s="93"/>
      <c r="E18" s="23"/>
      <c r="F18" s="23"/>
      <c r="G18"/>
    </row>
    <row r="19" spans="3:7">
      <c r="C19" s="96" t="s">
        <v>98</v>
      </c>
      <c r="D19" s="96"/>
      <c r="E19" s="57">
        <f>'Earthwork - XS002_RNDABT_S'!E60</f>
        <v>1578</v>
      </c>
      <c r="F19" s="57">
        <f>'Earthwork - XS002_RNDABT_S'!F60</f>
        <v>10084</v>
      </c>
      <c r="G19"/>
    </row>
    <row r="20" spans="3:7">
      <c r="C20" s="92"/>
      <c r="D20" s="93"/>
      <c r="E20" s="23"/>
      <c r="F20" s="23"/>
      <c r="G20"/>
    </row>
    <row r="21" spans="3:7">
      <c r="C21" s="96" t="s">
        <v>99</v>
      </c>
      <c r="D21" s="96"/>
      <c r="E21" s="57">
        <f>'Earthwork - XS003_XSR682'!E40</f>
        <v>1057</v>
      </c>
      <c r="F21" s="57">
        <f>'Earthwork - XS003_XSR682'!F40</f>
        <v>1365</v>
      </c>
      <c r="G21"/>
    </row>
    <row r="22" spans="3:7">
      <c r="C22" s="92"/>
      <c r="D22" s="93"/>
      <c r="E22" s="23"/>
      <c r="F22" s="23"/>
      <c r="G22"/>
    </row>
    <row r="23" spans="3:7">
      <c r="C23" s="96" t="s">
        <v>100</v>
      </c>
      <c r="D23" s="96"/>
      <c r="E23" s="57">
        <f>'Earthwork - XS004_RNDABT_N'!E60</f>
        <v>2295</v>
      </c>
      <c r="F23" s="57">
        <f>'Earthwork - XS004_RNDABT_N'!F60</f>
        <v>10768</v>
      </c>
      <c r="G23"/>
    </row>
    <row r="24" spans="3:7">
      <c r="C24" s="92"/>
      <c r="D24" s="93"/>
      <c r="E24" s="23"/>
      <c r="F24" s="23"/>
      <c r="G24"/>
    </row>
    <row r="25" spans="3:7">
      <c r="C25" s="96" t="s">
        <v>101</v>
      </c>
      <c r="D25" s="96"/>
      <c r="E25" s="57">
        <f>'Earthwork - XS005_SR682_N'!E42</f>
        <v>561</v>
      </c>
      <c r="F25" s="57">
        <f>'Earthwork - XS005_SR682_N'!F42</f>
        <v>355</v>
      </c>
      <c r="G25"/>
    </row>
    <row r="26" spans="3:7">
      <c r="C26" s="92"/>
      <c r="D26" s="93"/>
      <c r="E26" s="23"/>
      <c r="F26" s="23"/>
      <c r="G26"/>
    </row>
    <row r="27" spans="3:7">
      <c r="C27" s="96" t="s">
        <v>102</v>
      </c>
      <c r="D27" s="96"/>
      <c r="E27" s="57">
        <f>'Earthwork - XS006_SUNSET_LN'!E32</f>
        <v>127</v>
      </c>
      <c r="F27" s="57">
        <f>'Earthwork - XS006_SUNSET_LN'!F32</f>
        <v>165</v>
      </c>
      <c r="G27"/>
    </row>
    <row r="28" spans="3:7">
      <c r="C28" s="92"/>
      <c r="D28" s="93"/>
      <c r="E28" s="23"/>
      <c r="F28" s="23"/>
      <c r="G28"/>
    </row>
    <row r="29" spans="3:7">
      <c r="C29" s="96" t="s">
        <v>103</v>
      </c>
      <c r="D29" s="96"/>
      <c r="E29" s="57">
        <f>'Earthwork - XS007_TR_662'!E40</f>
        <v>495</v>
      </c>
      <c r="F29" s="57">
        <f>'Earthwork - XS007_TR_662'!F40</f>
        <v>243</v>
      </c>
      <c r="G29"/>
    </row>
    <row r="30" spans="3:7">
      <c r="C30" s="92"/>
      <c r="D30" s="93"/>
      <c r="E30" s="23"/>
      <c r="F30" s="23"/>
      <c r="G30"/>
    </row>
    <row r="31" spans="3:7">
      <c r="C31" s="96" t="s">
        <v>104</v>
      </c>
      <c r="D31" s="96"/>
      <c r="E31" s="57">
        <f>'Earthwork - XS008_RAMP_A'!E58</f>
        <v>2013</v>
      </c>
      <c r="F31" s="57">
        <f>'Earthwork - XS008_RAMP_A'!F58</f>
        <v>4783</v>
      </c>
      <c r="G31"/>
    </row>
    <row r="32" spans="3:7">
      <c r="C32" s="92"/>
      <c r="D32" s="93"/>
      <c r="E32" s="23"/>
      <c r="F32" s="23"/>
      <c r="G32"/>
    </row>
    <row r="33" spans="1:9">
      <c r="C33" s="101" t="s">
        <v>105</v>
      </c>
      <c r="D33" s="102"/>
      <c r="E33" s="57">
        <f>'Earthwork - XS009_RAMP_B'!E38</f>
        <v>327</v>
      </c>
      <c r="F33" s="57">
        <f>'Earthwork - XS009_RAMP_B'!F38</f>
        <v>623</v>
      </c>
      <c r="G33"/>
    </row>
    <row r="34" spans="1:9">
      <c r="C34" s="92"/>
      <c r="D34" s="93"/>
      <c r="E34" s="23"/>
      <c r="F34" s="23"/>
      <c r="G34"/>
    </row>
    <row r="35" spans="1:9">
      <c r="C35" s="96" t="s">
        <v>106</v>
      </c>
      <c r="D35" s="96"/>
      <c r="E35" s="57">
        <f>'Earthwork - XS010_RAMP_C'!E36</f>
        <v>451</v>
      </c>
      <c r="F35" s="57">
        <f>'Earthwork - XS010_RAMP_C'!F36</f>
        <v>1148</v>
      </c>
      <c r="G35"/>
    </row>
    <row r="36" spans="1:9">
      <c r="C36" s="92"/>
      <c r="D36" s="93"/>
      <c r="E36" s="23"/>
      <c r="F36" s="23"/>
      <c r="G36"/>
    </row>
    <row r="37" spans="1:9">
      <c r="C37" s="96" t="s">
        <v>107</v>
      </c>
      <c r="D37" s="96"/>
      <c r="E37" s="57">
        <f>'Earthwork - XS011_RAMP_D'!E42</f>
        <v>268</v>
      </c>
      <c r="F37" s="57">
        <f>'Earthwork - XS011_RAMP_D'!F42</f>
        <v>1090</v>
      </c>
      <c r="G37"/>
    </row>
    <row r="38" spans="1:9" s="20" customFormat="1">
      <c r="C38" s="94" t="s">
        <v>36</v>
      </c>
      <c r="D38" s="95"/>
      <c r="E38" s="39">
        <f>SUM(E17:E37)</f>
        <v>9598</v>
      </c>
      <c r="F38" s="39">
        <f>SUM(F17:F37)</f>
        <v>31417</v>
      </c>
      <c r="H38"/>
      <c r="I38"/>
    </row>
    <row r="41" spans="1:9" s="20" customFormat="1">
      <c r="A41"/>
      <c r="C41"/>
      <c r="D41" t="s">
        <v>37</v>
      </c>
      <c r="E41"/>
      <c r="H41"/>
      <c r="I41"/>
    </row>
  </sheetData>
  <mergeCells count="27">
    <mergeCell ref="C34:D34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33:D33"/>
    <mergeCell ref="C11:E11"/>
    <mergeCell ref="C12:E12"/>
    <mergeCell ref="C28:D28"/>
    <mergeCell ref="C38:D38"/>
    <mergeCell ref="C14:D16"/>
    <mergeCell ref="C17:D17"/>
    <mergeCell ref="C18:D18"/>
    <mergeCell ref="C19:D19"/>
    <mergeCell ref="C20:D20"/>
    <mergeCell ref="C21:D21"/>
    <mergeCell ref="C22:D22"/>
    <mergeCell ref="C35:D35"/>
    <mergeCell ref="C36:D36"/>
    <mergeCell ref="C37:D37"/>
    <mergeCell ref="E15:F15"/>
    <mergeCell ref="E14:F14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DD11-2544-4B5F-9B30-74B1FFACBA9B}">
  <dimension ref="B1:I55"/>
  <sheetViews>
    <sheetView view="pageBreakPreview" topLeftCell="A42" zoomScale="120" zoomScaleNormal="100" zoomScaleSheetLayoutView="120" workbookViewId="0">
      <selection activeCell="G55" sqref="G55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33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41275</v>
      </c>
      <c r="C17" s="34">
        <v>0</v>
      </c>
      <c r="D17" s="34">
        <v>0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3</v>
      </c>
      <c r="F18" s="33">
        <f>IF(B19="x",0,ROUND((AVERAGE(D19,D17))*($B19-$B17)*(1/27),0))</f>
        <v>0</v>
      </c>
      <c r="G18"/>
    </row>
    <row r="19" spans="2:7">
      <c r="B19" s="38">
        <v>41290</v>
      </c>
      <c r="C19" s="34">
        <v>10</v>
      </c>
      <c r="D19" s="34">
        <v>1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3</v>
      </c>
      <c r="F20" s="33">
        <f>IF(B21="x",0,ROUND((AVERAGE(D21,D19))*($B21-$B19)*(1/27),0))</f>
        <v>1</v>
      </c>
      <c r="G20"/>
    </row>
    <row r="21" spans="2:7">
      <c r="B21" s="38">
        <v>41300</v>
      </c>
      <c r="C21" s="34">
        <v>7</v>
      </c>
      <c r="D21" s="34">
        <v>2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6</v>
      </c>
      <c r="F22" s="33">
        <f>IF(B23="x",0,ROUND((AVERAGE(D23,D21))*($B23-$B21)*(1/27),0))</f>
        <v>1</v>
      </c>
      <c r="G22"/>
    </row>
    <row r="23" spans="2:7">
      <c r="B23" s="38">
        <v>41325</v>
      </c>
      <c r="C23" s="34">
        <v>6</v>
      </c>
      <c r="D23" s="34">
        <v>0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6</v>
      </c>
      <c r="F24" s="33">
        <f>IF(B25="x",0,ROUND((AVERAGE(D25,D23))*($B25-$B23)*(1/27),0))</f>
        <v>0</v>
      </c>
      <c r="G24"/>
    </row>
    <row r="25" spans="2:7">
      <c r="B25" s="38">
        <v>41350</v>
      </c>
      <c r="C25" s="34">
        <v>8</v>
      </c>
      <c r="D25" s="34">
        <v>1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6</v>
      </c>
      <c r="F26" s="33">
        <f>IF(B27="x",0,ROUND((AVERAGE(D27,D25))*($B27-B25)*(1/27),0))</f>
        <v>2</v>
      </c>
      <c r="G26"/>
    </row>
    <row r="27" spans="2:7">
      <c r="B27" s="38">
        <v>41375</v>
      </c>
      <c r="C27" s="34">
        <v>4</v>
      </c>
      <c r="D27" s="34">
        <v>4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4</v>
      </c>
      <c r="F28" s="33">
        <f>IF(B29="x",0,ROUND((AVERAGE(D29,D27))*($B29-B27)*(1/27),0))</f>
        <v>3</v>
      </c>
      <c r="G28"/>
    </row>
    <row r="29" spans="2:7">
      <c r="B29" s="38">
        <v>41400</v>
      </c>
      <c r="C29" s="34">
        <v>4</v>
      </c>
      <c r="D29" s="34">
        <v>3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4</v>
      </c>
      <c r="F30" s="33">
        <f>IF(B31="x",0,ROUND((AVERAGE(D31,D29))*($B31-B29)*(1/27),0))</f>
        <v>3</v>
      </c>
      <c r="G30"/>
    </row>
    <row r="31" spans="2:7">
      <c r="B31" s="38">
        <v>41425</v>
      </c>
      <c r="C31" s="34">
        <v>4</v>
      </c>
      <c r="D31" s="34">
        <v>4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4</v>
      </c>
      <c r="F32" s="33">
        <f>IF(B33="x",0,ROUND((AVERAGE(D33,D31))*($B33-B31)*(1/27),0))</f>
        <v>6</v>
      </c>
      <c r="G32"/>
    </row>
    <row r="33" spans="2:7">
      <c r="B33" s="38">
        <v>41450</v>
      </c>
      <c r="C33" s="34">
        <v>5</v>
      </c>
      <c r="D33" s="34">
        <v>8</v>
      </c>
      <c r="E33" s="24"/>
      <c r="F33" s="24"/>
      <c r="G33"/>
    </row>
    <row r="34" spans="2:7">
      <c r="B34" s="23"/>
      <c r="C34" s="23"/>
      <c r="D34" s="23"/>
      <c r="E34" s="33">
        <f>IF(B35="x",0,ROUND((AVERAGE(C35,C33))*($B35-B33)*(1/27),0))</f>
        <v>5</v>
      </c>
      <c r="F34" s="33">
        <f>IF(B35="x",0,ROUND((AVERAGE(D35,D33))*($B35-B33)*(1/27),0))</f>
        <v>15</v>
      </c>
      <c r="G34"/>
    </row>
    <row r="35" spans="2:7">
      <c r="B35" s="38">
        <v>41475</v>
      </c>
      <c r="C35" s="34">
        <v>6</v>
      </c>
      <c r="D35" s="34">
        <v>25</v>
      </c>
      <c r="E35" s="24"/>
      <c r="F35" s="24"/>
    </row>
    <row r="36" spans="2:7">
      <c r="B36" s="23"/>
      <c r="C36" s="23"/>
      <c r="D36" s="23"/>
      <c r="E36" s="33">
        <f>IF(B37="x",0,ROUND((AVERAGE(C37,C35))*($B37-B35)*(1/27),0))</f>
        <v>19</v>
      </c>
      <c r="F36" s="33">
        <f>IF(B37="x",0,ROUND((AVERAGE(D37,D35))*($B37-B35)*(1/27),0))</f>
        <v>56</v>
      </c>
      <c r="G36"/>
    </row>
    <row r="37" spans="2:7">
      <c r="B37" s="38">
        <v>41500</v>
      </c>
      <c r="C37" s="34">
        <v>34</v>
      </c>
      <c r="D37" s="34">
        <v>95</v>
      </c>
      <c r="E37" s="24"/>
      <c r="F37" s="24"/>
      <c r="G37"/>
    </row>
    <row r="38" spans="2:7">
      <c r="B38" s="23"/>
      <c r="C38" s="23"/>
      <c r="D38" s="23"/>
      <c r="E38" s="33">
        <f>IF(B39="x",0,ROUND((AVERAGE(C39,C37))*($B39-B37)*(1/27),0))</f>
        <v>38</v>
      </c>
      <c r="F38" s="33">
        <f>IF(B39="x",0,ROUND((AVERAGE(D39,D37))*($B39-B37)*(1/27),0))</f>
        <v>104</v>
      </c>
      <c r="G38"/>
    </row>
    <row r="39" spans="2:7">
      <c r="B39" s="38">
        <v>41525</v>
      </c>
      <c r="C39" s="34">
        <v>47</v>
      </c>
      <c r="D39" s="34">
        <v>129</v>
      </c>
      <c r="E39" s="24"/>
      <c r="F39" s="24"/>
      <c r="G39"/>
    </row>
    <row r="40" spans="2:7">
      <c r="B40" s="23"/>
      <c r="C40" s="23"/>
      <c r="D40" s="23"/>
      <c r="E40" s="33">
        <f>IF(B41="x",0,ROUND((AVERAGE(C41,C39))*($B41-B39)*(1/27),0))</f>
        <v>45</v>
      </c>
      <c r="F40" s="33">
        <f>IF(B41="x",0,ROUND((AVERAGE(D41,D39))*($B41-B39)*(1/27),0))</f>
        <v>126</v>
      </c>
    </row>
    <row r="41" spans="2:7">
      <c r="B41" s="38">
        <v>41550</v>
      </c>
      <c r="C41" s="34">
        <v>50</v>
      </c>
      <c r="D41" s="34">
        <v>143</v>
      </c>
      <c r="E41" s="24"/>
      <c r="F41" s="24"/>
    </row>
    <row r="42" spans="2:7">
      <c r="B42" s="23"/>
      <c r="C42" s="23"/>
      <c r="D42" s="23"/>
      <c r="E42" s="33">
        <f>IF(B43="x",0,ROUND((AVERAGE(C43,C41))*($B43-B41)*(1/27),0))</f>
        <v>62</v>
      </c>
      <c r="F42" s="33">
        <f>IF(B43="x",0,ROUND((AVERAGE(D43,D41))*($B43-B41)*(1/27),0))</f>
        <v>128</v>
      </c>
    </row>
    <row r="43" spans="2:7">
      <c r="B43" s="38">
        <v>41575</v>
      </c>
      <c r="C43" s="34">
        <v>83</v>
      </c>
      <c r="D43" s="34">
        <v>134</v>
      </c>
      <c r="E43" s="24"/>
      <c r="F43" s="24"/>
    </row>
    <row r="44" spans="2:7">
      <c r="B44" s="23"/>
      <c r="C44" s="23"/>
      <c r="D44" s="23"/>
      <c r="E44" s="33">
        <f t="shared" ref="E44" si="0">IF(B45="x",0,ROUND((AVERAGE(C45,C43))*($B45-B43)*(1/27),0))</f>
        <v>73</v>
      </c>
      <c r="F44" s="33">
        <f>IF(B45="x",0,ROUND((AVERAGE(D45,D43))*($B45-B43)*(1/27),0))</f>
        <v>123</v>
      </c>
    </row>
    <row r="45" spans="2:7">
      <c r="B45" s="38">
        <v>41600</v>
      </c>
      <c r="C45" s="34">
        <v>75</v>
      </c>
      <c r="D45" s="34">
        <v>131</v>
      </c>
      <c r="E45" s="36"/>
      <c r="F45" s="36"/>
    </row>
    <row r="46" spans="2:7">
      <c r="B46" s="23"/>
      <c r="C46" s="23"/>
      <c r="D46" s="23"/>
      <c r="E46" s="33">
        <f t="shared" ref="E46" si="1">IF(B47="x",0,ROUND((AVERAGE(C47,C45))*($B47-B45)*(1/27),0))</f>
        <v>79</v>
      </c>
      <c r="F46" s="33">
        <f>IF(B47="x",0,ROUND((AVERAGE(D47,D45))*($B47-B45)*(1/27),0))</f>
        <v>120</v>
      </c>
    </row>
    <row r="47" spans="2:7">
      <c r="B47" s="38">
        <v>41625</v>
      </c>
      <c r="C47" s="34">
        <v>96</v>
      </c>
      <c r="D47" s="34">
        <v>128</v>
      </c>
      <c r="E47" s="36"/>
      <c r="F47" s="36"/>
    </row>
    <row r="48" spans="2:7">
      <c r="B48" s="23"/>
      <c r="C48" s="23"/>
      <c r="D48" s="23"/>
      <c r="E48" s="33">
        <f t="shared" ref="E48" si="2">IF(B49="x",0,ROUND((AVERAGE(C49,C47))*($B49-B47)*(1/27),0))</f>
        <v>52</v>
      </c>
      <c r="F48" s="33">
        <f>IF(B49="x",0,ROUND((AVERAGE(D49,D47))*($B49-B47)*(1/27),0))</f>
        <v>72</v>
      </c>
    </row>
    <row r="49" spans="2:6">
      <c r="B49" s="38">
        <v>41650</v>
      </c>
      <c r="C49" s="34">
        <v>17</v>
      </c>
      <c r="D49" s="34">
        <v>27</v>
      </c>
      <c r="E49" s="36"/>
      <c r="F49" s="36"/>
    </row>
    <row r="50" spans="2:6">
      <c r="B50" s="23"/>
      <c r="C50" s="23"/>
      <c r="D50" s="23"/>
      <c r="E50" s="33">
        <f t="shared" ref="E50" si="3">IF(B51="x",0,ROUND((AVERAGE(C51,C49))*($B51-B49)*(1/27),0))</f>
        <v>17</v>
      </c>
      <c r="F50" s="33">
        <f>IF(B51="x",0,ROUND((AVERAGE(D51,D49))*($B51-B49)*(1/27),0))</f>
        <v>33</v>
      </c>
    </row>
    <row r="51" spans="2:6">
      <c r="B51" s="38">
        <v>41675</v>
      </c>
      <c r="C51" s="34">
        <v>20</v>
      </c>
      <c r="D51" s="34">
        <v>44</v>
      </c>
      <c r="E51" s="35"/>
      <c r="F51" s="35"/>
    </row>
    <row r="52" spans="2:6">
      <c r="C52" s="78" t="s">
        <v>36</v>
      </c>
      <c r="D52" s="78"/>
      <c r="E52" s="39">
        <f>SUM(E18:E51)</f>
        <v>426</v>
      </c>
      <c r="F52" s="39">
        <f>SUM(F18:F51)</f>
        <v>793</v>
      </c>
    </row>
    <row r="55" spans="2:6">
      <c r="D55" t="s">
        <v>37</v>
      </c>
    </row>
  </sheetData>
  <mergeCells count="7">
    <mergeCell ref="C52:D52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2157-FCAD-45C9-9F87-7B6DFF6A9560}">
  <dimension ref="B1:I118"/>
  <sheetViews>
    <sheetView view="pageBreakPreview" topLeftCell="A94" zoomScale="120" zoomScaleNormal="100" zoomScaleSheetLayoutView="120" workbookViewId="0">
      <selection activeCell="H105" sqref="H105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38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1000</v>
      </c>
      <c r="C17" s="34">
        <v>313</v>
      </c>
      <c r="D17" s="34">
        <v>811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337</v>
      </c>
      <c r="F18" s="33">
        <f>IF(B19="x",0,ROUND((AVERAGE(D19,D17))*($B19-$B17)*(1/27),0))</f>
        <v>596</v>
      </c>
      <c r="G18"/>
    </row>
    <row r="19" spans="2:7">
      <c r="B19" s="38">
        <v>1025</v>
      </c>
      <c r="C19" s="34">
        <v>414</v>
      </c>
      <c r="D19" s="34">
        <v>477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245</v>
      </c>
      <c r="F20" s="33">
        <f>IF(B21="x",0,ROUND((AVERAGE(D21,D19))*($B21-$B19)*(1/27),0))</f>
        <v>260</v>
      </c>
      <c r="G20"/>
    </row>
    <row r="21" spans="2:7">
      <c r="B21" s="38">
        <v>1050</v>
      </c>
      <c r="C21" s="34">
        <v>116</v>
      </c>
      <c r="D21" s="34">
        <v>85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77</v>
      </c>
      <c r="F22" s="33">
        <f>IF(B23="x",0,ROUND((AVERAGE(D23,D21))*($B23-$B21)*(1/27),0))</f>
        <v>79</v>
      </c>
      <c r="G22"/>
    </row>
    <row r="23" spans="2:7">
      <c r="B23" s="38">
        <v>1075</v>
      </c>
      <c r="C23" s="34">
        <v>51</v>
      </c>
      <c r="D23" s="34">
        <v>86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27</v>
      </c>
      <c r="F24" s="33">
        <f>IF(B25="x",0,ROUND((AVERAGE(D25,D23))*($B25-$B23)*(1/27),0))</f>
        <v>98</v>
      </c>
      <c r="G24"/>
    </row>
    <row r="25" spans="2:7">
      <c r="B25" s="38">
        <v>1100</v>
      </c>
      <c r="C25" s="34">
        <v>7</v>
      </c>
      <c r="D25" s="34">
        <v>125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5</v>
      </c>
      <c r="F26" s="33">
        <f>IF(B27="x",0,ROUND((AVERAGE(D27,D25))*($B27-B25)*(1/27),0))</f>
        <v>334</v>
      </c>
      <c r="G26"/>
    </row>
    <row r="27" spans="2:7">
      <c r="B27" s="38">
        <v>1125</v>
      </c>
      <c r="C27" s="34">
        <v>4</v>
      </c>
      <c r="D27" s="34">
        <v>596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13</v>
      </c>
      <c r="F28" s="33">
        <f>IF(B29="x",0,ROUND((AVERAGE(D29,D27))*($B29-B27)*(1/27),0))</f>
        <v>464</v>
      </c>
      <c r="G28"/>
    </row>
    <row r="29" spans="2:7">
      <c r="B29" s="38">
        <v>1150</v>
      </c>
      <c r="C29" s="34">
        <v>23</v>
      </c>
      <c r="D29" s="34">
        <v>407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11</v>
      </c>
      <c r="F30" s="33">
        <f>IF(B31="x",0,ROUND((AVERAGE(D31,D29))*($B31-B29)*(1/27),0))</f>
        <v>321</v>
      </c>
      <c r="G30"/>
    </row>
    <row r="31" spans="2:7">
      <c r="B31" s="38">
        <v>1175</v>
      </c>
      <c r="C31" s="34">
        <v>0</v>
      </c>
      <c r="D31" s="34">
        <v>286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0</v>
      </c>
      <c r="F32" s="33">
        <f>IF(B33="x",0,ROUND((AVERAGE(D33,D31))*($B33-B31)*(1/27),0))</f>
        <v>261</v>
      </c>
      <c r="G32"/>
    </row>
    <row r="33" spans="2:7">
      <c r="B33" s="38">
        <v>1200</v>
      </c>
      <c r="C33" s="34">
        <v>0</v>
      </c>
      <c r="D33" s="34">
        <v>277</v>
      </c>
      <c r="E33" s="24"/>
      <c r="F33" s="24"/>
      <c r="G33"/>
    </row>
    <row r="34" spans="2:7">
      <c r="B34" s="23"/>
      <c r="C34" s="23"/>
      <c r="D34" s="23"/>
      <c r="E34" s="33">
        <f>IF(B35="x",0,ROUND((AVERAGE(C35,C33))*($B35-B33)*(1/27),0))</f>
        <v>0</v>
      </c>
      <c r="F34" s="33">
        <f>IF(B35="x",0,ROUND((AVERAGE(D35,D33))*($B35-B33)*(1/27),0))</f>
        <v>288</v>
      </c>
      <c r="G34"/>
    </row>
    <row r="35" spans="2:7">
      <c r="B35" s="38">
        <v>1225</v>
      </c>
      <c r="C35" s="34">
        <v>0</v>
      </c>
      <c r="D35" s="34">
        <v>344</v>
      </c>
      <c r="E35" s="24"/>
      <c r="F35" s="24"/>
    </row>
    <row r="36" spans="2:7">
      <c r="B36" s="23"/>
      <c r="C36" s="23"/>
      <c r="D36" s="23"/>
      <c r="E36" s="33">
        <f>IF(B37="x",0,ROUND((AVERAGE(C37,C35))*($B37-B35)*(1/27),0))</f>
        <v>0</v>
      </c>
      <c r="F36" s="33">
        <f>IF(B37="x",0,ROUND((AVERAGE(D37,D35))*($B37-B35)*(1/27),0))</f>
        <v>518</v>
      </c>
      <c r="G36"/>
    </row>
    <row r="37" spans="2:7">
      <c r="B37" s="38">
        <v>1250</v>
      </c>
      <c r="C37" s="34">
        <v>0</v>
      </c>
      <c r="D37" s="34">
        <v>775</v>
      </c>
      <c r="E37" s="24"/>
      <c r="F37" s="24"/>
      <c r="G37"/>
    </row>
    <row r="38" spans="2:7">
      <c r="B38" s="23"/>
      <c r="C38" s="23"/>
      <c r="D38" s="23"/>
      <c r="E38" s="33">
        <f>IF(B39="x",0,ROUND((AVERAGE(C39,C37))*($B39-B37)*(1/27),0))</f>
        <v>9</v>
      </c>
      <c r="F38" s="33">
        <f>IF(B39="x",0,ROUND((AVERAGE(D39,D37))*($B39-B37)*(1/27),0))</f>
        <v>601</v>
      </c>
      <c r="G38"/>
    </row>
    <row r="39" spans="2:7">
      <c r="B39" s="38">
        <v>1275</v>
      </c>
      <c r="C39" s="34">
        <v>19</v>
      </c>
      <c r="D39" s="34">
        <v>523</v>
      </c>
      <c r="E39" s="24"/>
      <c r="F39" s="24"/>
      <c r="G39"/>
    </row>
    <row r="40" spans="2:7">
      <c r="B40" s="23"/>
      <c r="C40" s="23"/>
      <c r="D40" s="23"/>
      <c r="E40" s="33">
        <f>IF(B41="x",0,ROUND((AVERAGE(C41,C39))*($B41-B39)*(1/27),0))</f>
        <v>16</v>
      </c>
      <c r="F40" s="33">
        <f>IF(B41="x",0,ROUND((AVERAGE(D41,D39))*($B41-B39)*(1/27),0))</f>
        <v>330</v>
      </c>
    </row>
    <row r="41" spans="2:7">
      <c r="B41" s="38">
        <v>1300</v>
      </c>
      <c r="C41" s="34">
        <v>15</v>
      </c>
      <c r="D41" s="34">
        <v>189</v>
      </c>
      <c r="E41" s="24"/>
      <c r="F41" s="24"/>
    </row>
    <row r="42" spans="2:7">
      <c r="B42" s="23"/>
      <c r="C42" s="23"/>
      <c r="D42" s="23"/>
      <c r="E42" s="33">
        <f>IF(B43="x",0,ROUND((AVERAGE(C43,C41))*($B43-B41)*(1/27),0))</f>
        <v>7</v>
      </c>
      <c r="F42" s="33">
        <f>IF(B43="x",0,ROUND((AVERAGE(D43,D41))*($B43-B41)*(1/27),0))</f>
        <v>501</v>
      </c>
    </row>
    <row r="43" spans="2:7">
      <c r="B43" s="38">
        <v>1325</v>
      </c>
      <c r="C43" s="34">
        <v>0</v>
      </c>
      <c r="D43" s="34">
        <v>894</v>
      </c>
      <c r="E43" s="24"/>
      <c r="F43" s="24"/>
    </row>
    <row r="44" spans="2:7">
      <c r="B44" s="23"/>
      <c r="C44" s="23"/>
      <c r="D44" s="23"/>
      <c r="E44" s="33">
        <f t="shared" ref="E44" si="0">IF(B45="x",0,ROUND((AVERAGE(C45,C43))*($B45-B43)*(1/27),0))</f>
        <v>0</v>
      </c>
      <c r="F44" s="33">
        <f>IF(B45="x",0,ROUND((AVERAGE(D45,D43))*($B45-B43)*(1/27),0))</f>
        <v>889</v>
      </c>
    </row>
    <row r="45" spans="2:7">
      <c r="B45" s="38">
        <v>1350</v>
      </c>
      <c r="C45" s="34">
        <v>0</v>
      </c>
      <c r="D45" s="34">
        <v>1027</v>
      </c>
      <c r="E45" s="36"/>
      <c r="F45" s="36"/>
    </row>
    <row r="46" spans="2:7">
      <c r="B46" s="23"/>
      <c r="C46" s="23"/>
      <c r="D46" s="23"/>
      <c r="E46" s="33">
        <f t="shared" ref="E46" si="1">IF(B47="x",0,ROUND((AVERAGE(C47,C45))*($B47-B45)*(1/27),0))</f>
        <v>4</v>
      </c>
      <c r="F46" s="33">
        <f>IF(B47="x",0,ROUND((AVERAGE(D47,D45))*($B47-B45)*(1/27),0))</f>
        <v>925</v>
      </c>
    </row>
    <row r="47" spans="2:7">
      <c r="B47" s="38">
        <v>1375</v>
      </c>
      <c r="C47" s="34">
        <v>8</v>
      </c>
      <c r="D47" s="34">
        <v>972</v>
      </c>
      <c r="E47" s="36"/>
      <c r="F47" s="36"/>
    </row>
    <row r="48" spans="2:7">
      <c r="B48" s="23"/>
      <c r="C48" s="23"/>
      <c r="D48" s="23"/>
      <c r="E48" s="33">
        <f t="shared" ref="E48" si="2">IF(B49="x",0,ROUND((AVERAGE(C49,C47))*($B49-B47)*(1/27),0))</f>
        <v>4</v>
      </c>
      <c r="F48" s="33">
        <f>IF(B49="x",0,ROUND((AVERAGE(D49,D47))*($B49-B47)*(1/27),0))</f>
        <v>801</v>
      </c>
    </row>
    <row r="49" spans="2:6">
      <c r="B49" s="38">
        <v>1400</v>
      </c>
      <c r="C49" s="34">
        <v>0</v>
      </c>
      <c r="D49" s="34">
        <v>758</v>
      </c>
      <c r="E49" s="36"/>
      <c r="F49" s="36"/>
    </row>
    <row r="50" spans="2:6">
      <c r="B50" s="23"/>
      <c r="C50" s="23"/>
      <c r="D50" s="23"/>
      <c r="E50" s="33">
        <f t="shared" ref="E50" si="3">IF(B51="x",0,ROUND((AVERAGE(C51,C49))*($B51-B49)*(1/27),0))</f>
        <v>0</v>
      </c>
      <c r="F50" s="33">
        <f>IF(B51="x",0,ROUND((AVERAGE(D51,D49))*($B51-B49)*(1/27),0))</f>
        <v>506</v>
      </c>
    </row>
    <row r="51" spans="2:6">
      <c r="B51" s="38">
        <v>1425</v>
      </c>
      <c r="C51" s="34">
        <v>0</v>
      </c>
      <c r="D51" s="34">
        <v>335</v>
      </c>
      <c r="E51" s="35"/>
      <c r="F51" s="35"/>
    </row>
    <row r="52" spans="2:6">
      <c r="B52" s="23"/>
      <c r="C52" s="23"/>
      <c r="D52" s="23"/>
      <c r="E52" s="33">
        <f t="shared" ref="E52" si="4">IF(B53="x",0,ROUND((AVERAGE(C53,C51))*($B53-B51)*(1/27),0))</f>
        <v>0</v>
      </c>
      <c r="F52" s="33">
        <f t="shared" ref="F52" si="5">IF(B53="x",0,ROUND((AVERAGE(D53,D51))*($B53-B51)*(1/27),0))</f>
        <v>292</v>
      </c>
    </row>
    <row r="53" spans="2:6">
      <c r="B53" s="38">
        <v>1450</v>
      </c>
      <c r="C53" s="34">
        <v>0</v>
      </c>
      <c r="D53" s="34">
        <v>296</v>
      </c>
      <c r="E53" s="35"/>
      <c r="F53" s="35"/>
    </row>
    <row r="54" spans="2:6">
      <c r="B54" s="23"/>
      <c r="C54" s="23"/>
      <c r="D54" s="23"/>
      <c r="E54" s="33">
        <f t="shared" ref="E54" si="6">IF(B55="x",0,ROUND((AVERAGE(C55,C53))*($B55-B53)*(1/27),0))</f>
        <v>0</v>
      </c>
      <c r="F54" s="33">
        <f t="shared" ref="F54" si="7">IF(B55="x",0,ROUND((AVERAGE(D55,D53))*($B55-B53)*(1/27),0))</f>
        <v>329</v>
      </c>
    </row>
    <row r="55" spans="2:6">
      <c r="B55" s="38">
        <v>1475</v>
      </c>
      <c r="C55" s="34">
        <v>0</v>
      </c>
      <c r="D55" s="34">
        <v>415</v>
      </c>
      <c r="E55" s="35"/>
      <c r="F55" s="35"/>
    </row>
    <row r="56" spans="2:6">
      <c r="B56" s="23"/>
      <c r="C56" s="23"/>
      <c r="D56" s="23"/>
      <c r="E56" s="33">
        <f t="shared" ref="E56" si="8">IF(B57="x",0,ROUND((AVERAGE(C57,C55))*($B57-B55)*(1/27),0))</f>
        <v>323</v>
      </c>
      <c r="F56" s="33">
        <f t="shared" ref="F56" si="9">IF(B57="x",0,ROUND((AVERAGE(D57,D55))*($B57-B55)*(1/27),0))</f>
        <v>722</v>
      </c>
    </row>
    <row r="57" spans="2:6">
      <c r="B57" s="38">
        <v>1500</v>
      </c>
      <c r="C57" s="34">
        <v>697</v>
      </c>
      <c r="D57" s="34">
        <v>1145</v>
      </c>
      <c r="E57" s="35"/>
      <c r="F57" s="35"/>
    </row>
    <row r="58" spans="2:6">
      <c r="B58" s="23"/>
      <c r="C58" s="23"/>
      <c r="D58" s="23"/>
      <c r="E58" s="33">
        <f t="shared" ref="E58" si="10">IF(B59="x",0,ROUND((AVERAGE(C59,C57))*($B59-B57)*(1/27),0))</f>
        <v>500</v>
      </c>
      <c r="F58" s="33">
        <f t="shared" ref="F58" si="11">IF(B59="x",0,ROUND((AVERAGE(D59,D57))*($B59-B57)*(1/27),0))</f>
        <v>969</v>
      </c>
    </row>
    <row r="59" spans="2:6">
      <c r="B59" s="38">
        <v>1526.75</v>
      </c>
      <c r="C59" s="34">
        <v>313</v>
      </c>
      <c r="D59" s="34">
        <v>811</v>
      </c>
      <c r="E59" s="35"/>
      <c r="F59" s="35"/>
    </row>
    <row r="60" spans="2:6">
      <c r="C60" s="78" t="s">
        <v>36</v>
      </c>
      <c r="D60" s="78"/>
      <c r="E60" s="39">
        <f>SUM(E18:E58)</f>
        <v>1578</v>
      </c>
      <c r="F60" s="39">
        <f>SUM(F18:F58)</f>
        <v>10084</v>
      </c>
    </row>
    <row r="61" spans="2:6" ht="15" thickBot="1">
      <c r="C61" s="59"/>
      <c r="D61" s="59"/>
      <c r="E61" s="60"/>
      <c r="F61" s="60"/>
    </row>
    <row r="62" spans="2:6" ht="15" thickBot="1">
      <c r="B62" s="87" t="s">
        <v>39</v>
      </c>
      <c r="C62" s="88"/>
      <c r="D62" s="88"/>
      <c r="E62" s="88"/>
      <c r="F62" s="89"/>
    </row>
    <row r="63" spans="2:6">
      <c r="B63" s="58">
        <v>1485</v>
      </c>
      <c r="C63" s="85">
        <v>14.25</v>
      </c>
      <c r="D63" s="86"/>
      <c r="E63" s="35"/>
      <c r="F63" s="35"/>
    </row>
    <row r="64" spans="2:6">
      <c r="B64" s="23"/>
      <c r="C64" s="23"/>
      <c r="D64" s="23"/>
      <c r="E64" s="90">
        <f t="shared" ref="E64" si="12">IF(B65="x",0,ROUND((AVERAGE(C65,C63))*($B65-B63)*(1/27),0))</f>
        <v>8</v>
      </c>
      <c r="F64" s="91"/>
    </row>
    <row r="65" spans="2:7">
      <c r="B65" s="38">
        <v>1500</v>
      </c>
      <c r="C65" s="85">
        <v>14.25</v>
      </c>
      <c r="D65" s="86"/>
      <c r="E65" s="35"/>
      <c r="F65" s="35"/>
    </row>
    <row r="66" spans="2:7">
      <c r="B66" s="23"/>
      <c r="C66" s="23"/>
      <c r="D66" s="23"/>
      <c r="E66" s="90">
        <f t="shared" ref="E66" si="13">IF(B67="x",0,ROUND((AVERAGE(C67,C65))*($B67-B65)*(1/27),0))</f>
        <v>8</v>
      </c>
      <c r="F66" s="91"/>
    </row>
    <row r="67" spans="2:7">
      <c r="B67" s="38">
        <v>1515</v>
      </c>
      <c r="C67" s="85">
        <v>14.25</v>
      </c>
      <c r="D67" s="86"/>
      <c r="E67" s="35"/>
      <c r="F67" s="35"/>
    </row>
    <row r="68" spans="2:7">
      <c r="C68" s="78" t="s">
        <v>36</v>
      </c>
      <c r="D68" s="78"/>
      <c r="E68" s="83">
        <f>SUM(E64:E66)</f>
        <v>16</v>
      </c>
      <c r="F68" s="84"/>
      <c r="G68" s="20" t="s">
        <v>40</v>
      </c>
    </row>
    <row r="69" spans="2:7" ht="15" thickBot="1"/>
    <row r="70" spans="2:7" ht="15" thickBot="1">
      <c r="B70" s="87" t="s">
        <v>41</v>
      </c>
      <c r="C70" s="88"/>
      <c r="D70" s="88"/>
      <c r="E70" s="88"/>
      <c r="F70" s="89"/>
    </row>
    <row r="71" spans="2:7">
      <c r="B71" s="58">
        <v>1485</v>
      </c>
      <c r="C71" s="85">
        <f>16+16</f>
        <v>32</v>
      </c>
      <c r="D71" s="86"/>
      <c r="E71" s="35"/>
      <c r="F71" s="35"/>
    </row>
    <row r="72" spans="2:7">
      <c r="B72" s="23"/>
      <c r="C72" s="23"/>
      <c r="D72" s="23"/>
      <c r="E72" s="90">
        <f t="shared" ref="E72" si="14">IF(B73="x",0,ROUND((AVERAGE(C73,C71))*($B73-B71)*(1/27),0))</f>
        <v>18</v>
      </c>
      <c r="F72" s="91"/>
    </row>
    <row r="73" spans="2:7">
      <c r="B73" s="38">
        <v>1500</v>
      </c>
      <c r="C73" s="85">
        <f>16+16</f>
        <v>32</v>
      </c>
      <c r="D73" s="86"/>
      <c r="E73" s="35"/>
      <c r="F73" s="35"/>
    </row>
    <row r="74" spans="2:7">
      <c r="B74" s="23"/>
      <c r="C74" s="23"/>
      <c r="D74" s="23"/>
      <c r="E74" s="90">
        <f t="shared" ref="E74" si="15">IF(B75="x",0,ROUND((AVERAGE(C75,C73))*($B75-B73)*(1/27),0))</f>
        <v>18</v>
      </c>
      <c r="F74" s="91"/>
    </row>
    <row r="75" spans="2:7">
      <c r="B75" s="38">
        <v>1515</v>
      </c>
      <c r="C75" s="85">
        <f>16+16</f>
        <v>32</v>
      </c>
      <c r="D75" s="86"/>
      <c r="E75" s="35"/>
      <c r="F75" s="35"/>
    </row>
    <row r="76" spans="2:7">
      <c r="C76" s="78" t="s">
        <v>36</v>
      </c>
      <c r="D76" s="78"/>
      <c r="E76" s="83">
        <f>SUM(E72:E74)</f>
        <v>36</v>
      </c>
      <c r="F76" s="84"/>
      <c r="G76" s="20" t="s">
        <v>40</v>
      </c>
    </row>
    <row r="77" spans="2:7" ht="15" thickBot="1"/>
    <row r="78" spans="2:7" ht="15" thickBot="1">
      <c r="B78" s="87" t="s">
        <v>42</v>
      </c>
      <c r="C78" s="88"/>
      <c r="D78" s="88"/>
      <c r="E78" s="88"/>
      <c r="F78" s="89"/>
    </row>
    <row r="79" spans="2:7">
      <c r="B79" s="58">
        <v>1485</v>
      </c>
      <c r="C79" s="85">
        <v>56.75</v>
      </c>
      <c r="D79" s="86"/>
      <c r="E79" s="35"/>
      <c r="F79" s="35"/>
    </row>
    <row r="80" spans="2:7">
      <c r="B80" s="23"/>
      <c r="C80" s="23"/>
      <c r="D80" s="23"/>
      <c r="E80" s="90">
        <f t="shared" ref="E80" si="16">IF(B81="x",0,ROUND((AVERAGE(C81,C79))*($B81-B79)*(1/27),0))</f>
        <v>32</v>
      </c>
      <c r="F80" s="91"/>
    </row>
    <row r="81" spans="2:7">
      <c r="B81" s="38">
        <v>1500</v>
      </c>
      <c r="C81" s="85">
        <v>56.75</v>
      </c>
      <c r="D81" s="86"/>
      <c r="E81" s="35"/>
      <c r="F81" s="35"/>
    </row>
    <row r="82" spans="2:7">
      <c r="B82" s="23"/>
      <c r="C82" s="23"/>
      <c r="D82" s="23"/>
      <c r="E82" s="90">
        <f t="shared" ref="E82" si="17">IF(B83="x",0,ROUND((AVERAGE(C83,C81))*($B83-B81)*(1/27),0))</f>
        <v>32</v>
      </c>
      <c r="F82" s="91"/>
    </row>
    <row r="83" spans="2:7">
      <c r="B83" s="38">
        <v>1515</v>
      </c>
      <c r="C83" s="85">
        <v>56.75</v>
      </c>
      <c r="D83" s="86"/>
      <c r="E83" s="35"/>
      <c r="F83" s="35"/>
    </row>
    <row r="84" spans="2:7">
      <c r="C84" s="78" t="s">
        <v>36</v>
      </c>
      <c r="D84" s="78"/>
      <c r="E84" s="83">
        <f>SUM(E80:E82)</f>
        <v>64</v>
      </c>
      <c r="F84" s="84"/>
      <c r="G84" s="20" t="s">
        <v>40</v>
      </c>
    </row>
    <row r="85" spans="2:7" ht="15" thickBot="1"/>
    <row r="86" spans="2:7" ht="15" thickBot="1">
      <c r="B86" s="87" t="s">
        <v>43</v>
      </c>
      <c r="C86" s="88"/>
      <c r="D86" s="88"/>
      <c r="E86" s="88"/>
      <c r="F86" s="89"/>
    </row>
    <row r="87" spans="2:7">
      <c r="B87" s="58">
        <v>1485</v>
      </c>
      <c r="C87" s="85">
        <v>204</v>
      </c>
      <c r="D87" s="86"/>
      <c r="E87" s="35"/>
      <c r="F87" s="35"/>
    </row>
    <row r="88" spans="2:7">
      <c r="B88" s="23"/>
      <c r="C88" s="23"/>
      <c r="D88" s="23"/>
      <c r="E88" s="90">
        <f t="shared" ref="E88" si="18">IF(B89="x",0,ROUND((AVERAGE(C89,C87))*($B89-B87)*(1/27),0))</f>
        <v>113</v>
      </c>
      <c r="F88" s="91"/>
    </row>
    <row r="89" spans="2:7">
      <c r="B89" s="38">
        <v>1500</v>
      </c>
      <c r="C89" s="85">
        <v>204</v>
      </c>
      <c r="D89" s="86"/>
      <c r="E89" s="35"/>
      <c r="F89" s="35"/>
    </row>
    <row r="90" spans="2:7">
      <c r="B90" s="23"/>
      <c r="C90" s="23"/>
      <c r="D90" s="23"/>
      <c r="E90" s="90">
        <f t="shared" ref="E90" si="19">IF(B91="x",0,ROUND((AVERAGE(C91,C89))*($B91-B89)*(1/27),0))</f>
        <v>113</v>
      </c>
      <c r="F90" s="91"/>
    </row>
    <row r="91" spans="2:7">
      <c r="B91" s="38">
        <v>1515</v>
      </c>
      <c r="C91" s="85">
        <v>204</v>
      </c>
      <c r="D91" s="86"/>
      <c r="E91" s="35"/>
      <c r="F91" s="35"/>
    </row>
    <row r="92" spans="2:7">
      <c r="C92" s="78" t="s">
        <v>36</v>
      </c>
      <c r="D92" s="78"/>
      <c r="E92" s="83">
        <f>SUM(E88:E90)</f>
        <v>226</v>
      </c>
      <c r="F92" s="84"/>
      <c r="G92" s="20" t="s">
        <v>40</v>
      </c>
    </row>
    <row r="93" spans="2:7" ht="15" thickBot="1"/>
    <row r="94" spans="2:7" ht="15" thickBot="1">
      <c r="B94" s="87" t="s">
        <v>44</v>
      </c>
      <c r="C94" s="88"/>
      <c r="D94" s="88"/>
      <c r="E94" s="88"/>
      <c r="F94" s="89"/>
    </row>
    <row r="95" spans="2:7">
      <c r="B95" s="58">
        <v>1485</v>
      </c>
      <c r="C95" s="85">
        <v>79</v>
      </c>
      <c r="D95" s="86"/>
      <c r="E95" s="35"/>
      <c r="F95" s="35"/>
    </row>
    <row r="96" spans="2:7">
      <c r="B96" s="23"/>
      <c r="C96" s="23"/>
      <c r="D96" s="23"/>
      <c r="E96" s="90">
        <f>IF(B97="x",0,ROUND((AVERAGE(C97,C95))*($B97-B95)*(1/9),0))</f>
        <v>132</v>
      </c>
      <c r="F96" s="91"/>
    </row>
    <row r="97" spans="2:7">
      <c r="B97" s="38">
        <v>1500</v>
      </c>
      <c r="C97" s="85">
        <v>79</v>
      </c>
      <c r="D97" s="86"/>
      <c r="E97" s="35"/>
      <c r="F97" s="35"/>
    </row>
    <row r="98" spans="2:7">
      <c r="B98" s="23"/>
      <c r="C98" s="23"/>
      <c r="D98" s="23"/>
      <c r="E98" s="90">
        <f>IF(B99="x",0,ROUND((AVERAGE(C99,C97))*($B99-B97)*(1/9),0))</f>
        <v>132</v>
      </c>
      <c r="F98" s="91"/>
    </row>
    <row r="99" spans="2:7">
      <c r="B99" s="38">
        <v>1515</v>
      </c>
      <c r="C99" s="85">
        <v>79</v>
      </c>
      <c r="D99" s="86"/>
      <c r="E99" s="35"/>
      <c r="F99" s="35"/>
    </row>
    <row r="100" spans="2:7">
      <c r="C100" s="78" t="s">
        <v>36</v>
      </c>
      <c r="D100" s="78"/>
      <c r="E100" s="83">
        <f>SUM(E96:E98)</f>
        <v>264</v>
      </c>
      <c r="F100" s="84"/>
      <c r="G100" s="20" t="s">
        <v>45</v>
      </c>
    </row>
    <row r="101" spans="2:7" ht="15" thickBot="1"/>
    <row r="102" spans="2:7" ht="15" thickBot="1">
      <c r="B102" s="87" t="s">
        <v>46</v>
      </c>
      <c r="C102" s="88"/>
      <c r="D102" s="88"/>
      <c r="E102" s="88"/>
      <c r="F102" s="89"/>
    </row>
    <row r="103" spans="2:7">
      <c r="B103" s="58" t="s">
        <v>47</v>
      </c>
      <c r="C103" s="85">
        <v>30</v>
      </c>
      <c r="D103" s="86"/>
      <c r="E103" s="35"/>
      <c r="F103" s="35"/>
    </row>
    <row r="104" spans="2:7">
      <c r="B104" s="23"/>
      <c r="C104" s="23"/>
      <c r="D104" s="23"/>
      <c r="E104" s="90"/>
      <c r="F104" s="91"/>
    </row>
    <row r="105" spans="2:7">
      <c r="B105" s="38" t="s">
        <v>48</v>
      </c>
      <c r="C105" s="85">
        <v>1</v>
      </c>
      <c r="D105" s="86"/>
      <c r="E105" s="35"/>
      <c r="F105" s="35"/>
    </row>
    <row r="106" spans="2:7">
      <c r="C106" s="78" t="s">
        <v>36</v>
      </c>
      <c r="D106" s="78"/>
      <c r="E106" s="83">
        <f>C103*C105</f>
        <v>30</v>
      </c>
      <c r="F106" s="84"/>
      <c r="G106" s="20" t="s">
        <v>49</v>
      </c>
    </row>
    <row r="107" spans="2:7" ht="15" thickBot="1"/>
    <row r="108" spans="2:7" ht="15" thickBot="1">
      <c r="B108" s="87" t="s">
        <v>50</v>
      </c>
      <c r="C108" s="88"/>
      <c r="D108" s="88"/>
      <c r="E108" s="88"/>
      <c r="F108" s="89"/>
    </row>
    <row r="109" spans="2:7">
      <c r="B109" s="58" t="s">
        <v>47</v>
      </c>
      <c r="C109" s="85">
        <v>40</v>
      </c>
      <c r="D109" s="86"/>
      <c r="E109" s="35"/>
      <c r="F109" s="35"/>
    </row>
    <row r="110" spans="2:7">
      <c r="B110" s="23"/>
      <c r="C110" s="23"/>
      <c r="D110" s="23"/>
      <c r="E110" s="90"/>
      <c r="F110" s="91"/>
    </row>
    <row r="111" spans="2:7">
      <c r="B111" s="38" t="s">
        <v>48</v>
      </c>
      <c r="C111" s="85">
        <v>1</v>
      </c>
      <c r="D111" s="86"/>
      <c r="E111" s="35"/>
      <c r="F111" s="35"/>
    </row>
    <row r="112" spans="2:7">
      <c r="C112" s="78" t="s">
        <v>36</v>
      </c>
      <c r="D112" s="78"/>
      <c r="E112" s="83">
        <f>C109*C111</f>
        <v>40</v>
      </c>
      <c r="F112" s="84"/>
      <c r="G112" s="20" t="s">
        <v>49</v>
      </c>
    </row>
    <row r="114" spans="2:7" ht="15" thickBot="1"/>
    <row r="115" spans="2:7" ht="15" thickBot="1">
      <c r="B115" s="87" t="s">
        <v>51</v>
      </c>
      <c r="C115" s="88"/>
      <c r="D115" s="88"/>
      <c r="E115" s="88"/>
      <c r="F115" s="89"/>
    </row>
    <row r="116" spans="2:7">
      <c r="B116" s="23"/>
      <c r="C116" s="23"/>
      <c r="D116" s="23"/>
      <c r="E116" s="90"/>
      <c r="F116" s="91"/>
    </row>
    <row r="117" spans="2:7">
      <c r="B117" s="38" t="s">
        <v>48</v>
      </c>
      <c r="C117" s="85">
        <v>1</v>
      </c>
      <c r="D117" s="86"/>
      <c r="E117" s="35"/>
      <c r="F117" s="35"/>
    </row>
    <row r="118" spans="2:7">
      <c r="C118" s="78" t="s">
        <v>36</v>
      </c>
      <c r="D118" s="78"/>
      <c r="E118" s="83">
        <v>1</v>
      </c>
      <c r="F118" s="84"/>
      <c r="G118" s="20" t="s">
        <v>48</v>
      </c>
    </row>
  </sheetData>
  <mergeCells count="64">
    <mergeCell ref="E116:F116"/>
    <mergeCell ref="C117:D117"/>
    <mergeCell ref="C118:D118"/>
    <mergeCell ref="E118:F118"/>
    <mergeCell ref="E110:F110"/>
    <mergeCell ref="C111:D111"/>
    <mergeCell ref="C112:D112"/>
    <mergeCell ref="E112:F112"/>
    <mergeCell ref="B115:F115"/>
    <mergeCell ref="C67:D67"/>
    <mergeCell ref="C68:D68"/>
    <mergeCell ref="E68:F68"/>
    <mergeCell ref="B108:F108"/>
    <mergeCell ref="C109:D109"/>
    <mergeCell ref="B70:F70"/>
    <mergeCell ref="C76:D76"/>
    <mergeCell ref="C71:D71"/>
    <mergeCell ref="C73:D73"/>
    <mergeCell ref="C75:D75"/>
    <mergeCell ref="E72:F72"/>
    <mergeCell ref="E74:F74"/>
    <mergeCell ref="E76:F76"/>
    <mergeCell ref="B78:F78"/>
    <mergeCell ref="C79:D79"/>
    <mergeCell ref="E80:F80"/>
    <mergeCell ref="B62:F62"/>
    <mergeCell ref="C63:D63"/>
    <mergeCell ref="E64:F64"/>
    <mergeCell ref="C65:D65"/>
    <mergeCell ref="E66:F66"/>
    <mergeCell ref="C60:D60"/>
    <mergeCell ref="C11:E11"/>
    <mergeCell ref="C12:E12"/>
    <mergeCell ref="B14:B16"/>
    <mergeCell ref="C14:F14"/>
    <mergeCell ref="C15:D15"/>
    <mergeCell ref="E15:F15"/>
    <mergeCell ref="C81:D81"/>
    <mergeCell ref="E82:F82"/>
    <mergeCell ref="C83:D83"/>
    <mergeCell ref="C84:D84"/>
    <mergeCell ref="E84:F84"/>
    <mergeCell ref="B86:F86"/>
    <mergeCell ref="C87:D87"/>
    <mergeCell ref="E88:F88"/>
    <mergeCell ref="C89:D89"/>
    <mergeCell ref="E90:F90"/>
    <mergeCell ref="C91:D91"/>
    <mergeCell ref="C92:D92"/>
    <mergeCell ref="E92:F92"/>
    <mergeCell ref="B94:F94"/>
    <mergeCell ref="C95:D95"/>
    <mergeCell ref="E96:F96"/>
    <mergeCell ref="C97:D97"/>
    <mergeCell ref="E98:F98"/>
    <mergeCell ref="E104:F104"/>
    <mergeCell ref="C105:D105"/>
    <mergeCell ref="C106:D106"/>
    <mergeCell ref="E106:F106"/>
    <mergeCell ref="C99:D99"/>
    <mergeCell ref="C100:D100"/>
    <mergeCell ref="E100:F100"/>
    <mergeCell ref="B102:F102"/>
    <mergeCell ref="C103:D103"/>
  </mergeCells>
  <printOptions horizontalCentered="1"/>
  <pageMargins left="0.1" right="0.1" top="0.75" bottom="0.75" header="0.3" footer="0.3"/>
  <pageSetup scale="64" fitToWidth="0" orientation="portrait" horizontalDpi="300" verticalDpi="300" r:id="rId1"/>
  <rowBreaks count="1" manualBreakCount="1">
    <brk id="47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37F0-891B-4F12-9C55-229142A67178}">
  <dimension ref="A1:I40"/>
  <sheetViews>
    <sheetView view="pageBreakPreview" topLeftCell="A39" zoomScale="120" zoomScaleNormal="100" zoomScaleSheetLayoutView="120" workbookViewId="0">
      <selection activeCell="H15" sqref="H15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52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31950</v>
      </c>
      <c r="C17" s="34">
        <v>110</v>
      </c>
      <c r="D17" s="34">
        <v>394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191</v>
      </c>
      <c r="F18" s="33">
        <f>IF(B19="x",0,ROUND((AVERAGE(D19,D17))*($B19-$B17)*(1/27),0))</f>
        <v>322</v>
      </c>
      <c r="G18"/>
    </row>
    <row r="19" spans="2:7">
      <c r="B19" s="38">
        <v>31975</v>
      </c>
      <c r="C19" s="34">
        <v>302</v>
      </c>
      <c r="D19" s="34">
        <v>302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290</v>
      </c>
      <c r="F20" s="33">
        <f>IF(B21="x",0,ROUND((AVERAGE(D21,D19))*($B21-$B19)*(1/27),0))</f>
        <v>325</v>
      </c>
      <c r="G20"/>
    </row>
    <row r="21" spans="2:7">
      <c r="B21" s="38">
        <v>32000</v>
      </c>
      <c r="C21" s="34">
        <v>325</v>
      </c>
      <c r="D21" s="34">
        <v>401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257</v>
      </c>
      <c r="F22" s="33">
        <f>IF(B23="x",0,ROUND((AVERAGE(D23,D21))*($B23-$B21)*(1/27),0))</f>
        <v>298</v>
      </c>
      <c r="G22"/>
    </row>
    <row r="23" spans="2:7">
      <c r="B23" s="38">
        <v>32025</v>
      </c>
      <c r="C23" s="34">
        <v>231</v>
      </c>
      <c r="D23" s="34">
        <v>242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138</v>
      </c>
      <c r="F24" s="33">
        <f>IF(B25="x",0,ROUND((AVERAGE(D25,D23))*($B25-$B23)*(1/27),0))</f>
        <v>120</v>
      </c>
      <c r="G24"/>
    </row>
    <row r="25" spans="2:7">
      <c r="B25" s="38">
        <v>32049.599999999999</v>
      </c>
      <c r="C25" s="34">
        <v>71</v>
      </c>
      <c r="D25" s="34">
        <v>21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IF(B27="x",0,ROUND((AVERAGE(C27,C25))*($B27-$B25)*(1/27),0))</f>
        <v>0</v>
      </c>
      <c r="F26" s="33">
        <f>IF(B27="x",0,ROUND((AVERAGE(D27,D25))*($B27-$B25)*(1/27),0))</f>
        <v>0</v>
      </c>
      <c r="G26"/>
    </row>
    <row r="27" spans="2:7">
      <c r="B27" s="38">
        <v>32049.599999999999</v>
      </c>
      <c r="C27" s="34">
        <v>0</v>
      </c>
      <c r="D27" s="34">
        <v>0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IF(B29="x",0,ROUND((AVERAGE(C29,C27))*($B29-$B27)*(1/27),0))</f>
        <v>0</v>
      </c>
      <c r="F28" s="33">
        <f>IF(B29="x",0,ROUND((AVERAGE(D29,D27))*($B29-$B27)*(1/27),0))</f>
        <v>0</v>
      </c>
      <c r="G28"/>
    </row>
    <row r="29" spans="2:7">
      <c r="B29" s="38">
        <v>32411.77</v>
      </c>
      <c r="C29" s="34">
        <v>0</v>
      </c>
      <c r="D29" s="34">
        <v>0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IF(B31="x",0,ROUND((AVERAGE(C31,C29))*($B31-$B29)*(1/27),0))</f>
        <v>0</v>
      </c>
      <c r="F30" s="33">
        <f>IF(B31="x",0,ROUND((AVERAGE(D31,D29))*($B31-$B29)*(1/27),0))</f>
        <v>0</v>
      </c>
      <c r="G30"/>
    </row>
    <row r="31" spans="2:7">
      <c r="B31" s="38">
        <v>32411.77</v>
      </c>
      <c r="C31" s="34">
        <v>76</v>
      </c>
      <c r="D31" s="34">
        <v>2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28</v>
      </c>
      <c r="F32" s="33">
        <f>IF(B33="x",0,ROUND((AVERAGE(D33,D31))*($B33-B31)*(1/27),0))</f>
        <v>0</v>
      </c>
      <c r="G32"/>
    </row>
    <row r="33" spans="1:9">
      <c r="B33" s="38">
        <v>32425</v>
      </c>
      <c r="C33" s="34">
        <v>39</v>
      </c>
      <c r="D33" s="34">
        <v>0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40</v>
      </c>
      <c r="F34" s="33">
        <f>IF(B35="x",0,ROUND((AVERAGE(D35,D33))*($B35-B33)*(1/27),0))</f>
        <v>0</v>
      </c>
      <c r="G34"/>
    </row>
    <row r="35" spans="1:9">
      <c r="B35" s="38">
        <v>32450</v>
      </c>
      <c r="C35" s="34">
        <v>47</v>
      </c>
      <c r="D35" s="34">
        <v>1</v>
      </c>
      <c r="E35" s="24"/>
      <c r="F35" s="24"/>
      <c r="G35"/>
    </row>
    <row r="36" spans="1:9">
      <c r="B36" s="23"/>
      <c r="C36" s="23"/>
      <c r="D36" s="23"/>
      <c r="E36" s="33">
        <f>IF(B37="x",0,ROUND((AVERAGE(C37,C35))*($B37-B35)*(1/27),0))</f>
        <v>54</v>
      </c>
      <c r="F36" s="33">
        <f>IF(B37="x",0,ROUND((AVERAGE(D37,D35))*($B37-B35)*(1/27),0))</f>
        <v>62</v>
      </c>
      <c r="G36"/>
    </row>
    <row r="37" spans="1:9">
      <c r="B37" s="38">
        <v>32475</v>
      </c>
      <c r="C37" s="34">
        <v>70</v>
      </c>
      <c r="D37" s="34">
        <v>132</v>
      </c>
      <c r="E37" s="24"/>
      <c r="F37" s="24"/>
      <c r="G37"/>
    </row>
    <row r="38" spans="1:9">
      <c r="B38" s="23"/>
      <c r="C38" s="23"/>
      <c r="D38" s="23"/>
      <c r="E38" s="33">
        <f>IF(B39="x",0,ROUND((AVERAGE(C39,C37))*($B39-B37)*(1/27),0))</f>
        <v>59</v>
      </c>
      <c r="F38" s="33">
        <f>IF(B39="x",0,ROUND((AVERAGE(D39,D37))*($B39-B37)*(1/27),0))</f>
        <v>238</v>
      </c>
      <c r="G38"/>
    </row>
    <row r="39" spans="1:9">
      <c r="B39" s="38">
        <v>32500</v>
      </c>
      <c r="C39" s="34">
        <v>57</v>
      </c>
      <c r="D39" s="34">
        <v>381</v>
      </c>
      <c r="E39" s="24"/>
      <c r="F39" s="24"/>
    </row>
    <row r="40" spans="1:9" s="20" customFormat="1">
      <c r="A40"/>
      <c r="C40" s="78" t="s">
        <v>36</v>
      </c>
      <c r="D40" s="78"/>
      <c r="E40" s="39">
        <f>SUM(E18:E39)</f>
        <v>1057</v>
      </c>
      <c r="F40" s="39">
        <f>SUM(F18:F39)</f>
        <v>1365</v>
      </c>
      <c r="H40"/>
      <c r="I40"/>
    </row>
  </sheetData>
  <mergeCells count="7">
    <mergeCell ref="C40:D40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B283-3BD4-40FD-86D1-81C69C5D842B}">
  <dimension ref="B1:I60"/>
  <sheetViews>
    <sheetView view="pageBreakPreview" topLeftCell="A39" zoomScale="120" zoomScaleNormal="100" zoomScaleSheetLayoutView="120" workbookViewId="0">
      <selection activeCell="G11" sqref="G11:G12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53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1000</v>
      </c>
      <c r="C17" s="34">
        <v>0</v>
      </c>
      <c r="D17" s="34">
        <v>178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6</v>
      </c>
      <c r="F18" s="33">
        <f>IF(B19="x",0,ROUND((AVERAGE(D19,D17))*($B19-$B17)*(1/27),0))</f>
        <v>251</v>
      </c>
      <c r="G18"/>
    </row>
    <row r="19" spans="2:7">
      <c r="B19" s="38">
        <v>1025</v>
      </c>
      <c r="C19" s="34">
        <v>13</v>
      </c>
      <c r="D19" s="34">
        <v>365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6</v>
      </c>
      <c r="F20" s="33">
        <f>IF(B21="x",0,ROUND((AVERAGE(D21,D19))*($B21-$B19)*(1/27),0))</f>
        <v>282</v>
      </c>
      <c r="G20"/>
    </row>
    <row r="21" spans="2:7">
      <c r="B21" s="38">
        <v>1050</v>
      </c>
      <c r="C21" s="34">
        <v>0</v>
      </c>
      <c r="D21" s="34">
        <v>245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12</v>
      </c>
      <c r="F22" s="33">
        <f>IF(B23="x",0,ROUND((AVERAGE(D23,D21))*($B23-$B21)*(1/27),0))</f>
        <v>201</v>
      </c>
      <c r="G22"/>
    </row>
    <row r="23" spans="2:7">
      <c r="B23" s="38">
        <v>1075</v>
      </c>
      <c r="C23" s="34">
        <v>26</v>
      </c>
      <c r="D23" s="34">
        <v>189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16</v>
      </c>
      <c r="F24" s="33">
        <f>IF(B25="x",0,ROUND((AVERAGE(D25,D23))*($B25-$B23)*(1/27),0))</f>
        <v>175</v>
      </c>
      <c r="G24"/>
    </row>
    <row r="25" spans="2:7">
      <c r="B25" s="38">
        <v>1100</v>
      </c>
      <c r="C25" s="34">
        <v>8</v>
      </c>
      <c r="D25" s="34">
        <v>188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63</v>
      </c>
      <c r="F26" s="33">
        <f>IF(B27="x",0,ROUND((AVERAGE(D27,D25))*($B27-B25)*(1/27),0))</f>
        <v>251</v>
      </c>
      <c r="G26"/>
    </row>
    <row r="27" spans="2:7">
      <c r="B27" s="38">
        <v>1125</v>
      </c>
      <c r="C27" s="34">
        <v>128</v>
      </c>
      <c r="D27" s="34">
        <v>355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164</v>
      </c>
      <c r="F28" s="33">
        <f>IF(B29="x",0,ROUND((AVERAGE(D29,D27))*($B29-B27)*(1/27),0))</f>
        <v>695</v>
      </c>
      <c r="G28"/>
    </row>
    <row r="29" spans="2:7">
      <c r="B29" s="38">
        <v>1150</v>
      </c>
      <c r="C29" s="34">
        <v>226</v>
      </c>
      <c r="D29" s="34">
        <v>1147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225</v>
      </c>
      <c r="F30" s="33">
        <f>IF(B31="x",0,ROUND((AVERAGE(D31,D29))*($B31-B29)*(1/27),0))</f>
        <v>1153</v>
      </c>
      <c r="G30"/>
    </row>
    <row r="31" spans="2:7">
      <c r="B31" s="38">
        <v>1175</v>
      </c>
      <c r="C31" s="34">
        <v>259</v>
      </c>
      <c r="D31" s="34">
        <v>1344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233</v>
      </c>
      <c r="F32" s="33">
        <f>IF(B33="x",0,ROUND((AVERAGE(D33,D31))*($B33-B31)*(1/27),0))</f>
        <v>1261</v>
      </c>
      <c r="G32"/>
    </row>
    <row r="33" spans="2:7">
      <c r="B33" s="38">
        <v>1200</v>
      </c>
      <c r="C33" s="34">
        <v>244</v>
      </c>
      <c r="D33" s="34">
        <v>1380</v>
      </c>
      <c r="E33" s="24"/>
      <c r="F33" s="24"/>
      <c r="G33"/>
    </row>
    <row r="34" spans="2:7">
      <c r="B34" s="23"/>
      <c r="C34" s="23"/>
      <c r="D34" s="23"/>
      <c r="E34" s="33">
        <f>IF(B35="x",0,ROUND((AVERAGE(C35,C33))*($B35-B33)*(1/27),0))</f>
        <v>230</v>
      </c>
      <c r="F34" s="33">
        <f>IF(B35="x",0,ROUND((AVERAGE(D35,D33))*($B35-B33)*(1/27),0))</f>
        <v>1288</v>
      </c>
      <c r="G34"/>
    </row>
    <row r="35" spans="2:7">
      <c r="B35" s="38">
        <v>1225</v>
      </c>
      <c r="C35" s="34">
        <v>252</v>
      </c>
      <c r="D35" s="34">
        <v>1403</v>
      </c>
      <c r="E35" s="24"/>
      <c r="F35" s="24"/>
    </row>
    <row r="36" spans="2:7">
      <c r="B36" s="23"/>
      <c r="C36" s="23"/>
      <c r="D36" s="23"/>
      <c r="E36" s="33">
        <f>IF(B37="x",0,ROUND((AVERAGE(C37,C35))*($B37-B35)*(1/27),0))</f>
        <v>245</v>
      </c>
      <c r="F36" s="33">
        <f>IF(B37="x",0,ROUND((AVERAGE(D37,D35))*($B37-B35)*(1/27),0))</f>
        <v>1286</v>
      </c>
      <c r="G36"/>
    </row>
    <row r="37" spans="2:7">
      <c r="B37" s="38">
        <v>1250</v>
      </c>
      <c r="C37" s="34">
        <v>278</v>
      </c>
      <c r="D37" s="34">
        <v>1375</v>
      </c>
      <c r="E37" s="24"/>
      <c r="F37" s="24"/>
      <c r="G37"/>
    </row>
    <row r="38" spans="2:7">
      <c r="B38" s="23"/>
      <c r="C38" s="23"/>
      <c r="D38" s="23"/>
      <c r="E38" s="33">
        <f>IF(B39="x",0,ROUND((AVERAGE(C39,C37))*($B39-B37)*(1/27),0))</f>
        <v>284</v>
      </c>
      <c r="F38" s="33">
        <f>IF(B39="x",0,ROUND((AVERAGE(D39,D37))*($B39-B37)*(1/27),0))</f>
        <v>1309</v>
      </c>
      <c r="G38"/>
    </row>
    <row r="39" spans="2:7">
      <c r="B39" s="38">
        <v>1275</v>
      </c>
      <c r="C39" s="34">
        <v>336</v>
      </c>
      <c r="D39" s="34">
        <v>1453</v>
      </c>
      <c r="E39" s="24"/>
      <c r="F39" s="24"/>
      <c r="G39"/>
    </row>
    <row r="40" spans="2:7">
      <c r="B40" s="23"/>
      <c r="C40" s="23"/>
      <c r="D40" s="23"/>
      <c r="E40" s="33">
        <f>IF(B41="x",0,ROUND((AVERAGE(C41,C39))*($B41-B39)*(1/27),0))</f>
        <v>230</v>
      </c>
      <c r="F40" s="33">
        <f>IF(B41="x",0,ROUND((AVERAGE(D41,D39))*($B41-B39)*(1/27),0))</f>
        <v>891</v>
      </c>
    </row>
    <row r="41" spans="2:7">
      <c r="B41" s="38">
        <v>1300</v>
      </c>
      <c r="C41" s="34">
        <v>161</v>
      </c>
      <c r="D41" s="34">
        <v>471</v>
      </c>
      <c r="E41" s="24"/>
      <c r="F41" s="24"/>
    </row>
    <row r="42" spans="2:7">
      <c r="B42" s="23"/>
      <c r="C42" s="23"/>
      <c r="D42" s="23"/>
      <c r="E42" s="33">
        <f>IF(B43="x",0,ROUND((AVERAGE(C43,C41))*($B43-B41)*(1/27),0))</f>
        <v>75</v>
      </c>
      <c r="F42" s="33">
        <f>IF(B43="x",0,ROUND((AVERAGE(D43,D41))*($B43-B41)*(1/27),0))</f>
        <v>314</v>
      </c>
    </row>
    <row r="43" spans="2:7">
      <c r="B43" s="38">
        <v>1325</v>
      </c>
      <c r="C43" s="34">
        <v>0</v>
      </c>
      <c r="D43" s="34">
        <v>208</v>
      </c>
      <c r="E43" s="24"/>
      <c r="F43" s="24"/>
    </row>
    <row r="44" spans="2:7">
      <c r="B44" s="23"/>
      <c r="C44" s="23"/>
      <c r="D44" s="23"/>
      <c r="E44" s="33">
        <f t="shared" ref="E44" si="0">IF(B45="x",0,ROUND((AVERAGE(C45,C43))*($B45-B43)*(1/27),0))</f>
        <v>0</v>
      </c>
      <c r="F44" s="33">
        <f>IF(B45="x",0,ROUND((AVERAGE(D45,D43))*($B45-B43)*(1/27),0))</f>
        <v>199</v>
      </c>
    </row>
    <row r="45" spans="2:7">
      <c r="B45" s="38">
        <v>1350</v>
      </c>
      <c r="C45" s="34">
        <v>0</v>
      </c>
      <c r="D45" s="34">
        <v>221</v>
      </c>
      <c r="E45" s="36"/>
      <c r="F45" s="36"/>
    </row>
    <row r="46" spans="2:7">
      <c r="B46" s="23"/>
      <c r="C46" s="23"/>
      <c r="D46" s="23"/>
      <c r="E46" s="33">
        <f t="shared" ref="E46" si="1">IF(B47="x",0,ROUND((AVERAGE(C47,C45))*($B47-B45)*(1/27),0))</f>
        <v>6</v>
      </c>
      <c r="F46" s="33">
        <f>IF(B47="x",0,ROUND((AVERAGE(D47,D45))*($B47-B45)*(1/27),0))</f>
        <v>187</v>
      </c>
    </row>
    <row r="47" spans="2:7">
      <c r="B47" s="38">
        <v>1375</v>
      </c>
      <c r="C47" s="34">
        <v>14</v>
      </c>
      <c r="D47" s="34">
        <v>183</v>
      </c>
      <c r="E47" s="36"/>
      <c r="F47" s="36"/>
    </row>
    <row r="48" spans="2:7">
      <c r="B48" s="23"/>
      <c r="C48" s="23"/>
      <c r="D48" s="23"/>
      <c r="E48" s="33">
        <f t="shared" ref="E48" si="2">IF(B49="x",0,ROUND((AVERAGE(C49,C47))*($B49-B47)*(1/27),0))</f>
        <v>77</v>
      </c>
      <c r="F48" s="33">
        <f>IF(B49="x",0,ROUND((AVERAGE(D49,D47))*($B49-B47)*(1/27),0))</f>
        <v>168</v>
      </c>
    </row>
    <row r="49" spans="2:6">
      <c r="B49" s="38">
        <v>1400</v>
      </c>
      <c r="C49" s="34">
        <v>152</v>
      </c>
      <c r="D49" s="34">
        <v>180</v>
      </c>
      <c r="E49" s="36"/>
      <c r="F49" s="36"/>
    </row>
    <row r="50" spans="2:6">
      <c r="B50" s="23"/>
      <c r="C50" s="23"/>
      <c r="D50" s="23"/>
      <c r="E50" s="33">
        <f t="shared" ref="E50" si="3">IF(B51="x",0,ROUND((AVERAGE(C51,C49))*($B51-B49)*(1/27),0))</f>
        <v>115</v>
      </c>
      <c r="F50" s="33">
        <f>IF(B51="x",0,ROUND((AVERAGE(D51,D49))*($B51-B49)*(1/27),0))</f>
        <v>154</v>
      </c>
    </row>
    <row r="51" spans="2:6">
      <c r="B51" s="38">
        <v>1425</v>
      </c>
      <c r="C51" s="34">
        <v>96</v>
      </c>
      <c r="D51" s="34">
        <v>153</v>
      </c>
      <c r="E51" s="35"/>
      <c r="F51" s="35"/>
    </row>
    <row r="52" spans="2:6">
      <c r="B52" s="23"/>
      <c r="C52" s="23"/>
      <c r="D52" s="23"/>
      <c r="E52" s="33">
        <f t="shared" ref="E52" si="4">IF(B53="x",0,ROUND((AVERAGE(C53,C51))*($B53-B51)*(1/27),0))</f>
        <v>82</v>
      </c>
      <c r="F52" s="33">
        <f t="shared" ref="F52" si="5">IF(B53="x",0,ROUND((AVERAGE(D53,D51))*($B53-B51)*(1/27),0))</f>
        <v>128</v>
      </c>
    </row>
    <row r="53" spans="2:6">
      <c r="B53" s="38">
        <v>1450</v>
      </c>
      <c r="C53" s="34">
        <v>82</v>
      </c>
      <c r="D53" s="34">
        <v>123</v>
      </c>
      <c r="E53" s="35"/>
      <c r="F53" s="35"/>
    </row>
    <row r="54" spans="2:6">
      <c r="B54" s="23"/>
      <c r="C54" s="23"/>
      <c r="D54" s="23"/>
      <c r="E54" s="33">
        <f t="shared" ref="E54" si="6">IF(B55="x",0,ROUND((AVERAGE(C55,C53))*($B55-B53)*(1/27),0))</f>
        <v>65</v>
      </c>
      <c r="F54" s="33">
        <f t="shared" ref="F54" si="7">IF(B55="x",0,ROUND((AVERAGE(D55,D53))*($B55-B53)*(1/27),0))</f>
        <v>106</v>
      </c>
    </row>
    <row r="55" spans="2:6">
      <c r="B55" s="38">
        <v>1475</v>
      </c>
      <c r="C55" s="34">
        <v>59</v>
      </c>
      <c r="D55" s="34">
        <v>107</v>
      </c>
      <c r="E55" s="35"/>
      <c r="F55" s="35"/>
    </row>
    <row r="56" spans="2:6">
      <c r="B56" s="23"/>
      <c r="C56" s="23"/>
      <c r="D56" s="23"/>
      <c r="E56" s="33">
        <f t="shared" ref="E56" si="8">IF(B57="x",0,ROUND((AVERAGE(C57,C55))*($B57-B55)*(1/27),0))</f>
        <v>63</v>
      </c>
      <c r="F56" s="33">
        <f t="shared" ref="F56" si="9">IF(B57="x",0,ROUND((AVERAGE(D57,D55))*($B57-B55)*(1/27),0))</f>
        <v>100</v>
      </c>
    </row>
    <row r="57" spans="2:6">
      <c r="B57" s="38">
        <v>1500</v>
      </c>
      <c r="C57" s="34">
        <v>76</v>
      </c>
      <c r="D57" s="34">
        <v>108</v>
      </c>
      <c r="E57" s="35"/>
      <c r="F57" s="35"/>
    </row>
    <row r="58" spans="2:6">
      <c r="B58" s="23"/>
      <c r="C58" s="23"/>
      <c r="D58" s="23"/>
      <c r="E58" s="33">
        <f t="shared" ref="E58" si="10">IF(B59="x",0,ROUND((AVERAGE(C59,C57))*($B59-B57)*(1/27),0))</f>
        <v>98</v>
      </c>
      <c r="F58" s="33">
        <f t="shared" ref="F58" si="11">IF(B59="x",0,ROUND((AVERAGE(D59,D57))*($B59-B57)*(1/27),0))</f>
        <v>369</v>
      </c>
    </row>
    <row r="59" spans="2:6">
      <c r="B59" s="38">
        <v>1569.75</v>
      </c>
      <c r="C59" s="34">
        <v>0</v>
      </c>
      <c r="D59" s="34">
        <v>178</v>
      </c>
      <c r="E59" s="35"/>
      <c r="F59" s="35"/>
    </row>
    <row r="60" spans="2:6">
      <c r="C60" s="78" t="s">
        <v>36</v>
      </c>
      <c r="D60" s="78"/>
      <c r="E60" s="39">
        <f>SUM(E18:E58)</f>
        <v>2295</v>
      </c>
      <c r="F60" s="39">
        <f>SUM(F18:F58)</f>
        <v>10768</v>
      </c>
    </row>
  </sheetData>
  <mergeCells count="7">
    <mergeCell ref="C60:D60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E02A-0F0B-4C34-AFAB-C42AE363B18A}">
  <dimension ref="A1:I42"/>
  <sheetViews>
    <sheetView view="pageBreakPreview" topLeftCell="A18" zoomScale="120" zoomScaleNormal="100" zoomScaleSheetLayoutView="120" workbookViewId="0">
      <selection activeCell="H31" sqref="H31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54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42775</v>
      </c>
      <c r="C17" s="34">
        <v>118</v>
      </c>
      <c r="D17" s="34">
        <v>23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106</v>
      </c>
      <c r="F18" s="33">
        <f>IF(B19="x",0,ROUND((AVERAGE(D19,D17))*($B19-$B17)*(1/27),0))</f>
        <v>13</v>
      </c>
      <c r="G18"/>
    </row>
    <row r="19" spans="2:7">
      <c r="B19" s="38">
        <v>42800</v>
      </c>
      <c r="C19" s="34">
        <v>111</v>
      </c>
      <c r="D19" s="34">
        <v>4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93</v>
      </c>
      <c r="F20" s="33">
        <f>IF(B21="x",0,ROUND((AVERAGE(D21,D19))*($B21-$B19)*(1/27),0))</f>
        <v>4</v>
      </c>
      <c r="G20"/>
    </row>
    <row r="21" spans="2:7">
      <c r="B21" s="38">
        <v>42825</v>
      </c>
      <c r="C21" s="34">
        <v>90</v>
      </c>
      <c r="D21" s="34">
        <v>5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74</v>
      </c>
      <c r="F22" s="33">
        <f>IF(B23="x",0,ROUND((AVERAGE(D23,D21))*($B23-$B21)*(1/27),0))</f>
        <v>4</v>
      </c>
      <c r="G22"/>
    </row>
    <row r="23" spans="2:7">
      <c r="B23" s="38">
        <v>42850</v>
      </c>
      <c r="C23" s="34">
        <v>69</v>
      </c>
      <c r="D23" s="34">
        <v>4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53</v>
      </c>
      <c r="F24" s="33">
        <f>IF(B25="x",0,ROUND((AVERAGE(D25,D23))*($B25-$B23)*(1/27),0))</f>
        <v>5</v>
      </c>
      <c r="G24"/>
    </row>
    <row r="25" spans="2:7">
      <c r="B25" s="38">
        <v>42875</v>
      </c>
      <c r="C25" s="34">
        <v>45</v>
      </c>
      <c r="D25" s="34">
        <v>6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35</v>
      </c>
      <c r="F26" s="33">
        <f>IF(B27="x",0,ROUND((AVERAGE(D27,D25))*($B27-B25)*(1/27),0))</f>
        <v>8</v>
      </c>
      <c r="G26"/>
    </row>
    <row r="27" spans="2:7">
      <c r="B27" s="38">
        <v>42900</v>
      </c>
      <c r="C27" s="34">
        <v>30</v>
      </c>
      <c r="D27" s="34">
        <v>11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63</v>
      </c>
      <c r="F28" s="33">
        <f>IF(B29="x",0,ROUND((AVERAGE(D29,D27))*($B29-B27)*(1/27),0))</f>
        <v>76</v>
      </c>
      <c r="G28"/>
    </row>
    <row r="29" spans="2:7">
      <c r="B29" s="38">
        <v>42925</v>
      </c>
      <c r="C29" s="34">
        <v>106</v>
      </c>
      <c r="D29" s="34">
        <v>154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86</v>
      </c>
      <c r="F30" s="33">
        <f>IF(B31="x",0,ROUND((AVERAGE(D31,D29))*($B31-B29)*(1/27),0))</f>
        <v>146</v>
      </c>
      <c r="G30"/>
    </row>
    <row r="31" spans="2:7">
      <c r="B31" s="38">
        <v>42950</v>
      </c>
      <c r="C31" s="34">
        <v>79</v>
      </c>
      <c r="D31" s="34">
        <v>161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39</v>
      </c>
      <c r="F32" s="33">
        <f>IF(B33="x",0,ROUND((AVERAGE(D33,D31))*($B33-B31)*(1/27),0))</f>
        <v>81</v>
      </c>
      <c r="G32"/>
    </row>
    <row r="33" spans="1:9">
      <c r="B33" s="38">
        <v>42975</v>
      </c>
      <c r="C33" s="34">
        <v>5</v>
      </c>
      <c r="D33" s="34">
        <v>13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4</v>
      </c>
      <c r="F34" s="33">
        <f>IF(B35="x",0,ROUND((AVERAGE(D35,D33))*($B35-B33)*(1/27),0))</f>
        <v>8</v>
      </c>
      <c r="G34"/>
    </row>
    <row r="35" spans="1:9">
      <c r="B35" s="38">
        <v>43000</v>
      </c>
      <c r="C35" s="34">
        <v>4</v>
      </c>
      <c r="D35" s="34">
        <v>4</v>
      </c>
      <c r="E35" s="24"/>
      <c r="F35" s="24"/>
    </row>
    <row r="36" spans="1:9">
      <c r="B36" s="23"/>
      <c r="C36" s="23"/>
      <c r="D36" s="23"/>
      <c r="E36" s="33">
        <f>IF(B37="x",0,ROUND((AVERAGE(C37,C35))*($B37-B35)*(1/27),0))</f>
        <v>5</v>
      </c>
      <c r="F36" s="33">
        <f>IF(B37="x",0,ROUND((AVERAGE(D37,D35))*($B37-B35)*(1/27),0))</f>
        <v>6</v>
      </c>
      <c r="G36"/>
    </row>
    <row r="37" spans="1:9">
      <c r="B37" s="38">
        <v>43025</v>
      </c>
      <c r="C37" s="34">
        <v>6</v>
      </c>
      <c r="D37" s="34">
        <v>8</v>
      </c>
      <c r="E37" s="24"/>
      <c r="F37" s="24"/>
      <c r="G37"/>
    </row>
    <row r="38" spans="1:9">
      <c r="B38" s="23"/>
      <c r="C38" s="23"/>
      <c r="D38" s="23"/>
      <c r="E38" s="33">
        <f>IF(B39="x",0,ROUND((AVERAGE(C39,C37))*($B39-B37)*(1/27),0))</f>
        <v>3</v>
      </c>
      <c r="F38" s="33">
        <f>IF(B39="x",0,ROUND((AVERAGE(D39,D37))*($B39-B37)*(1/27),0))</f>
        <v>4</v>
      </c>
      <c r="G38"/>
    </row>
    <row r="39" spans="1:9">
      <c r="B39" s="38">
        <v>43050</v>
      </c>
      <c r="C39" s="34">
        <v>0</v>
      </c>
      <c r="D39" s="34">
        <v>0</v>
      </c>
      <c r="E39" s="24"/>
      <c r="F39" s="24"/>
      <c r="G39"/>
    </row>
    <row r="40" spans="1:9">
      <c r="B40" s="23"/>
      <c r="C40" s="23"/>
      <c r="D40" s="23"/>
      <c r="E40" s="33">
        <f>IF(B41="x",0,ROUND((AVERAGE(C41,C39))*($B41-B39)*(1/27),0))</f>
        <v>0</v>
      </c>
      <c r="F40" s="33">
        <f>IF(B41="x",0,ROUND((AVERAGE(D41,D39))*($B41-B39)*(1/27),0))</f>
        <v>0</v>
      </c>
    </row>
    <row r="41" spans="1:9">
      <c r="B41" s="38">
        <v>43075</v>
      </c>
      <c r="C41" s="34">
        <v>0</v>
      </c>
      <c r="D41" s="34">
        <v>0</v>
      </c>
      <c r="E41" s="24"/>
      <c r="F41" s="24"/>
    </row>
    <row r="42" spans="1:9" s="20" customFormat="1">
      <c r="A42"/>
      <c r="C42" s="78" t="s">
        <v>36</v>
      </c>
      <c r="D42" s="78"/>
      <c r="E42" s="39">
        <f>SUM(E18:E41)</f>
        <v>561</v>
      </c>
      <c r="F42" s="39">
        <f>SUM(F18:F41)</f>
        <v>355</v>
      </c>
      <c r="H42"/>
      <c r="I42"/>
    </row>
  </sheetData>
  <mergeCells count="7">
    <mergeCell ref="C42:D42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74AA-E922-4131-A10F-B5B451FDA19A}">
  <dimension ref="A1:I32"/>
  <sheetViews>
    <sheetView view="pageBreakPreview" topLeftCell="A18" zoomScale="120" zoomScaleNormal="100" zoomScaleSheetLayoutView="120" workbookViewId="0">
      <selection activeCell="H31" sqref="H31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55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1:9">
      <c r="B17" s="38">
        <v>4400</v>
      </c>
      <c r="C17" s="34">
        <v>4</v>
      </c>
      <c r="D17" s="34">
        <v>2</v>
      </c>
      <c r="E17" s="24"/>
      <c r="F17" s="24"/>
      <c r="G17"/>
    </row>
    <row r="18" spans="1:9">
      <c r="B18" s="23"/>
      <c r="C18" s="23"/>
      <c r="D18" s="23"/>
      <c r="E18" s="33">
        <f>IF(B19="x",0,ROUND((AVERAGE(C19,C17))*($B19-$B17)*(1/27),0))</f>
        <v>6</v>
      </c>
      <c r="F18" s="33">
        <f>IF(B19="x",0,ROUND((AVERAGE(D19,D17))*($B19-$B17)*(1/27),0))</f>
        <v>2</v>
      </c>
      <c r="G18"/>
    </row>
    <row r="19" spans="1:9">
      <c r="B19" s="38">
        <v>4425</v>
      </c>
      <c r="C19" s="34">
        <v>8</v>
      </c>
      <c r="D19" s="34">
        <v>3</v>
      </c>
      <c r="E19" s="24"/>
      <c r="F19" s="24"/>
      <c r="G19"/>
    </row>
    <row r="20" spans="1:9">
      <c r="B20" s="23"/>
      <c r="C20" s="23"/>
      <c r="D20" s="23"/>
      <c r="E20" s="33">
        <f>IF(B21="x",0,ROUND((AVERAGE(C21,C19))*($B21-$B19)*(1/27),0))</f>
        <v>8</v>
      </c>
      <c r="F20" s="33">
        <f>IF(B21="x",0,ROUND((AVERAGE(D21,D19))*($B21-$B19)*(1/27),0))</f>
        <v>3</v>
      </c>
      <c r="G20"/>
    </row>
    <row r="21" spans="1:9">
      <c r="B21" s="38">
        <v>4450</v>
      </c>
      <c r="C21" s="34">
        <v>9</v>
      </c>
      <c r="D21" s="34">
        <v>3</v>
      </c>
      <c r="E21" s="24"/>
      <c r="F21" s="24"/>
      <c r="G21"/>
    </row>
    <row r="22" spans="1:9">
      <c r="B22" s="23"/>
      <c r="C22" s="23"/>
      <c r="D22" s="23"/>
      <c r="E22" s="33">
        <f>IF(B23="x",0,ROUND((AVERAGE(C23,C21))*($B23-$B21)*(1/27),0))</f>
        <v>11</v>
      </c>
      <c r="F22" s="33">
        <f>IF(B23="x",0,ROUND((AVERAGE(D23,D21))*($B23-$B21)*(1/27),0))</f>
        <v>3</v>
      </c>
      <c r="G22"/>
    </row>
    <row r="23" spans="1:9">
      <c r="B23" s="38">
        <v>4475</v>
      </c>
      <c r="C23" s="34">
        <v>14</v>
      </c>
      <c r="D23" s="34">
        <v>3</v>
      </c>
      <c r="E23" s="24"/>
      <c r="F23" s="24"/>
      <c r="G23"/>
    </row>
    <row r="24" spans="1:9">
      <c r="B24" s="23"/>
      <c r="C24" s="23"/>
      <c r="D24" s="23"/>
      <c r="E24" s="33">
        <f>IF(B25="x",0,ROUND((AVERAGE(C25,C23))*($B25-$B23)*(1/27),0))</f>
        <v>17</v>
      </c>
      <c r="F24" s="33">
        <f>IF(B25="x",0,ROUND((AVERAGE(D25,D23))*($B25-$B23)*(1/27),0))</f>
        <v>2</v>
      </c>
      <c r="G24"/>
    </row>
    <row r="25" spans="1:9">
      <c r="B25" s="38">
        <v>4500</v>
      </c>
      <c r="C25" s="34">
        <v>22</v>
      </c>
      <c r="D25" s="34">
        <v>1</v>
      </c>
      <c r="E25" s="24"/>
      <c r="F25" s="24"/>
      <c r="G25"/>
    </row>
    <row r="26" spans="1:9">
      <c r="B26" s="23"/>
      <c r="C26" s="23"/>
      <c r="D26" s="23"/>
      <c r="E26" s="33">
        <f>IF(B27="x",0,ROUND((AVERAGE(C27,C25))*($B27-B25)*(1/27),0))</f>
        <v>25</v>
      </c>
      <c r="F26" s="33">
        <f>IF(B27="x",0,ROUND((AVERAGE(D27,D25))*($B27-B25)*(1/27),0))</f>
        <v>0</v>
      </c>
      <c r="G26"/>
    </row>
    <row r="27" spans="1:9">
      <c r="B27" s="38">
        <v>4525</v>
      </c>
      <c r="C27" s="34">
        <v>32</v>
      </c>
      <c r="D27" s="34">
        <v>0</v>
      </c>
      <c r="E27" s="24"/>
      <c r="F27" s="24"/>
      <c r="G27"/>
    </row>
    <row r="28" spans="1:9">
      <c r="B28" s="23"/>
      <c r="C28" s="23"/>
      <c r="D28" s="23"/>
      <c r="E28" s="33">
        <f>IF(B29="x",0,ROUND((AVERAGE(C29,C27))*($B29-B27)*(1/27),0))</f>
        <v>29</v>
      </c>
      <c r="F28" s="33">
        <f>IF(B29="x",0,ROUND((AVERAGE(D29,D27))*($B29-B27)*(1/27),0))</f>
        <v>17</v>
      </c>
      <c r="G28"/>
    </row>
    <row r="29" spans="1:9">
      <c r="B29" s="38">
        <v>4550</v>
      </c>
      <c r="C29" s="34">
        <v>31</v>
      </c>
      <c r="D29" s="34">
        <v>37</v>
      </c>
      <c r="E29" s="24"/>
      <c r="F29" s="24"/>
      <c r="G29"/>
    </row>
    <row r="30" spans="1:9">
      <c r="B30" s="23"/>
      <c r="C30" s="23"/>
      <c r="D30" s="23"/>
      <c r="E30" s="33">
        <f>IF(B31="x",0,ROUND((AVERAGE(C31,C29))*($B31-B29)*(1/27),0))</f>
        <v>31</v>
      </c>
      <c r="F30" s="33">
        <f>IF(B31="x",0,ROUND((AVERAGE(D31,D29))*($B31-B29)*(1/27),0))</f>
        <v>138</v>
      </c>
      <c r="G30"/>
    </row>
    <row r="31" spans="1:9">
      <c r="B31" s="38">
        <v>4575</v>
      </c>
      <c r="C31" s="34">
        <v>35</v>
      </c>
      <c r="D31" s="34">
        <v>261</v>
      </c>
      <c r="E31" s="24"/>
      <c r="F31" s="24"/>
      <c r="G31"/>
    </row>
    <row r="32" spans="1:9" s="20" customFormat="1">
      <c r="A32"/>
      <c r="C32" s="78" t="s">
        <v>36</v>
      </c>
      <c r="D32" s="78"/>
      <c r="E32" s="39">
        <f>SUM(E18:E31)</f>
        <v>127</v>
      </c>
      <c r="F32" s="39">
        <f>SUM(F18:F31)</f>
        <v>165</v>
      </c>
      <c r="H32"/>
      <c r="I32"/>
    </row>
  </sheetData>
  <mergeCells count="7">
    <mergeCell ref="C32:D32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DBF0-106A-4724-93A5-074D3C341336}">
  <dimension ref="A1:I40"/>
  <sheetViews>
    <sheetView view="pageBreakPreview" topLeftCell="A30" zoomScale="120" zoomScaleNormal="100" zoomScaleSheetLayoutView="120" workbookViewId="0">
      <selection activeCell="E40" sqref="E40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56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8125</v>
      </c>
      <c r="C17" s="34">
        <v>28</v>
      </c>
      <c r="D17" s="34">
        <v>19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31</v>
      </c>
      <c r="F18" s="33">
        <f>IF(B19="x",0,ROUND((AVERAGE(D19,D17))*($B19-$B17)*(1/27),0))</f>
        <v>18</v>
      </c>
      <c r="G18"/>
    </row>
    <row r="19" spans="2:7">
      <c r="B19" s="38">
        <v>8150</v>
      </c>
      <c r="C19" s="34">
        <v>38</v>
      </c>
      <c r="D19" s="34">
        <v>19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44</v>
      </c>
      <c r="F20" s="33">
        <f>IF(B21="x",0,ROUND((AVERAGE(D21,D19))*($B21-$B19)*(1/27),0))</f>
        <v>48</v>
      </c>
      <c r="G20"/>
    </row>
    <row r="21" spans="2:7">
      <c r="B21" s="38">
        <v>8175</v>
      </c>
      <c r="C21" s="34">
        <v>56</v>
      </c>
      <c r="D21" s="34">
        <v>85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50</v>
      </c>
      <c r="F22" s="33">
        <f>IF(B23="x",0,ROUND((AVERAGE(D23,D21))*($B23-$B21)*(1/27),0))</f>
        <v>49</v>
      </c>
      <c r="G22"/>
    </row>
    <row r="23" spans="2:7">
      <c r="B23" s="38">
        <v>8200</v>
      </c>
      <c r="C23" s="34">
        <v>51</v>
      </c>
      <c r="D23" s="34">
        <v>20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46</v>
      </c>
      <c r="F24" s="33">
        <f>IF(B25="x",0,ROUND((AVERAGE(D25,D23))*($B25-$B23)*(1/27),0))</f>
        <v>12</v>
      </c>
      <c r="G24"/>
    </row>
    <row r="25" spans="2:7">
      <c r="B25" s="38">
        <v>8225</v>
      </c>
      <c r="C25" s="34">
        <v>48</v>
      </c>
      <c r="D25" s="34">
        <v>6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39</v>
      </c>
      <c r="F26" s="33">
        <f>IF(B27="x",0,ROUND((AVERAGE(D27,D25))*($B27-B25)*(1/27),0))</f>
        <v>5</v>
      </c>
      <c r="G26"/>
    </row>
    <row r="27" spans="2:7">
      <c r="B27" s="38">
        <v>8250</v>
      </c>
      <c r="C27" s="34">
        <v>37</v>
      </c>
      <c r="D27" s="34">
        <v>4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45</v>
      </c>
      <c r="F28" s="33">
        <f>IF(B29="x",0,ROUND((AVERAGE(D29,D27))*($B29-B27)*(1/27),0))</f>
        <v>6</v>
      </c>
      <c r="G28"/>
    </row>
    <row r="29" spans="2:7">
      <c r="B29" s="38">
        <v>8275</v>
      </c>
      <c r="C29" s="34">
        <v>61</v>
      </c>
      <c r="D29" s="34">
        <v>10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50</v>
      </c>
      <c r="F30" s="33">
        <f>IF(B31="x",0,ROUND((AVERAGE(D31,D29))*($B31-B29)*(1/27),0))</f>
        <v>6</v>
      </c>
      <c r="G30"/>
    </row>
    <row r="31" spans="2:7">
      <c r="B31" s="38">
        <v>8300</v>
      </c>
      <c r="C31" s="34">
        <v>47</v>
      </c>
      <c r="D31" s="34">
        <v>4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42</v>
      </c>
      <c r="F32" s="33">
        <f>IF(B33="x",0,ROUND((AVERAGE(D33,D31))*($B33-B31)*(1/27),0))</f>
        <v>8</v>
      </c>
      <c r="G32"/>
    </row>
    <row r="33" spans="1:9">
      <c r="B33" s="38">
        <v>8325</v>
      </c>
      <c r="C33" s="34">
        <v>43</v>
      </c>
      <c r="D33" s="34">
        <v>13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45</v>
      </c>
      <c r="F34" s="33">
        <f>IF(B35="x",0,ROUND((AVERAGE(D35,D33))*($B35-B33)*(1/27),0))</f>
        <v>31</v>
      </c>
      <c r="G34"/>
    </row>
    <row r="35" spans="1:9">
      <c r="B35" s="38">
        <v>8350</v>
      </c>
      <c r="C35" s="34">
        <v>54</v>
      </c>
      <c r="D35" s="34">
        <v>53</v>
      </c>
      <c r="E35" s="24"/>
      <c r="F35" s="24"/>
    </row>
    <row r="36" spans="1:9">
      <c r="B36" s="23"/>
      <c r="C36" s="23"/>
      <c r="D36" s="23"/>
      <c r="E36" s="33">
        <f>IF(B37="x",0,ROUND((AVERAGE(C37,C35))*($B37-B35)*(1/27),0))</f>
        <v>53</v>
      </c>
      <c r="F36" s="33">
        <f>IF(B37="x",0,ROUND((AVERAGE(D37,D35))*($B37-B35)*(1/27),0))</f>
        <v>40</v>
      </c>
      <c r="G36"/>
    </row>
    <row r="37" spans="1:9">
      <c r="B37" s="38">
        <v>8375</v>
      </c>
      <c r="C37" s="34">
        <v>61</v>
      </c>
      <c r="D37" s="34">
        <v>34</v>
      </c>
      <c r="E37" s="24"/>
      <c r="F37" s="24"/>
      <c r="G37"/>
    </row>
    <row r="38" spans="1:9">
      <c r="B38" s="23"/>
      <c r="C38" s="23"/>
      <c r="D38" s="23"/>
      <c r="E38" s="33">
        <f>IF(B39="x",0,ROUND((AVERAGE(C39,C37))*($B39-B37)*(1/27),0))</f>
        <v>50</v>
      </c>
      <c r="F38" s="33">
        <f>IF(B39="x",0,ROUND((AVERAGE(D39,D37))*($B39-B37)*(1/27),0))</f>
        <v>20</v>
      </c>
      <c r="G38"/>
    </row>
    <row r="39" spans="1:9">
      <c r="B39" s="38">
        <v>8400</v>
      </c>
      <c r="C39" s="34">
        <v>48</v>
      </c>
      <c r="D39" s="34">
        <v>9</v>
      </c>
      <c r="E39" s="24"/>
      <c r="F39" s="24"/>
      <c r="G39"/>
    </row>
    <row r="40" spans="1:9" s="20" customFormat="1">
      <c r="A40"/>
      <c r="C40" s="78" t="s">
        <v>36</v>
      </c>
      <c r="D40" s="78"/>
      <c r="E40" s="39">
        <f>SUM(E18:E39)</f>
        <v>495</v>
      </c>
      <c r="F40" s="39">
        <f>SUM(F18:F39)</f>
        <v>243</v>
      </c>
      <c r="H40"/>
      <c r="I40"/>
    </row>
  </sheetData>
  <mergeCells count="7">
    <mergeCell ref="C40:D40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8329-C844-49E3-8895-ED8DF1D59FB1}">
  <dimension ref="A1:I58"/>
  <sheetViews>
    <sheetView view="pageBreakPreview" topLeftCell="A40" zoomScale="120" zoomScaleNormal="100" zoomScaleSheetLayoutView="120" workbookViewId="0">
      <selection activeCell="H58" sqref="H58"/>
    </sheetView>
  </sheetViews>
  <sheetFormatPr defaultRowHeight="14.4"/>
  <cols>
    <col min="2" max="2" width="10.6640625" style="20" customWidth="1"/>
    <col min="3" max="5" width="10.6640625" customWidth="1"/>
    <col min="6" max="7" width="10.6640625" style="20" customWidth="1"/>
    <col min="8" max="8" width="10.6640625" customWidth="1"/>
    <col min="9" max="9" width="10.6640625" bestFit="1" customWidth="1"/>
  </cols>
  <sheetData>
    <row r="1" spans="2:9">
      <c r="D1" s="25" t="s">
        <v>21</v>
      </c>
      <c r="E1" s="20"/>
      <c r="G1"/>
    </row>
    <row r="2" spans="2:9">
      <c r="D2" s="26" t="s">
        <v>22</v>
      </c>
      <c r="E2" s="20"/>
      <c r="G2"/>
    </row>
    <row r="3" spans="2:9">
      <c r="C3" s="20"/>
      <c r="D3" s="26" t="s">
        <v>23</v>
      </c>
      <c r="F3"/>
      <c r="G3"/>
    </row>
    <row r="4" spans="2:9">
      <c r="C4" s="20"/>
      <c r="D4" s="26" t="s">
        <v>24</v>
      </c>
      <c r="F4"/>
      <c r="G4"/>
    </row>
    <row r="5" spans="2:9">
      <c r="C5" s="20"/>
      <c r="D5" s="26" t="s">
        <v>25</v>
      </c>
      <c r="F5"/>
      <c r="G5"/>
    </row>
    <row r="6" spans="2:9">
      <c r="C6" s="20"/>
      <c r="F6"/>
      <c r="G6"/>
    </row>
    <row r="7" spans="2:9">
      <c r="B7" s="27" t="s">
        <v>26</v>
      </c>
      <c r="C7" s="25" t="s">
        <v>27</v>
      </c>
      <c r="D7" s="25"/>
      <c r="E7" s="25"/>
      <c r="F7" s="28" t="s">
        <v>2</v>
      </c>
      <c r="G7" s="29" t="s">
        <v>28</v>
      </c>
      <c r="H7" s="28" t="s">
        <v>3</v>
      </c>
      <c r="I7" s="30">
        <v>45232</v>
      </c>
    </row>
    <row r="8" spans="2:9">
      <c r="B8" s="27" t="s">
        <v>29</v>
      </c>
      <c r="C8" s="25"/>
      <c r="D8" s="25"/>
      <c r="E8" s="25"/>
      <c r="F8" s="31"/>
      <c r="G8" s="32"/>
      <c r="H8" s="32"/>
      <c r="I8" s="32"/>
    </row>
    <row r="9" spans="2:9">
      <c r="F9" s="28" t="s">
        <v>7</v>
      </c>
      <c r="G9" s="29" t="s">
        <v>30</v>
      </c>
      <c r="H9" s="28" t="s">
        <v>3</v>
      </c>
      <c r="I9" s="30">
        <v>45342</v>
      </c>
    </row>
    <row r="11" spans="2:9">
      <c r="B11" s="1"/>
      <c r="C11" s="79" t="s">
        <v>31</v>
      </c>
      <c r="D11" s="79"/>
      <c r="E11" s="79"/>
      <c r="G11"/>
    </row>
    <row r="12" spans="2:9">
      <c r="B12" s="1"/>
      <c r="C12" s="79" t="s">
        <v>32</v>
      </c>
      <c r="D12" s="79"/>
      <c r="E12" s="79"/>
      <c r="G12"/>
    </row>
    <row r="13" spans="2:9">
      <c r="D13" s="22"/>
      <c r="H13" s="21"/>
      <c r="I13" s="21"/>
    </row>
    <row r="14" spans="2:9">
      <c r="B14" s="80" t="s">
        <v>9</v>
      </c>
      <c r="C14" s="81" t="s">
        <v>57</v>
      </c>
      <c r="D14" s="81"/>
      <c r="E14" s="81"/>
      <c r="F14" s="81"/>
      <c r="G14" s="21"/>
    </row>
    <row r="15" spans="2:9" ht="15.75" customHeight="1">
      <c r="B15" s="80"/>
      <c r="C15" s="82" t="s">
        <v>34</v>
      </c>
      <c r="D15" s="82"/>
      <c r="E15" s="82" t="s">
        <v>35</v>
      </c>
      <c r="F15" s="82"/>
      <c r="G15"/>
    </row>
    <row r="16" spans="2:9">
      <c r="B16" s="80"/>
      <c r="C16" s="37" t="s">
        <v>18</v>
      </c>
      <c r="D16" s="37" t="s">
        <v>19</v>
      </c>
      <c r="E16" s="37" t="s">
        <v>18</v>
      </c>
      <c r="F16" s="37" t="s">
        <v>19</v>
      </c>
      <c r="G16"/>
    </row>
    <row r="17" spans="2:7">
      <c r="B17" s="38">
        <v>9750</v>
      </c>
      <c r="C17" s="34">
        <v>22</v>
      </c>
      <c r="D17" s="34">
        <v>0</v>
      </c>
      <c r="E17" s="24"/>
      <c r="F17" s="24"/>
      <c r="G17"/>
    </row>
    <row r="18" spans="2:7">
      <c r="B18" s="23"/>
      <c r="C18" s="23"/>
      <c r="D18" s="23"/>
      <c r="E18" s="33">
        <f>IF(B19="x",0,ROUND((AVERAGE(C19,C17))*($B19-$B17)*(1/27),0))</f>
        <v>19</v>
      </c>
      <c r="F18" s="33">
        <f>IF(B19="x",0,ROUND((AVERAGE(D19,D17))*($B19-$B17)*(1/27),0))</f>
        <v>0</v>
      </c>
      <c r="G18"/>
    </row>
    <row r="19" spans="2:7">
      <c r="B19" s="38">
        <v>9775</v>
      </c>
      <c r="C19" s="34">
        <v>18</v>
      </c>
      <c r="D19" s="34">
        <v>0</v>
      </c>
      <c r="E19" s="24"/>
      <c r="F19" s="24"/>
      <c r="G19"/>
    </row>
    <row r="20" spans="2:7">
      <c r="B20" s="23"/>
      <c r="C20" s="23"/>
      <c r="D20" s="23"/>
      <c r="E20" s="33">
        <f>IF(B21="x",0,ROUND((AVERAGE(C21,C19))*($B21-$B19)*(1/27),0))</f>
        <v>13</v>
      </c>
      <c r="F20" s="33">
        <f>IF(B21="x",0,ROUND((AVERAGE(D21,D19))*($B21-$B19)*(1/27),0))</f>
        <v>3</v>
      </c>
      <c r="G20"/>
    </row>
    <row r="21" spans="2:7">
      <c r="B21" s="38">
        <v>9800</v>
      </c>
      <c r="C21" s="34">
        <v>10</v>
      </c>
      <c r="D21" s="34">
        <v>6</v>
      </c>
      <c r="E21" s="24"/>
      <c r="F21" s="24"/>
      <c r="G21"/>
    </row>
    <row r="22" spans="2:7">
      <c r="B22" s="23"/>
      <c r="C22" s="23"/>
      <c r="D22" s="23"/>
      <c r="E22" s="33">
        <f>IF(B23="x",0,ROUND((AVERAGE(C23,C21))*($B23-$B21)*(1/27),0))</f>
        <v>10</v>
      </c>
      <c r="F22" s="33">
        <f>IF(B23="x",0,ROUND((AVERAGE(D23,D21))*($B23-$B21)*(1/27),0))</f>
        <v>3</v>
      </c>
      <c r="G22"/>
    </row>
    <row r="23" spans="2:7">
      <c r="B23" s="38">
        <v>9825</v>
      </c>
      <c r="C23" s="34">
        <v>12</v>
      </c>
      <c r="D23" s="34">
        <v>0</v>
      </c>
      <c r="E23" s="24"/>
      <c r="F23" s="24"/>
      <c r="G23"/>
    </row>
    <row r="24" spans="2:7">
      <c r="B24" s="23"/>
      <c r="C24" s="23"/>
      <c r="D24" s="23"/>
      <c r="E24" s="33">
        <f>IF(B25="x",0,ROUND((AVERAGE(C25,C23))*($B25-$B23)*(1/27),0))</f>
        <v>9</v>
      </c>
      <c r="F24" s="33">
        <f>IF(B25="x",0,ROUND((AVERAGE(D25,D23))*($B25-$B23)*(1/27),0))</f>
        <v>1</v>
      </c>
      <c r="G24"/>
    </row>
    <row r="25" spans="2:7">
      <c r="B25" s="38">
        <v>9850</v>
      </c>
      <c r="C25" s="34">
        <v>7</v>
      </c>
      <c r="D25" s="34">
        <v>3</v>
      </c>
      <c r="E25" s="24"/>
      <c r="F25" s="24"/>
      <c r="G25"/>
    </row>
    <row r="26" spans="2:7">
      <c r="B26" s="23"/>
      <c r="C26" s="23"/>
      <c r="D26" s="23"/>
      <c r="E26" s="33">
        <f>IF(B27="x",0,ROUND((AVERAGE(C27,C25))*($B27-B25)*(1/27),0))</f>
        <v>13</v>
      </c>
      <c r="F26" s="33">
        <f>IF(B27="x",0,ROUND((AVERAGE(D27,D25))*($B27-B25)*(1/27),0))</f>
        <v>1</v>
      </c>
      <c r="G26"/>
    </row>
    <row r="27" spans="2:7">
      <c r="B27" s="38">
        <v>9875</v>
      </c>
      <c r="C27" s="34">
        <v>22</v>
      </c>
      <c r="D27" s="34">
        <v>0</v>
      </c>
      <c r="E27" s="24"/>
      <c r="F27" s="24"/>
      <c r="G27"/>
    </row>
    <row r="28" spans="2:7">
      <c r="B28" s="23"/>
      <c r="C28" s="23"/>
      <c r="D28" s="23"/>
      <c r="E28" s="33">
        <f>IF(B29="x",0,ROUND((AVERAGE(C29,C27))*($B29-B27)*(1/27),0))</f>
        <v>25</v>
      </c>
      <c r="F28" s="33">
        <f>IF(B29="x",0,ROUND((AVERAGE(D29,D27))*($B29-B27)*(1/27),0))</f>
        <v>0</v>
      </c>
      <c r="G28"/>
    </row>
    <row r="29" spans="2:7">
      <c r="B29" s="38">
        <v>9900</v>
      </c>
      <c r="C29" s="34">
        <v>32</v>
      </c>
      <c r="D29" s="34">
        <v>0</v>
      </c>
      <c r="E29" s="24"/>
      <c r="F29" s="24"/>
      <c r="G29"/>
    </row>
    <row r="30" spans="2:7">
      <c r="B30" s="23"/>
      <c r="C30" s="23"/>
      <c r="D30" s="23"/>
      <c r="E30" s="33">
        <f>IF(B31="x",0,ROUND((AVERAGE(C31,C29))*($B31-B29)*(1/27),0))</f>
        <v>42</v>
      </c>
      <c r="F30" s="33">
        <f>IF(B31="x",0,ROUND((AVERAGE(D31,D29))*($B31-B29)*(1/27),0))</f>
        <v>0</v>
      </c>
      <c r="G30"/>
    </row>
    <row r="31" spans="2:7">
      <c r="B31" s="38">
        <v>9925</v>
      </c>
      <c r="C31" s="34">
        <v>58</v>
      </c>
      <c r="D31" s="34">
        <v>0</v>
      </c>
      <c r="E31" s="24"/>
      <c r="F31" s="24"/>
      <c r="G31"/>
    </row>
    <row r="32" spans="2:7">
      <c r="B32" s="23"/>
      <c r="C32" s="23"/>
      <c r="D32" s="23"/>
      <c r="E32" s="33">
        <f>IF(B33="x",0,ROUND((AVERAGE(C33,C31))*($B33-B31)*(1/27),0))</f>
        <v>59</v>
      </c>
      <c r="F32" s="33">
        <f>IF(B33="x",0,ROUND((AVERAGE(D33,D31))*($B33-B31)*(1/27),0))</f>
        <v>2</v>
      </c>
      <c r="G32"/>
    </row>
    <row r="33" spans="1:9">
      <c r="B33" s="38">
        <v>9950</v>
      </c>
      <c r="C33" s="34">
        <v>69</v>
      </c>
      <c r="D33" s="34">
        <v>5</v>
      </c>
      <c r="E33" s="24"/>
      <c r="F33" s="24"/>
      <c r="G33"/>
    </row>
    <row r="34" spans="1:9">
      <c r="B34" s="23"/>
      <c r="C34" s="23"/>
      <c r="D34" s="23"/>
      <c r="E34" s="33">
        <f>IF(B35="x",0,ROUND((AVERAGE(C35,C33))*($B35-B33)*(1/27),0))</f>
        <v>63</v>
      </c>
      <c r="F34" s="33">
        <f>IF(B35="x",0,ROUND((AVERAGE(D35,D33))*($B35-B33)*(1/27),0))</f>
        <v>13</v>
      </c>
      <c r="G34"/>
    </row>
    <row r="35" spans="1:9">
      <c r="B35" s="38">
        <v>9975</v>
      </c>
      <c r="C35" s="34">
        <v>66</v>
      </c>
      <c r="D35" s="34">
        <v>24</v>
      </c>
      <c r="E35" s="24"/>
      <c r="F35" s="24"/>
    </row>
    <row r="36" spans="1:9">
      <c r="B36" s="23"/>
      <c r="C36" s="23"/>
      <c r="D36" s="23"/>
      <c r="E36" s="33">
        <f>IF(B37="x",0,ROUND((AVERAGE(C37,C35))*($B37-B35)*(1/27),0))</f>
        <v>87</v>
      </c>
      <c r="F36" s="33">
        <f>IF(B37="x",0,ROUND((AVERAGE(D37,D35))*($B37-B35)*(1/27),0))</f>
        <v>50</v>
      </c>
      <c r="G36"/>
    </row>
    <row r="37" spans="1:9">
      <c r="B37" s="38">
        <v>10000</v>
      </c>
      <c r="C37" s="34">
        <v>122</v>
      </c>
      <c r="D37" s="34">
        <v>85</v>
      </c>
      <c r="E37" s="24"/>
      <c r="F37" s="24"/>
      <c r="G37"/>
    </row>
    <row r="38" spans="1:9">
      <c r="B38" s="23"/>
      <c r="C38" s="23"/>
      <c r="D38" s="23"/>
      <c r="E38" s="33">
        <f>IF(B39="x",0,ROUND((AVERAGE(C39,C37))*($B39-B37)*(1/27),0))</f>
        <v>108</v>
      </c>
      <c r="F38" s="33">
        <f>IF(B39="x",0,ROUND((AVERAGE(D39,D37))*($B39-B37)*(1/27),0))</f>
        <v>94</v>
      </c>
      <c r="G38"/>
    </row>
    <row r="39" spans="1:9">
      <c r="B39" s="38">
        <v>10025</v>
      </c>
      <c r="C39" s="34">
        <v>111</v>
      </c>
      <c r="D39" s="34">
        <v>118</v>
      </c>
      <c r="E39" s="24"/>
      <c r="F39" s="24"/>
      <c r="G39"/>
    </row>
    <row r="40" spans="1:9">
      <c r="B40" s="23"/>
      <c r="C40" s="23"/>
      <c r="D40" s="23"/>
      <c r="E40" s="33">
        <f>IF(B41="x",0,ROUND((AVERAGE(C41,C39))*($B41-B39)*(1/27),0))</f>
        <v>109</v>
      </c>
      <c r="F40" s="33">
        <f>IF(B41="x",0,ROUND((AVERAGE(D41,D39))*($B41-B39)*(1/27),0))</f>
        <v>140</v>
      </c>
    </row>
    <row r="41" spans="1:9">
      <c r="B41" s="38">
        <v>10050</v>
      </c>
      <c r="C41" s="34">
        <v>125</v>
      </c>
      <c r="D41" s="34">
        <v>185</v>
      </c>
      <c r="E41" s="24"/>
      <c r="F41" s="24"/>
    </row>
    <row r="42" spans="1:9" s="20" customFormat="1">
      <c r="A42"/>
      <c r="B42" s="23"/>
      <c r="C42" s="23"/>
      <c r="D42" s="23"/>
      <c r="E42" s="33">
        <f t="shared" ref="E42" si="0">IF(B43="x",0,ROUND((AVERAGE(C43,C41))*($B43-B41)*(1/27),0))</f>
        <v>127</v>
      </c>
      <c r="F42" s="33">
        <f t="shared" ref="F42" si="1">IF(B43="x",0,ROUND((AVERAGE(D43,D41))*($B43-B41)*(1/27),0))</f>
        <v>206</v>
      </c>
      <c r="H42"/>
      <c r="I42"/>
    </row>
    <row r="43" spans="1:9">
      <c r="B43" s="38">
        <v>10075</v>
      </c>
      <c r="C43" s="34">
        <v>150</v>
      </c>
      <c r="D43" s="34">
        <v>261</v>
      </c>
      <c r="E43" s="24"/>
      <c r="F43" s="24"/>
    </row>
    <row r="44" spans="1:9">
      <c r="B44" s="23"/>
      <c r="C44" s="23"/>
      <c r="D44" s="23"/>
      <c r="E44" s="33">
        <f t="shared" ref="E44" si="2">IF(B45="x",0,ROUND((AVERAGE(C45,C43))*($B45-B43)*(1/27),0))</f>
        <v>148</v>
      </c>
      <c r="F44" s="33">
        <f t="shared" ref="F44" si="3">IF(B45="x",0,ROUND((AVERAGE(D45,D43))*($B45-B43)*(1/27),0))</f>
        <v>283</v>
      </c>
    </row>
    <row r="45" spans="1:9">
      <c r="B45" s="38">
        <v>10100</v>
      </c>
      <c r="C45" s="34">
        <v>170</v>
      </c>
      <c r="D45" s="34">
        <v>350</v>
      </c>
      <c r="E45" s="24"/>
      <c r="F45" s="24"/>
    </row>
    <row r="46" spans="1:9">
      <c r="B46" s="23"/>
      <c r="C46" s="23"/>
      <c r="D46" s="23"/>
      <c r="E46" s="33">
        <f t="shared" ref="E46" si="4">IF(B47="x",0,ROUND((AVERAGE(C47,C45))*($B47-B45)*(1/27),0))</f>
        <v>163</v>
      </c>
      <c r="F46" s="33">
        <f t="shared" ref="F46" si="5">IF(B47="x",0,ROUND((AVERAGE(D47,D45))*($B47-B45)*(1/27),0))</f>
        <v>373</v>
      </c>
    </row>
    <row r="47" spans="1:9">
      <c r="B47" s="38">
        <v>10125</v>
      </c>
      <c r="C47" s="34">
        <v>183</v>
      </c>
      <c r="D47" s="34">
        <v>455</v>
      </c>
      <c r="E47" s="24"/>
      <c r="F47" s="24"/>
    </row>
    <row r="48" spans="1:9">
      <c r="B48" s="23"/>
      <c r="C48" s="23"/>
      <c r="D48" s="23"/>
      <c r="E48" s="33">
        <f t="shared" ref="E48" si="6">IF(B49="x",0,ROUND((AVERAGE(C49,C47))*($B49-B47)*(1/27),0))</f>
        <v>192</v>
      </c>
      <c r="F48" s="33">
        <f t="shared" ref="F48" si="7">IF(B49="x",0,ROUND((AVERAGE(D49,D47))*($B49-B47)*(1/27),0))</f>
        <v>488</v>
      </c>
    </row>
    <row r="49" spans="2:6">
      <c r="B49" s="38">
        <v>10150</v>
      </c>
      <c r="C49" s="34">
        <v>231</v>
      </c>
      <c r="D49" s="34">
        <v>599</v>
      </c>
      <c r="E49" s="24"/>
      <c r="F49" s="24"/>
    </row>
    <row r="50" spans="2:6">
      <c r="B50" s="23"/>
      <c r="C50" s="23"/>
      <c r="D50" s="23"/>
      <c r="E50" s="33">
        <f t="shared" ref="E50" si="8">IF(B51="x",0,ROUND((AVERAGE(C51,C49))*($B51-B49)*(1/27),0))</f>
        <v>205</v>
      </c>
      <c r="F50" s="33">
        <f t="shared" ref="F50" si="9">IF(B51="x",0,ROUND((AVERAGE(D51,D49))*($B51-B49)*(1/27),0))</f>
        <v>616</v>
      </c>
    </row>
    <row r="51" spans="2:6">
      <c r="B51" s="38">
        <v>10175</v>
      </c>
      <c r="C51" s="34">
        <v>211</v>
      </c>
      <c r="D51" s="34">
        <v>731</v>
      </c>
      <c r="E51" s="24"/>
      <c r="F51" s="24"/>
    </row>
    <row r="52" spans="2:6">
      <c r="B52" s="23"/>
      <c r="C52" s="23"/>
      <c r="D52" s="23"/>
      <c r="E52" s="33">
        <f t="shared" ref="E52" si="10">IF(B53="x",0,ROUND((AVERAGE(C53,C51))*($B53-B51)*(1/27),0))</f>
        <v>203</v>
      </c>
      <c r="F52" s="33">
        <f t="shared" ref="F52" si="11">IF(B53="x",0,ROUND((AVERAGE(D53,D51))*($B53-B51)*(1/27),0))</f>
        <v>736</v>
      </c>
    </row>
    <row r="53" spans="2:6">
      <c r="B53" s="38">
        <v>10200</v>
      </c>
      <c r="C53" s="34">
        <v>228</v>
      </c>
      <c r="D53" s="34">
        <v>858</v>
      </c>
      <c r="E53" s="24"/>
      <c r="F53" s="24"/>
    </row>
    <row r="54" spans="2:6">
      <c r="B54" s="23"/>
      <c r="C54" s="23"/>
      <c r="D54" s="23"/>
      <c r="E54" s="33">
        <f t="shared" ref="E54" si="12">IF(B55="x",0,ROUND((AVERAGE(C55,C53))*($B55-B53)*(1/27),0))</f>
        <v>217</v>
      </c>
      <c r="F54" s="33">
        <f t="shared" ref="F54" si="13">IF(B55="x",0,ROUND((AVERAGE(D55,D53))*($B55-B53)*(1/27),0))</f>
        <v>842</v>
      </c>
    </row>
    <row r="55" spans="2:6">
      <c r="B55" s="38">
        <v>10225</v>
      </c>
      <c r="C55" s="34">
        <v>241</v>
      </c>
      <c r="D55" s="34">
        <v>960</v>
      </c>
      <c r="E55" s="24"/>
      <c r="F55" s="24"/>
    </row>
    <row r="56" spans="2:6">
      <c r="B56" s="23"/>
      <c r="C56" s="23"/>
      <c r="D56" s="23"/>
      <c r="E56" s="33">
        <f t="shared" ref="E56" si="14">IF(B57="x",0,ROUND((AVERAGE(C57,C55))*($B57-B55)*(1/27),0))</f>
        <v>201</v>
      </c>
      <c r="F56" s="33">
        <f t="shared" ref="F56" si="15">IF(B57="x",0,ROUND((AVERAGE(D57,D55))*($B57-B55)*(1/27),0))</f>
        <v>932</v>
      </c>
    </row>
    <row r="57" spans="2:6">
      <c r="B57" s="38">
        <v>10250</v>
      </c>
      <c r="C57" s="34">
        <v>193</v>
      </c>
      <c r="D57" s="34">
        <v>1053</v>
      </c>
      <c r="E57" s="24"/>
      <c r="F57" s="24"/>
    </row>
    <row r="58" spans="2:6">
      <c r="C58" s="78" t="s">
        <v>36</v>
      </c>
      <c r="D58" s="78"/>
      <c r="E58" s="39">
        <f>SUM(E18:E57)</f>
        <v>2013</v>
      </c>
      <c r="F58" s="39">
        <f>SUM(F18:F57)</f>
        <v>4783</v>
      </c>
    </row>
  </sheetData>
  <mergeCells count="7">
    <mergeCell ref="C58:D58"/>
    <mergeCell ref="C11:E11"/>
    <mergeCell ref="C12:E12"/>
    <mergeCell ref="B14:B16"/>
    <mergeCell ref="C14:F14"/>
    <mergeCell ref="C15:D15"/>
    <mergeCell ref="E15:F15"/>
  </mergeCells>
  <printOptions horizontalCentered="1"/>
  <pageMargins left="0.1" right="0.1" top="0.75" bottom="0.75" header="0.3" footer="0.3"/>
  <pageSetup fitToWidth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OLD_Sheet1</vt:lpstr>
      <vt:lpstr>Earthwork - XS001_SR682_S</vt:lpstr>
      <vt:lpstr>Earthwork - XS002_RNDABT_S</vt:lpstr>
      <vt:lpstr>Earthwork - XS003_XSR682</vt:lpstr>
      <vt:lpstr>Earthwork - XS004_RNDABT_N</vt:lpstr>
      <vt:lpstr>Earthwork - XS005_SR682_N</vt:lpstr>
      <vt:lpstr>Earthwork - XS006_SUNSET_LN</vt:lpstr>
      <vt:lpstr>Earthwork - XS007_TR_662</vt:lpstr>
      <vt:lpstr>Earthwork - XS008_RAMP_A</vt:lpstr>
      <vt:lpstr>Earthwork - XS009_RAMP_B</vt:lpstr>
      <vt:lpstr>SEEDING AND MULCHING</vt:lpstr>
      <vt:lpstr>Earthwork - XS010_RAMP_C</vt:lpstr>
      <vt:lpstr>Earthwork - XS011_RAMP_D</vt:lpstr>
      <vt:lpstr>Earthwork - Total</vt:lpstr>
      <vt:lpstr>'Earthwork - Total'!Print_Area</vt:lpstr>
      <vt:lpstr>'Earthwork - XS001_SR682_S'!Print_Area</vt:lpstr>
      <vt:lpstr>'Earthwork - XS002_RNDABT_S'!Print_Area</vt:lpstr>
      <vt:lpstr>'Earthwork - XS003_XSR682'!Print_Area</vt:lpstr>
      <vt:lpstr>'Earthwork - XS004_RNDABT_N'!Print_Area</vt:lpstr>
      <vt:lpstr>'Earthwork - XS005_SR682_N'!Print_Area</vt:lpstr>
      <vt:lpstr>'Earthwork - XS006_SUNSET_LN'!Print_Area</vt:lpstr>
      <vt:lpstr>'Earthwork - XS007_TR_662'!Print_Area</vt:lpstr>
      <vt:lpstr>'Earthwork - XS008_RAMP_A'!Print_Area</vt:lpstr>
      <vt:lpstr>'Earthwork - XS009_RAMP_B'!Print_Area</vt:lpstr>
      <vt:lpstr>'Earthwork - XS010_RAMP_C'!Print_Area</vt:lpstr>
      <vt:lpstr>'Earthwork - XS011_RAMP_D'!Print_Area</vt:lpstr>
      <vt:lpstr>OLD_Sheet1!Print_Area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2024-10-22T22:21:04Z</dcterms:modified>
  <cp:category/>
  <cp:contentStatus/>
</cp:coreProperties>
</file>